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allagliozw-my.sharepoint.com/personal/admin_dallaglio_co_zw/Documents/Dallaglio Investments/30000 BRK/31000 OPERATIONS/31100 MTS/31110 GEOLOGY/31122 UNDERGROUND/UNDERGROUND GRADE TRACKERS/2025 DATA/08_August_2025/"/>
    </mc:Choice>
  </mc:AlternateContent>
  <xr:revisionPtr revIDLastSave="5885" documentId="13_ncr:1_{5F544244-66BA-42F2-BDF9-60B7B5FCFC90}" xr6:coauthVersionLast="47" xr6:coauthVersionMax="47" xr10:uidLastSave="{F92637E8-65DB-48AE-BBF4-000B136E0951}"/>
  <bookViews>
    <workbookView xWindow="-108" yWindow="-108" windowWidth="23256" windowHeight="12456" tabRatio="884" firstSheet="10" activeTab="19" xr2:uid="{00000000-000D-0000-FFFF-FFFF00000000}"/>
  </bookViews>
  <sheets>
    <sheet name="SUMMARY" sheetId="14" r:id="rId1"/>
    <sheet name="KPIs" sheetId="56" r:id="rId2"/>
    <sheet name="Actions" sheetId="55" r:id="rId3"/>
    <sheet name="&gt; PUG" sheetId="39" r:id="rId4"/>
    <sheet name="Activities" sheetId="32" r:id="rId5"/>
    <sheet name="Ore Accounting Actions" sheetId="66" r:id="rId6"/>
    <sheet name="D_Drilling" sheetId="43" r:id="rId7"/>
    <sheet name="Development" sheetId="24" r:id="rId8"/>
    <sheet name="Sheet1" sheetId="65" state="hidden" r:id="rId9"/>
    <sheet name="Generation" sheetId="20" r:id="rId10"/>
    <sheet name="Stoping" sheetId="25" r:id="rId11"/>
    <sheet name="Tramming" sheetId="1" r:id="rId12"/>
    <sheet name="Hoisting" sheetId="3" r:id="rId13"/>
    <sheet name="Projects" sheetId="54" r:id="rId14"/>
    <sheet name="PLANT" sheetId="37" r:id="rId15"/>
    <sheet name="Tonnage Recon" sheetId="61" r:id="rId16"/>
    <sheet name="Hoisting Charts" sheetId="64" state="hidden" r:id="rId17"/>
    <sheet name="&gt; SAMPLING" sheetId="47" r:id="rId18"/>
    <sheet name="DEV." sheetId="33" r:id="rId19"/>
    <sheet name="BENCHES." sheetId="17" r:id="rId20"/>
    <sheet name="TRAMMING." sheetId="29" r:id="rId21"/>
    <sheet name="HOISTING." sheetId="28" r:id="rId22"/>
    <sheet name="DEV.TRKR" sheetId="12" r:id="rId23"/>
    <sheet name="&gt; PLANS" sheetId="48" r:id="rId24"/>
    <sheet name="Development." sheetId="49" r:id="rId25"/>
    <sheet name="Breaking." sheetId="18" r:id="rId26"/>
    <sheet name="Schedule" sheetId="35" r:id="rId27"/>
    <sheet name="UG_Hoisting" sheetId="53" r:id="rId28"/>
    <sheet name="DD." sheetId="50" r:id="rId29"/>
    <sheet name="Weekly" sheetId="59" r:id="rId30"/>
    <sheet name="Stope History" sheetId="63" r:id="rId31"/>
    <sheet name="KPIs (2)" sheetId="57" state="hidden" r:id="rId32"/>
    <sheet name="Sheet4" sheetId="52" state="hidden" r:id="rId33"/>
  </sheets>
  <externalReferences>
    <externalReference r:id="rId34"/>
    <externalReference r:id="rId35"/>
    <externalReference r:id="rId36"/>
  </externalReferences>
  <definedNames>
    <definedName name="_xlnm._FilterDatabase" localSheetId="2" hidden="1">Actions!$B$8:$K$9</definedName>
    <definedName name="_xlnm._FilterDatabase" localSheetId="19" hidden="1">BENCHES.!$B$1:$B$224</definedName>
    <definedName name="_xlnm._FilterDatabase" localSheetId="18" hidden="1">DEV.!$A$1:$S$869</definedName>
    <definedName name="_xlnm._FilterDatabase" localSheetId="22" hidden="1">DEV.TRKR!$A$1:$A$57</definedName>
    <definedName name="_xlnm._FilterDatabase" localSheetId="7" hidden="1">Development!$A$18:$AN$18</definedName>
    <definedName name="_xlnm._FilterDatabase" localSheetId="5" hidden="1">'Ore Accounting Actions'!$B$4:$M$18</definedName>
    <definedName name="_xlnm._FilterDatabase" localSheetId="13" hidden="1">Projects!$B$17:$AM$40</definedName>
    <definedName name="_xlnm._FilterDatabase" localSheetId="30" hidden="1">'Stope History'!$A$2:$R$125</definedName>
    <definedName name="_xlnm._FilterDatabase" localSheetId="11" hidden="1">Tramming!#REF!</definedName>
    <definedName name="_xlnm._FilterDatabase" localSheetId="20" hidden="1">TRAMMING.!$A$1:$L$23</definedName>
    <definedName name="_xlnm._FilterDatabase" localSheetId="29" hidden="1">Weekly!$A$10:$N$218</definedName>
    <definedName name="_Order1" hidden="1">255</definedName>
    <definedName name="_Order2" hidden="1">0</definedName>
    <definedName name="Budget_Tailssss" localSheetId="15">'Tonnage Recon'!$B$37:$B$38</definedName>
    <definedName name="Crush_Mill" localSheetId="15">'Tonnage Recon'!$B$37:$B$38</definedName>
    <definedName name="crushh_mille">'Tonnage Recon'!$B$37:$B$38</definedName>
    <definedName name="current_month" localSheetId="30">[1]Stockpiles!#REF!</definedName>
    <definedName name="current_month">'Tonnage Recon'!#REF!</definedName>
    <definedName name="Gold_Inventory" localSheetId="15">'Tonnage Recon'!$G$12:$L$14</definedName>
    <definedName name="Inventory_Change" localSheetId="15">'Tonnage Recon'!$G$25:$L$27</definedName>
    <definedName name="Milled" localSheetId="15">'Tonnage Recon'!$G$38:$L$38</definedName>
    <definedName name="Month" localSheetId="15">'Tonnage Recon'!$G$9:$L$9</definedName>
    <definedName name="Months_Ore">#REF!</definedName>
    <definedName name="Munashe">'Tonnage Recon'!$G$9:$L$9</definedName>
    <definedName name="Ore_Descriptors">#REF!</definedName>
    <definedName name="_xlnm.Print_Area" localSheetId="9">Generation!$A$1:$P$46</definedName>
    <definedName name="_xlnm.Print_Area" localSheetId="0">SUMMARY!$A$1:$W$51</definedName>
    <definedName name="Recovery_Production" localSheetId="15">'Tonnage Recon'!$G$41:$L$44</definedName>
    <definedName name="Stockpiles">#REF!</definedName>
    <definedName name="Tonnes_MilledPK">'Tonnage Recon'!$G$37:$L$38</definedName>
    <definedName name="True_months" localSheetId="15">'Tonnage Recon'!$F$9:$L$9</definedName>
    <definedName name="wrn.EXEC_1." localSheetId="30" hidden="1">{"EXEC",#N/A,TRUE,"Header";"EXEC_1",#N/A,TRUE,"Summary_1"}</definedName>
    <definedName name="wrn.EXEC_1." hidden="1">{"EXEC",#N/A,TRUE,"Header";"EXEC_1",#N/A,TRUE,"Summary_1"}</definedName>
    <definedName name="wrn.EXEC_2." localSheetId="30" hidden="1">{"EXEC",#N/A,FALSE,"Header";"EXEC_2",#N/A,FALSE,"Summary_2"}</definedName>
    <definedName name="wrn.EXEC_2." hidden="1">{"EXEC",#N/A,FALSE,"Header";"EXEC_2",#N/A,FALSE,"Summary_2"}</definedName>
    <definedName name="wrn.EXEC_3." localSheetId="30" hidden="1">{"EXEC",#N/A,FALSE,"Header";"EXEC_3",#N/A,FALSE,"Summary_3"}</definedName>
    <definedName name="wrn.EXEC_3." hidden="1">{"EXEC",#N/A,FALSE,"Header";"EXEC_3",#N/A,FALSE,"Summary_3"}</definedName>
    <definedName name="wrn.EXEC_4." localSheetId="30" hidden="1">{"EXEC",#N/A,FALSE,"Header";"EXEC_4",#N/A,FALSE,"Summary_4"}</definedName>
    <definedName name="wrn.EXEC_4." hidden="1">{"EXEC",#N/A,FALSE,"Header";"EXEC_4",#N/A,FALSE,"Summary_4"}</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0" i="1" l="1"/>
  <c r="N146" i="33"/>
  <c r="N148" i="33"/>
  <c r="N150" i="33"/>
  <c r="N160" i="33"/>
  <c r="N155" i="33"/>
  <c r="M30" i="54"/>
  <c r="M32" i="54" s="1"/>
  <c r="M25" i="54"/>
  <c r="N153" i="33"/>
  <c r="N158" i="33"/>
  <c r="N163" i="33"/>
  <c r="N165" i="33"/>
  <c r="N167" i="33"/>
  <c r="M75" i="25"/>
  <c r="M68" i="25"/>
  <c r="M47" i="25"/>
  <c r="M33" i="25"/>
  <c r="P367" i="17"/>
  <c r="P393" i="17"/>
  <c r="P382" i="17"/>
  <c r="M387" i="17"/>
  <c r="P372" i="17"/>
  <c r="P419" i="17"/>
  <c r="P409" i="17"/>
  <c r="P388" i="17"/>
  <c r="P358" i="17"/>
  <c r="P350" i="17"/>
  <c r="P400" i="17"/>
  <c r="K229" i="33"/>
  <c r="K228" i="33"/>
  <c r="P213" i="17"/>
  <c r="K144" i="33"/>
  <c r="K145" i="33"/>
  <c r="K146" i="33"/>
  <c r="K147" i="33"/>
  <c r="K148" i="33"/>
  <c r="K149" i="33"/>
  <c r="K150" i="33"/>
  <c r="K151" i="33"/>
  <c r="K152" i="33"/>
  <c r="K153" i="33"/>
  <c r="K154" i="33"/>
  <c r="K155" i="33"/>
  <c r="K156" i="33"/>
  <c r="K157" i="33"/>
  <c r="K158" i="33"/>
  <c r="K159" i="33"/>
  <c r="K160" i="33"/>
  <c r="K161" i="33"/>
  <c r="K162" i="33"/>
  <c r="K163" i="33"/>
  <c r="K164" i="33"/>
  <c r="K165" i="33"/>
  <c r="K166" i="33"/>
  <c r="K167" i="33"/>
  <c r="K168" i="33"/>
  <c r="K169" i="33"/>
  <c r="K170" i="33"/>
  <c r="K171" i="33"/>
  <c r="K172" i="33"/>
  <c r="K173" i="33"/>
  <c r="K174" i="33"/>
  <c r="K175" i="33"/>
  <c r="K176" i="33"/>
  <c r="K177" i="33"/>
  <c r="K178" i="33"/>
  <c r="K179" i="33"/>
  <c r="K180" i="33"/>
  <c r="K181" i="33"/>
  <c r="K182" i="33"/>
  <c r="K183" i="33"/>
  <c r="K184" i="33"/>
  <c r="K185" i="33"/>
  <c r="K186" i="33"/>
  <c r="K187" i="33"/>
  <c r="K188" i="33"/>
  <c r="K189" i="33"/>
  <c r="K190" i="33"/>
  <c r="K191" i="33"/>
  <c r="K192" i="33"/>
  <c r="K193" i="33"/>
  <c r="K195" i="33"/>
  <c r="K196" i="33"/>
  <c r="K197" i="33"/>
  <c r="K198" i="33"/>
  <c r="K200" i="33"/>
  <c r="K201" i="33"/>
  <c r="K202" i="33"/>
  <c r="K203" i="33"/>
  <c r="K205" i="33"/>
  <c r="K206" i="33"/>
  <c r="K207" i="33"/>
  <c r="K208" i="33"/>
  <c r="K209" i="33"/>
  <c r="K210" i="33"/>
  <c r="K211" i="33"/>
  <c r="K212" i="33"/>
  <c r="K213" i="33"/>
  <c r="K214" i="33"/>
  <c r="K215" i="33"/>
  <c r="K216" i="33"/>
  <c r="K217" i="33"/>
  <c r="K218" i="33"/>
  <c r="K219" i="33"/>
  <c r="K220" i="33"/>
  <c r="K221" i="33"/>
  <c r="K222" i="33"/>
  <c r="K223" i="33"/>
  <c r="K224" i="33"/>
  <c r="K225" i="33"/>
  <c r="K226" i="33"/>
  <c r="K227" i="33"/>
  <c r="M386"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385" i="17"/>
  <c r="M384" i="17"/>
  <c r="M383" i="17"/>
  <c r="M382" i="17"/>
  <c r="M374" i="17"/>
  <c r="M375" i="17"/>
  <c r="M376" i="17"/>
  <c r="M377" i="17"/>
  <c r="M378" i="17"/>
  <c r="M379" i="17"/>
  <c r="M380" i="17"/>
  <c r="M381" i="17"/>
  <c r="M373" i="17"/>
  <c r="M372" i="17"/>
  <c r="M354" i="17"/>
  <c r="M355" i="17"/>
  <c r="M356" i="17"/>
  <c r="M357" i="17"/>
  <c r="M358" i="17"/>
  <c r="M359" i="17"/>
  <c r="M360" i="17"/>
  <c r="M361" i="17"/>
  <c r="M362" i="17"/>
  <c r="M363" i="17"/>
  <c r="M364" i="17"/>
  <c r="M365" i="17"/>
  <c r="M366" i="17"/>
  <c r="M367" i="17"/>
  <c r="M368" i="17"/>
  <c r="M369" i="17"/>
  <c r="M370" i="17"/>
  <c r="M371" i="17"/>
  <c r="M353" i="17"/>
  <c r="M352" i="17"/>
  <c r="M351" i="17"/>
  <c r="M350" i="17"/>
  <c r="P312" i="17"/>
  <c r="P330" i="17"/>
  <c r="P327" i="17"/>
  <c r="P342" i="17"/>
  <c r="P338" i="17"/>
  <c r="P335" i="17"/>
  <c r="E114" i="29"/>
  <c r="E104" i="29"/>
  <c r="E51" i="28"/>
  <c r="E97" i="29"/>
  <c r="E111" i="29"/>
  <c r="E109" i="29"/>
  <c r="E107" i="29"/>
  <c r="E102" i="29"/>
  <c r="E100" i="29"/>
  <c r="I43" i="43" l="1"/>
  <c r="J43" i="43"/>
  <c r="K43" i="43"/>
  <c r="L43" i="43"/>
  <c r="M43" i="43"/>
  <c r="N43" i="43"/>
  <c r="O43" i="43"/>
  <c r="P43" i="43"/>
  <c r="Q43" i="43"/>
  <c r="R43" i="43"/>
  <c r="S43" i="43"/>
  <c r="T43" i="43"/>
  <c r="U43" i="43"/>
  <c r="V43" i="43"/>
  <c r="W43" i="43"/>
  <c r="X43" i="43"/>
  <c r="Y43" i="43"/>
  <c r="Z43" i="43"/>
  <c r="AA43" i="43"/>
  <c r="AB43" i="43"/>
  <c r="AC43" i="43"/>
  <c r="AD43" i="43"/>
  <c r="AE43" i="43"/>
  <c r="AF43" i="43"/>
  <c r="AG43" i="43"/>
  <c r="AH43" i="43"/>
  <c r="AI43" i="43"/>
  <c r="AJ43" i="43"/>
  <c r="AK43" i="43"/>
  <c r="AL43" i="43"/>
  <c r="H43" i="43"/>
  <c r="I42" i="43"/>
  <c r="J42" i="43"/>
  <c r="K42" i="43"/>
  <c r="L42" i="43"/>
  <c r="M42" i="43"/>
  <c r="N42" i="43"/>
  <c r="O42" i="43"/>
  <c r="P42" i="43"/>
  <c r="Q42" i="43"/>
  <c r="R42" i="43"/>
  <c r="S42" i="43"/>
  <c r="T42" i="43"/>
  <c r="U42" i="43"/>
  <c r="V42" i="43"/>
  <c r="W42" i="43"/>
  <c r="X42" i="43"/>
  <c r="Y42" i="43"/>
  <c r="Z42" i="43"/>
  <c r="AA42" i="43"/>
  <c r="AB42" i="43"/>
  <c r="AC42" i="43"/>
  <c r="AD42" i="43"/>
  <c r="AE42" i="43"/>
  <c r="AF42" i="43"/>
  <c r="AG42" i="43"/>
  <c r="AH42" i="43"/>
  <c r="AI42" i="43"/>
  <c r="AJ42" i="43"/>
  <c r="AK42" i="43"/>
  <c r="AL42" i="43"/>
  <c r="H42" i="43"/>
  <c r="M13" i="43"/>
  <c r="N13" i="43"/>
  <c r="O13" i="43"/>
  <c r="P13" i="43"/>
  <c r="Q13" i="43"/>
  <c r="R13" i="43"/>
  <c r="S13" i="43"/>
  <c r="T13" i="43"/>
  <c r="U13" i="43"/>
  <c r="V13" i="43"/>
  <c r="W13" i="43"/>
  <c r="X13" i="43"/>
  <c r="Y13" i="43"/>
  <c r="Z13" i="43"/>
  <c r="AA13" i="43"/>
  <c r="AB13" i="43"/>
  <c r="AC13" i="43"/>
  <c r="AD13" i="43"/>
  <c r="AE13" i="43"/>
  <c r="AF13" i="43"/>
  <c r="AG13" i="43"/>
  <c r="AH13" i="43"/>
  <c r="AI13" i="43"/>
  <c r="AJ13" i="43"/>
  <c r="AK13" i="43"/>
  <c r="AL13" i="43"/>
  <c r="M12" i="43"/>
  <c r="N12" i="43"/>
  <c r="O12" i="43"/>
  <c r="P12" i="43"/>
  <c r="Q12" i="43"/>
  <c r="R12" i="43"/>
  <c r="S12" i="43"/>
  <c r="T12" i="43"/>
  <c r="U12" i="43"/>
  <c r="V12" i="43"/>
  <c r="W12" i="43"/>
  <c r="X12" i="43"/>
  <c r="Y12" i="43"/>
  <c r="Z12" i="43"/>
  <c r="AA12" i="43"/>
  <c r="AB12" i="43"/>
  <c r="AC12" i="43"/>
  <c r="AD12" i="43"/>
  <c r="AE12" i="43"/>
  <c r="AF12" i="43"/>
  <c r="AG12" i="43"/>
  <c r="AH12" i="43"/>
  <c r="AI12" i="43"/>
  <c r="AJ12" i="43"/>
  <c r="AK12" i="43"/>
  <c r="AL12" i="43"/>
  <c r="L75" i="25"/>
  <c r="L68" i="25"/>
  <c r="L47" i="25"/>
  <c r="L33" i="25"/>
  <c r="L82" i="25"/>
  <c r="L103" i="1"/>
  <c r="L82" i="1"/>
  <c r="L40" i="1"/>
  <c r="L32" i="54"/>
  <c r="L30" i="54"/>
  <c r="L25" i="54"/>
  <c r="E89" i="29"/>
  <c r="E88" i="29"/>
  <c r="E86" i="29"/>
  <c r="E84" i="29"/>
  <c r="E82" i="29"/>
  <c r="E80" i="29"/>
  <c r="P345" i="17"/>
  <c r="E78" i="29"/>
  <c r="E76" i="29"/>
  <c r="E72" i="29"/>
  <c r="P322" i="17"/>
  <c r="P308" i="17"/>
  <c r="P303" i="17"/>
  <c r="P300" i="17"/>
  <c r="P294" i="17"/>
  <c r="P289" i="17"/>
  <c r="E42" i="28"/>
  <c r="P284" i="17"/>
  <c r="P278" i="17"/>
  <c r="P272" i="17" l="1"/>
  <c r="N4" i="33"/>
  <c r="N92" i="33"/>
  <c r="N90" i="33"/>
  <c r="N86" i="33"/>
  <c r="N84" i="33"/>
  <c r="N82" i="33"/>
  <c r="N80" i="33"/>
  <c r="N78" i="33"/>
  <c r="N75" i="33"/>
  <c r="N73" i="33"/>
  <c r="N70" i="33"/>
  <c r="N68" i="33"/>
  <c r="N64" i="33"/>
  <c r="N61" i="33"/>
  <c r="N59" i="33"/>
  <c r="N57" i="33"/>
  <c r="N126" i="33"/>
  <c r="N124" i="33"/>
  <c r="N120" i="33"/>
  <c r="N117" i="33"/>
  <c r="N115" i="33"/>
  <c r="N111" i="33"/>
  <c r="N109" i="33"/>
  <c r="N107" i="33"/>
  <c r="N105" i="33"/>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K143" i="33"/>
  <c r="K142" i="33"/>
  <c r="K141" i="33"/>
  <c r="K140" i="33"/>
  <c r="K139" i="33"/>
  <c r="K138" i="33"/>
  <c r="K137" i="33"/>
  <c r="K136" i="33"/>
  <c r="K135" i="33"/>
  <c r="K134" i="33"/>
  <c r="K133" i="33"/>
  <c r="K132" i="33"/>
  <c r="K131" i="33"/>
  <c r="K130" i="33"/>
  <c r="K129" i="33"/>
  <c r="K128" i="33"/>
  <c r="N96" i="33"/>
  <c r="N94" i="33"/>
  <c r="N101" i="33"/>
  <c r="N98" i="33"/>
  <c r="M280" i="17"/>
  <c r="M279" i="17"/>
  <c r="M278" i="17"/>
  <c r="M275" i="17"/>
  <c r="M276" i="17"/>
  <c r="M277" i="17"/>
  <c r="M274" i="17"/>
  <c r="M273" i="17"/>
  <c r="M272" i="17"/>
  <c r="E33" i="28"/>
  <c r="K51" i="25" l="1"/>
  <c r="P188" i="17" l="1"/>
  <c r="K40" i="1" l="1"/>
  <c r="K82" i="1"/>
  <c r="K68" i="1"/>
  <c r="K32" i="54"/>
  <c r="K30" i="54"/>
  <c r="K25" i="54"/>
  <c r="L40" i="43" l="1"/>
  <c r="M40" i="43"/>
  <c r="N40" i="43"/>
  <c r="O40" i="43"/>
  <c r="P40" i="43"/>
  <c r="Q40" i="43"/>
  <c r="R40" i="43"/>
  <c r="S40" i="43"/>
  <c r="T40" i="43"/>
  <c r="U40" i="43"/>
  <c r="V40" i="43"/>
  <c r="W40" i="43"/>
  <c r="X40" i="43"/>
  <c r="Y40" i="43"/>
  <c r="Z40" i="43"/>
  <c r="AA40" i="43"/>
  <c r="AB40" i="43"/>
  <c r="AC40" i="43"/>
  <c r="AD40" i="43"/>
  <c r="AE40" i="43"/>
  <c r="AF40" i="43"/>
  <c r="AG40" i="43"/>
  <c r="AH40" i="43"/>
  <c r="AI40" i="43"/>
  <c r="AJ40" i="43"/>
  <c r="AK40" i="43"/>
  <c r="AL40" i="43"/>
  <c r="H40" i="43"/>
  <c r="P265" i="17" l="1"/>
  <c r="P258" i="17"/>
  <c r="N41" i="33"/>
  <c r="P252" i="17"/>
  <c r="P247" i="17"/>
  <c r="P233" i="17"/>
  <c r="P228" i="17"/>
  <c r="P218" i="17"/>
  <c r="P208" i="17"/>
  <c r="P200" i="17"/>
  <c r="K124" i="33"/>
  <c r="K125" i="33"/>
  <c r="K126" i="33"/>
  <c r="K127" i="33"/>
  <c r="K122" i="33"/>
  <c r="K121" i="33"/>
  <c r="K120" i="33"/>
  <c r="K105" i="33"/>
  <c r="K106" i="33"/>
  <c r="K107" i="33"/>
  <c r="K108" i="33"/>
  <c r="K109" i="33"/>
  <c r="K110" i="33"/>
  <c r="K111" i="33"/>
  <c r="K112" i="33"/>
  <c r="K114" i="33"/>
  <c r="K115" i="33"/>
  <c r="K116" i="33"/>
  <c r="K117" i="33"/>
  <c r="K119" i="33"/>
  <c r="M258" i="17"/>
  <c r="M259" i="17"/>
  <c r="M260" i="17"/>
  <c r="M262" i="17"/>
  <c r="M263" i="17"/>
  <c r="M264" i="17"/>
  <c r="M265" i="17"/>
  <c r="M266" i="17"/>
  <c r="M267" i="17"/>
  <c r="M268" i="17"/>
  <c r="M269" i="17"/>
  <c r="M270" i="17"/>
  <c r="M271" i="17"/>
  <c r="K90" i="33"/>
  <c r="K91" i="33"/>
  <c r="K92" i="33"/>
  <c r="K93" i="33"/>
  <c r="K94" i="33"/>
  <c r="K95" i="33"/>
  <c r="K96" i="33"/>
  <c r="K97" i="33"/>
  <c r="K98" i="33"/>
  <c r="K100" i="33"/>
  <c r="K101" i="33"/>
  <c r="K102" i="33"/>
  <c r="K103" i="33"/>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11" i="17"/>
  <c r="M212" i="17"/>
  <c r="M213" i="17"/>
  <c r="M214" i="17"/>
  <c r="M215" i="17"/>
  <c r="M216" i="17"/>
  <c r="M217" i="17"/>
  <c r="M218" i="17"/>
  <c r="M219" i="17"/>
  <c r="M220" i="17"/>
  <c r="M221" i="17"/>
  <c r="M222" i="17"/>
  <c r="M223" i="17"/>
  <c r="M224" i="17"/>
  <c r="M225" i="17"/>
  <c r="M226" i="17"/>
  <c r="M227" i="17"/>
  <c r="M228" i="17"/>
  <c r="M229" i="17"/>
  <c r="K73" i="33"/>
  <c r="K74" i="33"/>
  <c r="K75" i="33"/>
  <c r="K76" i="33"/>
  <c r="K78" i="33"/>
  <c r="K79" i="33"/>
  <c r="K80" i="33"/>
  <c r="K81" i="33"/>
  <c r="K82" i="33"/>
  <c r="K83" i="33"/>
  <c r="K84" i="33"/>
  <c r="K85" i="33"/>
  <c r="K86" i="33"/>
  <c r="K88" i="33"/>
  <c r="K71" i="33"/>
  <c r="K70" i="33"/>
  <c r="K69" i="33"/>
  <c r="K68" i="33"/>
  <c r="K22" i="54"/>
  <c r="L22" i="54" s="1"/>
  <c r="M22" i="54" s="1"/>
  <c r="N22" i="54" s="1"/>
  <c r="O22" i="54" s="1"/>
  <c r="P22" i="54" s="1"/>
  <c r="Q22" i="54" s="1"/>
  <c r="R22" i="54" s="1"/>
  <c r="S22" i="54" s="1"/>
  <c r="T22" i="54" s="1"/>
  <c r="U22" i="54" s="1"/>
  <c r="V22" i="54" s="1"/>
  <c r="W22" i="54" s="1"/>
  <c r="X22" i="54" s="1"/>
  <c r="Y22" i="54" s="1"/>
  <c r="Z22" i="54" s="1"/>
  <c r="AA22" i="54" s="1"/>
  <c r="AB22" i="54" s="1"/>
  <c r="AC22" i="54" s="1"/>
  <c r="AD22" i="54" s="1"/>
  <c r="AE22" i="54" s="1"/>
  <c r="AF22" i="54" s="1"/>
  <c r="AG22" i="54" s="1"/>
  <c r="AH22" i="54" s="1"/>
  <c r="AI22" i="54" s="1"/>
  <c r="AJ22" i="54" s="1"/>
  <c r="AK22" i="54" s="1"/>
  <c r="AL22" i="54" s="1"/>
  <c r="J22" i="54"/>
  <c r="I22" i="54"/>
  <c r="K67" i="33"/>
  <c r="K66" i="33"/>
  <c r="K65" i="33"/>
  <c r="K64" i="33"/>
  <c r="K63" i="33"/>
  <c r="K62" i="33"/>
  <c r="K61" i="33"/>
  <c r="K60" i="33"/>
  <c r="K59" i="33"/>
  <c r="K58" i="33"/>
  <c r="K57" i="33"/>
  <c r="M210" i="17"/>
  <c r="M209" i="17"/>
  <c r="M204" i="17"/>
  <c r="M205" i="17"/>
  <c r="M206" i="17"/>
  <c r="M207" i="17"/>
  <c r="M208" i="17"/>
  <c r="M203" i="17"/>
  <c r="M202" i="17"/>
  <c r="M201" i="17"/>
  <c r="M200" i="17"/>
  <c r="M199" i="17"/>
  <c r="M198" i="17"/>
  <c r="M197" i="17"/>
  <c r="M196" i="17"/>
  <c r="M195" i="17"/>
  <c r="M194" i="17"/>
  <c r="M193" i="17"/>
  <c r="M192" i="17"/>
  <c r="M191" i="17"/>
  <c r="M190" i="17"/>
  <c r="M189" i="17"/>
  <c r="M188" i="17"/>
  <c r="J79" i="25"/>
  <c r="H10" i="43"/>
  <c r="I10" i="43"/>
  <c r="J10" i="43"/>
  <c r="K10" i="43"/>
  <c r="L10" i="43"/>
  <c r="M10" i="43"/>
  <c r="N10" i="43"/>
  <c r="O10" i="43"/>
  <c r="P10" i="43"/>
  <c r="Q10" i="43"/>
  <c r="R10" i="43"/>
  <c r="S10" i="43"/>
  <c r="T10" i="43"/>
  <c r="U10" i="43"/>
  <c r="V10" i="43"/>
  <c r="W10" i="43"/>
  <c r="X10" i="43"/>
  <c r="Y10" i="43"/>
  <c r="Z10" i="43"/>
  <c r="AA10" i="43"/>
  <c r="AB10" i="43"/>
  <c r="AB14" i="43" s="1"/>
  <c r="AC10" i="43"/>
  <c r="AD10" i="43"/>
  <c r="AE10" i="43"/>
  <c r="AF10" i="43"/>
  <c r="AG10" i="43"/>
  <c r="AH10" i="43"/>
  <c r="AI10" i="43"/>
  <c r="AJ10" i="43"/>
  <c r="AJ14" i="43" s="1"/>
  <c r="AK10" i="43"/>
  <c r="AL10" i="43"/>
  <c r="H11" i="43"/>
  <c r="I11" i="43"/>
  <c r="J11" i="43"/>
  <c r="K11" i="43"/>
  <c r="L11" i="43"/>
  <c r="M11" i="43"/>
  <c r="M15" i="43" s="1"/>
  <c r="N11" i="43"/>
  <c r="N15" i="43" s="1"/>
  <c r="O11" i="43"/>
  <c r="P11" i="43"/>
  <c r="Q11" i="43"/>
  <c r="Q15" i="43" s="1"/>
  <c r="R11" i="43"/>
  <c r="S11" i="43"/>
  <c r="T11" i="43"/>
  <c r="U11" i="43"/>
  <c r="V11" i="43"/>
  <c r="W11" i="43"/>
  <c r="X11" i="43"/>
  <c r="Y11" i="43"/>
  <c r="Y15" i="43" s="1"/>
  <c r="Z11" i="43"/>
  <c r="AA11" i="43"/>
  <c r="AB11" i="43"/>
  <c r="AC11" i="43"/>
  <c r="AC15" i="43" s="1"/>
  <c r="AD11" i="43"/>
  <c r="AE11" i="43"/>
  <c r="AF11" i="43"/>
  <c r="AG11" i="43"/>
  <c r="AG15" i="43" s="1"/>
  <c r="AH11" i="43"/>
  <c r="AI11" i="43"/>
  <c r="AJ11" i="43"/>
  <c r="AK11" i="43"/>
  <c r="AL11" i="43"/>
  <c r="N14" i="43"/>
  <c r="T14" i="43"/>
  <c r="U14" i="43"/>
  <c r="V14" i="43"/>
  <c r="AC14" i="43"/>
  <c r="AD14" i="43"/>
  <c r="AK14" i="43"/>
  <c r="AL14" i="43"/>
  <c r="O15" i="43"/>
  <c r="R15" i="43"/>
  <c r="T15" i="43"/>
  <c r="U15" i="43"/>
  <c r="V15" i="43"/>
  <c r="W15" i="43"/>
  <c r="Z15" i="43"/>
  <c r="AB15" i="43"/>
  <c r="AD15" i="43"/>
  <c r="AE15" i="43"/>
  <c r="AH15" i="43"/>
  <c r="AJ15" i="43"/>
  <c r="AK15" i="43"/>
  <c r="AL15" i="43"/>
  <c r="F42" i="43"/>
  <c r="F43" i="43"/>
  <c r="P186" i="17"/>
  <c r="P182" i="17"/>
  <c r="AC89" i="50"/>
  <c r="AK89" i="50"/>
  <c r="I87" i="50"/>
  <c r="M87" i="50"/>
  <c r="N87" i="50"/>
  <c r="O87" i="50"/>
  <c r="P87" i="50"/>
  <c r="Q87" i="50"/>
  <c r="R87" i="50"/>
  <c r="S87" i="50"/>
  <c r="T87" i="50"/>
  <c r="U87" i="50"/>
  <c r="V87" i="50"/>
  <c r="W87" i="50"/>
  <c r="X87" i="50"/>
  <c r="Y87" i="50"/>
  <c r="Z87" i="50"/>
  <c r="AA87" i="50"/>
  <c r="AB87" i="50"/>
  <c r="AC87" i="50"/>
  <c r="AD87" i="50"/>
  <c r="AE87" i="50"/>
  <c r="AF87" i="50"/>
  <c r="AG87" i="50"/>
  <c r="AH87" i="50"/>
  <c r="AI87" i="50"/>
  <c r="AJ87" i="50"/>
  <c r="E13" i="50"/>
  <c r="F13" i="50"/>
  <c r="E14" i="50"/>
  <c r="F14" i="50"/>
  <c r="E15" i="50"/>
  <c r="F15" i="50"/>
  <c r="F17" i="50" s="1"/>
  <c r="E16" i="50"/>
  <c r="F16" i="50"/>
  <c r="E17" i="50"/>
  <c r="G17" i="50"/>
  <c r="H17" i="50"/>
  <c r="I17" i="50"/>
  <c r="I90" i="50" s="1"/>
  <c r="J17" i="50"/>
  <c r="K17" i="50"/>
  <c r="L17" i="50"/>
  <c r="L90" i="50" s="1"/>
  <c r="M17" i="50"/>
  <c r="M40" i="50" s="1"/>
  <c r="N17" i="50"/>
  <c r="O17" i="50"/>
  <c r="P17" i="50"/>
  <c r="Q17" i="50"/>
  <c r="Q90" i="50" s="1"/>
  <c r="R17" i="50"/>
  <c r="S17" i="50"/>
  <c r="T17" i="50"/>
  <c r="T90" i="50" s="1"/>
  <c r="U17" i="50"/>
  <c r="V17" i="50"/>
  <c r="W17" i="50"/>
  <c r="X17" i="50"/>
  <c r="Y17" i="50"/>
  <c r="Y90" i="50" s="1"/>
  <c r="Z17" i="50"/>
  <c r="AA17" i="50"/>
  <c r="AB17" i="50"/>
  <c r="AB90" i="50" s="1"/>
  <c r="AC17" i="50"/>
  <c r="AC40" i="50" s="1"/>
  <c r="AD17" i="50"/>
  <c r="AE17" i="50"/>
  <c r="AF17" i="50"/>
  <c r="AG17" i="50"/>
  <c r="AG90" i="50" s="1"/>
  <c r="AH17" i="50"/>
  <c r="AI17" i="50"/>
  <c r="AJ17" i="50"/>
  <c r="AJ90" i="50" s="1"/>
  <c r="AK17" i="50"/>
  <c r="AK40" i="50" s="1"/>
  <c r="E18" i="50"/>
  <c r="F18" i="50"/>
  <c r="E19" i="50"/>
  <c r="F19" i="50"/>
  <c r="E20" i="50"/>
  <c r="F20" i="50"/>
  <c r="E21" i="50"/>
  <c r="E25" i="50" s="1"/>
  <c r="F21" i="50"/>
  <c r="E22" i="50"/>
  <c r="F22" i="50"/>
  <c r="E23" i="50"/>
  <c r="F23" i="50"/>
  <c r="E24" i="50"/>
  <c r="F24" i="50"/>
  <c r="F25" i="50"/>
  <c r="G25" i="50"/>
  <c r="H25" i="50"/>
  <c r="I25" i="50"/>
  <c r="J25" i="50"/>
  <c r="K25" i="50"/>
  <c r="L25" i="50"/>
  <c r="M25" i="50"/>
  <c r="N25" i="50"/>
  <c r="N40" i="50" s="1"/>
  <c r="O25" i="50"/>
  <c r="P25" i="50"/>
  <c r="Q25" i="50"/>
  <c r="R25" i="50"/>
  <c r="S25" i="50"/>
  <c r="T25" i="50"/>
  <c r="U25" i="50"/>
  <c r="V25" i="50"/>
  <c r="V40" i="50" s="1"/>
  <c r="W25" i="50"/>
  <c r="X25" i="50"/>
  <c r="Y25" i="50"/>
  <c r="Z25" i="50"/>
  <c r="AA25" i="50"/>
  <c r="AB25" i="50"/>
  <c r="AC25" i="50"/>
  <c r="AD25" i="50"/>
  <c r="AD40" i="50" s="1"/>
  <c r="AE25" i="50"/>
  <c r="AF25" i="50"/>
  <c r="AG25" i="50"/>
  <c r="AH25" i="50"/>
  <c r="AI25" i="50"/>
  <c r="AJ25" i="50"/>
  <c r="AK25" i="50"/>
  <c r="E26" i="50"/>
  <c r="F26" i="50"/>
  <c r="E27" i="50"/>
  <c r="F27" i="50"/>
  <c r="E28" i="50"/>
  <c r="F28" i="50"/>
  <c r="E29" i="50"/>
  <c r="F29" i="50"/>
  <c r="E30" i="50"/>
  <c r="F30" i="50"/>
  <c r="E31" i="50"/>
  <c r="F31" i="50"/>
  <c r="G32" i="50"/>
  <c r="G39" i="50" s="1"/>
  <c r="H32" i="50"/>
  <c r="H40" i="50" s="1"/>
  <c r="I32" i="50"/>
  <c r="J32" i="50"/>
  <c r="K32" i="50"/>
  <c r="L32" i="50"/>
  <c r="M32" i="50"/>
  <c r="N32" i="50"/>
  <c r="O32" i="50"/>
  <c r="O40" i="50" s="1"/>
  <c r="P32" i="50"/>
  <c r="P40" i="50" s="1"/>
  <c r="Q32" i="50"/>
  <c r="Q89" i="50" s="1"/>
  <c r="R32" i="50"/>
  <c r="S32" i="50"/>
  <c r="T32" i="50"/>
  <c r="U32" i="50"/>
  <c r="U39" i="50" s="1"/>
  <c r="U89" i="50" s="1"/>
  <c r="V32" i="50"/>
  <c r="W32" i="50"/>
  <c r="W40" i="50" s="1"/>
  <c r="X32" i="50"/>
  <c r="X40" i="50" s="1"/>
  <c r="Y32" i="50"/>
  <c r="Y89" i="50" s="1"/>
  <c r="Z32" i="50"/>
  <c r="AA32" i="50"/>
  <c r="AB32" i="50"/>
  <c r="AC32" i="50"/>
  <c r="AD32" i="50"/>
  <c r="AE32" i="50"/>
  <c r="AE40" i="50" s="1"/>
  <c r="AF32" i="50"/>
  <c r="AF40" i="50" s="1"/>
  <c r="AG32" i="50"/>
  <c r="AG89" i="50" s="1"/>
  <c r="AH32" i="50"/>
  <c r="AI32" i="50"/>
  <c r="AJ32" i="50"/>
  <c r="AK32" i="50"/>
  <c r="E33" i="50"/>
  <c r="F33" i="50"/>
  <c r="F39" i="50" s="1"/>
  <c r="E34" i="50"/>
  <c r="F34" i="50"/>
  <c r="E35" i="50"/>
  <c r="F35" i="50"/>
  <c r="E36" i="50"/>
  <c r="F36" i="50"/>
  <c r="E37" i="50"/>
  <c r="F37" i="50"/>
  <c r="E38" i="50"/>
  <c r="F38" i="50"/>
  <c r="H39" i="50"/>
  <c r="I39" i="50"/>
  <c r="J39" i="50"/>
  <c r="K39" i="50"/>
  <c r="L39" i="50"/>
  <c r="M39" i="50"/>
  <c r="N39" i="50"/>
  <c r="O39" i="50"/>
  <c r="P39" i="50"/>
  <c r="Q39" i="50"/>
  <c r="R39" i="50"/>
  <c r="S39" i="50"/>
  <c r="T39" i="50"/>
  <c r="V39" i="50"/>
  <c r="W39" i="50"/>
  <c r="X39" i="50"/>
  <c r="Y39" i="50"/>
  <c r="Z39" i="50"/>
  <c r="AA39" i="50"/>
  <c r="AB39" i="50"/>
  <c r="AC39" i="50"/>
  <c r="AD39" i="50"/>
  <c r="AE39" i="50"/>
  <c r="AF39" i="50"/>
  <c r="AG39" i="50"/>
  <c r="AH39" i="50"/>
  <c r="AI39" i="50"/>
  <c r="AJ39" i="50"/>
  <c r="AK39" i="50"/>
  <c r="J40" i="50"/>
  <c r="K40" i="50"/>
  <c r="L40" i="50"/>
  <c r="R40" i="50"/>
  <c r="S40" i="50"/>
  <c r="T40" i="50"/>
  <c r="Z40" i="50"/>
  <c r="AA40" i="50"/>
  <c r="AB40" i="50"/>
  <c r="AH40" i="50"/>
  <c r="AI40" i="50"/>
  <c r="AJ40" i="50"/>
  <c r="E44" i="50"/>
  <c r="F44" i="50"/>
  <c r="E45" i="50"/>
  <c r="F45" i="50"/>
  <c r="E46" i="50"/>
  <c r="F46" i="50"/>
  <c r="E47" i="50"/>
  <c r="E55" i="50" s="1"/>
  <c r="F47" i="50"/>
  <c r="E48" i="50"/>
  <c r="F48" i="50"/>
  <c r="E49" i="50"/>
  <c r="F49" i="50"/>
  <c r="E50" i="50"/>
  <c r="F50" i="50"/>
  <c r="E51" i="50"/>
  <c r="F51" i="50"/>
  <c r="E52" i="50"/>
  <c r="F52" i="50"/>
  <c r="E53" i="50"/>
  <c r="F53" i="50"/>
  <c r="G55" i="50"/>
  <c r="G90" i="50" s="1"/>
  <c r="H55" i="50"/>
  <c r="H90" i="50" s="1"/>
  <c r="I55" i="50"/>
  <c r="J55" i="50"/>
  <c r="J90" i="50" s="1"/>
  <c r="K55" i="50"/>
  <c r="K90" i="50" s="1"/>
  <c r="L55" i="50"/>
  <c r="M55" i="50"/>
  <c r="N55" i="50"/>
  <c r="N90" i="50" s="1"/>
  <c r="O55" i="50"/>
  <c r="O90" i="50" s="1"/>
  <c r="P55" i="50"/>
  <c r="P90" i="50" s="1"/>
  <c r="Q55" i="50"/>
  <c r="R55" i="50"/>
  <c r="R90" i="50" s="1"/>
  <c r="S55" i="50"/>
  <c r="S90" i="50" s="1"/>
  <c r="T55" i="50"/>
  <c r="U55" i="50"/>
  <c r="V55" i="50"/>
  <c r="V90" i="50" s="1"/>
  <c r="W55" i="50"/>
  <c r="W90" i="50" s="1"/>
  <c r="X55" i="50"/>
  <c r="X90" i="50" s="1"/>
  <c r="Y55" i="50"/>
  <c r="Z55" i="50"/>
  <c r="Z90" i="50" s="1"/>
  <c r="AA55" i="50"/>
  <c r="AA90" i="50" s="1"/>
  <c r="AB55" i="50"/>
  <c r="AC55" i="50"/>
  <c r="AD55" i="50"/>
  <c r="AD90" i="50" s="1"/>
  <c r="AE55" i="50"/>
  <c r="AE90" i="50" s="1"/>
  <c r="AF55" i="50"/>
  <c r="AF90" i="50" s="1"/>
  <c r="AG55" i="50"/>
  <c r="AH55" i="50"/>
  <c r="AH90" i="50" s="1"/>
  <c r="AI55" i="50"/>
  <c r="AI90" i="50" s="1"/>
  <c r="AJ55" i="50"/>
  <c r="AK55" i="50"/>
  <c r="E56" i="50"/>
  <c r="E61" i="50" s="1"/>
  <c r="F56" i="50"/>
  <c r="E57" i="50"/>
  <c r="F57" i="50"/>
  <c r="E58" i="50"/>
  <c r="F58" i="50"/>
  <c r="E59" i="50"/>
  <c r="F59" i="50"/>
  <c r="E60" i="50"/>
  <c r="F60" i="50"/>
  <c r="G61" i="50"/>
  <c r="G89" i="50" s="1"/>
  <c r="H61" i="50"/>
  <c r="H89" i="50" s="1"/>
  <c r="I61" i="50"/>
  <c r="I89" i="50" s="1"/>
  <c r="J61" i="50"/>
  <c r="J89" i="50" s="1"/>
  <c r="J91" i="50" s="1"/>
  <c r="K61" i="50"/>
  <c r="K74" i="50" s="1"/>
  <c r="L61" i="50"/>
  <c r="L74" i="50" s="1"/>
  <c r="M61" i="50"/>
  <c r="M89" i="50" s="1"/>
  <c r="N61" i="50"/>
  <c r="N89" i="50" s="1"/>
  <c r="N91" i="50" s="1"/>
  <c r="N94" i="50" s="1"/>
  <c r="O61" i="50"/>
  <c r="O89" i="50" s="1"/>
  <c r="O91" i="50" s="1"/>
  <c r="O94" i="50" s="1"/>
  <c r="P61" i="50"/>
  <c r="P89" i="50" s="1"/>
  <c r="Q61" i="50"/>
  <c r="R61" i="50"/>
  <c r="R89" i="50" s="1"/>
  <c r="R91" i="50" s="1"/>
  <c r="S61" i="50"/>
  <c r="S89" i="50" s="1"/>
  <c r="S91" i="50" s="1"/>
  <c r="S94" i="50" s="1"/>
  <c r="T61" i="50"/>
  <c r="T74" i="50" s="1"/>
  <c r="U61" i="50"/>
  <c r="V61" i="50"/>
  <c r="V89" i="50" s="1"/>
  <c r="V91" i="50" s="1"/>
  <c r="V94" i="50" s="1"/>
  <c r="W61" i="50"/>
  <c r="W89" i="50" s="1"/>
  <c r="W91" i="50" s="1"/>
  <c r="W94" i="50" s="1"/>
  <c r="X61" i="50"/>
  <c r="X89" i="50" s="1"/>
  <c r="Y61" i="50"/>
  <c r="Z61" i="50"/>
  <c r="Z89" i="50" s="1"/>
  <c r="Z91" i="50" s="1"/>
  <c r="AA61" i="50"/>
  <c r="AA74" i="50" s="1"/>
  <c r="AB61" i="50"/>
  <c r="AB74" i="50" s="1"/>
  <c r="AC61" i="50"/>
  <c r="AD61" i="50"/>
  <c r="AD89" i="50" s="1"/>
  <c r="AD91" i="50" s="1"/>
  <c r="AD94" i="50" s="1"/>
  <c r="AE61" i="50"/>
  <c r="AE89" i="50" s="1"/>
  <c r="AE91" i="50" s="1"/>
  <c r="AE94" i="50" s="1"/>
  <c r="AF61" i="50"/>
  <c r="AF89" i="50" s="1"/>
  <c r="AG61" i="50"/>
  <c r="AH61" i="50"/>
  <c r="AH89" i="50" s="1"/>
  <c r="AH91" i="50" s="1"/>
  <c r="AI61" i="50"/>
  <c r="AI74" i="50" s="1"/>
  <c r="AJ61" i="50"/>
  <c r="AJ74" i="50" s="1"/>
  <c r="AK61" i="50"/>
  <c r="E62" i="50"/>
  <c r="F62" i="50"/>
  <c r="E63" i="50"/>
  <c r="F63" i="50"/>
  <c r="E64" i="50"/>
  <c r="F64" i="50"/>
  <c r="E65" i="50"/>
  <c r="F65" i="50"/>
  <c r="E66" i="50"/>
  <c r="F66" i="50"/>
  <c r="E67" i="50"/>
  <c r="F67" i="50"/>
  <c r="E68" i="50"/>
  <c r="F68" i="50"/>
  <c r="E69" i="50"/>
  <c r="E73" i="50" s="1"/>
  <c r="F69" i="50"/>
  <c r="E70" i="50"/>
  <c r="F70" i="50"/>
  <c r="E71" i="50"/>
  <c r="F71" i="50"/>
  <c r="E72" i="50"/>
  <c r="F72" i="50"/>
  <c r="G73" i="50"/>
  <c r="G92" i="50" s="1"/>
  <c r="H73" i="50"/>
  <c r="F73" i="50" s="1"/>
  <c r="I73" i="50"/>
  <c r="I92" i="50" s="1"/>
  <c r="I93" i="50" s="1"/>
  <c r="J73" i="50"/>
  <c r="J92" i="50" s="1"/>
  <c r="J93" i="50" s="1"/>
  <c r="K73" i="50"/>
  <c r="K92" i="50" s="1"/>
  <c r="K93" i="50" s="1"/>
  <c r="L73" i="50"/>
  <c r="L92" i="50" s="1"/>
  <c r="L93" i="50" s="1"/>
  <c r="M73" i="50"/>
  <c r="M92" i="50" s="1"/>
  <c r="M93" i="50" s="1"/>
  <c r="N73" i="50"/>
  <c r="N92" i="50" s="1"/>
  <c r="N93" i="50" s="1"/>
  <c r="O73" i="50"/>
  <c r="O92" i="50" s="1"/>
  <c r="O93" i="50" s="1"/>
  <c r="P73" i="50"/>
  <c r="P92" i="50" s="1"/>
  <c r="P93" i="50" s="1"/>
  <c r="Q73" i="50"/>
  <c r="Q92" i="50" s="1"/>
  <c r="Q93" i="50" s="1"/>
  <c r="R73" i="50"/>
  <c r="R92" i="50" s="1"/>
  <c r="R93" i="50" s="1"/>
  <c r="S73" i="50"/>
  <c r="S92" i="50" s="1"/>
  <c r="S93" i="50" s="1"/>
  <c r="T73" i="50"/>
  <c r="T92" i="50" s="1"/>
  <c r="T93" i="50" s="1"/>
  <c r="U73" i="50"/>
  <c r="U92" i="50" s="1"/>
  <c r="U93" i="50" s="1"/>
  <c r="V73" i="50"/>
  <c r="V92" i="50" s="1"/>
  <c r="V93" i="50" s="1"/>
  <c r="W73" i="50"/>
  <c r="W92" i="50" s="1"/>
  <c r="W93" i="50" s="1"/>
  <c r="X73" i="50"/>
  <c r="X92" i="50" s="1"/>
  <c r="X93" i="50" s="1"/>
  <c r="Y73" i="50"/>
  <c r="Y92" i="50" s="1"/>
  <c r="Y93" i="50" s="1"/>
  <c r="Z73" i="50"/>
  <c r="Z92" i="50" s="1"/>
  <c r="Z93" i="50" s="1"/>
  <c r="AA73" i="50"/>
  <c r="AA92" i="50" s="1"/>
  <c r="AA93" i="50" s="1"/>
  <c r="AB73" i="50"/>
  <c r="AB92" i="50" s="1"/>
  <c r="AB93" i="50" s="1"/>
  <c r="AC73" i="50"/>
  <c r="AC92" i="50" s="1"/>
  <c r="AC93" i="50" s="1"/>
  <c r="AD73" i="50"/>
  <c r="AD92" i="50" s="1"/>
  <c r="AD93" i="50" s="1"/>
  <c r="AE73" i="50"/>
  <c r="AE92" i="50" s="1"/>
  <c r="AE93" i="50" s="1"/>
  <c r="AF73" i="50"/>
  <c r="AF92" i="50" s="1"/>
  <c r="AF93" i="50" s="1"/>
  <c r="AG73" i="50"/>
  <c r="AG92" i="50" s="1"/>
  <c r="AG93" i="50" s="1"/>
  <c r="AH73" i="50"/>
  <c r="AH92" i="50" s="1"/>
  <c r="AH93" i="50" s="1"/>
  <c r="AI73" i="50"/>
  <c r="AI92" i="50" s="1"/>
  <c r="AI93" i="50" s="1"/>
  <c r="AJ73" i="50"/>
  <c r="AJ92" i="50" s="1"/>
  <c r="AJ93" i="50" s="1"/>
  <c r="AK73" i="50"/>
  <c r="AK92" i="50" s="1"/>
  <c r="AK93" i="50" s="1"/>
  <c r="I74" i="50"/>
  <c r="M74" i="50"/>
  <c r="Q74" i="50"/>
  <c r="U74" i="50"/>
  <c r="Y74" i="50"/>
  <c r="AC74" i="50"/>
  <c r="AG74" i="50"/>
  <c r="AK74" i="50"/>
  <c r="E75" i="50"/>
  <c r="F78" i="50"/>
  <c r="F79" i="50"/>
  <c r="G80" i="50"/>
  <c r="H80" i="50"/>
  <c r="I80" i="50"/>
  <c r="J80" i="50"/>
  <c r="K80" i="50"/>
  <c r="L80" i="50"/>
  <c r="M80" i="50"/>
  <c r="E81" i="50"/>
  <c r="E84" i="50" s="1"/>
  <c r="F81" i="50"/>
  <c r="E82" i="50"/>
  <c r="F82" i="50"/>
  <c r="E83" i="50"/>
  <c r="F83" i="50"/>
  <c r="G84" i="50"/>
  <c r="G87" i="50" s="1"/>
  <c r="H84" i="50"/>
  <c r="H87" i="50" s="1"/>
  <c r="I84" i="50"/>
  <c r="J84" i="50"/>
  <c r="J87" i="50" s="1"/>
  <c r="K84" i="50"/>
  <c r="K87" i="50" s="1"/>
  <c r="L84" i="50"/>
  <c r="L85" i="50" s="1"/>
  <c r="M84" i="50"/>
  <c r="G85" i="50"/>
  <c r="H85" i="50"/>
  <c r="I85" i="50"/>
  <c r="J85" i="50"/>
  <c r="M85" i="50"/>
  <c r="F9" i="50"/>
  <c r="J30" i="54"/>
  <c r="J32" i="54" s="1"/>
  <c r="J25" i="54"/>
  <c r="J33" i="25"/>
  <c r="J47" i="25"/>
  <c r="J68" i="25"/>
  <c r="J75" i="25"/>
  <c r="J131" i="25"/>
  <c r="J82" i="1"/>
  <c r="J68" i="1"/>
  <c r="E63" i="29"/>
  <c r="E58" i="29"/>
  <c r="E47" i="29"/>
  <c r="E26" i="28"/>
  <c r="N27" i="33"/>
  <c r="N32" i="33"/>
  <c r="N30" i="33"/>
  <c r="N25" i="33"/>
  <c r="N23" i="33"/>
  <c r="N21" i="33"/>
  <c r="N19" i="33"/>
  <c r="N17" i="33"/>
  <c r="N15" i="33"/>
  <c r="N13" i="33"/>
  <c r="N11" i="33"/>
  <c r="N9" i="33"/>
  <c r="N7" i="33"/>
  <c r="N2" i="33"/>
  <c r="P86" i="17"/>
  <c r="N55" i="33"/>
  <c r="N53" i="33"/>
  <c r="N50" i="33"/>
  <c r="N48" i="33"/>
  <c r="N46" i="33"/>
  <c r="P158" i="17"/>
  <c r="G43" i="43" l="1"/>
  <c r="AF14" i="43"/>
  <c r="X14" i="43"/>
  <c r="P14" i="43"/>
  <c r="M14" i="43"/>
  <c r="AI14" i="43"/>
  <c r="AA14" i="43"/>
  <c r="S14" i="43"/>
  <c r="AG14" i="43"/>
  <c r="Y14" i="43"/>
  <c r="Q14" i="43"/>
  <c r="F32" i="50"/>
  <c r="AF15" i="43"/>
  <c r="X15" i="43"/>
  <c r="P15" i="43"/>
  <c r="AE14" i="43"/>
  <c r="W14" i="43"/>
  <c r="O14" i="43"/>
  <c r="AI15" i="43"/>
  <c r="AA15" i="43"/>
  <c r="S15" i="43"/>
  <c r="AH14" i="43"/>
  <c r="Z14" i="43"/>
  <c r="R14" i="43"/>
  <c r="G91" i="50"/>
  <c r="G93" i="50"/>
  <c r="F93" i="50" s="1"/>
  <c r="F87" i="50"/>
  <c r="U40" i="50"/>
  <c r="AF91" i="50"/>
  <c r="AF94" i="50" s="1"/>
  <c r="X91" i="50"/>
  <c r="X94" i="50" s="1"/>
  <c r="P91" i="50"/>
  <c r="P94" i="50" s="1"/>
  <c r="H91" i="50"/>
  <c r="AG91" i="50"/>
  <c r="AG94" i="50" s="1"/>
  <c r="Y91" i="50"/>
  <c r="Y94" i="50" s="1"/>
  <c r="Q91" i="50"/>
  <c r="Q94" i="50" s="1"/>
  <c r="AH94" i="50"/>
  <c r="Z94" i="50"/>
  <c r="R94" i="50"/>
  <c r="J94" i="50"/>
  <c r="I91" i="50"/>
  <c r="I94" i="50" s="1"/>
  <c r="AK90" i="50"/>
  <c r="AK91" i="50" s="1"/>
  <c r="AK94" i="50" s="1"/>
  <c r="AC90" i="50"/>
  <c r="AC91" i="50" s="1"/>
  <c r="AC94" i="50" s="1"/>
  <c r="U90" i="50"/>
  <c r="U91" i="50" s="1"/>
  <c r="U94" i="50" s="1"/>
  <c r="M90" i="50"/>
  <c r="M91" i="50" s="1"/>
  <c r="M94" i="50" s="1"/>
  <c r="K85" i="50"/>
  <c r="F85" i="50" s="1"/>
  <c r="L87" i="50"/>
  <c r="AJ89" i="50"/>
  <c r="AJ91" i="50" s="1"/>
  <c r="AJ94" i="50" s="1"/>
  <c r="AB89" i="50"/>
  <c r="AB91" i="50" s="1"/>
  <c r="AB94" i="50" s="1"/>
  <c r="T89" i="50"/>
  <c r="T91" i="50" s="1"/>
  <c r="T94" i="50" s="1"/>
  <c r="L89" i="50"/>
  <c r="L91" i="50" s="1"/>
  <c r="L94" i="50" s="1"/>
  <c r="K89" i="50"/>
  <c r="K91" i="50" s="1"/>
  <c r="K94" i="50" s="1"/>
  <c r="F55" i="50"/>
  <c r="S74" i="50"/>
  <c r="AI89" i="50"/>
  <c r="AI91" i="50" s="1"/>
  <c r="AI94" i="50" s="1"/>
  <c r="AA89" i="50"/>
  <c r="AA91" i="50" s="1"/>
  <c r="AA94" i="50" s="1"/>
  <c r="AH74" i="50"/>
  <c r="Z74" i="50"/>
  <c r="R74" i="50"/>
  <c r="J74" i="50"/>
  <c r="AG40" i="50"/>
  <c r="Y40" i="50"/>
  <c r="Q40" i="50"/>
  <c r="I40" i="50"/>
  <c r="AF74" i="50"/>
  <c r="X74" i="50"/>
  <c r="P74" i="50"/>
  <c r="H74" i="50"/>
  <c r="G40" i="50"/>
  <c r="H92" i="50"/>
  <c r="H93" i="50" s="1"/>
  <c r="F84" i="50"/>
  <c r="AE74" i="50"/>
  <c r="W74" i="50"/>
  <c r="O74" i="50"/>
  <c r="G74" i="50"/>
  <c r="F61" i="50"/>
  <c r="AD74" i="50"/>
  <c r="V74" i="50"/>
  <c r="N74" i="50"/>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7" i="17"/>
  <c r="I82" i="1"/>
  <c r="I131" i="25"/>
  <c r="I75" i="25"/>
  <c r="I68" i="25"/>
  <c r="I47" i="25"/>
  <c r="I33" i="25"/>
  <c r="I30" i="54"/>
  <c r="I32" i="54" s="1"/>
  <c r="I25" i="54"/>
  <c r="N44" i="33"/>
  <c r="N39" i="33"/>
  <c r="N36" i="33"/>
  <c r="N34" i="33"/>
  <c r="E11" i="28"/>
  <c r="P148" i="17"/>
  <c r="P137" i="17"/>
  <c r="P131" i="17"/>
  <c r="P121" i="17"/>
  <c r="P116" i="17"/>
  <c r="P110" i="17"/>
  <c r="P103" i="17"/>
  <c r="P97" i="17"/>
  <c r="P76" i="17"/>
  <c r="F40" i="50" l="1"/>
  <c r="F90" i="50"/>
  <c r="D6" i="50" s="1"/>
  <c r="E6" i="50" s="1"/>
  <c r="F6" i="50" s="1"/>
  <c r="F92" i="50"/>
  <c r="D7" i="50" s="1"/>
  <c r="E7" i="50" s="1"/>
  <c r="F7" i="50" s="1"/>
  <c r="H94" i="50"/>
  <c r="F74" i="50"/>
  <c r="F91" i="50"/>
  <c r="G94" i="50"/>
  <c r="F94" i="50" s="1"/>
  <c r="F89" i="50"/>
  <c r="D5" i="50" s="1"/>
  <c r="E5" i="50" l="1"/>
  <c r="D8" i="50"/>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K56" i="33"/>
  <c r="K55" i="33"/>
  <c r="K54" i="33"/>
  <c r="K53" i="33"/>
  <c r="K52" i="33"/>
  <c r="K51" i="33"/>
  <c r="K50" i="33"/>
  <c r="K49" i="33"/>
  <c r="K48" i="33"/>
  <c r="K47" i="33"/>
  <c r="K46" i="33"/>
  <c r="M88" i="17"/>
  <c r="M87" i="17"/>
  <c r="M86" i="17"/>
  <c r="M72" i="17"/>
  <c r="M73" i="17"/>
  <c r="M74" i="17"/>
  <c r="M75" i="17"/>
  <c r="M76" i="17"/>
  <c r="M77" i="17"/>
  <c r="M78" i="17"/>
  <c r="M79" i="17"/>
  <c r="M80" i="17"/>
  <c r="M81" i="17"/>
  <c r="M82" i="17"/>
  <c r="M83" i="17"/>
  <c r="M84" i="17"/>
  <c r="M85" i="17"/>
  <c r="M71" i="17"/>
  <c r="M67" i="17"/>
  <c r="M68" i="17"/>
  <c r="M69" i="17"/>
  <c r="M66" i="17"/>
  <c r="M62" i="17"/>
  <c r="M63" i="17"/>
  <c r="M64" i="17"/>
  <c r="M61" i="17"/>
  <c r="M52" i="17"/>
  <c r="M53" i="17"/>
  <c r="M54" i="17"/>
  <c r="M55" i="17"/>
  <c r="M56" i="17"/>
  <c r="M57" i="17"/>
  <c r="M58" i="17"/>
  <c r="M59" i="17"/>
  <c r="M51" i="17"/>
  <c r="M47" i="17"/>
  <c r="M48" i="17"/>
  <c r="M49" i="17"/>
  <c r="M46" i="17"/>
  <c r="M36" i="17"/>
  <c r="M37" i="17"/>
  <c r="M38" i="17"/>
  <c r="M39" i="17"/>
  <c r="M40" i="17"/>
  <c r="M41" i="17"/>
  <c r="M42" i="17"/>
  <c r="M43" i="17"/>
  <c r="M44" i="17"/>
  <c r="M35" i="17"/>
  <c r="M26" i="17"/>
  <c r="M27" i="17"/>
  <c r="M28" i="17"/>
  <c r="M29" i="17"/>
  <c r="M30" i="17"/>
  <c r="M31" i="17"/>
  <c r="M32" i="17"/>
  <c r="M33" i="17"/>
  <c r="M25" i="17"/>
  <c r="M21" i="17"/>
  <c r="M22" i="17"/>
  <c r="M23" i="17"/>
  <c r="M20" i="17"/>
  <c r="M16" i="17"/>
  <c r="M17" i="17"/>
  <c r="M18" i="17"/>
  <c r="M15" i="17"/>
  <c r="M6" i="17"/>
  <c r="M7" i="17"/>
  <c r="M8" i="17"/>
  <c r="M9" i="17"/>
  <c r="M10" i="17"/>
  <c r="M11" i="17"/>
  <c r="M12" i="17"/>
  <c r="M13" i="17"/>
  <c r="M5" i="17"/>
  <c r="M2" i="17"/>
  <c r="K38" i="33"/>
  <c r="K39" i="33"/>
  <c r="K40" i="33"/>
  <c r="K41" i="33"/>
  <c r="K43" i="33"/>
  <c r="K44" i="33"/>
  <c r="K45" i="33"/>
  <c r="K36" i="33"/>
  <c r="K35" i="33"/>
  <c r="K34" i="33"/>
  <c r="H30" i="54"/>
  <c r="H32" i="54" s="1"/>
  <c r="H82" i="1"/>
  <c r="H131" i="25"/>
  <c r="H75" i="25"/>
  <c r="P29" i="17"/>
  <c r="P18" i="17"/>
  <c r="P12" i="17"/>
  <c r="P2" i="17"/>
  <c r="P41" i="17"/>
  <c r="P36" i="17"/>
  <c r="P44" i="17"/>
  <c r="P53" i="17"/>
  <c r="P57" i="17"/>
  <c r="P67" i="17"/>
  <c r="P74" i="17"/>
  <c r="E2" i="28"/>
  <c r="E3" i="29"/>
  <c r="K2" i="33"/>
  <c r="K3" i="33"/>
  <c r="K4" i="33"/>
  <c r="K5" i="33"/>
  <c r="K6" i="33"/>
  <c r="K7" i="33"/>
  <c r="K8" i="33"/>
  <c r="K9" i="33"/>
  <c r="K10" i="33"/>
  <c r="K11" i="33"/>
  <c r="K12" i="33"/>
  <c r="K13" i="33"/>
  <c r="K14" i="33"/>
  <c r="K15" i="33"/>
  <c r="K16" i="33"/>
  <c r="K17" i="33"/>
  <c r="K18" i="33"/>
  <c r="K19" i="33"/>
  <c r="K20" i="33"/>
  <c r="K21" i="33"/>
  <c r="K22" i="33"/>
  <c r="K23" i="33"/>
  <c r="K24" i="33"/>
  <c r="K25" i="33"/>
  <c r="K26" i="33"/>
  <c r="K27" i="33"/>
  <c r="K28" i="33"/>
  <c r="K29" i="33"/>
  <c r="K30" i="33"/>
  <c r="K31" i="33"/>
  <c r="K32" i="33"/>
  <c r="K33" i="33"/>
  <c r="Q22" i="37"/>
  <c r="X23" i="1"/>
  <c r="AH23" i="1"/>
  <c r="R23" i="1"/>
  <c r="S23" i="1"/>
  <c r="T23" i="1"/>
  <c r="U23" i="1"/>
  <c r="Y23" i="1"/>
  <c r="AB23" i="1"/>
  <c r="AC23" i="1"/>
  <c r="AD23" i="1"/>
  <c r="AE23" i="1"/>
  <c r="AF23" i="1"/>
  <c r="AG23" i="1"/>
  <c r="AL23" i="1"/>
  <c r="O23" i="1"/>
  <c r="P23" i="1"/>
  <c r="Q23" i="1"/>
  <c r="V23" i="1"/>
  <c r="W23" i="1"/>
  <c r="Z23" i="1"/>
  <c r="AA23" i="1"/>
  <c r="AI23" i="1"/>
  <c r="AJ23" i="1"/>
  <c r="AK23" i="1"/>
  <c r="O24" i="1"/>
  <c r="P24" i="1"/>
  <c r="Q24" i="1"/>
  <c r="R24" i="1"/>
  <c r="S24" i="1"/>
  <c r="T24" i="1"/>
  <c r="U24" i="1"/>
  <c r="V24" i="1"/>
  <c r="W24" i="1"/>
  <c r="X24" i="1"/>
  <c r="Y24" i="1"/>
  <c r="Z24" i="1"/>
  <c r="AA24" i="1"/>
  <c r="AB24" i="1"/>
  <c r="AC24" i="1"/>
  <c r="AD24" i="1"/>
  <c r="AE24" i="1"/>
  <c r="AF24" i="1"/>
  <c r="AG24" i="1"/>
  <c r="AH24" i="1"/>
  <c r="AI24" i="1"/>
  <c r="AJ24" i="1"/>
  <c r="AK24" i="1"/>
  <c r="AL24" i="1"/>
  <c r="O25" i="1"/>
  <c r="P25" i="1"/>
  <c r="Q25" i="1"/>
  <c r="R25" i="1"/>
  <c r="S25" i="1"/>
  <c r="T25" i="1"/>
  <c r="U25" i="1"/>
  <c r="V25" i="1"/>
  <c r="W25" i="1"/>
  <c r="X25" i="1"/>
  <c r="Y25" i="1"/>
  <c r="Z25" i="1"/>
  <c r="AA25" i="1"/>
  <c r="AB25" i="1"/>
  <c r="AC25" i="1"/>
  <c r="AD25" i="1"/>
  <c r="AE25" i="1"/>
  <c r="AF25" i="1"/>
  <c r="AG25" i="1"/>
  <c r="AH25" i="1"/>
  <c r="AI25" i="1"/>
  <c r="AJ25" i="1"/>
  <c r="AK25" i="1"/>
  <c r="AL25"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H126" i="1"/>
  <c r="I123" i="1"/>
  <c r="J123" i="1"/>
  <c r="K123" i="1"/>
  <c r="L123" i="1"/>
  <c r="M123" i="1"/>
  <c r="N123" i="1"/>
  <c r="O123" i="1"/>
  <c r="P123" i="1"/>
  <c r="Q123" i="1"/>
  <c r="Q128" i="1" s="1"/>
  <c r="R123" i="1"/>
  <c r="S123" i="1"/>
  <c r="T123" i="1"/>
  <c r="T128" i="1" s="1"/>
  <c r="U123" i="1"/>
  <c r="U128" i="1" s="1"/>
  <c r="V123" i="1"/>
  <c r="W123" i="1"/>
  <c r="X123" i="1"/>
  <c r="Y123" i="1"/>
  <c r="Z123" i="1"/>
  <c r="AA123" i="1"/>
  <c r="AB123" i="1"/>
  <c r="AC123" i="1"/>
  <c r="AD123" i="1"/>
  <c r="AE123" i="1"/>
  <c r="AF123" i="1"/>
  <c r="AG123" i="1"/>
  <c r="AH123" i="1"/>
  <c r="AH128" i="1" s="1"/>
  <c r="AI123" i="1"/>
  <c r="AJ123" i="1"/>
  <c r="AK123" i="1"/>
  <c r="AL123" i="1"/>
  <c r="H123" i="1"/>
  <c r="C123" i="1"/>
  <c r="AL129" i="1"/>
  <c r="AK129"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I129" i="1"/>
  <c r="H129" i="1"/>
  <c r="AL128" i="1"/>
  <c r="AK128" i="1"/>
  <c r="AJ128" i="1"/>
  <c r="AI128" i="1"/>
  <c r="S128" i="1"/>
  <c r="R128" i="1"/>
  <c r="P128" i="1"/>
  <c r="O128" i="1"/>
  <c r="N128" i="1"/>
  <c r="AL126" i="1"/>
  <c r="AK126" i="1"/>
  <c r="AJ126" i="1"/>
  <c r="AI126" i="1"/>
  <c r="AH126" i="1"/>
  <c r="AG126" i="1"/>
  <c r="AG128" i="1" s="1"/>
  <c r="AF126" i="1"/>
  <c r="AF128" i="1" s="1"/>
  <c r="AE126" i="1"/>
  <c r="AD126" i="1"/>
  <c r="AD128" i="1" s="1"/>
  <c r="AC126" i="1"/>
  <c r="AB126" i="1"/>
  <c r="AA126" i="1"/>
  <c r="Z126" i="1"/>
  <c r="Y126" i="1"/>
  <c r="X126" i="1"/>
  <c r="W126" i="1"/>
  <c r="V126" i="1"/>
  <c r="U126" i="1"/>
  <c r="T126" i="1"/>
  <c r="S126" i="1"/>
  <c r="R126" i="1"/>
  <c r="Q126" i="1"/>
  <c r="P126" i="1"/>
  <c r="O126" i="1"/>
  <c r="N126" i="1"/>
  <c r="M126" i="1"/>
  <c r="M128" i="1" s="1"/>
  <c r="L126" i="1"/>
  <c r="L128" i="1" s="1"/>
  <c r="K126" i="1"/>
  <c r="J126" i="1"/>
  <c r="J128" i="1" s="1"/>
  <c r="I126" i="1"/>
  <c r="H128"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H119" i="1"/>
  <c r="AL102" i="1"/>
  <c r="AL95"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I140" i="25"/>
  <c r="J140" i="25"/>
  <c r="K140" i="25"/>
  <c r="L140" i="25"/>
  <c r="M140" i="25"/>
  <c r="N140" i="25"/>
  <c r="O140" i="25"/>
  <c r="P140" i="25"/>
  <c r="Q140" i="25"/>
  <c r="R140" i="25"/>
  <c r="S140" i="25"/>
  <c r="T140" i="25"/>
  <c r="U140" i="25"/>
  <c r="V140" i="25"/>
  <c r="W140" i="25"/>
  <c r="X140" i="25"/>
  <c r="Y140" i="25"/>
  <c r="Z140" i="25"/>
  <c r="AA140" i="25"/>
  <c r="AB140" i="25"/>
  <c r="AC140" i="25"/>
  <c r="AD140" i="25"/>
  <c r="AE140" i="25"/>
  <c r="AF140" i="25"/>
  <c r="AG140" i="25"/>
  <c r="AH140" i="25"/>
  <c r="AI140" i="25"/>
  <c r="AJ140" i="25"/>
  <c r="AK140" i="25"/>
  <c r="AL140" i="25"/>
  <c r="H140" i="25"/>
  <c r="I137" i="25"/>
  <c r="J137" i="25"/>
  <c r="K137" i="25"/>
  <c r="L137" i="25"/>
  <c r="M137" i="25"/>
  <c r="N137" i="25"/>
  <c r="O137" i="25"/>
  <c r="P137" i="25"/>
  <c r="Q137" i="25"/>
  <c r="R137" i="25"/>
  <c r="S137" i="25"/>
  <c r="T137" i="25"/>
  <c r="U137" i="25"/>
  <c r="V137" i="25"/>
  <c r="W137" i="25"/>
  <c r="X137" i="25"/>
  <c r="Y137" i="25"/>
  <c r="Z137" i="25"/>
  <c r="AA137" i="25"/>
  <c r="AB137" i="25"/>
  <c r="AC137" i="25"/>
  <c r="AD137" i="25"/>
  <c r="AE137" i="25"/>
  <c r="AF137" i="25"/>
  <c r="AG137" i="25"/>
  <c r="AH137" i="25"/>
  <c r="AI137" i="25"/>
  <c r="AJ137" i="25"/>
  <c r="AK137" i="25"/>
  <c r="AL137" i="25"/>
  <c r="H137"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AG133" i="25"/>
  <c r="AH133" i="25"/>
  <c r="AI133" i="25"/>
  <c r="AJ133" i="25"/>
  <c r="AK133" i="25"/>
  <c r="AL133" i="25"/>
  <c r="H133"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AG130" i="25"/>
  <c r="AH130" i="25"/>
  <c r="AI130" i="25"/>
  <c r="AJ130" i="25"/>
  <c r="AK130" i="25"/>
  <c r="AL130" i="25"/>
  <c r="H130" i="25"/>
  <c r="C130"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H32" i="25"/>
  <c r="C32" i="25"/>
  <c r="AA44" i="25"/>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AG215" i="24"/>
  <c r="AH215" i="24"/>
  <c r="AI215" i="24"/>
  <c r="AJ215" i="24"/>
  <c r="AK215" i="24"/>
  <c r="AL215" i="24"/>
  <c r="H215" i="24"/>
  <c r="C215"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AG212" i="24"/>
  <c r="AH212" i="24"/>
  <c r="AI212" i="24"/>
  <c r="AJ212" i="24"/>
  <c r="AK212" i="24"/>
  <c r="AL212" i="24"/>
  <c r="H212" i="24"/>
  <c r="C212"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AG209" i="24"/>
  <c r="AH209" i="24"/>
  <c r="AI209" i="24"/>
  <c r="AJ209" i="24"/>
  <c r="AK209" i="24"/>
  <c r="AL209" i="24"/>
  <c r="H209" i="24"/>
  <c r="C209"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AG206" i="24"/>
  <c r="AH206" i="24"/>
  <c r="AI206" i="24"/>
  <c r="AJ206" i="24"/>
  <c r="AK206" i="24"/>
  <c r="AL206" i="24"/>
  <c r="H206" i="24"/>
  <c r="C206"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AG203" i="24"/>
  <c r="AH203" i="24"/>
  <c r="AI203" i="24"/>
  <c r="AJ203" i="24"/>
  <c r="AK203" i="24"/>
  <c r="AL203" i="24"/>
  <c r="H203" i="24"/>
  <c r="C203"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AG200" i="24"/>
  <c r="AH200" i="24"/>
  <c r="AI200" i="24"/>
  <c r="AJ200" i="24"/>
  <c r="AK200" i="24"/>
  <c r="AL200" i="24"/>
  <c r="H200" i="24"/>
  <c r="C200" i="24"/>
  <c r="C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AG197" i="24"/>
  <c r="AH197" i="24"/>
  <c r="AI197" i="24"/>
  <c r="AJ197" i="24"/>
  <c r="AK197" i="24"/>
  <c r="AL197" i="24"/>
  <c r="H197"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AG194" i="24"/>
  <c r="AH194" i="24"/>
  <c r="AI194" i="24"/>
  <c r="AJ194" i="24"/>
  <c r="AK194" i="24"/>
  <c r="AL194" i="24"/>
  <c r="H194" i="24"/>
  <c r="C194"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H127" i="24"/>
  <c r="C127"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H124" i="24"/>
  <c r="C124"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H121" i="24"/>
  <c r="C121"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AG118" i="24"/>
  <c r="AH118" i="24"/>
  <c r="AI118" i="24"/>
  <c r="AJ118" i="24"/>
  <c r="AK118" i="24"/>
  <c r="AL118" i="24"/>
  <c r="H118" i="24"/>
  <c r="C118"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AG115" i="24"/>
  <c r="AH115" i="24"/>
  <c r="AI115" i="24"/>
  <c r="AJ115" i="24"/>
  <c r="AK115" i="24"/>
  <c r="AL115" i="24"/>
  <c r="H115" i="24"/>
  <c r="C115"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AG112" i="24"/>
  <c r="AH112" i="24"/>
  <c r="AI112" i="24"/>
  <c r="AJ112" i="24"/>
  <c r="AK112" i="24"/>
  <c r="AL112" i="24"/>
  <c r="H112" i="24"/>
  <c r="C112"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AG109" i="24"/>
  <c r="AH109" i="24"/>
  <c r="AI109" i="24"/>
  <c r="AJ109" i="24"/>
  <c r="AK109" i="24"/>
  <c r="AL109" i="24"/>
  <c r="H109" i="24"/>
  <c r="C109" i="24"/>
  <c r="AJ103" i="24"/>
  <c r="AK103" i="24"/>
  <c r="AL103"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AG106" i="24"/>
  <c r="AH106" i="24"/>
  <c r="AI106" i="24"/>
  <c r="AJ106" i="24"/>
  <c r="AK106" i="24"/>
  <c r="AL106" i="24"/>
  <c r="H106" i="24"/>
  <c r="C106"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AG103" i="24"/>
  <c r="AH103" i="24"/>
  <c r="AI103" i="24"/>
  <c r="H103" i="24"/>
  <c r="C103"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H100" i="24"/>
  <c r="C100"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H97" i="24"/>
  <c r="C97"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H94" i="24"/>
  <c r="C94"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H91" i="24"/>
  <c r="C91" i="24"/>
  <c r="I88" i="24"/>
  <c r="J88" i="24"/>
  <c r="K88" i="24"/>
  <c r="L88" i="24"/>
  <c r="M88" i="24"/>
  <c r="N88" i="24"/>
  <c r="O88" i="24"/>
  <c r="P88" i="24"/>
  <c r="Q88" i="24"/>
  <c r="R88" i="24"/>
  <c r="S88" i="24"/>
  <c r="T88" i="24"/>
  <c r="U88" i="24"/>
  <c r="V88" i="24"/>
  <c r="W88" i="24"/>
  <c r="X88" i="24"/>
  <c r="Y88" i="24"/>
  <c r="Z88" i="24"/>
  <c r="AA88" i="24"/>
  <c r="AB88" i="24"/>
  <c r="AC88" i="24"/>
  <c r="AD88" i="24"/>
  <c r="AE88" i="24"/>
  <c r="AF88" i="24"/>
  <c r="AG88" i="24"/>
  <c r="AH88" i="24"/>
  <c r="AI88" i="24"/>
  <c r="AJ88" i="24"/>
  <c r="AK88" i="24"/>
  <c r="AL88" i="24"/>
  <c r="H88" i="24"/>
  <c r="C88" i="24"/>
  <c r="I85" i="24"/>
  <c r="J85" i="24"/>
  <c r="K85" i="24"/>
  <c r="L85" i="24"/>
  <c r="M85" i="24"/>
  <c r="N85" i="24"/>
  <c r="O85" i="24"/>
  <c r="P85" i="24"/>
  <c r="Q85" i="24"/>
  <c r="R85" i="24"/>
  <c r="S85" i="24"/>
  <c r="T85" i="24"/>
  <c r="U85" i="24"/>
  <c r="V85" i="24"/>
  <c r="W85" i="24"/>
  <c r="X85" i="24"/>
  <c r="Y85" i="24"/>
  <c r="Z85" i="24"/>
  <c r="AA85" i="24"/>
  <c r="AB85" i="24"/>
  <c r="AC85" i="24"/>
  <c r="AD85" i="24"/>
  <c r="AE85" i="24"/>
  <c r="AF85" i="24"/>
  <c r="AG85" i="24"/>
  <c r="AH85" i="24"/>
  <c r="AI85" i="24"/>
  <c r="AJ85" i="24"/>
  <c r="AK85" i="24"/>
  <c r="AL85" i="24"/>
  <c r="H85" i="24"/>
  <c r="C85" i="24"/>
  <c r="I82" i="24"/>
  <c r="J82" i="24"/>
  <c r="K82" i="24"/>
  <c r="L82" i="24"/>
  <c r="M82" i="24"/>
  <c r="N82" i="24"/>
  <c r="O82" i="24"/>
  <c r="P82" i="24"/>
  <c r="Q82" i="24"/>
  <c r="R82" i="24"/>
  <c r="S82" i="24"/>
  <c r="T82" i="24"/>
  <c r="U82" i="24"/>
  <c r="V82" i="24"/>
  <c r="W82" i="24"/>
  <c r="X82" i="24"/>
  <c r="Y82" i="24"/>
  <c r="Z82" i="24"/>
  <c r="AA82" i="24"/>
  <c r="AB82" i="24"/>
  <c r="AC82" i="24"/>
  <c r="AD82" i="24"/>
  <c r="AE82" i="24"/>
  <c r="AF82" i="24"/>
  <c r="AG82" i="24"/>
  <c r="AH82" i="24"/>
  <c r="AI82" i="24"/>
  <c r="AJ82" i="24"/>
  <c r="AK82" i="24"/>
  <c r="AL82" i="24"/>
  <c r="H82" i="24"/>
  <c r="C82" i="24"/>
  <c r="I79" i="24"/>
  <c r="J79" i="24"/>
  <c r="K79" i="24"/>
  <c r="L79" i="24"/>
  <c r="M79" i="24"/>
  <c r="N79" i="24"/>
  <c r="O79" i="24"/>
  <c r="P79" i="24"/>
  <c r="Q79" i="24"/>
  <c r="R79" i="24"/>
  <c r="S79" i="24"/>
  <c r="T79" i="24"/>
  <c r="U79" i="24"/>
  <c r="V79" i="24"/>
  <c r="W79" i="24"/>
  <c r="X79" i="24"/>
  <c r="Y79" i="24"/>
  <c r="Z79" i="24"/>
  <c r="AA79" i="24"/>
  <c r="AB79" i="24"/>
  <c r="AC79" i="24"/>
  <c r="AD79" i="24"/>
  <c r="AE79" i="24"/>
  <c r="AF79" i="24"/>
  <c r="AG79" i="24"/>
  <c r="AH79" i="24"/>
  <c r="AI79" i="24"/>
  <c r="AJ79" i="24"/>
  <c r="AK79" i="24"/>
  <c r="AL79" i="24"/>
  <c r="H79" i="24"/>
  <c r="C79"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H76" i="24"/>
  <c r="C76" i="24"/>
  <c r="I73" i="24"/>
  <c r="J73" i="24"/>
  <c r="K73" i="24"/>
  <c r="L73" i="24"/>
  <c r="M73" i="24"/>
  <c r="N73" i="24"/>
  <c r="O73" i="24"/>
  <c r="P73" i="24"/>
  <c r="Q73" i="24"/>
  <c r="R73" i="24"/>
  <c r="S73" i="24"/>
  <c r="T73" i="24"/>
  <c r="U73" i="24"/>
  <c r="V73" i="24"/>
  <c r="W73" i="24"/>
  <c r="X73" i="24"/>
  <c r="Y73" i="24"/>
  <c r="Z73" i="24"/>
  <c r="AA73" i="24"/>
  <c r="AB73" i="24"/>
  <c r="AC73" i="24"/>
  <c r="AD73" i="24"/>
  <c r="AE73" i="24"/>
  <c r="AF73" i="24"/>
  <c r="AG73" i="24"/>
  <c r="AH73" i="24"/>
  <c r="AI73" i="24"/>
  <c r="AJ73" i="24"/>
  <c r="AK73" i="24"/>
  <c r="AL73" i="24"/>
  <c r="H73" i="24"/>
  <c r="C73"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H70" i="24"/>
  <c r="C70"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H67" i="24"/>
  <c r="C67"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H64" i="24"/>
  <c r="C64"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H61" i="24"/>
  <c r="C61" i="24"/>
  <c r="I58" i="24"/>
  <c r="J58" i="24"/>
  <c r="K58" i="24"/>
  <c r="L58" i="24"/>
  <c r="M58" i="24"/>
  <c r="N58" i="24"/>
  <c r="O58" i="24"/>
  <c r="P58" i="24"/>
  <c r="Q58" i="24"/>
  <c r="R58" i="24"/>
  <c r="S58" i="24"/>
  <c r="T58" i="24"/>
  <c r="U58" i="24"/>
  <c r="V58" i="24"/>
  <c r="W58" i="24"/>
  <c r="X58" i="24"/>
  <c r="Y58" i="24"/>
  <c r="Z58" i="24"/>
  <c r="AA58" i="24"/>
  <c r="AB58" i="24"/>
  <c r="AC58" i="24"/>
  <c r="AD58" i="24"/>
  <c r="AE58" i="24"/>
  <c r="AF58" i="24"/>
  <c r="AG58" i="24"/>
  <c r="AH58" i="24"/>
  <c r="AI58" i="24"/>
  <c r="AJ58" i="24"/>
  <c r="AK58" i="24"/>
  <c r="AL58" i="24"/>
  <c r="H58" i="24"/>
  <c r="C58"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H55" i="24"/>
  <c r="C55"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H52" i="24"/>
  <c r="C52"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H49" i="24"/>
  <c r="C49"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H46" i="24"/>
  <c r="C46" i="24"/>
  <c r="I43" i="24"/>
  <c r="J43" i="24"/>
  <c r="K43" i="24"/>
  <c r="L43" i="24"/>
  <c r="M43" i="24"/>
  <c r="N43" i="24"/>
  <c r="O43" i="24"/>
  <c r="P43" i="24"/>
  <c r="Q43" i="24"/>
  <c r="R43" i="24"/>
  <c r="S43" i="24"/>
  <c r="T43" i="24"/>
  <c r="U43" i="24"/>
  <c r="V43" i="24"/>
  <c r="W43" i="24"/>
  <c r="X43" i="24"/>
  <c r="Y43" i="24"/>
  <c r="Z43" i="24"/>
  <c r="AA43" i="24"/>
  <c r="AB43" i="24"/>
  <c r="AC43" i="24"/>
  <c r="AD43" i="24"/>
  <c r="AE43" i="24"/>
  <c r="AF43" i="24"/>
  <c r="AG43" i="24"/>
  <c r="AH43" i="24"/>
  <c r="AI43" i="24"/>
  <c r="AJ43" i="24"/>
  <c r="AK43" i="24"/>
  <c r="AL43" i="24"/>
  <c r="H43" i="24"/>
  <c r="C43"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H40" i="24"/>
  <c r="C40"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H37" i="24"/>
  <c r="C37"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H34" i="24"/>
  <c r="C34"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H31" i="24"/>
  <c r="C31" i="24"/>
  <c r="I28" i="24"/>
  <c r="J28" i="24"/>
  <c r="K28" i="24"/>
  <c r="L28" i="24"/>
  <c r="M28" i="24"/>
  <c r="N28" i="24"/>
  <c r="O28" i="24"/>
  <c r="P28" i="24"/>
  <c r="Q28" i="24"/>
  <c r="R28" i="24"/>
  <c r="S28" i="24"/>
  <c r="T28" i="24"/>
  <c r="U28" i="24"/>
  <c r="V28" i="24"/>
  <c r="W28" i="24"/>
  <c r="X28" i="24"/>
  <c r="Y28" i="24"/>
  <c r="Z28" i="24"/>
  <c r="AA28" i="24"/>
  <c r="AB28" i="24"/>
  <c r="AC28" i="24"/>
  <c r="AD28" i="24"/>
  <c r="AE28" i="24"/>
  <c r="AF28" i="24"/>
  <c r="AG28" i="24"/>
  <c r="AH28" i="24"/>
  <c r="AI28" i="24"/>
  <c r="AJ28" i="24"/>
  <c r="AK28" i="24"/>
  <c r="AL28" i="24"/>
  <c r="H28" i="24"/>
  <c r="C28"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H25" i="24"/>
  <c r="C25"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H22" i="24"/>
  <c r="C22"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H19" i="24"/>
  <c r="C19" i="24"/>
  <c r="AH29" i="53"/>
  <c r="AG29" i="53"/>
  <c r="AG26" i="53" s="1"/>
  <c r="AF29" i="53"/>
  <c r="AF26" i="53" s="1"/>
  <c r="AE29" i="53"/>
  <c r="AD29" i="53"/>
  <c r="AC29" i="53"/>
  <c r="AB29" i="53"/>
  <c r="AA29" i="53"/>
  <c r="Z29" i="53"/>
  <c r="Y29" i="53"/>
  <c r="X29" i="53"/>
  <c r="W29" i="53"/>
  <c r="V29" i="53"/>
  <c r="U29" i="53"/>
  <c r="T29" i="53"/>
  <c r="T26" i="53" s="1"/>
  <c r="S29" i="53"/>
  <c r="S26" i="53" s="1"/>
  <c r="R29" i="53"/>
  <c r="R26" i="53" s="1"/>
  <c r="Q29" i="53"/>
  <c r="Q26" i="53" s="1"/>
  <c r="P29" i="53"/>
  <c r="P26" i="53" s="1"/>
  <c r="O29" i="53"/>
  <c r="O26" i="53" s="1"/>
  <c r="N29" i="53"/>
  <c r="M29" i="53"/>
  <c r="M26" i="53" s="1"/>
  <c r="L29" i="53"/>
  <c r="L26" i="53" s="1"/>
  <c r="K29" i="53"/>
  <c r="J29" i="53"/>
  <c r="I29" i="53"/>
  <c r="H29" i="53"/>
  <c r="G29" i="53"/>
  <c r="F29" i="53"/>
  <c r="E29" i="53"/>
  <c r="D29" i="53"/>
  <c r="AH28" i="53"/>
  <c r="AG28" i="53"/>
  <c r="AF28" i="53"/>
  <c r="AF25" i="53" s="1"/>
  <c r="AE28" i="53"/>
  <c r="AE25" i="53" s="1"/>
  <c r="AD28" i="53"/>
  <c r="AD25" i="53" s="1"/>
  <c r="AC28" i="53"/>
  <c r="AC25" i="53" s="1"/>
  <c r="AB28" i="53"/>
  <c r="AB25" i="53" s="1"/>
  <c r="AA28" i="53"/>
  <c r="AA25" i="53" s="1"/>
  <c r="Z28" i="53"/>
  <c r="Y28" i="53"/>
  <c r="Y25" i="53" s="1"/>
  <c r="Y5" i="53" s="1"/>
  <c r="X28" i="53"/>
  <c r="X25" i="53" s="1"/>
  <c r="X5" i="53" s="1"/>
  <c r="W28" i="53"/>
  <c r="V28" i="53"/>
  <c r="U28" i="53"/>
  <c r="T28" i="53"/>
  <c r="S28" i="53"/>
  <c r="R28" i="53"/>
  <c r="Q28" i="53"/>
  <c r="P28" i="53"/>
  <c r="O28" i="53"/>
  <c r="N28" i="53"/>
  <c r="M28" i="53"/>
  <c r="L28" i="53"/>
  <c r="L25" i="53" s="1"/>
  <c r="K28" i="53"/>
  <c r="K25" i="53" s="1"/>
  <c r="J28" i="53"/>
  <c r="J25" i="53" s="1"/>
  <c r="I28" i="53"/>
  <c r="I25" i="53" s="1"/>
  <c r="H28" i="53"/>
  <c r="H25" i="53" s="1"/>
  <c r="G28" i="53"/>
  <c r="G25" i="53" s="1"/>
  <c r="F28" i="53"/>
  <c r="E28" i="53"/>
  <c r="E25" i="53" s="1"/>
  <c r="E5" i="53" s="1"/>
  <c r="D28" i="53"/>
  <c r="C28" i="53" s="1"/>
  <c r="C29" i="53" s="1"/>
  <c r="AH26" i="53"/>
  <c r="AE26" i="53"/>
  <c r="AD26" i="53"/>
  <c r="AC26" i="53"/>
  <c r="AB26" i="53"/>
  <c r="AA26" i="53"/>
  <c r="Z26" i="53"/>
  <c r="Y26" i="53"/>
  <c r="X26" i="53"/>
  <c r="W26" i="53"/>
  <c r="V26" i="53"/>
  <c r="U26" i="53"/>
  <c r="N26" i="53"/>
  <c r="K26" i="53"/>
  <c r="J26" i="53"/>
  <c r="I26" i="53"/>
  <c r="H26" i="53"/>
  <c r="G26" i="53"/>
  <c r="F26" i="53"/>
  <c r="E26" i="53"/>
  <c r="D26" i="53"/>
  <c r="AH25" i="53"/>
  <c r="AG25" i="53"/>
  <c r="Z25" i="53"/>
  <c r="W25" i="53"/>
  <c r="V25" i="53"/>
  <c r="U25" i="53"/>
  <c r="T25" i="53"/>
  <c r="S25" i="53"/>
  <c r="R25" i="53"/>
  <c r="Q25" i="53"/>
  <c r="Q5" i="53" s="1"/>
  <c r="P25" i="53"/>
  <c r="O25" i="53"/>
  <c r="N25" i="53"/>
  <c r="M25" i="53"/>
  <c r="F25" i="53"/>
  <c r="C23" i="53"/>
  <c r="AH22" i="53"/>
  <c r="AG22" i="53"/>
  <c r="AF22" i="53"/>
  <c r="AE22" i="53"/>
  <c r="AD22" i="53"/>
  <c r="AC22" i="53"/>
  <c r="AB22" i="53"/>
  <c r="AA22" i="53"/>
  <c r="Z22" i="53"/>
  <c r="Y22" i="53"/>
  <c r="X22" i="53"/>
  <c r="W22" i="53"/>
  <c r="V22" i="53"/>
  <c r="U22" i="53"/>
  <c r="T22" i="53"/>
  <c r="S22" i="53"/>
  <c r="R22" i="53"/>
  <c r="Q22" i="53"/>
  <c r="P22" i="53"/>
  <c r="O22" i="53"/>
  <c r="N22" i="53"/>
  <c r="M22" i="53"/>
  <c r="L22" i="53"/>
  <c r="K22" i="53"/>
  <c r="J22" i="53"/>
  <c r="I22" i="53"/>
  <c r="H22" i="53"/>
  <c r="G22" i="53"/>
  <c r="F22" i="53"/>
  <c r="E22" i="53"/>
  <c r="D22" i="53"/>
  <c r="Z18" i="53"/>
  <c r="Z6" i="53" s="1"/>
  <c r="X18" i="53"/>
  <c r="X6" i="53" s="1"/>
  <c r="W18" i="53"/>
  <c r="W6" i="53" s="1"/>
  <c r="V18" i="53"/>
  <c r="V6" i="53" s="1"/>
  <c r="U18" i="53"/>
  <c r="U6" i="53" s="1"/>
  <c r="T18" i="53"/>
  <c r="S18" i="53"/>
  <c r="R18" i="53"/>
  <c r="Q18" i="53"/>
  <c r="Q6" i="53" s="1"/>
  <c r="O18" i="53"/>
  <c r="O6" i="53" s="1"/>
  <c r="F18" i="53"/>
  <c r="F6" i="53" s="1"/>
  <c r="D18" i="53"/>
  <c r="AH17" i="53"/>
  <c r="AH18" i="53" s="1"/>
  <c r="AG17" i="53"/>
  <c r="AG18" i="53" s="1"/>
  <c r="AF17" i="53"/>
  <c r="AE17" i="53"/>
  <c r="AD17" i="53"/>
  <c r="AD18" i="53" s="1"/>
  <c r="AC17" i="53"/>
  <c r="AC18" i="53" s="1"/>
  <c r="AB17" i="53"/>
  <c r="AB18" i="53" s="1"/>
  <c r="AA17" i="53"/>
  <c r="Z17" i="53"/>
  <c r="Y17" i="53"/>
  <c r="Y18" i="53" s="1"/>
  <c r="Y6" i="53" s="1"/>
  <c r="X17" i="53"/>
  <c r="W17" i="53"/>
  <c r="V17" i="53"/>
  <c r="U17" i="53"/>
  <c r="T17" i="53"/>
  <c r="S17" i="53"/>
  <c r="R17" i="53"/>
  <c r="R5" i="53" s="1"/>
  <c r="Q17" i="53"/>
  <c r="P17" i="53"/>
  <c r="P5" i="53" s="1"/>
  <c r="O17" i="53"/>
  <c r="O5" i="53" s="1"/>
  <c r="N17" i="53"/>
  <c r="N18" i="53" s="1"/>
  <c r="M17" i="53"/>
  <c r="M18" i="53" s="1"/>
  <c r="L17" i="53"/>
  <c r="K17" i="53"/>
  <c r="K18" i="53" s="1"/>
  <c r="J17" i="53"/>
  <c r="J18" i="53" s="1"/>
  <c r="I17" i="53"/>
  <c r="I18" i="53" s="1"/>
  <c r="H17" i="53"/>
  <c r="H18" i="53" s="1"/>
  <c r="G17" i="53"/>
  <c r="F17" i="53"/>
  <c r="E17" i="53"/>
  <c r="E18" i="53" s="1"/>
  <c r="E6" i="53" s="1"/>
  <c r="D17" i="53"/>
  <c r="C17" i="53" s="1"/>
  <c r="AH14" i="53"/>
  <c r="AG14" i="53"/>
  <c r="AF14" i="53"/>
  <c r="AE14" i="53"/>
  <c r="AD14" i="53"/>
  <c r="AC14" i="53"/>
  <c r="AB14" i="53"/>
  <c r="AA14" i="53"/>
  <c r="Z14" i="53"/>
  <c r="Y14" i="53"/>
  <c r="X14" i="53"/>
  <c r="W14" i="53"/>
  <c r="V14" i="53"/>
  <c r="U14" i="53"/>
  <c r="T14" i="53"/>
  <c r="S14" i="53"/>
  <c r="R14" i="53"/>
  <c r="Q14" i="53"/>
  <c r="P14" i="53"/>
  <c r="O14" i="53"/>
  <c r="N14" i="53"/>
  <c r="M14" i="53"/>
  <c r="L14" i="53"/>
  <c r="K14" i="53"/>
  <c r="J14" i="53"/>
  <c r="I14" i="53"/>
  <c r="H14" i="53"/>
  <c r="G14" i="53"/>
  <c r="F14" i="53"/>
  <c r="E14" i="53"/>
  <c r="D14" i="53"/>
  <c r="D10" i="53" s="1"/>
  <c r="AH13" i="53"/>
  <c r="AG13" i="53"/>
  <c r="AF13" i="53"/>
  <c r="AE13" i="53"/>
  <c r="AD13" i="53"/>
  <c r="AC13" i="53"/>
  <c r="AB13" i="53"/>
  <c r="AA13" i="53"/>
  <c r="Z13" i="53"/>
  <c r="Y13" i="53"/>
  <c r="X13" i="53"/>
  <c r="W13" i="53"/>
  <c r="V13" i="53"/>
  <c r="U13" i="53"/>
  <c r="T13" i="53"/>
  <c r="S13" i="53"/>
  <c r="R13" i="53"/>
  <c r="Q13" i="53"/>
  <c r="P13" i="53"/>
  <c r="O13" i="53"/>
  <c r="N13" i="53"/>
  <c r="M13" i="53"/>
  <c r="L13" i="53"/>
  <c r="K13" i="53"/>
  <c r="J13" i="53"/>
  <c r="I13" i="53"/>
  <c r="C13" i="53" s="1"/>
  <c r="C14" i="53" s="1"/>
  <c r="H13" i="53"/>
  <c r="G13" i="53"/>
  <c r="F13" i="53"/>
  <c r="E13" i="53"/>
  <c r="D13" i="53"/>
  <c r="Z5" i="53"/>
  <c r="W5" i="53"/>
  <c r="V5" i="53"/>
  <c r="U5" i="53"/>
  <c r="T5" i="53"/>
  <c r="S5" i="53"/>
  <c r="F5" i="53"/>
  <c r="C3" i="53"/>
  <c r="B130" i="35"/>
  <c r="C110" i="35"/>
  <c r="C111" i="35" s="1"/>
  <c r="C81" i="35"/>
  <c r="B78" i="35"/>
  <c r="B70" i="35"/>
  <c r="C70" i="35" s="1"/>
  <c r="C68" i="35"/>
  <c r="B66" i="35"/>
  <c r="B62" i="35"/>
  <c r="B58" i="35"/>
  <c r="B52" i="35"/>
  <c r="C50" i="35"/>
  <c r="AF46" i="35"/>
  <c r="AE46" i="35"/>
  <c r="AD46" i="35"/>
  <c r="AC46" i="35"/>
  <c r="Z46" i="35"/>
  <c r="Q46" i="35"/>
  <c r="N46" i="35"/>
  <c r="M46" i="35"/>
  <c r="L46" i="35"/>
  <c r="K46" i="35"/>
  <c r="J46" i="35"/>
  <c r="I46" i="35"/>
  <c r="F46" i="35"/>
  <c r="AB45" i="35"/>
  <c r="X45" i="35"/>
  <c r="H45" i="35"/>
  <c r="D45" i="35"/>
  <c r="AE44" i="35"/>
  <c r="T44" i="35"/>
  <c r="S44" i="35"/>
  <c r="O44" i="35"/>
  <c r="N44" i="35"/>
  <c r="M44" i="35"/>
  <c r="K44" i="35"/>
  <c r="AA43" i="35"/>
  <c r="X42" i="35"/>
  <c r="W42" i="35"/>
  <c r="R42" i="35"/>
  <c r="Q42" i="35"/>
  <c r="P42" i="35"/>
  <c r="O42" i="35"/>
  <c r="D42" i="35"/>
  <c r="C42" i="35"/>
  <c r="AD41" i="35"/>
  <c r="AC41" i="35"/>
  <c r="AB41" i="35"/>
  <c r="AB43" i="35" s="1"/>
  <c r="AA41" i="35"/>
  <c r="AA45" i="35" s="1"/>
  <c r="X41" i="35"/>
  <c r="X43" i="35" s="1"/>
  <c r="P41" i="35"/>
  <c r="P43" i="35" s="1"/>
  <c r="O41" i="35"/>
  <c r="O43" i="35" s="1"/>
  <c r="J41" i="35"/>
  <c r="I41" i="35"/>
  <c r="H41" i="35"/>
  <c r="G41" i="35"/>
  <c r="G45" i="35" s="1"/>
  <c r="D41" i="35"/>
  <c r="D43" i="35" s="1"/>
  <c r="AG40" i="35"/>
  <c r="AF40" i="35"/>
  <c r="AE40" i="35"/>
  <c r="AD40" i="35"/>
  <c r="AC40" i="35"/>
  <c r="AB40" i="35"/>
  <c r="AB44" i="35" s="1"/>
  <c r="AA40" i="35"/>
  <c r="Z40" i="35"/>
  <c r="Y40" i="35"/>
  <c r="X40" i="35"/>
  <c r="W40" i="35"/>
  <c r="V40" i="35"/>
  <c r="U40" i="35"/>
  <c r="T40" i="35"/>
  <c r="S40" i="35"/>
  <c r="R40" i="35"/>
  <c r="Q40" i="35"/>
  <c r="P40" i="35"/>
  <c r="O40" i="35"/>
  <c r="N40" i="35"/>
  <c r="M40" i="35"/>
  <c r="L40" i="35"/>
  <c r="K40" i="35"/>
  <c r="J40" i="35"/>
  <c r="I40" i="35"/>
  <c r="H40" i="35"/>
  <c r="H44" i="35" s="1"/>
  <c r="G40" i="35"/>
  <c r="F40" i="35"/>
  <c r="E40" i="35"/>
  <c r="D40" i="35"/>
  <c r="C40" i="35"/>
  <c r="B40" i="35" s="1"/>
  <c r="AG39" i="35"/>
  <c r="AG38" i="35" s="1"/>
  <c r="AF39" i="35"/>
  <c r="AE39" i="35"/>
  <c r="AD39" i="35"/>
  <c r="AC39" i="35"/>
  <c r="AB39" i="35"/>
  <c r="AB38" i="35" s="1"/>
  <c r="AA39" i="35"/>
  <c r="Z39" i="35"/>
  <c r="Y39" i="35"/>
  <c r="X39" i="35"/>
  <c r="W39" i="35"/>
  <c r="V39" i="35"/>
  <c r="V38" i="35" s="1"/>
  <c r="U39" i="35"/>
  <c r="U38" i="35" s="1"/>
  <c r="T39" i="35"/>
  <c r="T38" i="35" s="1"/>
  <c r="S39" i="35"/>
  <c r="R39" i="35"/>
  <c r="Q39" i="35"/>
  <c r="Q38" i="35" s="1"/>
  <c r="P39" i="35"/>
  <c r="P45" i="35" s="1"/>
  <c r="O39" i="35"/>
  <c r="N39" i="35"/>
  <c r="M39" i="35"/>
  <c r="L39" i="35"/>
  <c r="K39" i="35"/>
  <c r="J39" i="35"/>
  <c r="I39" i="35"/>
  <c r="H39" i="35"/>
  <c r="G39" i="35"/>
  <c r="F39" i="35"/>
  <c r="E39" i="35"/>
  <c r="D39" i="35"/>
  <c r="C39" i="35"/>
  <c r="AF38" i="35"/>
  <c r="AE38" i="35"/>
  <c r="AD38" i="35"/>
  <c r="AC38" i="35"/>
  <c r="AA38" i="35"/>
  <c r="Z38" i="35"/>
  <c r="Y38" i="35"/>
  <c r="L38" i="35"/>
  <c r="K38" i="35"/>
  <c r="J38" i="35"/>
  <c r="I38" i="35"/>
  <c r="G38" i="35"/>
  <c r="F38" i="35"/>
  <c r="E38" i="35"/>
  <c r="AG37" i="35"/>
  <c r="AF37" i="35"/>
  <c r="AF44" i="35" s="1"/>
  <c r="AE37" i="35"/>
  <c r="AD37" i="35"/>
  <c r="AD44" i="35" s="1"/>
  <c r="AC37" i="35"/>
  <c r="AC44" i="35" s="1"/>
  <c r="AB37" i="35"/>
  <c r="AB46" i="35" s="1"/>
  <c r="AA37" i="35"/>
  <c r="Z37" i="35"/>
  <c r="Z44" i="35" s="1"/>
  <c r="Y37" i="35"/>
  <c r="Y46" i="35" s="1"/>
  <c r="X37" i="35"/>
  <c r="X46" i="35" s="1"/>
  <c r="W37" i="35"/>
  <c r="V37" i="35"/>
  <c r="V46" i="35" s="1"/>
  <c r="U37" i="35"/>
  <c r="U46" i="35" s="1"/>
  <c r="T37" i="35"/>
  <c r="T46" i="35" s="1"/>
  <c r="S37" i="35"/>
  <c r="S46" i="35" s="1"/>
  <c r="R37" i="35"/>
  <c r="Q37" i="35"/>
  <c r="Q44" i="35" s="1"/>
  <c r="P37" i="35"/>
  <c r="P46" i="35" s="1"/>
  <c r="O37" i="35"/>
  <c r="O46" i="35" s="1"/>
  <c r="N37" i="35"/>
  <c r="M37" i="35"/>
  <c r="L37" i="35"/>
  <c r="L44" i="35" s="1"/>
  <c r="K37" i="35"/>
  <c r="J37" i="35"/>
  <c r="J44" i="35" s="1"/>
  <c r="I37" i="35"/>
  <c r="I44" i="35" s="1"/>
  <c r="H37" i="35"/>
  <c r="H46" i="35" s="1"/>
  <c r="G37" i="35"/>
  <c r="F37" i="35"/>
  <c r="F44" i="35" s="1"/>
  <c r="E37" i="35"/>
  <c r="E46" i="35" s="1"/>
  <c r="D37" i="35"/>
  <c r="D46" i="35" s="1"/>
  <c r="C37" i="35"/>
  <c r="B34" i="35"/>
  <c r="B32" i="35"/>
  <c r="B31" i="35" s="1"/>
  <c r="B30" i="35"/>
  <c r="B29" i="35"/>
  <c r="B28" i="35" s="1"/>
  <c r="B27" i="35"/>
  <c r="B24" i="35"/>
  <c r="B23" i="35"/>
  <c r="B22" i="35"/>
  <c r="B21" i="35"/>
  <c r="B20" i="35"/>
  <c r="B19" i="35"/>
  <c r="B17" i="35"/>
  <c r="B25" i="35" s="1"/>
  <c r="AC14" i="35"/>
  <c r="AB14" i="35"/>
  <c r="AA14" i="35"/>
  <c r="V14" i="35"/>
  <c r="O14" i="35"/>
  <c r="N14" i="35"/>
  <c r="I14" i="35"/>
  <c r="H14" i="35"/>
  <c r="G14" i="35"/>
  <c r="AG13" i="35"/>
  <c r="AF13" i="35"/>
  <c r="AE13" i="35"/>
  <c r="AD13" i="35"/>
  <c r="AC13" i="35"/>
  <c r="AB13" i="35"/>
  <c r="AB42" i="35" s="1"/>
  <c r="AA13" i="35"/>
  <c r="AA42" i="35" s="1"/>
  <c r="Z13" i="35"/>
  <c r="Z14" i="35" s="1"/>
  <c r="Y13" i="35"/>
  <c r="X13" i="35"/>
  <c r="W13" i="35"/>
  <c r="V13" i="35"/>
  <c r="V42" i="35" s="1"/>
  <c r="U13" i="35"/>
  <c r="U42" i="35" s="1"/>
  <c r="T13" i="35"/>
  <c r="T42" i="35" s="1"/>
  <c r="S13" i="35"/>
  <c r="S42" i="35" s="1"/>
  <c r="R13" i="35"/>
  <c r="Q13" i="35"/>
  <c r="P13" i="35"/>
  <c r="O13" i="35"/>
  <c r="N13" i="35"/>
  <c r="M13" i="35"/>
  <c r="L13" i="35"/>
  <c r="K13" i="35"/>
  <c r="J13" i="35"/>
  <c r="I13" i="35"/>
  <c r="H13" i="35"/>
  <c r="H42" i="35" s="1"/>
  <c r="G13" i="35"/>
  <c r="G42" i="35" s="1"/>
  <c r="G43" i="35" s="1"/>
  <c r="F13" i="35"/>
  <c r="F14" i="35" s="1"/>
  <c r="E13" i="35"/>
  <c r="D13" i="35"/>
  <c r="C13" i="35"/>
  <c r="AG12" i="35"/>
  <c r="AF12" i="35"/>
  <c r="AE12" i="35"/>
  <c r="AD12" i="35"/>
  <c r="AD42" i="35" s="1"/>
  <c r="AC12" i="35"/>
  <c r="AC42" i="35" s="1"/>
  <c r="AB12" i="35"/>
  <c r="AA12" i="35"/>
  <c r="Z12" i="35"/>
  <c r="Z41" i="35" s="1"/>
  <c r="Z45" i="35" s="1"/>
  <c r="Y12" i="35"/>
  <c r="Y41" i="35" s="1"/>
  <c r="Y45" i="35" s="1"/>
  <c r="X12" i="35"/>
  <c r="X14" i="35" s="1"/>
  <c r="W12" i="35"/>
  <c r="W14" i="35" s="1"/>
  <c r="V12" i="35"/>
  <c r="V41" i="35" s="1"/>
  <c r="V45" i="35" s="1"/>
  <c r="U12" i="35"/>
  <c r="U10" i="35" s="1"/>
  <c r="T12" i="35"/>
  <c r="T10" i="35" s="1"/>
  <c r="S12" i="35"/>
  <c r="R12" i="35"/>
  <c r="R10" i="35" s="1"/>
  <c r="Q12" i="35"/>
  <c r="P12" i="35"/>
  <c r="P10" i="35" s="1"/>
  <c r="O12" i="35"/>
  <c r="O10" i="35" s="1"/>
  <c r="N12" i="35"/>
  <c r="N42" i="35" s="1"/>
  <c r="M12" i="35"/>
  <c r="M14" i="35" s="1"/>
  <c r="L12" i="35"/>
  <c r="K12" i="35"/>
  <c r="J12" i="35"/>
  <c r="J42" i="35" s="1"/>
  <c r="I12" i="35"/>
  <c r="I42" i="35" s="1"/>
  <c r="H12" i="35"/>
  <c r="G12" i="35"/>
  <c r="F12" i="35"/>
  <c r="F41" i="35" s="1"/>
  <c r="F45" i="35" s="1"/>
  <c r="E12" i="35"/>
  <c r="E41" i="35" s="1"/>
  <c r="E45" i="35" s="1"/>
  <c r="D12" i="35"/>
  <c r="D14" i="35" s="1"/>
  <c r="C12" i="35"/>
  <c r="C14" i="35" s="1"/>
  <c r="AD10" i="35"/>
  <c r="AB10" i="35"/>
  <c r="AA10" i="35"/>
  <c r="Z10" i="35"/>
  <c r="Y10" i="35"/>
  <c r="X10" i="35"/>
  <c r="W10" i="35"/>
  <c r="V10" i="35"/>
  <c r="S10" i="35"/>
  <c r="J10" i="35"/>
  <c r="H10" i="35"/>
  <c r="G10" i="35"/>
  <c r="F10" i="35"/>
  <c r="E10" i="35"/>
  <c r="D10" i="35"/>
  <c r="C10" i="35"/>
  <c r="B9"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D7" i="35"/>
  <c r="C7" i="35"/>
  <c r="B4" i="35"/>
  <c r="AH170" i="18"/>
  <c r="Q170" i="18"/>
  <c r="AC169" i="18"/>
  <c r="AC170" i="18" s="1"/>
  <c r="I169" i="18"/>
  <c r="I170" i="18" s="1"/>
  <c r="H169" i="18"/>
  <c r="H170" i="18" s="1"/>
  <c r="AC167" i="18"/>
  <c r="AA167" i="18"/>
  <c r="Y167" i="18"/>
  <c r="X167" i="18"/>
  <c r="W167" i="18"/>
  <c r="V167" i="18"/>
  <c r="S167" i="18"/>
  <c r="Q167" i="18"/>
  <c r="P167" i="18"/>
  <c r="I167" i="18"/>
  <c r="G167" i="18"/>
  <c r="E167" i="18"/>
  <c r="D167" i="18"/>
  <c r="AG166" i="18"/>
  <c r="AG167" i="18" s="1"/>
  <c r="AF166" i="18"/>
  <c r="AF167" i="18" s="1"/>
  <c r="AE166" i="18"/>
  <c r="AE167" i="18" s="1"/>
  <c r="AD166" i="18"/>
  <c r="AD167" i="18" s="1"/>
  <c r="AC166" i="18"/>
  <c r="AB166" i="18"/>
  <c r="AB167" i="18" s="1"/>
  <c r="AA166" i="18"/>
  <c r="Z166" i="18"/>
  <c r="Z167" i="18" s="1"/>
  <c r="Y166" i="18"/>
  <c r="X166" i="18"/>
  <c r="W166" i="18"/>
  <c r="V166" i="18"/>
  <c r="U166" i="18"/>
  <c r="U167" i="18" s="1"/>
  <c r="T166" i="18"/>
  <c r="T167" i="18" s="1"/>
  <c r="S166" i="18"/>
  <c r="R166" i="18"/>
  <c r="R167" i="18" s="1"/>
  <c r="Q166" i="18"/>
  <c r="P166" i="18"/>
  <c r="O166" i="18"/>
  <c r="O167" i="18" s="1"/>
  <c r="N166" i="18"/>
  <c r="N167" i="18" s="1"/>
  <c r="M166" i="18"/>
  <c r="M167" i="18" s="1"/>
  <c r="L166" i="18"/>
  <c r="L167" i="18" s="1"/>
  <c r="K166" i="18"/>
  <c r="K167" i="18" s="1"/>
  <c r="J166" i="18"/>
  <c r="J167" i="18" s="1"/>
  <c r="I166" i="18"/>
  <c r="H166" i="18"/>
  <c r="H167" i="18" s="1"/>
  <c r="G166" i="18"/>
  <c r="F166" i="18"/>
  <c r="F167" i="18" s="1"/>
  <c r="E166" i="18"/>
  <c r="D166" i="18"/>
  <c r="C164" i="18"/>
  <c r="C165" i="18" s="1"/>
  <c r="C163" i="18"/>
  <c r="C162" i="18"/>
  <c r="C161" i="18"/>
  <c r="C160" i="18"/>
  <c r="C158" i="18"/>
  <c r="C159" i="18" s="1"/>
  <c r="C156" i="18"/>
  <c r="C157" i="18" s="1"/>
  <c r="C154" i="18"/>
  <c r="C155" i="18" s="1"/>
  <c r="C153" i="18"/>
  <c r="C152" i="18"/>
  <c r="AG151" i="18"/>
  <c r="AF151" i="18"/>
  <c r="Y151" i="18"/>
  <c r="W151" i="18"/>
  <c r="U151" i="18"/>
  <c r="T151" i="18"/>
  <c r="S151" i="18"/>
  <c r="R151" i="18"/>
  <c r="O151" i="18"/>
  <c r="M151" i="18"/>
  <c r="L151" i="18"/>
  <c r="E151" i="18"/>
  <c r="AG150" i="18"/>
  <c r="AF150" i="18"/>
  <c r="AE150" i="18"/>
  <c r="AE151" i="18" s="1"/>
  <c r="AD150" i="18"/>
  <c r="AD151" i="18" s="1"/>
  <c r="AC150" i="18"/>
  <c r="AC151" i="18" s="1"/>
  <c r="AB150" i="18"/>
  <c r="AB151" i="18" s="1"/>
  <c r="AA150" i="18"/>
  <c r="Z150" i="18"/>
  <c r="Y150" i="18"/>
  <c r="X150" i="18"/>
  <c r="W150" i="18"/>
  <c r="W169" i="18" s="1"/>
  <c r="W170" i="18" s="1"/>
  <c r="V150" i="18"/>
  <c r="V169" i="18" s="1"/>
  <c r="V170" i="18" s="1"/>
  <c r="U150" i="18"/>
  <c r="U169" i="18" s="1"/>
  <c r="U170" i="18" s="1"/>
  <c r="T150" i="18"/>
  <c r="S150" i="18"/>
  <c r="R150" i="18"/>
  <c r="Q150" i="18"/>
  <c r="Q169" i="18" s="1"/>
  <c r="P150" i="18"/>
  <c r="P169" i="18" s="1"/>
  <c r="P170" i="18" s="1"/>
  <c r="O150" i="18"/>
  <c r="O169" i="18" s="1"/>
  <c r="O170" i="18" s="1"/>
  <c r="N150" i="18"/>
  <c r="M150" i="18"/>
  <c r="L150" i="18"/>
  <c r="K150" i="18"/>
  <c r="K151" i="18" s="1"/>
  <c r="J150" i="18"/>
  <c r="J151" i="18" s="1"/>
  <c r="I150" i="18"/>
  <c r="I151" i="18" s="1"/>
  <c r="H150" i="18"/>
  <c r="H151" i="18" s="1"/>
  <c r="G150" i="18"/>
  <c r="F150" i="18"/>
  <c r="E150" i="18"/>
  <c r="D150" i="18"/>
  <c r="C149" i="18"/>
  <c r="C148" i="18"/>
  <c r="C147" i="18"/>
  <c r="C146" i="18"/>
  <c r="C144" i="18"/>
  <c r="C145" i="18" s="1"/>
  <c r="C143" i="18"/>
  <c r="C142" i="18"/>
  <c r="C141" i="18"/>
  <c r="C140" i="18"/>
  <c r="C138" i="18"/>
  <c r="C139" i="18" s="1"/>
  <c r="C136" i="18"/>
  <c r="C137" i="18" s="1"/>
  <c r="C134" i="18"/>
  <c r="C135" i="18" s="1"/>
  <c r="C133" i="18"/>
  <c r="C132" i="18"/>
  <c r="C130" i="18"/>
  <c r="C131" i="18" s="1"/>
  <c r="C129" i="18"/>
  <c r="C128" i="18"/>
  <c r="C127" i="18"/>
  <c r="C126" i="18"/>
  <c r="C124" i="18"/>
  <c r="C125" i="18" s="1"/>
  <c r="C123" i="18"/>
  <c r="C122" i="18"/>
  <c r="C121" i="18"/>
  <c r="C120" i="18"/>
  <c r="C118" i="18"/>
  <c r="C119" i="18" s="1"/>
  <c r="C116" i="18"/>
  <c r="C117" i="18" s="1"/>
  <c r="C114" i="18"/>
  <c r="C115" i="18" s="1"/>
  <c r="C113" i="18"/>
  <c r="C112" i="18"/>
  <c r="C110" i="18"/>
  <c r="C111" i="18" s="1"/>
  <c r="AA109" i="18"/>
  <c r="Y109" i="18"/>
  <c r="W109" i="18"/>
  <c r="V109" i="18"/>
  <c r="U109" i="18"/>
  <c r="T109" i="18"/>
  <c r="Q109" i="18"/>
  <c r="O109" i="18"/>
  <c r="N109" i="18"/>
  <c r="G109" i="18"/>
  <c r="E109" i="18"/>
  <c r="AG108" i="18"/>
  <c r="AG109" i="18" s="1"/>
  <c r="AF108" i="18"/>
  <c r="AF109" i="18" s="1"/>
  <c r="AE108" i="18"/>
  <c r="AE109" i="18" s="1"/>
  <c r="AD108" i="18"/>
  <c r="AD109" i="18" s="1"/>
  <c r="AC108" i="18"/>
  <c r="AC109" i="18" s="1"/>
  <c r="AB108" i="18"/>
  <c r="AB109" i="18" s="1"/>
  <c r="AA108" i="18"/>
  <c r="Z108" i="18"/>
  <c r="Z109" i="18" s="1"/>
  <c r="Y108" i="18"/>
  <c r="X108" i="18"/>
  <c r="X109" i="18" s="1"/>
  <c r="W108" i="18"/>
  <c r="V108" i="18"/>
  <c r="U108" i="18"/>
  <c r="T108" i="18"/>
  <c r="S108" i="18"/>
  <c r="S169" i="18" s="1"/>
  <c r="S170" i="18" s="1"/>
  <c r="R108" i="18"/>
  <c r="R109" i="18" s="1"/>
  <c r="Q108" i="18"/>
  <c r="P108" i="18"/>
  <c r="P109" i="18" s="1"/>
  <c r="O108" i="18"/>
  <c r="N108" i="18"/>
  <c r="M108" i="18"/>
  <c r="M109" i="18" s="1"/>
  <c r="L108" i="18"/>
  <c r="L109" i="18" s="1"/>
  <c r="K108" i="18"/>
  <c r="K109" i="18" s="1"/>
  <c r="J108" i="18"/>
  <c r="J109" i="18" s="1"/>
  <c r="I108" i="18"/>
  <c r="I109" i="18" s="1"/>
  <c r="H108" i="18"/>
  <c r="H109" i="18" s="1"/>
  <c r="G108" i="18"/>
  <c r="F108" i="18"/>
  <c r="F109" i="18" s="1"/>
  <c r="E108" i="18"/>
  <c r="D108" i="18"/>
  <c r="C107" i="18"/>
  <c r="C106" i="18"/>
  <c r="C104" i="18"/>
  <c r="C105" i="18" s="1"/>
  <c r="C103" i="18"/>
  <c r="C102" i="18"/>
  <c r="C101" i="18"/>
  <c r="C100" i="18"/>
  <c r="C98" i="18"/>
  <c r="C99" i="18" s="1"/>
  <c r="C96" i="18"/>
  <c r="C97" i="18" s="1"/>
  <c r="AG95" i="18"/>
  <c r="AF95" i="18"/>
  <c r="AE95" i="18"/>
  <c r="AD95" i="18"/>
  <c r="W95" i="18"/>
  <c r="V95" i="18"/>
  <c r="T95" i="18"/>
  <c r="S95" i="18"/>
  <c r="R95" i="18"/>
  <c r="Q95" i="18"/>
  <c r="P95" i="18"/>
  <c r="O95" i="18"/>
  <c r="M95" i="18"/>
  <c r="L95" i="18"/>
  <c r="K95" i="18"/>
  <c r="J95" i="18"/>
  <c r="AH94" i="18"/>
  <c r="AH95" i="18" s="1"/>
  <c r="AG94" i="18"/>
  <c r="AF94" i="18"/>
  <c r="AE94" i="18"/>
  <c r="AD94" i="18"/>
  <c r="AC94" i="18"/>
  <c r="AC95" i="18" s="1"/>
  <c r="AB94" i="18"/>
  <c r="AB95" i="18" s="1"/>
  <c r="AA94" i="18"/>
  <c r="AA95" i="18" s="1"/>
  <c r="Z94" i="18"/>
  <c r="Z95" i="18" s="1"/>
  <c r="Y94" i="18"/>
  <c r="Y95" i="18" s="1"/>
  <c r="X94" i="18"/>
  <c r="X95" i="18" s="1"/>
  <c r="W94" i="18"/>
  <c r="V94" i="18"/>
  <c r="U94" i="18"/>
  <c r="U95" i="18" s="1"/>
  <c r="T94" i="18"/>
  <c r="S94" i="18"/>
  <c r="R94" i="18"/>
  <c r="Q94" i="18"/>
  <c r="P94" i="18"/>
  <c r="O94" i="18"/>
  <c r="N94" i="18"/>
  <c r="N95" i="18" s="1"/>
  <c r="M94" i="18"/>
  <c r="L94" i="18"/>
  <c r="K94" i="18"/>
  <c r="J94" i="18"/>
  <c r="I94" i="18"/>
  <c r="I95" i="18" s="1"/>
  <c r="H94" i="18"/>
  <c r="H95" i="18" s="1"/>
  <c r="G94" i="18"/>
  <c r="G95" i="18" s="1"/>
  <c r="F94" i="18"/>
  <c r="F95" i="18" s="1"/>
  <c r="E94" i="18"/>
  <c r="E95" i="18" s="1"/>
  <c r="D94" i="18"/>
  <c r="C92" i="18"/>
  <c r="C93" i="18" s="1"/>
  <c r="C91" i="18"/>
  <c r="C90" i="18"/>
  <c r="C89" i="18"/>
  <c r="C88" i="18"/>
  <c r="R85" i="18"/>
  <c r="Q85" i="18"/>
  <c r="O85" i="18"/>
  <c r="O86" i="18" s="1"/>
  <c r="D85" i="18"/>
  <c r="AA84" i="18"/>
  <c r="P84" i="18"/>
  <c r="AB83" i="18"/>
  <c r="AB84" i="18" s="1"/>
  <c r="S83" i="18"/>
  <c r="S84" i="18" s="1"/>
  <c r="R83" i="18"/>
  <c r="R84" i="18" s="1"/>
  <c r="P83" i="18"/>
  <c r="O83" i="18"/>
  <c r="O84" i="18" s="1"/>
  <c r="AH82" i="18"/>
  <c r="AG82" i="18"/>
  <c r="AF82" i="18"/>
  <c r="AE82" i="18"/>
  <c r="AD82" i="18"/>
  <c r="AC82" i="18"/>
  <c r="AB82" i="18"/>
  <c r="AA82" i="18"/>
  <c r="Z82" i="18"/>
  <c r="Y82" i="18"/>
  <c r="X82" i="18"/>
  <c r="W82" i="18"/>
  <c r="V82" i="18"/>
  <c r="U82" i="18"/>
  <c r="T82" i="18"/>
  <c r="S82" i="18"/>
  <c r="R82" i="18"/>
  <c r="Q82" i="18"/>
  <c r="P82" i="18"/>
  <c r="M82" i="18"/>
  <c r="L82" i="18"/>
  <c r="K82" i="18"/>
  <c r="J82" i="18"/>
  <c r="I82" i="18"/>
  <c r="H82" i="18"/>
  <c r="G82" i="18"/>
  <c r="F82" i="18"/>
  <c r="E82" i="18"/>
  <c r="D82" i="18"/>
  <c r="AH81" i="18"/>
  <c r="AG81" i="18"/>
  <c r="AF81" i="18"/>
  <c r="AE81" i="18"/>
  <c r="AD81" i="18"/>
  <c r="AC81" i="18"/>
  <c r="AB81" i="18"/>
  <c r="AA81" i="18"/>
  <c r="Z81" i="18"/>
  <c r="Y81" i="18"/>
  <c r="X81" i="18"/>
  <c r="W81" i="18"/>
  <c r="V81" i="18"/>
  <c r="U81" i="18"/>
  <c r="T81" i="18"/>
  <c r="S81" i="18"/>
  <c r="R81" i="18"/>
  <c r="Q81" i="18"/>
  <c r="P81" i="18"/>
  <c r="M81" i="18"/>
  <c r="L81" i="18"/>
  <c r="K81" i="18"/>
  <c r="J81" i="18"/>
  <c r="I81" i="18"/>
  <c r="H81" i="18"/>
  <c r="G81" i="18"/>
  <c r="F81" i="18"/>
  <c r="E81" i="18"/>
  <c r="D81" i="18"/>
  <c r="AH80" i="18"/>
  <c r="AG80" i="18"/>
  <c r="AF80" i="18"/>
  <c r="AE80" i="18"/>
  <c r="AD80" i="18"/>
  <c r="AC80" i="18"/>
  <c r="AB80" i="18"/>
  <c r="AA80" i="18"/>
  <c r="Z80" i="18"/>
  <c r="Y80" i="18"/>
  <c r="X80" i="18"/>
  <c r="W80" i="18"/>
  <c r="V80" i="18"/>
  <c r="U80" i="18"/>
  <c r="T80" i="18"/>
  <c r="S80" i="18"/>
  <c r="R80" i="18"/>
  <c r="Q80" i="18"/>
  <c r="P80" i="18"/>
  <c r="M80" i="18"/>
  <c r="L80" i="18"/>
  <c r="K80" i="18"/>
  <c r="J80" i="18"/>
  <c r="I80" i="18"/>
  <c r="H80" i="18"/>
  <c r="G80" i="18"/>
  <c r="F80" i="18"/>
  <c r="E80" i="18"/>
  <c r="D80" i="18"/>
  <c r="AH79" i="18"/>
  <c r="AG79" i="18"/>
  <c r="AG83" i="18" s="1"/>
  <c r="AF79" i="18"/>
  <c r="AF83" i="18" s="1"/>
  <c r="AF84" i="18" s="1"/>
  <c r="AE79" i="18"/>
  <c r="AE83" i="18" s="1"/>
  <c r="AD79" i="18"/>
  <c r="AC79" i="18"/>
  <c r="AB79" i="18"/>
  <c r="AA79" i="18"/>
  <c r="AA83" i="18" s="1"/>
  <c r="Z79" i="18"/>
  <c r="Y79" i="18"/>
  <c r="X79" i="18"/>
  <c r="W79" i="18"/>
  <c r="W83" i="18" s="1"/>
  <c r="W84" i="18" s="1"/>
  <c r="V79" i="18"/>
  <c r="U79" i="18"/>
  <c r="U83" i="18" s="1"/>
  <c r="U84" i="18" s="1"/>
  <c r="T79" i="18"/>
  <c r="S79" i="18"/>
  <c r="R79" i="18"/>
  <c r="Q79" i="18"/>
  <c r="P79" i="18"/>
  <c r="M79" i="18"/>
  <c r="M83" i="18" s="1"/>
  <c r="M84" i="18" s="1"/>
  <c r="L79" i="18"/>
  <c r="K79" i="18"/>
  <c r="K83" i="18" s="1"/>
  <c r="J79" i="18"/>
  <c r="J83" i="18" s="1"/>
  <c r="J84" i="18" s="1"/>
  <c r="I79" i="18"/>
  <c r="I83" i="18" s="1"/>
  <c r="H79" i="18"/>
  <c r="G79" i="18"/>
  <c r="G83" i="18" s="1"/>
  <c r="G84" i="18" s="1"/>
  <c r="F79" i="18"/>
  <c r="E79" i="18"/>
  <c r="D79" i="18"/>
  <c r="D83" i="18" s="1"/>
  <c r="AH78" i="18"/>
  <c r="AG78" i="18"/>
  <c r="AF78" i="18"/>
  <c r="AE78" i="18"/>
  <c r="AD78" i="18"/>
  <c r="AC78" i="18"/>
  <c r="AB78" i="18"/>
  <c r="AA78" i="18"/>
  <c r="Z78" i="18"/>
  <c r="Y78" i="18"/>
  <c r="X78" i="18"/>
  <c r="W78" i="18"/>
  <c r="V78" i="18"/>
  <c r="U78" i="18"/>
  <c r="T78" i="18"/>
  <c r="S78" i="18"/>
  <c r="R78" i="18"/>
  <c r="Q78" i="18"/>
  <c r="P78" i="18"/>
  <c r="M78" i="18"/>
  <c r="L78" i="18"/>
  <c r="K78" i="18"/>
  <c r="J78" i="18"/>
  <c r="I78" i="18"/>
  <c r="H78" i="18"/>
  <c r="G78" i="18"/>
  <c r="F78" i="18"/>
  <c r="E78" i="18"/>
  <c r="D78" i="18"/>
  <c r="AH77" i="18"/>
  <c r="AG77" i="18"/>
  <c r="AF77" i="18"/>
  <c r="AE77" i="18"/>
  <c r="AD77" i="18"/>
  <c r="AC77" i="18"/>
  <c r="AB77" i="18"/>
  <c r="AA77" i="18"/>
  <c r="Z77" i="18"/>
  <c r="Y77" i="18"/>
  <c r="X77" i="18"/>
  <c r="W77" i="18"/>
  <c r="V77" i="18"/>
  <c r="U77" i="18"/>
  <c r="T77" i="18"/>
  <c r="S77" i="18"/>
  <c r="R77" i="18"/>
  <c r="Q77" i="18"/>
  <c r="P77" i="18"/>
  <c r="M77" i="18"/>
  <c r="L77" i="18"/>
  <c r="K77" i="18"/>
  <c r="J77" i="18"/>
  <c r="I77" i="18"/>
  <c r="H77" i="18"/>
  <c r="G77" i="18"/>
  <c r="F77" i="18"/>
  <c r="E77" i="18"/>
  <c r="D77" i="18"/>
  <c r="AH76" i="18"/>
  <c r="AG76" i="18"/>
  <c r="AF76" i="18"/>
  <c r="AE76" i="18"/>
  <c r="AD76" i="18"/>
  <c r="AC76" i="18"/>
  <c r="AB76" i="18"/>
  <c r="AA76" i="18"/>
  <c r="Z76" i="18"/>
  <c r="Y76" i="18"/>
  <c r="X76" i="18"/>
  <c r="W76" i="18"/>
  <c r="V76" i="18"/>
  <c r="U76" i="18"/>
  <c r="T76" i="18"/>
  <c r="S76" i="18"/>
  <c r="R76" i="18"/>
  <c r="Q76" i="18"/>
  <c r="P76" i="18"/>
  <c r="M76" i="18"/>
  <c r="L76" i="18"/>
  <c r="K76" i="18"/>
  <c r="J76" i="18"/>
  <c r="I76" i="18"/>
  <c r="H76" i="18"/>
  <c r="G76" i="18"/>
  <c r="F76" i="18"/>
  <c r="E76" i="18"/>
  <c r="D76" i="18"/>
  <c r="AH75" i="18"/>
  <c r="AG75" i="18"/>
  <c r="AF75" i="18"/>
  <c r="AE75" i="18"/>
  <c r="AD75" i="18"/>
  <c r="AC75" i="18"/>
  <c r="AB75" i="18"/>
  <c r="AA75" i="18"/>
  <c r="Z75" i="18"/>
  <c r="Y75" i="18"/>
  <c r="X75" i="18"/>
  <c r="W75" i="18"/>
  <c r="V75" i="18"/>
  <c r="U75" i="18"/>
  <c r="T75" i="18"/>
  <c r="S75" i="18"/>
  <c r="R75" i="18"/>
  <c r="Q75" i="18"/>
  <c r="P75" i="18"/>
  <c r="M75" i="18"/>
  <c r="L75" i="18"/>
  <c r="K75" i="18"/>
  <c r="J75" i="18"/>
  <c r="I75" i="18"/>
  <c r="H75" i="18"/>
  <c r="G75" i="18"/>
  <c r="F75" i="18"/>
  <c r="E75" i="18"/>
  <c r="D75" i="18"/>
  <c r="AH74" i="18"/>
  <c r="AG74" i="18"/>
  <c r="AF74" i="18"/>
  <c r="AE74" i="18"/>
  <c r="AD74" i="18"/>
  <c r="AC74" i="18"/>
  <c r="AB74" i="18"/>
  <c r="AA74" i="18"/>
  <c r="Z74" i="18"/>
  <c r="Y74" i="18"/>
  <c r="X74" i="18"/>
  <c r="W74" i="18"/>
  <c r="V74" i="18"/>
  <c r="U74" i="18"/>
  <c r="T74" i="18"/>
  <c r="S74" i="18"/>
  <c r="R74" i="18"/>
  <c r="Q74" i="18"/>
  <c r="P74" i="18"/>
  <c r="M74" i="18"/>
  <c r="L74" i="18"/>
  <c r="K74" i="18"/>
  <c r="J74" i="18"/>
  <c r="I74" i="18"/>
  <c r="H74" i="18"/>
  <c r="G74" i="18"/>
  <c r="F74" i="18"/>
  <c r="E74" i="18"/>
  <c r="D74" i="18"/>
  <c r="AH73" i="18"/>
  <c r="AG73" i="18"/>
  <c r="AF73" i="18"/>
  <c r="AE73" i="18"/>
  <c r="AD73" i="18"/>
  <c r="AC73" i="18"/>
  <c r="AB73" i="18"/>
  <c r="AA73" i="18"/>
  <c r="Z73" i="18"/>
  <c r="Y73" i="18"/>
  <c r="X73" i="18"/>
  <c r="W73" i="18"/>
  <c r="V73" i="18"/>
  <c r="U73" i="18"/>
  <c r="T73" i="18"/>
  <c r="S73" i="18"/>
  <c r="R73" i="18"/>
  <c r="Q73" i="18"/>
  <c r="P73" i="18"/>
  <c r="M73" i="18"/>
  <c r="L73" i="18"/>
  <c r="K73" i="18"/>
  <c r="J73" i="18"/>
  <c r="I73" i="18"/>
  <c r="H73" i="18"/>
  <c r="G73" i="18"/>
  <c r="F73" i="18"/>
  <c r="E73" i="18"/>
  <c r="D73" i="18"/>
  <c r="AH72" i="18"/>
  <c r="AG72" i="18"/>
  <c r="AF72" i="18"/>
  <c r="AE72" i="18"/>
  <c r="AD72" i="18"/>
  <c r="AC72" i="18"/>
  <c r="AB72" i="18"/>
  <c r="AA72" i="18"/>
  <c r="Z72" i="18"/>
  <c r="Y72" i="18"/>
  <c r="X72" i="18"/>
  <c r="W72" i="18"/>
  <c r="V72" i="18"/>
  <c r="U72" i="18"/>
  <c r="T72" i="18"/>
  <c r="S72" i="18"/>
  <c r="R72" i="18"/>
  <c r="Q72" i="18"/>
  <c r="P72" i="18"/>
  <c r="M72" i="18"/>
  <c r="L72" i="18"/>
  <c r="K72" i="18"/>
  <c r="J72" i="18"/>
  <c r="I72" i="18"/>
  <c r="H72" i="18"/>
  <c r="G72" i="18"/>
  <c r="F72" i="18"/>
  <c r="E72" i="18"/>
  <c r="D72" i="18"/>
  <c r="AH71" i="18"/>
  <c r="AG71" i="18"/>
  <c r="AF71" i="18"/>
  <c r="AE71" i="18"/>
  <c r="AD71" i="18"/>
  <c r="AC71" i="18"/>
  <c r="AB71" i="18"/>
  <c r="AA71" i="18"/>
  <c r="Z71" i="18"/>
  <c r="Y71" i="18"/>
  <c r="X71" i="18"/>
  <c r="W71" i="18"/>
  <c r="V71" i="18"/>
  <c r="U71" i="18"/>
  <c r="T71" i="18"/>
  <c r="S71" i="18"/>
  <c r="R71" i="18"/>
  <c r="Q71" i="18"/>
  <c r="P71" i="18"/>
  <c r="M71" i="18"/>
  <c r="L71" i="18"/>
  <c r="K71" i="18"/>
  <c r="J71" i="18"/>
  <c r="I71" i="18"/>
  <c r="H71" i="18"/>
  <c r="C71" i="18" s="1"/>
  <c r="C72" i="18" s="1"/>
  <c r="G71" i="18"/>
  <c r="F71" i="18"/>
  <c r="E71" i="18"/>
  <c r="D71" i="18"/>
  <c r="AH70" i="18"/>
  <c r="AG70" i="18"/>
  <c r="AF70" i="18"/>
  <c r="AE70" i="18"/>
  <c r="AD70" i="18"/>
  <c r="AC70" i="18"/>
  <c r="AB70" i="18"/>
  <c r="AA70" i="18"/>
  <c r="Z70" i="18"/>
  <c r="Y70" i="18"/>
  <c r="X70" i="18"/>
  <c r="W70" i="18"/>
  <c r="V70" i="18"/>
  <c r="U70" i="18"/>
  <c r="T70" i="18"/>
  <c r="S70" i="18"/>
  <c r="R70" i="18"/>
  <c r="Q70" i="18"/>
  <c r="P70" i="18"/>
  <c r="M70" i="18"/>
  <c r="L70" i="18"/>
  <c r="K70" i="18"/>
  <c r="J70" i="18"/>
  <c r="I70" i="18"/>
  <c r="H70" i="18"/>
  <c r="G70" i="18"/>
  <c r="F70" i="18"/>
  <c r="E70" i="18"/>
  <c r="D70" i="18"/>
  <c r="AH69" i="18"/>
  <c r="AG69" i="18"/>
  <c r="AF69" i="18"/>
  <c r="AE69" i="18"/>
  <c r="AD69" i="18"/>
  <c r="AC69" i="18"/>
  <c r="AB69" i="18"/>
  <c r="AA69" i="18"/>
  <c r="Z69" i="18"/>
  <c r="Y69" i="18"/>
  <c r="X69" i="18"/>
  <c r="W69" i="18"/>
  <c r="V69" i="18"/>
  <c r="U69" i="18"/>
  <c r="T69" i="18"/>
  <c r="S69" i="18"/>
  <c r="R69" i="18"/>
  <c r="Q69" i="18"/>
  <c r="P69" i="18"/>
  <c r="M69" i="18"/>
  <c r="L69" i="18"/>
  <c r="K69" i="18"/>
  <c r="J69" i="18"/>
  <c r="I69" i="18"/>
  <c r="H69" i="18"/>
  <c r="G69" i="18"/>
  <c r="F69" i="18"/>
  <c r="E69" i="18"/>
  <c r="D69" i="18"/>
  <c r="AH68" i="18"/>
  <c r="AG68" i="18"/>
  <c r="AF68" i="18"/>
  <c r="AE68" i="18"/>
  <c r="AD68" i="18"/>
  <c r="AC68" i="18"/>
  <c r="AB68" i="18"/>
  <c r="AA68" i="18"/>
  <c r="Z68" i="18"/>
  <c r="Y68" i="18"/>
  <c r="X68" i="18"/>
  <c r="W68" i="18"/>
  <c r="V68" i="18"/>
  <c r="U68" i="18"/>
  <c r="T68" i="18"/>
  <c r="S68" i="18"/>
  <c r="R68" i="18"/>
  <c r="Q68" i="18"/>
  <c r="P68" i="18"/>
  <c r="M68" i="18"/>
  <c r="L68" i="18"/>
  <c r="K68" i="18"/>
  <c r="J68" i="18"/>
  <c r="I68" i="18"/>
  <c r="H68" i="18"/>
  <c r="G68" i="18"/>
  <c r="F68" i="18"/>
  <c r="E68" i="18"/>
  <c r="D68" i="18"/>
  <c r="AH67" i="18"/>
  <c r="AG67" i="18"/>
  <c r="AF67" i="18"/>
  <c r="AE67" i="18"/>
  <c r="AD67" i="18"/>
  <c r="AC67" i="18"/>
  <c r="AB67" i="18"/>
  <c r="AA67" i="18"/>
  <c r="Z67" i="18"/>
  <c r="Y67" i="18"/>
  <c r="X67" i="18"/>
  <c r="W67" i="18"/>
  <c r="V67" i="18"/>
  <c r="U67" i="18"/>
  <c r="T67" i="18"/>
  <c r="S67" i="18"/>
  <c r="R67" i="18"/>
  <c r="Q67" i="18"/>
  <c r="P67" i="18"/>
  <c r="M67" i="18"/>
  <c r="L67" i="18"/>
  <c r="K67" i="18"/>
  <c r="J67" i="18"/>
  <c r="I67" i="18"/>
  <c r="H67" i="18"/>
  <c r="C67" i="18" s="1"/>
  <c r="C68" i="18" s="1"/>
  <c r="G67" i="18"/>
  <c r="F67" i="18"/>
  <c r="E67" i="18"/>
  <c r="D67" i="18"/>
  <c r="AH66" i="18"/>
  <c r="AG66" i="18"/>
  <c r="AF66" i="18"/>
  <c r="AE66" i="18"/>
  <c r="AD66" i="18"/>
  <c r="AC66" i="18"/>
  <c r="AB66" i="18"/>
  <c r="AA66" i="18"/>
  <c r="Z66" i="18"/>
  <c r="Y66" i="18"/>
  <c r="X66" i="18"/>
  <c r="W66" i="18"/>
  <c r="V66" i="18"/>
  <c r="U66" i="18"/>
  <c r="T66" i="18"/>
  <c r="S66" i="18"/>
  <c r="R66" i="18"/>
  <c r="Q66" i="18"/>
  <c r="P66" i="18"/>
  <c r="M66" i="18"/>
  <c r="L66" i="18"/>
  <c r="K66" i="18"/>
  <c r="J66" i="18"/>
  <c r="I66" i="18"/>
  <c r="H66" i="18"/>
  <c r="G66" i="18"/>
  <c r="F66" i="18"/>
  <c r="E66" i="18"/>
  <c r="D66" i="18"/>
  <c r="AH65" i="18"/>
  <c r="AG65" i="18"/>
  <c r="AF65" i="18"/>
  <c r="AE65" i="18"/>
  <c r="AD65" i="18"/>
  <c r="AC65" i="18"/>
  <c r="AB65" i="18"/>
  <c r="AA65" i="18"/>
  <c r="Z65" i="18"/>
  <c r="Y65" i="18"/>
  <c r="X65" i="18"/>
  <c r="X85" i="18" s="1"/>
  <c r="W65" i="18"/>
  <c r="V65" i="18"/>
  <c r="U65" i="18"/>
  <c r="T65" i="18"/>
  <c r="S65" i="18"/>
  <c r="R65" i="18"/>
  <c r="Q65" i="18"/>
  <c r="P65" i="18"/>
  <c r="M65" i="18"/>
  <c r="L65" i="18"/>
  <c r="K65" i="18"/>
  <c r="J65" i="18"/>
  <c r="I65" i="18"/>
  <c r="H65" i="18"/>
  <c r="G65" i="18"/>
  <c r="F65" i="18"/>
  <c r="E65" i="18"/>
  <c r="D65" i="18"/>
  <c r="AH64" i="18"/>
  <c r="AG64" i="18"/>
  <c r="AF64" i="18"/>
  <c r="AE64" i="18"/>
  <c r="AD64" i="18"/>
  <c r="AC64" i="18"/>
  <c r="AB64" i="18"/>
  <c r="AA64" i="18"/>
  <c r="Z64" i="18"/>
  <c r="Y64" i="18"/>
  <c r="X64" i="18"/>
  <c r="W64" i="18"/>
  <c r="V64" i="18"/>
  <c r="U64" i="18"/>
  <c r="T64" i="18"/>
  <c r="S64" i="18"/>
  <c r="R64" i="18"/>
  <c r="Q64" i="18"/>
  <c r="P64" i="18"/>
  <c r="M64" i="18"/>
  <c r="L64" i="18"/>
  <c r="K64" i="18"/>
  <c r="J64" i="18"/>
  <c r="I64" i="18"/>
  <c r="I84" i="18" s="1"/>
  <c r="H64" i="18"/>
  <c r="G64" i="18"/>
  <c r="F64" i="18"/>
  <c r="E64" i="18"/>
  <c r="D64" i="18"/>
  <c r="AH63" i="18"/>
  <c r="AG63" i="18"/>
  <c r="AF63" i="18"/>
  <c r="AE63" i="18"/>
  <c r="AD63" i="18"/>
  <c r="AC63" i="18"/>
  <c r="AB63" i="18"/>
  <c r="AA63" i="18"/>
  <c r="Z63" i="18"/>
  <c r="Y63" i="18"/>
  <c r="X63" i="18"/>
  <c r="W63" i="18"/>
  <c r="V63" i="18"/>
  <c r="U63" i="18"/>
  <c r="T63" i="18"/>
  <c r="S63" i="18"/>
  <c r="R63" i="18"/>
  <c r="Q63" i="18"/>
  <c r="Q83" i="18" s="1"/>
  <c r="Q84" i="18" s="1"/>
  <c r="P63" i="18"/>
  <c r="M63" i="18"/>
  <c r="L63" i="18"/>
  <c r="K63" i="18"/>
  <c r="J63" i="18"/>
  <c r="I63" i="18"/>
  <c r="H63" i="18"/>
  <c r="G63" i="18"/>
  <c r="F63" i="18"/>
  <c r="E63" i="18"/>
  <c r="C63" i="18" s="1"/>
  <c r="D63" i="18"/>
  <c r="AH62" i="18"/>
  <c r="AG62" i="18"/>
  <c r="AF62" i="18"/>
  <c r="AE62" i="18"/>
  <c r="AD62" i="18"/>
  <c r="AC62" i="18"/>
  <c r="AB62" i="18"/>
  <c r="AA62" i="18"/>
  <c r="Z62" i="18"/>
  <c r="Y62" i="18"/>
  <c r="X62" i="18"/>
  <c r="W62" i="18"/>
  <c r="V62" i="18"/>
  <c r="U62" i="18"/>
  <c r="T62" i="18"/>
  <c r="S62" i="18"/>
  <c r="R62" i="18"/>
  <c r="Q62" i="18"/>
  <c r="P62" i="18"/>
  <c r="O62" i="18"/>
  <c r="N62" i="18"/>
  <c r="M62" i="18"/>
  <c r="L62" i="18"/>
  <c r="K62" i="18"/>
  <c r="J62" i="18"/>
  <c r="I62" i="18"/>
  <c r="H62" i="18"/>
  <c r="G62" i="18"/>
  <c r="F62" i="18"/>
  <c r="E62" i="18"/>
  <c r="D62" i="18"/>
  <c r="AH61" i="18"/>
  <c r="AH83" i="18" s="1"/>
  <c r="AG61" i="18"/>
  <c r="AF61" i="18"/>
  <c r="AE61" i="18"/>
  <c r="AD61" i="18"/>
  <c r="AC61" i="18"/>
  <c r="AC83" i="18" s="1"/>
  <c r="AC84" i="18" s="1"/>
  <c r="AB61" i="18"/>
  <c r="AA61" i="18"/>
  <c r="Z61" i="18"/>
  <c r="Z83" i="18" s="1"/>
  <c r="Z84" i="18" s="1"/>
  <c r="Y61" i="18"/>
  <c r="X61" i="18"/>
  <c r="W61" i="18"/>
  <c r="V61" i="18"/>
  <c r="V83" i="18" s="1"/>
  <c r="V84" i="18" s="1"/>
  <c r="U61" i="18"/>
  <c r="T61" i="18"/>
  <c r="S61" i="18"/>
  <c r="R61" i="18"/>
  <c r="Q61" i="18"/>
  <c r="P61" i="18"/>
  <c r="O61" i="18"/>
  <c r="N61" i="18"/>
  <c r="N83" i="18" s="1"/>
  <c r="N84" i="18" s="1"/>
  <c r="M61" i="18"/>
  <c r="L61" i="18"/>
  <c r="K61" i="18"/>
  <c r="J61" i="18"/>
  <c r="I61" i="18"/>
  <c r="H61" i="18"/>
  <c r="G61" i="18"/>
  <c r="F61" i="18"/>
  <c r="C61" i="18" s="1"/>
  <c r="C62" i="18" s="1"/>
  <c r="E61" i="18"/>
  <c r="D61" i="18"/>
  <c r="AH60" i="18"/>
  <c r="Y60" i="18"/>
  <c r="X60" i="18"/>
  <c r="R60" i="18"/>
  <c r="Q60" i="18"/>
  <c r="E60" i="18"/>
  <c r="D60" i="18"/>
  <c r="AA59" i="18"/>
  <c r="AA60" i="18" s="1"/>
  <c r="Z59" i="18"/>
  <c r="Z60" i="18" s="1"/>
  <c r="Y59" i="18"/>
  <c r="X59" i="18"/>
  <c r="Q59" i="18"/>
  <c r="P59" i="18"/>
  <c r="P60" i="18" s="1"/>
  <c r="M59" i="18"/>
  <c r="M60" i="18" s="1"/>
  <c r="I59" i="18"/>
  <c r="I60" i="18" s="1"/>
  <c r="G59" i="18"/>
  <c r="G60" i="18" s="1"/>
  <c r="F59" i="18"/>
  <c r="F60" i="18" s="1"/>
  <c r="E59" i="18"/>
  <c r="D59" i="18"/>
  <c r="C57" i="18"/>
  <c r="AH56" i="18"/>
  <c r="AG56" i="18"/>
  <c r="AF56" i="18"/>
  <c r="AE56" i="18"/>
  <c r="AD56" i="18"/>
  <c r="AC56" i="18"/>
  <c r="AB56" i="18"/>
  <c r="AA56" i="18"/>
  <c r="Z56" i="18"/>
  <c r="Y56" i="18"/>
  <c r="X56" i="18"/>
  <c r="W56" i="18"/>
  <c r="V56" i="18"/>
  <c r="U56" i="18"/>
  <c r="T56" i="18"/>
  <c r="S56" i="18"/>
  <c r="R56" i="18"/>
  <c r="Q56" i="18"/>
  <c r="P56" i="18"/>
  <c r="M56" i="18"/>
  <c r="L56" i="18"/>
  <c r="K56" i="18"/>
  <c r="J56" i="18"/>
  <c r="I56" i="18"/>
  <c r="H56" i="18"/>
  <c r="G56" i="18"/>
  <c r="F56" i="18"/>
  <c r="E56" i="18"/>
  <c r="D56" i="18"/>
  <c r="AH55" i="18"/>
  <c r="AH59" i="18" s="1"/>
  <c r="AG55" i="18"/>
  <c r="AG59" i="18" s="1"/>
  <c r="AG60" i="18" s="1"/>
  <c r="AF55" i="18"/>
  <c r="AF59" i="18" s="1"/>
  <c r="AF60" i="18" s="1"/>
  <c r="AE55" i="18"/>
  <c r="AD55" i="18"/>
  <c r="AC55" i="18"/>
  <c r="AC59" i="18" s="1"/>
  <c r="AC60" i="18" s="1"/>
  <c r="AB55" i="18"/>
  <c r="AB59" i="18" s="1"/>
  <c r="AB60" i="18" s="1"/>
  <c r="AA55" i="18"/>
  <c r="Z55" i="18"/>
  <c r="Y55" i="18"/>
  <c r="X55" i="18"/>
  <c r="W55" i="18"/>
  <c r="V55" i="18"/>
  <c r="U55" i="18"/>
  <c r="T55" i="18"/>
  <c r="T59" i="18" s="1"/>
  <c r="S55" i="18"/>
  <c r="S59" i="18" s="1"/>
  <c r="R55" i="18"/>
  <c r="Q55" i="18"/>
  <c r="P55" i="18"/>
  <c r="M55" i="18"/>
  <c r="L55" i="18"/>
  <c r="K55" i="18"/>
  <c r="J55" i="18"/>
  <c r="J59" i="18" s="1"/>
  <c r="J60" i="18" s="1"/>
  <c r="I55" i="18"/>
  <c r="H55" i="18"/>
  <c r="G55" i="18"/>
  <c r="F55" i="18"/>
  <c r="E55" i="18"/>
  <c r="D55" i="18"/>
  <c r="AH54" i="18"/>
  <c r="AG54" i="18"/>
  <c r="AF54" i="18"/>
  <c r="AE54" i="18"/>
  <c r="AD54" i="18"/>
  <c r="AC54" i="18"/>
  <c r="AB54" i="18"/>
  <c r="AA54" i="18"/>
  <c r="Z54" i="18"/>
  <c r="Y54" i="18"/>
  <c r="X54" i="18"/>
  <c r="W54" i="18"/>
  <c r="V54" i="18"/>
  <c r="U54" i="18"/>
  <c r="T54" i="18"/>
  <c r="S54" i="18"/>
  <c r="R54" i="18"/>
  <c r="Q54" i="18"/>
  <c r="P54" i="18"/>
  <c r="M54" i="18"/>
  <c r="L54" i="18"/>
  <c r="K54" i="18"/>
  <c r="J54" i="18"/>
  <c r="I54" i="18"/>
  <c r="H54" i="18"/>
  <c r="G54" i="18"/>
  <c r="F54" i="18"/>
  <c r="E54" i="18"/>
  <c r="D54" i="18"/>
  <c r="AH53" i="18"/>
  <c r="AG53" i="18"/>
  <c r="AF53" i="18"/>
  <c r="AE53" i="18"/>
  <c r="AD53" i="18"/>
  <c r="AD59" i="18" s="1"/>
  <c r="AD60" i="18" s="1"/>
  <c r="AC53" i="18"/>
  <c r="AB53" i="18"/>
  <c r="AA53" i="18"/>
  <c r="Z53" i="18"/>
  <c r="Y53" i="18"/>
  <c r="X53" i="18"/>
  <c r="W53" i="18"/>
  <c r="V53" i="18"/>
  <c r="U53" i="18"/>
  <c r="T53" i="18"/>
  <c r="S53" i="18"/>
  <c r="R53" i="18"/>
  <c r="Q53" i="18"/>
  <c r="P53" i="18"/>
  <c r="M53" i="18"/>
  <c r="L53" i="18"/>
  <c r="K53" i="18"/>
  <c r="J53" i="18"/>
  <c r="I53" i="18"/>
  <c r="H53" i="18"/>
  <c r="G53" i="18"/>
  <c r="F53" i="18"/>
  <c r="E53" i="18"/>
  <c r="D53" i="18"/>
  <c r="AH52" i="18"/>
  <c r="AG52" i="18"/>
  <c r="AF52" i="18"/>
  <c r="AE52" i="18"/>
  <c r="AD52" i="18"/>
  <c r="AC52" i="18"/>
  <c r="AB52" i="18"/>
  <c r="AA52" i="18"/>
  <c r="Z52" i="18"/>
  <c r="Y52" i="18"/>
  <c r="X52" i="18"/>
  <c r="W52" i="18"/>
  <c r="V52" i="18"/>
  <c r="U52" i="18"/>
  <c r="T52" i="18"/>
  <c r="S52" i="18"/>
  <c r="R52" i="18"/>
  <c r="Q52" i="18"/>
  <c r="P52" i="18"/>
  <c r="O52" i="18"/>
  <c r="N52" i="18"/>
  <c r="M52" i="18"/>
  <c r="L52" i="18"/>
  <c r="K52" i="18"/>
  <c r="J52" i="18"/>
  <c r="I52" i="18"/>
  <c r="H52" i="18"/>
  <c r="G52" i="18"/>
  <c r="F52" i="18"/>
  <c r="E52" i="18"/>
  <c r="D52" i="18"/>
  <c r="AH51" i="18"/>
  <c r="AG51" i="18"/>
  <c r="AF51" i="18"/>
  <c r="AE51" i="18"/>
  <c r="AE59" i="18" s="1"/>
  <c r="AE60" i="18" s="1"/>
  <c r="AD51" i="18"/>
  <c r="AC51" i="18"/>
  <c r="AB51" i="18"/>
  <c r="AA51" i="18"/>
  <c r="Z51" i="18"/>
  <c r="Y51" i="18"/>
  <c r="X51" i="18"/>
  <c r="W51" i="18"/>
  <c r="W59" i="18" s="1"/>
  <c r="V51" i="18"/>
  <c r="V59" i="18" s="1"/>
  <c r="U51" i="18"/>
  <c r="T51" i="18"/>
  <c r="S51" i="18"/>
  <c r="R51" i="18"/>
  <c r="R59" i="18" s="1"/>
  <c r="Q51" i="18"/>
  <c r="P51" i="18"/>
  <c r="O51" i="18"/>
  <c r="O59" i="18" s="1"/>
  <c r="O60" i="18" s="1"/>
  <c r="N51" i="18"/>
  <c r="N59" i="18" s="1"/>
  <c r="N6" i="18" s="1"/>
  <c r="N7" i="18" s="1"/>
  <c r="M51" i="18"/>
  <c r="L51" i="18"/>
  <c r="K51" i="18"/>
  <c r="J51" i="18"/>
  <c r="I51" i="18"/>
  <c r="H51" i="18"/>
  <c r="G51" i="18"/>
  <c r="F51" i="18"/>
  <c r="E51" i="18"/>
  <c r="D51" i="18"/>
  <c r="AG50" i="18"/>
  <c r="X50" i="18"/>
  <c r="W50" i="18"/>
  <c r="N50" i="18"/>
  <c r="D50" i="18"/>
  <c r="AH49" i="18"/>
  <c r="AG49" i="18"/>
  <c r="AF49" i="18"/>
  <c r="AF50" i="18" s="1"/>
  <c r="Y49" i="18"/>
  <c r="Y50" i="18" s="1"/>
  <c r="S49" i="18"/>
  <c r="S50" i="18" s="1"/>
  <c r="R49" i="18"/>
  <c r="R50" i="18" s="1"/>
  <c r="P49" i="18"/>
  <c r="P50" i="18" s="1"/>
  <c r="O49" i="18"/>
  <c r="N49" i="18"/>
  <c r="AH48" i="18"/>
  <c r="AG48" i="18"/>
  <c r="AF48" i="18"/>
  <c r="AE48" i="18"/>
  <c r="AD48" i="18"/>
  <c r="AC48" i="18"/>
  <c r="AB48" i="18"/>
  <c r="AA48" i="18"/>
  <c r="Z48" i="18"/>
  <c r="Y48" i="18"/>
  <c r="X48" i="18"/>
  <c r="W48" i="18"/>
  <c r="V48" i="18"/>
  <c r="U48" i="18"/>
  <c r="T48" i="18"/>
  <c r="S48" i="18"/>
  <c r="R48" i="18"/>
  <c r="Q48" i="18"/>
  <c r="P48" i="18"/>
  <c r="M48" i="18"/>
  <c r="L48" i="18"/>
  <c r="K48" i="18"/>
  <c r="J48" i="18"/>
  <c r="I48" i="18"/>
  <c r="H48" i="18"/>
  <c r="G48" i="18"/>
  <c r="F48" i="18"/>
  <c r="E48" i="18"/>
  <c r="D48" i="18"/>
  <c r="AH47" i="18"/>
  <c r="AG47" i="18"/>
  <c r="AF47" i="18"/>
  <c r="AE47" i="18"/>
  <c r="AD47" i="18"/>
  <c r="AC47" i="18"/>
  <c r="AB47" i="18"/>
  <c r="AA47" i="18"/>
  <c r="Z47" i="18"/>
  <c r="Y47" i="18"/>
  <c r="X47" i="18"/>
  <c r="W47" i="18"/>
  <c r="V47" i="18"/>
  <c r="U47" i="18"/>
  <c r="T47" i="18"/>
  <c r="S47" i="18"/>
  <c r="R47" i="18"/>
  <c r="Q47" i="18"/>
  <c r="P47" i="18"/>
  <c r="M47" i="18"/>
  <c r="M49" i="18" s="1"/>
  <c r="M50" i="18" s="1"/>
  <c r="L47" i="18"/>
  <c r="L49" i="18" s="1"/>
  <c r="L50" i="18" s="1"/>
  <c r="K47" i="18"/>
  <c r="J47" i="18"/>
  <c r="I47" i="18"/>
  <c r="H47" i="18"/>
  <c r="G47" i="18"/>
  <c r="F47" i="18"/>
  <c r="E47" i="18"/>
  <c r="C47" i="18" s="1"/>
  <c r="D47" i="18"/>
  <c r="AH46" i="18"/>
  <c r="AH50" i="18" s="1"/>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E46" i="18"/>
  <c r="D46" i="18"/>
  <c r="AH45" i="18"/>
  <c r="AG45" i="18"/>
  <c r="AF45" i="18"/>
  <c r="AE45" i="18"/>
  <c r="AE49" i="18" s="1"/>
  <c r="AE50" i="18" s="1"/>
  <c r="AD45" i="18"/>
  <c r="AD49" i="18" s="1"/>
  <c r="AC45" i="18"/>
  <c r="AC49" i="18" s="1"/>
  <c r="AC50" i="18" s="1"/>
  <c r="AB45" i="18"/>
  <c r="AB49" i="18" s="1"/>
  <c r="AB50" i="18" s="1"/>
  <c r="AA45" i="18"/>
  <c r="AA49" i="18" s="1"/>
  <c r="AA50" i="18" s="1"/>
  <c r="Z45" i="18"/>
  <c r="Z49" i="18" s="1"/>
  <c r="Z50" i="18" s="1"/>
  <c r="Y45" i="18"/>
  <c r="X45" i="18"/>
  <c r="X49" i="18" s="1"/>
  <c r="W45" i="18"/>
  <c r="W49" i="18" s="1"/>
  <c r="V45" i="18"/>
  <c r="V49" i="18" s="1"/>
  <c r="V50" i="18" s="1"/>
  <c r="U45" i="18"/>
  <c r="U49" i="18" s="1"/>
  <c r="U50" i="18" s="1"/>
  <c r="T45" i="18"/>
  <c r="T49" i="18" s="1"/>
  <c r="T50" i="18" s="1"/>
  <c r="S45" i="18"/>
  <c r="R45" i="18"/>
  <c r="Q45" i="18"/>
  <c r="Q49" i="18" s="1"/>
  <c r="P45" i="18"/>
  <c r="O45" i="18"/>
  <c r="N45" i="18"/>
  <c r="M45" i="18"/>
  <c r="L45" i="18"/>
  <c r="K45" i="18"/>
  <c r="K49" i="18" s="1"/>
  <c r="K50" i="18" s="1"/>
  <c r="J45" i="18"/>
  <c r="J49" i="18" s="1"/>
  <c r="J50" i="18" s="1"/>
  <c r="I45" i="18"/>
  <c r="I49" i="18" s="1"/>
  <c r="I50" i="18" s="1"/>
  <c r="H45" i="18"/>
  <c r="H49" i="18" s="1"/>
  <c r="H50" i="18" s="1"/>
  <c r="G45" i="18"/>
  <c r="G49" i="18" s="1"/>
  <c r="G50" i="18" s="1"/>
  <c r="F45" i="18"/>
  <c r="F49" i="18" s="1"/>
  <c r="F50" i="18" s="1"/>
  <c r="E45" i="18"/>
  <c r="D45" i="18"/>
  <c r="D49" i="18" s="1"/>
  <c r="C44" i="18"/>
  <c r="C43" i="18"/>
  <c r="C41" i="18"/>
  <c r="C42" i="18" s="1"/>
  <c r="C40" i="18"/>
  <c r="C39" i="18"/>
  <c r="C38" i="18"/>
  <c r="C37" i="18"/>
  <c r="C35" i="18"/>
  <c r="C36" i="18" s="1"/>
  <c r="C33" i="18"/>
  <c r="C34" i="18" s="1"/>
  <c r="C31" i="18"/>
  <c r="C32" i="18" s="1"/>
  <c r="C29" i="18"/>
  <c r="C30" i="18" s="1"/>
  <c r="C28" i="18"/>
  <c r="C27" i="18"/>
  <c r="C25" i="18"/>
  <c r="C26" i="18" s="1"/>
  <c r="AH24" i="18"/>
  <c r="AE24" i="18"/>
  <c r="U24" i="18"/>
  <c r="O24" i="18"/>
  <c r="N24" i="18"/>
  <c r="AH23" i="18"/>
  <c r="AE23" i="18"/>
  <c r="AA23" i="18"/>
  <c r="AA24" i="18" s="1"/>
  <c r="Z23" i="18"/>
  <c r="Z24" i="18" s="1"/>
  <c r="X23" i="18"/>
  <c r="X24" i="18" s="1"/>
  <c r="W23" i="18"/>
  <c r="V23" i="18"/>
  <c r="U23" i="18"/>
  <c r="O23" i="18"/>
  <c r="N23" i="18"/>
  <c r="M23" i="18"/>
  <c r="M24" i="18" s="1"/>
  <c r="F23" i="18"/>
  <c r="F24" i="18" s="1"/>
  <c r="D23" i="18"/>
  <c r="D24" i="18" s="1"/>
  <c r="C22" i="18"/>
  <c r="C21" i="18"/>
  <c r="C20" i="18"/>
  <c r="C19" i="18"/>
  <c r="AH18" i="18"/>
  <c r="AG18" i="18"/>
  <c r="AF18" i="18"/>
  <c r="AE18" i="18"/>
  <c r="AD18" i="18"/>
  <c r="AC18" i="18"/>
  <c r="AB18" i="18"/>
  <c r="AA18" i="18"/>
  <c r="Z18" i="18"/>
  <c r="Y18" i="18"/>
  <c r="X18" i="18"/>
  <c r="W18" i="18"/>
  <c r="V18" i="18"/>
  <c r="U18" i="18"/>
  <c r="T18" i="18"/>
  <c r="S18" i="18"/>
  <c r="R18" i="18"/>
  <c r="Q18" i="18"/>
  <c r="P18" i="18"/>
  <c r="M18" i="18"/>
  <c r="L18" i="18"/>
  <c r="K18" i="18"/>
  <c r="J18" i="18"/>
  <c r="I18" i="18"/>
  <c r="H18" i="18"/>
  <c r="G18" i="18"/>
  <c r="F18" i="18"/>
  <c r="E18" i="18"/>
  <c r="D18" i="18"/>
  <c r="AH17" i="18"/>
  <c r="AG17" i="18"/>
  <c r="AF17" i="18"/>
  <c r="AE17" i="18"/>
  <c r="AD17" i="18"/>
  <c r="AC17" i="18"/>
  <c r="AB17" i="18"/>
  <c r="AA17" i="18"/>
  <c r="Z17" i="18"/>
  <c r="Y17" i="18"/>
  <c r="X17" i="18"/>
  <c r="W17" i="18"/>
  <c r="V17" i="18"/>
  <c r="U17" i="18"/>
  <c r="T17" i="18"/>
  <c r="S17" i="18"/>
  <c r="R17" i="18"/>
  <c r="Q17" i="18"/>
  <c r="P17" i="18"/>
  <c r="M17" i="18"/>
  <c r="L17" i="18"/>
  <c r="K17" i="18"/>
  <c r="J17" i="18"/>
  <c r="I17" i="18"/>
  <c r="H17" i="18"/>
  <c r="G17" i="18"/>
  <c r="F17" i="18"/>
  <c r="E17" i="18"/>
  <c r="D17" i="18"/>
  <c r="AH16" i="18"/>
  <c r="AG16" i="18"/>
  <c r="AF16" i="18"/>
  <c r="AE16" i="18"/>
  <c r="AD16" i="18"/>
  <c r="AC16" i="18"/>
  <c r="AB16" i="18"/>
  <c r="AA16" i="18"/>
  <c r="Z16" i="18"/>
  <c r="Y16" i="18"/>
  <c r="X16" i="18"/>
  <c r="W16" i="18"/>
  <c r="V16" i="18"/>
  <c r="V24" i="18" s="1"/>
  <c r="U16" i="18"/>
  <c r="T16" i="18"/>
  <c r="S16" i="18"/>
  <c r="R16" i="18"/>
  <c r="Q16" i="18"/>
  <c r="P16" i="18"/>
  <c r="M16" i="18"/>
  <c r="L16" i="18"/>
  <c r="K16" i="18"/>
  <c r="J16" i="18"/>
  <c r="I16" i="18"/>
  <c r="H16" i="18"/>
  <c r="G16" i="18"/>
  <c r="F16" i="18"/>
  <c r="E16" i="18"/>
  <c r="D16" i="18"/>
  <c r="AH15" i="18"/>
  <c r="AG15" i="18"/>
  <c r="AF15" i="18"/>
  <c r="AE15" i="18"/>
  <c r="AD15" i="18"/>
  <c r="AD23" i="18" s="1"/>
  <c r="AD24" i="18" s="1"/>
  <c r="AC15" i="18"/>
  <c r="AB15" i="18"/>
  <c r="AB23" i="18" s="1"/>
  <c r="AB24" i="18" s="1"/>
  <c r="AA15" i="18"/>
  <c r="Z15" i="18"/>
  <c r="Y15" i="18"/>
  <c r="Y23" i="18" s="1"/>
  <c r="Y24" i="18" s="1"/>
  <c r="X15" i="18"/>
  <c r="W15" i="18"/>
  <c r="V15" i="18"/>
  <c r="U15" i="18"/>
  <c r="T15" i="18"/>
  <c r="T23" i="18" s="1"/>
  <c r="S15" i="18"/>
  <c r="R15" i="18"/>
  <c r="R23" i="18" s="1"/>
  <c r="Q15" i="18"/>
  <c r="Q23" i="18" s="1"/>
  <c r="Q24" i="18" s="1"/>
  <c r="P15" i="18"/>
  <c r="P23" i="18" s="1"/>
  <c r="P24" i="18" s="1"/>
  <c r="M15" i="18"/>
  <c r="L15" i="18"/>
  <c r="L23" i="18" s="1"/>
  <c r="L24" i="18" s="1"/>
  <c r="K15" i="18"/>
  <c r="J15" i="18"/>
  <c r="I15" i="18"/>
  <c r="I23" i="18" s="1"/>
  <c r="I24" i="18" s="1"/>
  <c r="H15" i="18"/>
  <c r="H23" i="18" s="1"/>
  <c r="H24" i="18" s="1"/>
  <c r="G15" i="18"/>
  <c r="G23" i="18" s="1"/>
  <c r="G24" i="18" s="1"/>
  <c r="F15" i="18"/>
  <c r="E15" i="18"/>
  <c r="E23" i="18" s="1"/>
  <c r="E24" i="18" s="1"/>
  <c r="D15" i="18"/>
  <c r="AH14" i="18"/>
  <c r="AG14" i="18"/>
  <c r="AF14" i="18"/>
  <c r="AE14" i="18"/>
  <c r="AD14" i="18"/>
  <c r="AC14" i="18"/>
  <c r="AB14" i="18"/>
  <c r="AA14" i="18"/>
  <c r="Z14" i="18"/>
  <c r="Y14" i="18"/>
  <c r="X14" i="18"/>
  <c r="W14" i="18"/>
  <c r="V14" i="18"/>
  <c r="U14" i="18"/>
  <c r="T14" i="18"/>
  <c r="S14" i="18"/>
  <c r="R14" i="18"/>
  <c r="Q14" i="18"/>
  <c r="P14" i="18"/>
  <c r="M14" i="18"/>
  <c r="L14" i="18"/>
  <c r="K14" i="18"/>
  <c r="J14" i="18"/>
  <c r="I14" i="18"/>
  <c r="H14" i="18"/>
  <c r="G14" i="18"/>
  <c r="F14" i="18"/>
  <c r="E14" i="18"/>
  <c r="D14" i="18"/>
  <c r="C13" i="18"/>
  <c r="AH12" i="18"/>
  <c r="AG12" i="18"/>
  <c r="AD12" i="18"/>
  <c r="U12" i="18"/>
  <c r="T12" i="18"/>
  <c r="R12" i="18"/>
  <c r="O12" i="18"/>
  <c r="N12" i="18"/>
  <c r="AG11" i="18"/>
  <c r="AF11" i="18"/>
  <c r="AD11" i="18"/>
  <c r="AC11" i="18"/>
  <c r="AC12" i="18" s="1"/>
  <c r="Z11" i="18"/>
  <c r="W11" i="18"/>
  <c r="V11" i="18"/>
  <c r="U11" i="18"/>
  <c r="T11" i="18"/>
  <c r="T6" i="18" s="1"/>
  <c r="S11" i="18"/>
  <c r="R11" i="18"/>
  <c r="O11" i="18"/>
  <c r="N11" i="18"/>
  <c r="E11" i="18"/>
  <c r="AH10" i="18"/>
  <c r="AG10" i="18"/>
  <c r="AF10" i="18"/>
  <c r="AE10" i="18"/>
  <c r="AD10" i="18"/>
  <c r="AC10" i="18"/>
  <c r="AB10" i="18"/>
  <c r="AA10" i="18"/>
  <c r="Z10" i="18"/>
  <c r="Y10" i="18"/>
  <c r="X10" i="18"/>
  <c r="W10" i="18"/>
  <c r="V10" i="18"/>
  <c r="U10" i="18"/>
  <c r="T10" i="18"/>
  <c r="S10" i="18"/>
  <c r="R10" i="18"/>
  <c r="Q10" i="18"/>
  <c r="P10" i="18"/>
  <c r="M10" i="18"/>
  <c r="L10" i="18"/>
  <c r="K10" i="18"/>
  <c r="J10" i="18"/>
  <c r="I10" i="18"/>
  <c r="H10" i="18"/>
  <c r="G10" i="18"/>
  <c r="F10" i="18"/>
  <c r="E10" i="18"/>
  <c r="D10" i="18"/>
  <c r="AH9" i="18"/>
  <c r="AH11" i="18" s="1"/>
  <c r="AH6" i="18" s="1"/>
  <c r="AG9" i="18"/>
  <c r="AF9" i="18"/>
  <c r="AF85" i="18" s="1"/>
  <c r="AE9" i="18"/>
  <c r="AD9" i="18"/>
  <c r="AC9" i="18"/>
  <c r="AC85" i="18" s="1"/>
  <c r="AB9" i="18"/>
  <c r="AA9" i="18"/>
  <c r="Z9" i="18"/>
  <c r="Y9" i="18"/>
  <c r="Y85" i="18" s="1"/>
  <c r="X9" i="18"/>
  <c r="X11" i="18" s="1"/>
  <c r="W9" i="18"/>
  <c r="V9" i="18"/>
  <c r="U9" i="18"/>
  <c r="T9" i="18"/>
  <c r="S9" i="18"/>
  <c r="R9" i="18"/>
  <c r="Q9" i="18"/>
  <c r="Q11" i="18" s="1"/>
  <c r="Q12" i="18" s="1"/>
  <c r="P9" i="18"/>
  <c r="P11" i="18" s="1"/>
  <c r="M9" i="18"/>
  <c r="M11" i="18" s="1"/>
  <c r="L9" i="18"/>
  <c r="L11" i="18" s="1"/>
  <c r="K9" i="18"/>
  <c r="K11" i="18" s="1"/>
  <c r="K12" i="18" s="1"/>
  <c r="J9" i="18"/>
  <c r="J85" i="18" s="1"/>
  <c r="I9" i="18"/>
  <c r="H9" i="18"/>
  <c r="G9" i="18"/>
  <c r="G85" i="18" s="1"/>
  <c r="F9" i="18"/>
  <c r="F85" i="18" s="1"/>
  <c r="E9" i="18"/>
  <c r="E85" i="18" s="1"/>
  <c r="D9" i="18"/>
  <c r="D11" i="18" s="1"/>
  <c r="Q6" i="18"/>
  <c r="O2" i="18"/>
  <c r="O3" i="18" s="1"/>
  <c r="F5" i="50" l="1"/>
  <c r="E8" i="50"/>
  <c r="F8" i="50" s="1"/>
  <c r="V128" i="1"/>
  <c r="W128" i="1"/>
  <c r="X128" i="1"/>
  <c r="Y128" i="1"/>
  <c r="Z128" i="1"/>
  <c r="AA128" i="1"/>
  <c r="AB128" i="1"/>
  <c r="I128" i="1"/>
  <c r="AC128" i="1"/>
  <c r="K128" i="1"/>
  <c r="AE128" i="1"/>
  <c r="R6" i="53"/>
  <c r="S6" i="53"/>
  <c r="T6" i="53"/>
  <c r="G5" i="53"/>
  <c r="AA5" i="53"/>
  <c r="H6" i="53"/>
  <c r="AB6" i="53"/>
  <c r="I6" i="53"/>
  <c r="AC6" i="53"/>
  <c r="AD6" i="53"/>
  <c r="K6" i="53"/>
  <c r="AE6" i="53"/>
  <c r="P18" i="53"/>
  <c r="H5" i="53"/>
  <c r="AB5" i="53"/>
  <c r="P6" i="53"/>
  <c r="I5" i="53"/>
  <c r="AC5" i="53"/>
  <c r="J5" i="53"/>
  <c r="J6" i="53" s="1"/>
  <c r="AD5" i="53"/>
  <c r="K5" i="53"/>
  <c r="AE5" i="53"/>
  <c r="G18" i="53"/>
  <c r="G6" i="53" s="1"/>
  <c r="AA18" i="53"/>
  <c r="AA6" i="53" s="1"/>
  <c r="L5" i="53"/>
  <c r="L6" i="53" s="1"/>
  <c r="AF5" i="53"/>
  <c r="AF6" i="53" s="1"/>
  <c r="D25" i="53"/>
  <c r="M5" i="53"/>
  <c r="M6" i="53" s="1"/>
  <c r="AG5" i="53"/>
  <c r="AG6" i="53" s="1"/>
  <c r="N5" i="53"/>
  <c r="N6" i="53" s="1"/>
  <c r="AH5" i="53"/>
  <c r="AH6" i="53" s="1"/>
  <c r="AE18" i="53"/>
  <c r="L18" i="53"/>
  <c r="AF18" i="53"/>
  <c r="O45" i="35"/>
  <c r="O38" i="35"/>
  <c r="B33" i="35"/>
  <c r="L42" i="35"/>
  <c r="L10" i="35"/>
  <c r="L14" i="35"/>
  <c r="L41" i="35"/>
  <c r="L43" i="35" s="1"/>
  <c r="AF42" i="35"/>
  <c r="AF10" i="35"/>
  <c r="AF14" i="35"/>
  <c r="AF41" i="35"/>
  <c r="AF43" i="35" s="1"/>
  <c r="R45" i="35"/>
  <c r="AE42" i="35"/>
  <c r="AE10" i="35"/>
  <c r="AE14" i="35"/>
  <c r="AG42" i="35"/>
  <c r="AG10" i="35"/>
  <c r="AG41" i="35"/>
  <c r="AG43" i="35" s="1"/>
  <c r="G46" i="35"/>
  <c r="AA46" i="35"/>
  <c r="B7" i="35"/>
  <c r="E42" i="35"/>
  <c r="E43" i="35" s="1"/>
  <c r="E14" i="35"/>
  <c r="Q10" i="35"/>
  <c r="Q14" i="35"/>
  <c r="Q41" i="35"/>
  <c r="D81" i="35"/>
  <c r="W46" i="35"/>
  <c r="W44" i="35"/>
  <c r="W38" i="35"/>
  <c r="AC45" i="35"/>
  <c r="AC43" i="35"/>
  <c r="C46" i="35"/>
  <c r="C44" i="35"/>
  <c r="B37" i="35"/>
  <c r="B46" i="35" s="1"/>
  <c r="C38" i="35"/>
  <c r="S38" i="35"/>
  <c r="AE41" i="35"/>
  <c r="Y42" i="35"/>
  <c r="Y43" i="35" s="1"/>
  <c r="Y14" i="35"/>
  <c r="S14" i="35"/>
  <c r="K42" i="35"/>
  <c r="K10" i="35"/>
  <c r="K14" i="35"/>
  <c r="M42" i="35"/>
  <c r="M10" i="35"/>
  <c r="M41" i="35"/>
  <c r="M43" i="35" s="1"/>
  <c r="AG14" i="35"/>
  <c r="B39" i="35"/>
  <c r="H43" i="35"/>
  <c r="AD45" i="35"/>
  <c r="AD43" i="35"/>
  <c r="V43" i="35"/>
  <c r="J45" i="35"/>
  <c r="J43" i="35"/>
  <c r="C69" i="35"/>
  <c r="AE45" i="35"/>
  <c r="K41" i="35"/>
  <c r="K43" i="35" s="1"/>
  <c r="I45" i="35"/>
  <c r="I43" i="35"/>
  <c r="R46" i="35"/>
  <c r="R44" i="35"/>
  <c r="M38" i="35"/>
  <c r="C52" i="35"/>
  <c r="B8" i="35"/>
  <c r="N38" i="35"/>
  <c r="N45" i="35"/>
  <c r="Z43" i="35"/>
  <c r="T45" i="35"/>
  <c r="D38" i="35"/>
  <c r="X38" i="35"/>
  <c r="J14" i="35"/>
  <c r="AD14" i="35"/>
  <c r="H38" i="35"/>
  <c r="P44" i="35"/>
  <c r="B35" i="35"/>
  <c r="I10" i="35"/>
  <c r="B10" i="35" s="1"/>
  <c r="AC10" i="35"/>
  <c r="N41" i="35"/>
  <c r="N43" i="35" s="1"/>
  <c r="U44" i="35"/>
  <c r="P14" i="35"/>
  <c r="R41" i="35"/>
  <c r="R43" i="35" s="1"/>
  <c r="F42" i="35"/>
  <c r="F43" i="35" s="1"/>
  <c r="Z42" i="35"/>
  <c r="V44" i="35"/>
  <c r="B18" i="35"/>
  <c r="N10" i="35"/>
  <c r="S41" i="35"/>
  <c r="S43" i="35" s="1"/>
  <c r="B12" i="35"/>
  <c r="R14" i="35"/>
  <c r="P38" i="35"/>
  <c r="T41" i="35"/>
  <c r="T43" i="35" s="1"/>
  <c r="D44" i="35"/>
  <c r="X44" i="35"/>
  <c r="C83" i="35"/>
  <c r="C88" i="35"/>
  <c r="U41" i="35"/>
  <c r="E44" i="35"/>
  <c r="Y44" i="35"/>
  <c r="C112" i="35"/>
  <c r="C114" i="35" s="1"/>
  <c r="T14" i="35"/>
  <c r="R38" i="35"/>
  <c r="U14" i="35"/>
  <c r="C41" i="35"/>
  <c r="W41" i="35"/>
  <c r="G44" i="35"/>
  <c r="AA44" i="35"/>
  <c r="C82" i="35"/>
  <c r="C84" i="35" s="1"/>
  <c r="C86" i="35" s="1"/>
  <c r="Q7" i="18"/>
  <c r="L12" i="18"/>
  <c r="C9" i="18"/>
  <c r="C10" i="18" s="1"/>
  <c r="AA85" i="18"/>
  <c r="AA11" i="18"/>
  <c r="AC23" i="18"/>
  <c r="C48" i="18"/>
  <c r="N169" i="18"/>
  <c r="N170" i="18" s="1"/>
  <c r="AB85" i="18"/>
  <c r="AB11" i="18"/>
  <c r="C53" i="18"/>
  <c r="C54" i="18" s="1"/>
  <c r="AC2" i="18"/>
  <c r="D95" i="18"/>
  <c r="C94" i="18"/>
  <c r="C95" i="18" s="1"/>
  <c r="K6" i="18"/>
  <c r="K7" i="18" s="1"/>
  <c r="H85" i="18"/>
  <c r="AD85" i="18"/>
  <c r="J23" i="18"/>
  <c r="J24" i="18" s="1"/>
  <c r="AF23" i="18"/>
  <c r="AF24" i="18" s="1"/>
  <c r="AD50" i="18"/>
  <c r="C51" i="18"/>
  <c r="C52" i="18" s="1"/>
  <c r="H59" i="18"/>
  <c r="H60" i="18" s="1"/>
  <c r="C69" i="18"/>
  <c r="C70" i="18" s="1"/>
  <c r="T83" i="18"/>
  <c r="T84" i="18" s="1"/>
  <c r="N85" i="18"/>
  <c r="C166" i="18"/>
  <c r="C167" i="18" s="1"/>
  <c r="I85" i="18"/>
  <c r="AE85" i="18"/>
  <c r="K85" i="18"/>
  <c r="K23" i="18"/>
  <c r="K24" i="18" s="1"/>
  <c r="AG85" i="18"/>
  <c r="P151" i="18"/>
  <c r="AF2" i="18"/>
  <c r="H83" i="18"/>
  <c r="H84" i="18" s="1"/>
  <c r="V12" i="18"/>
  <c r="V6" i="18"/>
  <c r="AD6" i="18"/>
  <c r="Y83" i="18"/>
  <c r="Y84" i="18" s="1"/>
  <c r="Y11" i="18"/>
  <c r="Q50" i="18"/>
  <c r="E83" i="18"/>
  <c r="E84" i="18" s="1"/>
  <c r="D169" i="18"/>
  <c r="X169" i="18"/>
  <c r="X170" i="18" s="1"/>
  <c r="R169" i="18"/>
  <c r="R170" i="18" s="1"/>
  <c r="T7" i="18"/>
  <c r="C64" i="18"/>
  <c r="L85" i="18"/>
  <c r="M6" i="18"/>
  <c r="W6" i="18"/>
  <c r="W7" i="18" s="1"/>
  <c r="W12" i="18"/>
  <c r="AH85" i="18"/>
  <c r="P6" i="18"/>
  <c r="P7" i="18" s="1"/>
  <c r="P12" i="18"/>
  <c r="R6" i="18"/>
  <c r="R7" i="18" s="1"/>
  <c r="R24" i="18"/>
  <c r="D84" i="18"/>
  <c r="K169" i="18"/>
  <c r="K170" i="18" s="1"/>
  <c r="Z12" i="18"/>
  <c r="Z6" i="18"/>
  <c r="S23" i="18"/>
  <c r="S24" i="18" s="1"/>
  <c r="S85" i="18"/>
  <c r="T24" i="18"/>
  <c r="AG23" i="18"/>
  <c r="AG24" i="18" s="1"/>
  <c r="F83" i="18"/>
  <c r="F84" i="18" s="1"/>
  <c r="C81" i="18"/>
  <c r="C82" i="18" s="1"/>
  <c r="E169" i="18"/>
  <c r="E170" i="18" s="1"/>
  <c r="Y169" i="18"/>
  <c r="Y170" i="18" s="1"/>
  <c r="AB169" i="18"/>
  <c r="AB170" i="18" s="1"/>
  <c r="F151" i="18"/>
  <c r="F169" i="18"/>
  <c r="F170" i="18" s="1"/>
  <c r="C65" i="18"/>
  <c r="C66" i="18" s="1"/>
  <c r="Z151" i="18"/>
  <c r="Z169" i="18"/>
  <c r="Z170" i="18" s="1"/>
  <c r="C14" i="18"/>
  <c r="T60" i="18"/>
  <c r="AH84" i="18"/>
  <c r="C79" i="18"/>
  <c r="C80" i="18" s="1"/>
  <c r="AD83" i="18"/>
  <c r="AD84" i="18" s="1"/>
  <c r="G151" i="18"/>
  <c r="G169" i="18"/>
  <c r="G170" i="18" s="1"/>
  <c r="AA151" i="18"/>
  <c r="AA169" i="18"/>
  <c r="AA170" i="18" s="1"/>
  <c r="AE169" i="18"/>
  <c r="AE170" i="18" s="1"/>
  <c r="U85" i="18"/>
  <c r="AG6" i="18"/>
  <c r="AG7" i="18" s="1"/>
  <c r="U59" i="18"/>
  <c r="U60" i="18" s="1"/>
  <c r="AE84" i="18"/>
  <c r="T169" i="18"/>
  <c r="T170" i="18" s="1"/>
  <c r="K59" i="18"/>
  <c r="K60" i="18" s="1"/>
  <c r="V85" i="18"/>
  <c r="AF6" i="18"/>
  <c r="AF12" i="18"/>
  <c r="C17" i="18"/>
  <c r="C18" i="18" s="1"/>
  <c r="W24" i="18"/>
  <c r="L59" i="18"/>
  <c r="L60" i="18" s="1"/>
  <c r="X83" i="18"/>
  <c r="X84" i="18" s="1"/>
  <c r="S60" i="18"/>
  <c r="T85" i="18"/>
  <c r="N60" i="18"/>
  <c r="C77" i="18"/>
  <c r="C78" i="18" s="1"/>
  <c r="W85" i="18"/>
  <c r="C45" i="18"/>
  <c r="C46" i="18" s="1"/>
  <c r="V60" i="18"/>
  <c r="K84" i="18"/>
  <c r="AG84" i="18"/>
  <c r="X12" i="18"/>
  <c r="X86" i="18" s="1"/>
  <c r="X6" i="18"/>
  <c r="X7" i="18" s="1"/>
  <c r="M12" i="18"/>
  <c r="C15" i="18"/>
  <c r="C16" i="18" s="1"/>
  <c r="Z85" i="18"/>
  <c r="E49" i="18"/>
  <c r="E50" i="18" s="1"/>
  <c r="W60" i="18"/>
  <c r="C75" i="18"/>
  <c r="C76" i="18" s="1"/>
  <c r="L83" i="18"/>
  <c r="L84" i="18" s="1"/>
  <c r="Q86" i="18"/>
  <c r="Q2" i="18"/>
  <c r="Q3" i="18" s="1"/>
  <c r="R86" i="18"/>
  <c r="R2" i="18"/>
  <c r="R3" i="18" s="1"/>
  <c r="AH7" i="18"/>
  <c r="E12" i="18"/>
  <c r="E86" i="18" s="1"/>
  <c r="E6" i="18"/>
  <c r="E7" i="18" s="1"/>
  <c r="C108" i="18"/>
  <c r="C109" i="18" s="1"/>
  <c r="D6" i="18"/>
  <c r="D12" i="18"/>
  <c r="D86" i="18" s="1"/>
  <c r="F11" i="18"/>
  <c r="O50" i="18"/>
  <c r="O6" i="18"/>
  <c r="O7" i="18" s="1"/>
  <c r="C55" i="18"/>
  <c r="C56" i="18" s="1"/>
  <c r="C73" i="18"/>
  <c r="C74" i="18" s="1"/>
  <c r="M85" i="18"/>
  <c r="N151" i="18"/>
  <c r="P85" i="18"/>
  <c r="S109" i="18"/>
  <c r="Q151" i="18"/>
  <c r="J169" i="18"/>
  <c r="J170" i="18" s="1"/>
  <c r="AD169" i="18"/>
  <c r="AD170" i="18" s="1"/>
  <c r="L169" i="18"/>
  <c r="L170" i="18" s="1"/>
  <c r="AF169" i="18"/>
  <c r="AF170" i="18" s="1"/>
  <c r="G11" i="18"/>
  <c r="M169" i="18"/>
  <c r="M170" i="18" s="1"/>
  <c r="AG169" i="18"/>
  <c r="AG170" i="18" s="1"/>
  <c r="H11" i="18"/>
  <c r="D109" i="18"/>
  <c r="V151" i="18"/>
  <c r="I11" i="18"/>
  <c r="J11" i="18"/>
  <c r="AE11" i="18"/>
  <c r="S12" i="18"/>
  <c r="D151" i="18"/>
  <c r="X151" i="18"/>
  <c r="C150" i="18"/>
  <c r="C18" i="53" l="1"/>
  <c r="C25" i="53"/>
  <c r="C26" i="53" s="1"/>
  <c r="D5" i="53"/>
  <c r="B14" i="35"/>
  <c r="B13" i="35" s="1"/>
  <c r="B41" i="35"/>
  <c r="C43" i="35"/>
  <c r="C45" i="35"/>
  <c r="D82" i="35"/>
  <c r="D84" i="35" s="1"/>
  <c r="D86" i="35" s="1"/>
  <c r="D88" i="35"/>
  <c r="Q45" i="35"/>
  <c r="Q43" i="35"/>
  <c r="C51" i="35"/>
  <c r="S45" i="35"/>
  <c r="B44" i="35"/>
  <c r="AF45" i="35"/>
  <c r="L45" i="35"/>
  <c r="B11" i="35"/>
  <c r="D50" i="35"/>
  <c r="K45" i="35"/>
  <c r="AE43" i="35"/>
  <c r="M45" i="35"/>
  <c r="C93" i="35"/>
  <c r="C90" i="35"/>
  <c r="C89" i="35"/>
  <c r="C91" i="35" s="1"/>
  <c r="B38" i="35"/>
  <c r="W43" i="35"/>
  <c r="W45" i="35"/>
  <c r="U43" i="35"/>
  <c r="U45" i="35"/>
  <c r="C95" i="35"/>
  <c r="C56" i="35"/>
  <c r="W2" i="18"/>
  <c r="W86" i="18"/>
  <c r="C169" i="18"/>
  <c r="D170" i="18"/>
  <c r="C170" i="18"/>
  <c r="C59" i="18"/>
  <c r="C60" i="18" s="1"/>
  <c r="P86" i="18"/>
  <c r="P2" i="18"/>
  <c r="P3" i="18" s="1"/>
  <c r="Z7" i="18"/>
  <c r="AB12" i="18"/>
  <c r="AB6" i="18"/>
  <c r="AB7" i="18" s="1"/>
  <c r="AG86" i="18"/>
  <c r="AG2" i="18"/>
  <c r="AG3" i="18" s="1"/>
  <c r="F2" i="18"/>
  <c r="N86" i="18"/>
  <c r="N2" i="18"/>
  <c r="N3" i="18" s="1"/>
  <c r="AB86" i="18"/>
  <c r="AB2" i="18"/>
  <c r="AB3" i="18" s="1"/>
  <c r="S86" i="18"/>
  <c r="S2" i="18"/>
  <c r="T2" i="18"/>
  <c r="T86" i="18"/>
  <c r="C151" i="18"/>
  <c r="Y12" i="18"/>
  <c r="Y86" i="18" s="1"/>
  <c r="Y6" i="18"/>
  <c r="Y7" i="18" s="1"/>
  <c r="C83" i="18"/>
  <c r="C84" i="18" s="1"/>
  <c r="AC24" i="18"/>
  <c r="AC86" i="18" s="1"/>
  <c r="AC3" i="18" s="1"/>
  <c r="AC6" i="18"/>
  <c r="C85" i="18"/>
  <c r="M86" i="18"/>
  <c r="M2" i="18"/>
  <c r="M3" i="18" s="1"/>
  <c r="C49" i="18"/>
  <c r="C50" i="18" s="1"/>
  <c r="AD7" i="18"/>
  <c r="AE6" i="18"/>
  <c r="AE12" i="18"/>
  <c r="AE86" i="18" s="1"/>
  <c r="C23" i="18"/>
  <c r="C24" i="18" s="1"/>
  <c r="AF7" i="18"/>
  <c r="V7" i="18"/>
  <c r="AA12" i="18"/>
  <c r="AA86" i="18" s="1"/>
  <c r="AA6" i="18"/>
  <c r="AE2" i="18"/>
  <c r="G2" i="18"/>
  <c r="J12" i="18"/>
  <c r="J6" i="18"/>
  <c r="J7" i="18" s="1"/>
  <c r="Z2" i="18"/>
  <c r="Z86" i="18"/>
  <c r="V2" i="18"/>
  <c r="V86" i="18"/>
  <c r="J2" i="18"/>
  <c r="AA2" i="18"/>
  <c r="I12" i="18"/>
  <c r="I6" i="18"/>
  <c r="I7" i="18" s="1"/>
  <c r="F12" i="18"/>
  <c r="F86" i="18" s="1"/>
  <c r="F6" i="18"/>
  <c r="F7" i="18" s="1"/>
  <c r="J86" i="18"/>
  <c r="U6" i="18"/>
  <c r="U7" i="18" s="1"/>
  <c r="E2" i="18"/>
  <c r="E3" i="18" s="1"/>
  <c r="D7" i="18"/>
  <c r="AH86" i="18"/>
  <c r="AH2" i="18"/>
  <c r="AH3" i="18" s="1"/>
  <c r="AD86" i="18"/>
  <c r="AD2" i="18"/>
  <c r="AD3" i="18" s="1"/>
  <c r="H12" i="18"/>
  <c r="H6" i="18"/>
  <c r="H7" i="18" s="1"/>
  <c r="H2" i="18"/>
  <c r="H86" i="18"/>
  <c r="X2" i="18"/>
  <c r="X3" i="18" s="1"/>
  <c r="U86" i="18"/>
  <c r="U2" i="18"/>
  <c r="U3" i="18" s="1"/>
  <c r="M7" i="18"/>
  <c r="G12" i="18"/>
  <c r="G86" i="18" s="1"/>
  <c r="G6" i="18"/>
  <c r="G7" i="18" s="1"/>
  <c r="Y2" i="18"/>
  <c r="Y3" i="18" s="1"/>
  <c r="L86" i="18"/>
  <c r="L2" i="18"/>
  <c r="K86" i="18"/>
  <c r="K2" i="18"/>
  <c r="K3" i="18" s="1"/>
  <c r="L6" i="18"/>
  <c r="L7" i="18" s="1"/>
  <c r="S6" i="18"/>
  <c r="S7" i="18" s="1"/>
  <c r="AF86" i="18"/>
  <c r="AF3" i="18" s="1"/>
  <c r="I86" i="18"/>
  <c r="I2" i="18"/>
  <c r="I3" i="18" s="1"/>
  <c r="D2" i="18"/>
  <c r="C11" i="18"/>
  <c r="C12" i="18" s="1"/>
  <c r="C8" i="18" s="1"/>
  <c r="C5" i="53" l="1"/>
  <c r="C6" i="53" s="1"/>
  <c r="D9" i="53"/>
  <c r="D6" i="53"/>
  <c r="C58" i="35"/>
  <c r="C96" i="35"/>
  <c r="C98" i="35" s="1"/>
  <c r="C100" i="35" s="1"/>
  <c r="C60" i="35"/>
  <c r="C102" i="35"/>
  <c r="D95" i="35"/>
  <c r="B43" i="35"/>
  <c r="B42" i="35" s="1"/>
  <c r="D83" i="35"/>
  <c r="D89" i="35"/>
  <c r="D91" i="35" s="1"/>
  <c r="D93" i="35" s="1"/>
  <c r="D56" i="35"/>
  <c r="E81" i="35"/>
  <c r="E50" i="35"/>
  <c r="B45" i="35"/>
  <c r="F3" i="18"/>
  <c r="C3" i="18" s="1"/>
  <c r="AA3" i="18"/>
  <c r="J3" i="18"/>
  <c r="C86" i="18"/>
  <c r="AE7" i="18"/>
  <c r="H3" i="18"/>
  <c r="C2" i="18"/>
  <c r="D3" i="18"/>
  <c r="V3" i="18"/>
  <c r="AC7" i="18"/>
  <c r="Z3" i="18"/>
  <c r="G3" i="18"/>
  <c r="AE3" i="18"/>
  <c r="T3" i="18"/>
  <c r="L3" i="18"/>
  <c r="C6" i="18"/>
  <c r="C7" i="18" s="1"/>
  <c r="AA7" i="18"/>
  <c r="S3" i="18"/>
  <c r="W3" i="18"/>
  <c r="E10" i="53" l="1"/>
  <c r="E9" i="53"/>
  <c r="D52" i="35"/>
  <c r="C64" i="35"/>
  <c r="C103" i="35"/>
  <c r="C105" i="35" s="1"/>
  <c r="C107" i="35"/>
  <c r="C97" i="35"/>
  <c r="D90" i="35"/>
  <c r="D102" i="35"/>
  <c r="D60" i="35"/>
  <c r="F81" i="35"/>
  <c r="C57" i="35"/>
  <c r="E82" i="35"/>
  <c r="E84" i="35" s="1"/>
  <c r="E88" i="35"/>
  <c r="E86" i="35"/>
  <c r="C116" i="35"/>
  <c r="F9" i="53" l="1"/>
  <c r="F10" i="53"/>
  <c r="D104" i="35"/>
  <c r="D103" i="35"/>
  <c r="D105" i="35" s="1"/>
  <c r="D107" i="35" s="1"/>
  <c r="D109" i="35"/>
  <c r="C62" i="35"/>
  <c r="E89" i="35"/>
  <c r="E91" i="35" s="1"/>
  <c r="E93" i="35" s="1"/>
  <c r="D64" i="35"/>
  <c r="C104" i="35"/>
  <c r="E95" i="35"/>
  <c r="D58" i="35"/>
  <c r="E56" i="35"/>
  <c r="F82" i="35"/>
  <c r="F84" i="35" s="1"/>
  <c r="F86" i="35" s="1"/>
  <c r="C76" i="35"/>
  <c r="C117" i="35"/>
  <c r="C119" i="35" s="1"/>
  <c r="C121" i="35" s="1"/>
  <c r="C123" i="35"/>
  <c r="D51" i="35"/>
  <c r="E52" i="35"/>
  <c r="E102" i="35"/>
  <c r="E83" i="35"/>
  <c r="F50" i="35"/>
  <c r="G9" i="53" l="1"/>
  <c r="G10" i="53"/>
  <c r="C128" i="35"/>
  <c r="E103" i="35"/>
  <c r="E105" i="35" s="1"/>
  <c r="E107" i="35" s="1"/>
  <c r="E64" i="35"/>
  <c r="E51" i="35"/>
  <c r="E90" i="35"/>
  <c r="D57" i="35"/>
  <c r="C66" i="35"/>
  <c r="D76" i="35"/>
  <c r="G81" i="35"/>
  <c r="G50" i="35"/>
  <c r="D110" i="35"/>
  <c r="D112" i="35" s="1"/>
  <c r="D68" i="35"/>
  <c r="D114" i="35"/>
  <c r="E60" i="35"/>
  <c r="C118" i="35"/>
  <c r="F88" i="35"/>
  <c r="F83" i="35"/>
  <c r="C61" i="35"/>
  <c r="D96" i="35"/>
  <c r="D116" i="35"/>
  <c r="H9" i="53" l="1"/>
  <c r="H10" i="53"/>
  <c r="F60" i="35"/>
  <c r="G82" i="35"/>
  <c r="G84" i="35" s="1"/>
  <c r="G86" i="35" s="1"/>
  <c r="D117" i="35"/>
  <c r="D119" i="35" s="1"/>
  <c r="D121" i="35" s="1"/>
  <c r="D123" i="35"/>
  <c r="F89" i="35"/>
  <c r="F91" i="35" s="1"/>
  <c r="F93" i="35"/>
  <c r="F102" i="35"/>
  <c r="F95" i="35"/>
  <c r="C78" i="35"/>
  <c r="C125" i="35"/>
  <c r="F56" i="35"/>
  <c r="F52" i="35"/>
  <c r="E68" i="35"/>
  <c r="E104" i="35"/>
  <c r="D111" i="35"/>
  <c r="H81" i="35"/>
  <c r="C65" i="35"/>
  <c r="D66" i="35"/>
  <c r="C126" i="35"/>
  <c r="D98" i="35"/>
  <c r="D100" i="35" s="1"/>
  <c r="D97" i="35"/>
  <c r="E58" i="35"/>
  <c r="E109" i="35"/>
  <c r="I9" i="53" l="1"/>
  <c r="I10" i="53"/>
  <c r="D128" i="35"/>
  <c r="H82" i="35"/>
  <c r="H84" i="35" s="1"/>
  <c r="H86" i="35" s="1"/>
  <c r="H83" i="35"/>
  <c r="F68" i="35"/>
  <c r="G88" i="35"/>
  <c r="C124" i="35"/>
  <c r="C77" i="35"/>
  <c r="F64" i="35"/>
  <c r="H50" i="35"/>
  <c r="E116" i="35"/>
  <c r="E57" i="35"/>
  <c r="F58" i="35"/>
  <c r="G83" i="35"/>
  <c r="C127" i="35"/>
  <c r="C129" i="35" s="1"/>
  <c r="F51" i="35"/>
  <c r="G52" i="35"/>
  <c r="D62" i="35"/>
  <c r="F103" i="35"/>
  <c r="F105" i="35" s="1"/>
  <c r="F107" i="35" s="1"/>
  <c r="D65" i="35"/>
  <c r="E66" i="35"/>
  <c r="F90" i="35"/>
  <c r="D70" i="35"/>
  <c r="D118" i="35"/>
  <c r="F96" i="35"/>
  <c r="F98" i="35" s="1"/>
  <c r="F100" i="35" s="1"/>
  <c r="F109" i="35"/>
  <c r="J9" i="53" l="1"/>
  <c r="J10" i="53"/>
  <c r="D61" i="35"/>
  <c r="E96" i="35"/>
  <c r="G89" i="35"/>
  <c r="G91" i="35" s="1"/>
  <c r="G93" i="35" s="1"/>
  <c r="G95" i="35"/>
  <c r="G56" i="35"/>
  <c r="G51" i="35"/>
  <c r="H52" i="35"/>
  <c r="F110" i="35"/>
  <c r="F112" i="35" s="1"/>
  <c r="F114" i="35" s="1"/>
  <c r="F57" i="35"/>
  <c r="F97" i="35"/>
  <c r="E117" i="35"/>
  <c r="E119" i="35" s="1"/>
  <c r="E121" i="35" s="1"/>
  <c r="E123" i="35"/>
  <c r="E76" i="35"/>
  <c r="D125" i="35"/>
  <c r="D69" i="35"/>
  <c r="E110" i="35"/>
  <c r="F66" i="35"/>
  <c r="E65" i="35"/>
  <c r="I81" i="35"/>
  <c r="D126" i="35"/>
  <c r="D78" i="35"/>
  <c r="F104" i="35"/>
  <c r="K10" i="53" l="1"/>
  <c r="K9" i="53"/>
  <c r="E128" i="35"/>
  <c r="I82" i="35"/>
  <c r="I84" i="35" s="1"/>
  <c r="I86" i="35" s="1"/>
  <c r="E112" i="35"/>
  <c r="E114" i="35" s="1"/>
  <c r="E111" i="35"/>
  <c r="D124" i="35"/>
  <c r="G102" i="35"/>
  <c r="F111" i="35"/>
  <c r="H51" i="35"/>
  <c r="H56" i="35"/>
  <c r="H88" i="35"/>
  <c r="G90" i="35"/>
  <c r="G58" i="35" s="1"/>
  <c r="F65" i="35"/>
  <c r="G96" i="35"/>
  <c r="G98" i="35" s="1"/>
  <c r="G100" i="35" s="1"/>
  <c r="G60" i="35"/>
  <c r="E98" i="35"/>
  <c r="E100" i="35" s="1"/>
  <c r="E97" i="35"/>
  <c r="D127" i="35"/>
  <c r="D129" i="35" s="1"/>
  <c r="F116" i="35"/>
  <c r="E118" i="35"/>
  <c r="E78" i="35"/>
  <c r="D77" i="35"/>
  <c r="I50" i="35"/>
  <c r="L9" i="53" l="1"/>
  <c r="L10" i="53"/>
  <c r="J81" i="35"/>
  <c r="J50" i="35"/>
  <c r="E126" i="35"/>
  <c r="F117" i="35"/>
  <c r="F119" i="35" s="1"/>
  <c r="F121" i="35" s="1"/>
  <c r="F123" i="35"/>
  <c r="E70" i="35"/>
  <c r="G103" i="35"/>
  <c r="G105" i="35" s="1"/>
  <c r="G107" i="35"/>
  <c r="G104" i="35"/>
  <c r="G66" i="35" s="1"/>
  <c r="G64" i="35"/>
  <c r="F76" i="35"/>
  <c r="E62" i="35"/>
  <c r="I83" i="35"/>
  <c r="G97" i="35"/>
  <c r="I56" i="35"/>
  <c r="E77" i="35"/>
  <c r="E125" i="35"/>
  <c r="G57" i="35"/>
  <c r="G109" i="35"/>
  <c r="I88" i="35"/>
  <c r="H89" i="35"/>
  <c r="H91" i="35" s="1"/>
  <c r="H90" i="35"/>
  <c r="H58" i="35" s="1"/>
  <c r="H93" i="35"/>
  <c r="H95" i="35"/>
  <c r="H60" i="35" s="1"/>
  <c r="M9" i="53" l="1"/>
  <c r="M10" i="53"/>
  <c r="H57" i="35"/>
  <c r="F128" i="35"/>
  <c r="J56" i="35"/>
  <c r="H96" i="35"/>
  <c r="H98" i="35" s="1"/>
  <c r="H100" i="35" s="1"/>
  <c r="H102" i="35"/>
  <c r="G65" i="35"/>
  <c r="G110" i="35"/>
  <c r="G112" i="35" s="1"/>
  <c r="G114" i="35" s="1"/>
  <c r="G68" i="35"/>
  <c r="H109" i="35" s="1"/>
  <c r="E124" i="35"/>
  <c r="F118" i="35"/>
  <c r="E127" i="35"/>
  <c r="E129" i="35" s="1"/>
  <c r="E61" i="35"/>
  <c r="F62" i="35"/>
  <c r="I89" i="35"/>
  <c r="I91" i="35" s="1"/>
  <c r="I93" i="35"/>
  <c r="I95" i="35"/>
  <c r="F70" i="35"/>
  <c r="E69" i="35"/>
  <c r="K81" i="35"/>
  <c r="K50" i="35"/>
  <c r="G116" i="35"/>
  <c r="I52" i="35"/>
  <c r="J88" i="35"/>
  <c r="J82" i="35"/>
  <c r="J84" i="35" s="1"/>
  <c r="J86" i="35" s="1"/>
  <c r="N9" i="53" l="1"/>
  <c r="N10" i="53"/>
  <c r="H110" i="35"/>
  <c r="H112" i="35" s="1"/>
  <c r="H114" i="35" s="1"/>
  <c r="G117" i="35"/>
  <c r="G119" i="35" s="1"/>
  <c r="G121" i="35"/>
  <c r="G123" i="35"/>
  <c r="K88" i="35"/>
  <c r="K82" i="35"/>
  <c r="K84" i="35" s="1"/>
  <c r="K86" i="35" s="1"/>
  <c r="G76" i="35"/>
  <c r="I96" i="35"/>
  <c r="I98" i="35" s="1"/>
  <c r="I100" i="35" s="1"/>
  <c r="H97" i="35"/>
  <c r="F125" i="35"/>
  <c r="F78" i="35"/>
  <c r="F126" i="35"/>
  <c r="H68" i="35"/>
  <c r="L81" i="35"/>
  <c r="F69" i="35"/>
  <c r="F61" i="35"/>
  <c r="G62" i="35"/>
  <c r="G111" i="35"/>
  <c r="H103" i="35"/>
  <c r="H105" i="35" s="1"/>
  <c r="H107" i="35" s="1"/>
  <c r="I90" i="35"/>
  <c r="I58" i="35" s="1"/>
  <c r="J83" i="35"/>
  <c r="H64" i="35"/>
  <c r="J89" i="35"/>
  <c r="J91" i="35" s="1"/>
  <c r="J90" i="35"/>
  <c r="J93" i="35"/>
  <c r="I60" i="35"/>
  <c r="J95" i="35"/>
  <c r="J52" i="35"/>
  <c r="I51" i="35"/>
  <c r="O10" i="53" l="1"/>
  <c r="O9" i="53"/>
  <c r="K89" i="35"/>
  <c r="K91" i="35" s="1"/>
  <c r="K93" i="35"/>
  <c r="K90" i="35"/>
  <c r="J51" i="35"/>
  <c r="J60" i="35"/>
  <c r="F124" i="35"/>
  <c r="F127" i="35" s="1"/>
  <c r="F129" i="35" s="1"/>
  <c r="L82" i="35"/>
  <c r="L84" i="35" s="1"/>
  <c r="L86" i="35"/>
  <c r="L83" i="35"/>
  <c r="G118" i="35"/>
  <c r="K83" i="35"/>
  <c r="G70" i="35"/>
  <c r="L50" i="35"/>
  <c r="K56" i="35"/>
  <c r="L88" i="35" s="1"/>
  <c r="H116" i="35"/>
  <c r="I57" i="35"/>
  <c r="J58" i="35"/>
  <c r="I97" i="35"/>
  <c r="H104" i="35"/>
  <c r="H66" i="35" s="1"/>
  <c r="G61" i="35"/>
  <c r="H62" i="35"/>
  <c r="G128" i="35"/>
  <c r="F77" i="35"/>
  <c r="I102" i="35"/>
  <c r="H111" i="35"/>
  <c r="P10" i="53" l="1"/>
  <c r="P9" i="53"/>
  <c r="L93" i="35"/>
  <c r="L89" i="35"/>
  <c r="L91" i="35" s="1"/>
  <c r="I62" i="35"/>
  <c r="H61" i="35"/>
  <c r="I66" i="35"/>
  <c r="H65" i="35"/>
  <c r="J57" i="35"/>
  <c r="K58" i="35"/>
  <c r="H117" i="35"/>
  <c r="H119" i="35" s="1"/>
  <c r="H121" i="35" s="1"/>
  <c r="H128" i="35" s="1"/>
  <c r="H126" i="35" s="1"/>
  <c r="H123" i="35"/>
  <c r="M81" i="35"/>
  <c r="G125" i="35"/>
  <c r="K52" i="35"/>
  <c r="L56" i="35"/>
  <c r="I103" i="35"/>
  <c r="I105" i="35" s="1"/>
  <c r="I104" i="35"/>
  <c r="I107" i="35"/>
  <c r="I109" i="35"/>
  <c r="I116" i="35" s="1"/>
  <c r="G69" i="35"/>
  <c r="H70" i="35"/>
  <c r="I64" i="35"/>
  <c r="K95" i="35"/>
  <c r="G78" i="35"/>
  <c r="G126" i="35"/>
  <c r="H76" i="35"/>
  <c r="Q9" i="53" l="1"/>
  <c r="Q10" i="53"/>
  <c r="I117" i="35"/>
  <c r="I119" i="35" s="1"/>
  <c r="I121" i="35" s="1"/>
  <c r="I128" i="35" s="1"/>
  <c r="I126" i="35" s="1"/>
  <c r="I123" i="35"/>
  <c r="J102" i="35"/>
  <c r="J64" i="35" s="1"/>
  <c r="L52" i="35"/>
  <c r="K51" i="35"/>
  <c r="M88" i="35"/>
  <c r="M56" i="35" s="1"/>
  <c r="M86" i="35"/>
  <c r="M82" i="35"/>
  <c r="M84" i="35" s="1"/>
  <c r="H78" i="35"/>
  <c r="G77" i="35"/>
  <c r="K60" i="35"/>
  <c r="I65" i="35"/>
  <c r="I61" i="35"/>
  <c r="J96" i="35"/>
  <c r="H69" i="35"/>
  <c r="G124" i="35"/>
  <c r="G127" i="35" s="1"/>
  <c r="G129" i="35" s="1"/>
  <c r="I76" i="35"/>
  <c r="M50" i="35"/>
  <c r="H118" i="35"/>
  <c r="H125" i="35" s="1"/>
  <c r="H124" i="35" s="1"/>
  <c r="H127" i="35" s="1"/>
  <c r="H129" i="35" s="1"/>
  <c r="K57" i="35"/>
  <c r="I110" i="35"/>
  <c r="I112" i="35" s="1"/>
  <c r="I114" i="35" s="1"/>
  <c r="I68" i="35"/>
  <c r="L90" i="35"/>
  <c r="L58" i="35" s="1"/>
  <c r="R10" i="53" l="1"/>
  <c r="R9" i="53"/>
  <c r="K102" i="35"/>
  <c r="L57" i="35"/>
  <c r="J68" i="35"/>
  <c r="M89" i="35"/>
  <c r="M91" i="35" s="1"/>
  <c r="M93" i="35" s="1"/>
  <c r="L51" i="35"/>
  <c r="L95" i="35"/>
  <c r="L60" i="35" s="1"/>
  <c r="H77" i="35"/>
  <c r="I78" i="35"/>
  <c r="I111" i="35"/>
  <c r="I70" i="35" s="1"/>
  <c r="M83" i="35"/>
  <c r="N50" i="35"/>
  <c r="N81" i="35"/>
  <c r="J103" i="35"/>
  <c r="J105" i="35" s="1"/>
  <c r="J107" i="35"/>
  <c r="J109" i="35"/>
  <c r="J98" i="35"/>
  <c r="J100" i="35" s="1"/>
  <c r="J97" i="35"/>
  <c r="J62" i="35" s="1"/>
  <c r="I118" i="35"/>
  <c r="S9" i="53" l="1"/>
  <c r="S10" i="53"/>
  <c r="M60" i="35"/>
  <c r="M95" i="35"/>
  <c r="I69" i="35"/>
  <c r="I77" i="35"/>
  <c r="M52" i="35"/>
  <c r="J61" i="35"/>
  <c r="K96" i="35"/>
  <c r="K103" i="35"/>
  <c r="K105" i="35" s="1"/>
  <c r="K107" i="35" s="1"/>
  <c r="K109" i="35"/>
  <c r="J104" i="35"/>
  <c r="J66" i="35" s="1"/>
  <c r="K64" i="35"/>
  <c r="L102" i="35" s="1"/>
  <c r="O81" i="35"/>
  <c r="O50" i="35" s="1"/>
  <c r="I125" i="35"/>
  <c r="I124" i="35" s="1"/>
  <c r="I127" i="35" s="1"/>
  <c r="I129" i="35" s="1"/>
  <c r="M90" i="35"/>
  <c r="M58" i="35" s="1"/>
  <c r="J110" i="35"/>
  <c r="J112" i="35" s="1"/>
  <c r="J114" i="35" s="1"/>
  <c r="J116" i="35"/>
  <c r="N82" i="35"/>
  <c r="N84" i="35" s="1"/>
  <c r="N86" i="35" s="1"/>
  <c r="N88" i="35"/>
  <c r="T9" i="53" l="1"/>
  <c r="T10" i="53"/>
  <c r="P81" i="35"/>
  <c r="L103" i="35"/>
  <c r="L105" i="35" s="1"/>
  <c r="L107" i="35" s="1"/>
  <c r="L104" i="35"/>
  <c r="N60" i="35"/>
  <c r="J65" i="35"/>
  <c r="K110" i="35"/>
  <c r="K112" i="35" s="1"/>
  <c r="K114" i="35" s="1"/>
  <c r="K104" i="35"/>
  <c r="K66" i="35" s="1"/>
  <c r="K68" i="35"/>
  <c r="J111" i="35"/>
  <c r="J70" i="35" s="1"/>
  <c r="M51" i="35"/>
  <c r="N83" i="35"/>
  <c r="N52" i="35" s="1"/>
  <c r="K98" i="35"/>
  <c r="K100" i="35" s="1"/>
  <c r="K97" i="35"/>
  <c r="K62" i="35" s="1"/>
  <c r="N95" i="35"/>
  <c r="L64" i="35"/>
  <c r="O82" i="35"/>
  <c r="O84" i="35" s="1"/>
  <c r="O86" i="35" s="1"/>
  <c r="O83" i="35"/>
  <c r="O88" i="35"/>
  <c r="J117" i="35"/>
  <c r="J119" i="35" s="1"/>
  <c r="J121" i="35" s="1"/>
  <c r="J128" i="35" s="1"/>
  <c r="J126" i="35" s="1"/>
  <c r="J118" i="35"/>
  <c r="J123" i="35"/>
  <c r="J76" i="35"/>
  <c r="M57" i="35"/>
  <c r="N58" i="35"/>
  <c r="N89" i="35"/>
  <c r="N91" i="35" s="1"/>
  <c r="N93" i="35"/>
  <c r="N90" i="35"/>
  <c r="N56" i="35"/>
  <c r="M96" i="35"/>
  <c r="M98" i="35" s="1"/>
  <c r="M100" i="35"/>
  <c r="M97" i="35"/>
  <c r="M102" i="35"/>
  <c r="U10" i="53" l="1"/>
  <c r="U9" i="53"/>
  <c r="L66" i="35"/>
  <c r="K65" i="35"/>
  <c r="O52" i="35"/>
  <c r="N51" i="35"/>
  <c r="M103" i="35"/>
  <c r="M105" i="35" s="1"/>
  <c r="M104" i="35"/>
  <c r="M107" i="35"/>
  <c r="O56" i="35"/>
  <c r="N96" i="35"/>
  <c r="N98" i="35" s="1"/>
  <c r="N100" i="35" s="1"/>
  <c r="N97" i="35"/>
  <c r="N102" i="35"/>
  <c r="K70" i="35"/>
  <c r="J69" i="35"/>
  <c r="O93" i="35"/>
  <c r="O90" i="35"/>
  <c r="O89" i="35"/>
  <c r="O91" i="35" s="1"/>
  <c r="L109" i="35"/>
  <c r="O95" i="35"/>
  <c r="O60" i="35" s="1"/>
  <c r="M64" i="35"/>
  <c r="K61" i="35"/>
  <c r="L96" i="35"/>
  <c r="P82" i="35"/>
  <c r="P84" i="35" s="1"/>
  <c r="P86" i="35"/>
  <c r="P88" i="35"/>
  <c r="N57" i="35"/>
  <c r="O58" i="35"/>
  <c r="K116" i="35"/>
  <c r="J125" i="35"/>
  <c r="J124" i="35" s="1"/>
  <c r="J127" i="35" s="1"/>
  <c r="J129" i="35" s="1"/>
  <c r="J78" i="35"/>
  <c r="K111" i="35"/>
  <c r="P50" i="35"/>
  <c r="V10" i="53" l="1"/>
  <c r="V9" i="53"/>
  <c r="P89" i="35"/>
  <c r="P91" i="35" s="1"/>
  <c r="P93" i="35"/>
  <c r="P90" i="35"/>
  <c r="P58" i="35" s="1"/>
  <c r="K69" i="35"/>
  <c r="Q81" i="35"/>
  <c r="L110" i="35"/>
  <c r="L112" i="35" s="1"/>
  <c r="L114" i="35" s="1"/>
  <c r="L111" i="35"/>
  <c r="L70" i="35" s="1"/>
  <c r="N103" i="35"/>
  <c r="N105" i="35" s="1"/>
  <c r="N104" i="35"/>
  <c r="N107" i="35"/>
  <c r="O96" i="35"/>
  <c r="O98" i="35" s="1"/>
  <c r="O100" i="35"/>
  <c r="P95" i="35"/>
  <c r="P83" i="35"/>
  <c r="L98" i="35"/>
  <c r="L100" i="35" s="1"/>
  <c r="L97" i="35"/>
  <c r="L62" i="35" s="1"/>
  <c r="O102" i="35"/>
  <c r="L68" i="35"/>
  <c r="J77" i="35"/>
  <c r="K117" i="35"/>
  <c r="K119" i="35" s="1"/>
  <c r="K121" i="35"/>
  <c r="K128" i="35" s="1"/>
  <c r="K118" i="35"/>
  <c r="K125" i="35" s="1"/>
  <c r="K124" i="35" s="1"/>
  <c r="K123" i="35"/>
  <c r="K76" i="35"/>
  <c r="P52" i="35"/>
  <c r="O51" i="35"/>
  <c r="O57" i="35"/>
  <c r="M66" i="35"/>
  <c r="L65" i="35"/>
  <c r="P56" i="35"/>
  <c r="N64" i="35"/>
  <c r="W9" i="53" l="1"/>
  <c r="W10" i="53"/>
  <c r="P57" i="35"/>
  <c r="L69" i="35"/>
  <c r="P51" i="35"/>
  <c r="O97" i="35"/>
  <c r="O103" i="35"/>
  <c r="O105" i="35" s="1"/>
  <c r="O107" i="35"/>
  <c r="O104" i="35"/>
  <c r="O64" i="35"/>
  <c r="K126" i="35"/>
  <c r="K127" i="35" s="1"/>
  <c r="K129" i="35" s="1"/>
  <c r="K78" i="35"/>
  <c r="M109" i="35"/>
  <c r="Q82" i="35"/>
  <c r="Q84" i="35" s="1"/>
  <c r="Q86" i="35" s="1"/>
  <c r="Q83" i="35"/>
  <c r="Q88" i="35"/>
  <c r="Q50" i="35"/>
  <c r="M62" i="35"/>
  <c r="L61" i="35"/>
  <c r="P96" i="35"/>
  <c r="P98" i="35" s="1"/>
  <c r="P100" i="35" s="1"/>
  <c r="P97" i="35"/>
  <c r="L116" i="35"/>
  <c r="Q56" i="35"/>
  <c r="N66" i="35"/>
  <c r="M65" i="35"/>
  <c r="P60" i="35"/>
  <c r="X9" i="53" l="1"/>
  <c r="X10" i="53"/>
  <c r="N65" i="35"/>
  <c r="O66" i="35"/>
  <c r="N62" i="35"/>
  <c r="M61" i="35"/>
  <c r="L117" i="35"/>
  <c r="L119" i="35" s="1"/>
  <c r="L121" i="35"/>
  <c r="L128" i="35" s="1"/>
  <c r="L118" i="35"/>
  <c r="L125" i="35" s="1"/>
  <c r="L124" i="35" s="1"/>
  <c r="L123" i="35"/>
  <c r="M110" i="35"/>
  <c r="M112" i="35" s="1"/>
  <c r="M114" i="35" s="1"/>
  <c r="M111" i="35"/>
  <c r="M70" i="35" s="1"/>
  <c r="M116" i="35"/>
  <c r="M68" i="35"/>
  <c r="L78" i="35"/>
  <c r="K77" i="35"/>
  <c r="L76" i="35"/>
  <c r="Q89" i="35"/>
  <c r="Q91" i="35" s="1"/>
  <c r="Q93" i="35"/>
  <c r="Q90" i="35"/>
  <c r="Q58" i="35" s="1"/>
  <c r="P102" i="35"/>
  <c r="R81" i="35"/>
  <c r="Q52" i="35"/>
  <c r="Q95" i="35"/>
  <c r="Q60" i="35" s="1"/>
  <c r="Y10" i="53" l="1"/>
  <c r="Y9" i="53"/>
  <c r="M76" i="35"/>
  <c r="L77" i="35"/>
  <c r="R82" i="35"/>
  <c r="R84" i="35" s="1"/>
  <c r="R86" i="35"/>
  <c r="R83" i="35"/>
  <c r="R88" i="35"/>
  <c r="M117" i="35"/>
  <c r="M119" i="35" s="1"/>
  <c r="M121" i="35"/>
  <c r="M128" i="35" s="1"/>
  <c r="M118" i="35"/>
  <c r="M125" i="35" s="1"/>
  <c r="M124" i="35" s="1"/>
  <c r="M123" i="35"/>
  <c r="R50" i="35"/>
  <c r="M69" i="35"/>
  <c r="L126" i="35"/>
  <c r="L127" i="35" s="1"/>
  <c r="L129" i="35" s="1"/>
  <c r="P103" i="35"/>
  <c r="P105" i="35" s="1"/>
  <c r="P107" i="35"/>
  <c r="P104" i="35"/>
  <c r="P64" i="35"/>
  <c r="P66" i="35"/>
  <c r="O65" i="35"/>
  <c r="N109" i="35"/>
  <c r="Q96" i="35"/>
  <c r="Q98" i="35" s="1"/>
  <c r="Q100" i="35"/>
  <c r="Q97" i="35"/>
  <c r="Q51" i="35"/>
  <c r="R52" i="35"/>
  <c r="O62" i="35"/>
  <c r="N61" i="35"/>
  <c r="Q57" i="35"/>
  <c r="Z9" i="53" l="1"/>
  <c r="Z10" i="53"/>
  <c r="R51" i="35"/>
  <c r="N110" i="35"/>
  <c r="N112" i="35" s="1"/>
  <c r="N114" i="35" s="1"/>
  <c r="N111" i="35"/>
  <c r="N70" i="35" s="1"/>
  <c r="N116" i="35"/>
  <c r="M78" i="35"/>
  <c r="R89" i="35"/>
  <c r="R91" i="35" s="1"/>
  <c r="R93" i="35" s="1"/>
  <c r="R56" i="35"/>
  <c r="N76" i="35"/>
  <c r="P62" i="35"/>
  <c r="O61" i="35"/>
  <c r="S81" i="35"/>
  <c r="M126" i="35"/>
  <c r="M127" i="35" s="1"/>
  <c r="M129" i="35" s="1"/>
  <c r="R95" i="35"/>
  <c r="N68" i="35"/>
  <c r="P65" i="35"/>
  <c r="Q102" i="35"/>
  <c r="AA9" i="53" l="1"/>
  <c r="AA10" i="53"/>
  <c r="R90" i="35"/>
  <c r="R58" i="35" s="1"/>
  <c r="Q62" i="35"/>
  <c r="P61" i="35"/>
  <c r="Q103" i="35"/>
  <c r="Q105" i="35" s="1"/>
  <c r="Q107" i="35"/>
  <c r="Q104" i="35"/>
  <c r="Q66" i="35" s="1"/>
  <c r="S82" i="35"/>
  <c r="S84" i="35" s="1"/>
  <c r="S83" i="35"/>
  <c r="S88" i="35"/>
  <c r="S86" i="35"/>
  <c r="S56" i="35"/>
  <c r="N117" i="35"/>
  <c r="N119" i="35" s="1"/>
  <c r="N121" i="35" s="1"/>
  <c r="N128" i="35" s="1"/>
  <c r="N126" i="35" s="1"/>
  <c r="N123" i="35"/>
  <c r="Q64" i="35"/>
  <c r="R96" i="35"/>
  <c r="R98" i="35" s="1"/>
  <c r="R100" i="35" s="1"/>
  <c r="R60" i="35"/>
  <c r="R102" i="35"/>
  <c r="M77" i="35"/>
  <c r="N69" i="35"/>
  <c r="O109" i="35"/>
  <c r="S50" i="35"/>
  <c r="AB9" i="53" l="1"/>
  <c r="AB10" i="53"/>
  <c r="S89" i="35"/>
  <c r="S91" i="35" s="1"/>
  <c r="S93" i="35" s="1"/>
  <c r="S52" i="35"/>
  <c r="T81" i="35"/>
  <c r="T50" i="35"/>
  <c r="S95" i="35"/>
  <c r="R103" i="35"/>
  <c r="R105" i="35" s="1"/>
  <c r="R107" i="35" s="1"/>
  <c r="R97" i="35"/>
  <c r="R62" i="35" s="1"/>
  <c r="O110" i="35"/>
  <c r="O112" i="35" s="1"/>
  <c r="O114" i="35" s="1"/>
  <c r="O111" i="35"/>
  <c r="O70" i="35" s="1"/>
  <c r="O116" i="35"/>
  <c r="O68" i="35"/>
  <c r="Q65" i="35"/>
  <c r="R64" i="35"/>
  <c r="N118" i="35"/>
  <c r="Q61" i="35"/>
  <c r="R57" i="35"/>
  <c r="AC9" i="53" l="1"/>
  <c r="AC10" i="53"/>
  <c r="R61" i="35"/>
  <c r="O117" i="35"/>
  <c r="O119" i="35" s="1"/>
  <c r="O121" i="35"/>
  <c r="O128" i="35" s="1"/>
  <c r="O118" i="35"/>
  <c r="O125" i="35" s="1"/>
  <c r="O123" i="35"/>
  <c r="O76" i="35"/>
  <c r="O69" i="35"/>
  <c r="R104" i="35"/>
  <c r="R66" i="35" s="1"/>
  <c r="T88" i="35"/>
  <c r="T82" i="35"/>
  <c r="T84" i="35" s="1"/>
  <c r="T86" i="35" s="1"/>
  <c r="S64" i="35"/>
  <c r="S96" i="35"/>
  <c r="S98" i="35" s="1"/>
  <c r="S100" i="35" s="1"/>
  <c r="S102" i="35"/>
  <c r="U81" i="35"/>
  <c r="N125" i="35"/>
  <c r="N124" i="35" s="1"/>
  <c r="N127" i="35" s="1"/>
  <c r="N129" i="35" s="1"/>
  <c r="N78" i="35"/>
  <c r="S51" i="35"/>
  <c r="S60" i="35"/>
  <c r="S90" i="35"/>
  <c r="S58" i="35" s="1"/>
  <c r="P109" i="35"/>
  <c r="P68" i="35" s="1"/>
  <c r="AD10" i="53" l="1"/>
  <c r="AD9" i="53"/>
  <c r="Q109" i="35"/>
  <c r="T89" i="35"/>
  <c r="T91" i="35" s="1"/>
  <c r="T93" i="35" s="1"/>
  <c r="T56" i="35"/>
  <c r="S57" i="35"/>
  <c r="O78" i="35"/>
  <c r="N77" i="35"/>
  <c r="S103" i="35"/>
  <c r="S105" i="35" s="1"/>
  <c r="S107" i="35" s="1"/>
  <c r="T95" i="35"/>
  <c r="R65" i="35"/>
  <c r="U86" i="35"/>
  <c r="U82" i="35"/>
  <c r="U84" i="35" s="1"/>
  <c r="U88" i="35"/>
  <c r="P110" i="35"/>
  <c r="P112" i="35" s="1"/>
  <c r="P114" i="35" s="1"/>
  <c r="P111" i="35"/>
  <c r="P70" i="35" s="1"/>
  <c r="P116" i="35"/>
  <c r="T83" i="35"/>
  <c r="O124" i="35"/>
  <c r="S97" i="35"/>
  <c r="S62" i="35" s="1"/>
  <c r="P76" i="35"/>
  <c r="U50" i="35"/>
  <c r="O126" i="35"/>
  <c r="AE9" i="53" l="1"/>
  <c r="AE10" i="53"/>
  <c r="U89" i="35"/>
  <c r="U91" i="35" s="1"/>
  <c r="U93" i="35" s="1"/>
  <c r="U90" i="35"/>
  <c r="P117" i="35"/>
  <c r="P119" i="35" s="1"/>
  <c r="P121" i="35"/>
  <c r="P128" i="35" s="1"/>
  <c r="P118" i="35"/>
  <c r="P125" i="35" s="1"/>
  <c r="P123" i="35"/>
  <c r="U56" i="35"/>
  <c r="U95" i="35"/>
  <c r="S61" i="35"/>
  <c r="S104" i="35"/>
  <c r="S66" i="35" s="1"/>
  <c r="P69" i="35"/>
  <c r="Q110" i="35"/>
  <c r="Q112" i="35" s="1"/>
  <c r="Q114" i="35" s="1"/>
  <c r="Q111" i="35"/>
  <c r="Q70" i="35" s="1"/>
  <c r="Q116" i="35"/>
  <c r="Q76" i="35" s="1"/>
  <c r="V81" i="35"/>
  <c r="T96" i="35"/>
  <c r="T98" i="35" s="1"/>
  <c r="T100" i="35" s="1"/>
  <c r="T60" i="35"/>
  <c r="T52" i="35"/>
  <c r="T102" i="35"/>
  <c r="O77" i="35"/>
  <c r="P78" i="35"/>
  <c r="U83" i="35"/>
  <c r="T90" i="35"/>
  <c r="T58" i="35" s="1"/>
  <c r="O127" i="35"/>
  <c r="O129" i="35" s="1"/>
  <c r="Q68" i="35"/>
  <c r="AF9" i="53" l="1"/>
  <c r="AF10" i="53"/>
  <c r="Q69" i="35"/>
  <c r="T57" i="35"/>
  <c r="U58" i="35"/>
  <c r="P77" i="35"/>
  <c r="P126" i="35"/>
  <c r="P127" i="35" s="1"/>
  <c r="P129" i="35" s="1"/>
  <c r="V88" i="35"/>
  <c r="V56" i="35" s="1"/>
  <c r="V82" i="35"/>
  <c r="V84" i="35" s="1"/>
  <c r="V86" i="35" s="1"/>
  <c r="R68" i="35"/>
  <c r="R109" i="35"/>
  <c r="P124" i="35"/>
  <c r="T97" i="35"/>
  <c r="T62" i="35" s="1"/>
  <c r="V50" i="35"/>
  <c r="S65" i="35"/>
  <c r="T103" i="35"/>
  <c r="T105" i="35" s="1"/>
  <c r="T107" i="35" s="1"/>
  <c r="T64" i="35"/>
  <c r="T51" i="35"/>
  <c r="U52" i="35"/>
  <c r="U60" i="35"/>
  <c r="Q117" i="35"/>
  <c r="Q119" i="35" s="1"/>
  <c r="Q121" i="35" s="1"/>
  <c r="Q128" i="35" s="1"/>
  <c r="Q126" i="35" s="1"/>
  <c r="Q127" i="35" s="1"/>
  <c r="Q129" i="35" s="1"/>
  <c r="Q118" i="35"/>
  <c r="Q125" i="35" s="1"/>
  <c r="Q124" i="35" s="1"/>
  <c r="Q123" i="35"/>
  <c r="AG9" i="53" l="1"/>
  <c r="AG10" i="53"/>
  <c r="U51" i="35"/>
  <c r="V83" i="35"/>
  <c r="V95" i="35"/>
  <c r="T104" i="35"/>
  <c r="T66" i="35" s="1"/>
  <c r="V89" i="35"/>
  <c r="V91" i="35" s="1"/>
  <c r="V93" i="35" s="1"/>
  <c r="W81" i="35"/>
  <c r="W50" i="35" s="1"/>
  <c r="Q78" i="35"/>
  <c r="T61" i="35"/>
  <c r="U57" i="35"/>
  <c r="U96" i="35"/>
  <c r="S109" i="35"/>
  <c r="U102" i="35"/>
  <c r="R110" i="35"/>
  <c r="R112" i="35" s="1"/>
  <c r="R114" i="35" s="1"/>
  <c r="R116" i="35"/>
  <c r="AH9" i="53" l="1"/>
  <c r="C9" i="53" s="1"/>
  <c r="AH10" i="53"/>
  <c r="C10" i="53" s="1"/>
  <c r="X81" i="35"/>
  <c r="X50" i="35" s="1"/>
  <c r="Q77" i="35"/>
  <c r="U98" i="35"/>
  <c r="U100" i="35" s="1"/>
  <c r="U97" i="35"/>
  <c r="U62" i="35" s="1"/>
  <c r="R117" i="35"/>
  <c r="R119" i="35" s="1"/>
  <c r="R121" i="35" s="1"/>
  <c r="R128" i="35" s="1"/>
  <c r="R126" i="35" s="1"/>
  <c r="R123" i="35"/>
  <c r="R76" i="35"/>
  <c r="T65" i="35"/>
  <c r="R111" i="35"/>
  <c r="R70" i="35" s="1"/>
  <c r="U103" i="35"/>
  <c r="U105" i="35" s="1"/>
  <c r="U107" i="35"/>
  <c r="S114" i="35"/>
  <c r="S111" i="35"/>
  <c r="S110" i="35"/>
  <c r="S112" i="35" s="1"/>
  <c r="S68" i="35"/>
  <c r="W88" i="35"/>
  <c r="W82" i="35"/>
  <c r="W84" i="35" s="1"/>
  <c r="W95" i="35"/>
  <c r="W86" i="35"/>
  <c r="V90" i="35"/>
  <c r="V58" i="35" s="1"/>
  <c r="V96" i="35"/>
  <c r="V98" i="35" s="1"/>
  <c r="V100" i="35" s="1"/>
  <c r="V102" i="35"/>
  <c r="V52" i="35"/>
  <c r="U64" i="35"/>
  <c r="V60" i="35"/>
  <c r="Y81" i="35" l="1"/>
  <c r="Y50" i="35"/>
  <c r="V103" i="35"/>
  <c r="V105" i="35" s="1"/>
  <c r="V107" i="35" s="1"/>
  <c r="W83" i="35"/>
  <c r="W96" i="35"/>
  <c r="W98" i="35" s="1"/>
  <c r="W100" i="35" s="1"/>
  <c r="W89" i="35"/>
  <c r="W91" i="35" s="1"/>
  <c r="W93" i="35" s="1"/>
  <c r="W56" i="35"/>
  <c r="R118" i="35"/>
  <c r="U61" i="35"/>
  <c r="V57" i="35"/>
  <c r="U104" i="35"/>
  <c r="U66" i="35" s="1"/>
  <c r="W60" i="35"/>
  <c r="T109" i="35"/>
  <c r="T68" i="35" s="1"/>
  <c r="V97" i="35"/>
  <c r="V62" i="35" s="1"/>
  <c r="S70" i="35"/>
  <c r="R69" i="35"/>
  <c r="V64" i="35"/>
  <c r="W102" i="35" s="1"/>
  <c r="S116" i="35"/>
  <c r="V51" i="35"/>
  <c r="W52" i="35"/>
  <c r="X82" i="35"/>
  <c r="X84" i="35" s="1"/>
  <c r="X86" i="35"/>
  <c r="V61" i="35" l="1"/>
  <c r="W103" i="35"/>
  <c r="W105" i="35" s="1"/>
  <c r="W107" i="35" s="1"/>
  <c r="U109" i="35"/>
  <c r="W51" i="35"/>
  <c r="W90" i="35"/>
  <c r="W58" i="35" s="1"/>
  <c r="T110" i="35"/>
  <c r="T112" i="35" s="1"/>
  <c r="T114" i="35" s="1"/>
  <c r="T116" i="35"/>
  <c r="V104" i="35"/>
  <c r="V66" i="35" s="1"/>
  <c r="X56" i="35"/>
  <c r="R125" i="35"/>
  <c r="R124" i="35" s="1"/>
  <c r="R127" i="35" s="1"/>
  <c r="R129" i="35" s="1"/>
  <c r="R78" i="35"/>
  <c r="W64" i="35"/>
  <c r="W97" i="35"/>
  <c r="W62" i="35" s="1"/>
  <c r="S117" i="35"/>
  <c r="S119" i="35" s="1"/>
  <c r="S121" i="35" s="1"/>
  <c r="S128" i="35" s="1"/>
  <c r="S126" i="35" s="1"/>
  <c r="S123" i="35"/>
  <c r="S76" i="35"/>
  <c r="S69" i="35"/>
  <c r="X88" i="35"/>
  <c r="U65" i="35"/>
  <c r="Z81" i="35"/>
  <c r="X83" i="35"/>
  <c r="Y82" i="35"/>
  <c r="Y84" i="35" s="1"/>
  <c r="Y86" i="35"/>
  <c r="V65" i="35" l="1"/>
  <c r="W61" i="35"/>
  <c r="Z82" i="35"/>
  <c r="Z84" i="35" s="1"/>
  <c r="Z86" i="35"/>
  <c r="W57" i="35"/>
  <c r="T76" i="35"/>
  <c r="Y56" i="35"/>
  <c r="Z88" i="35" s="1"/>
  <c r="T111" i="35"/>
  <c r="T70" i="35" s="1"/>
  <c r="U110" i="35"/>
  <c r="U112" i="35" s="1"/>
  <c r="U114" i="35" s="1"/>
  <c r="U68" i="35"/>
  <c r="S118" i="35"/>
  <c r="S125" i="35" s="1"/>
  <c r="S124" i="35" s="1"/>
  <c r="S127" i="35" s="1"/>
  <c r="S129" i="35" s="1"/>
  <c r="W104" i="35"/>
  <c r="W66" i="35" s="1"/>
  <c r="Z50" i="35"/>
  <c r="X89" i="35"/>
  <c r="X91" i="35" s="1"/>
  <c r="X93" i="35" s="1"/>
  <c r="X95" i="35"/>
  <c r="R77" i="35"/>
  <c r="S78" i="35"/>
  <c r="T118" i="35"/>
  <c r="T125" i="35" s="1"/>
  <c r="T124" i="35" s="1"/>
  <c r="T117" i="35"/>
  <c r="T119" i="35" s="1"/>
  <c r="T121" i="35" s="1"/>
  <c r="T128" i="35" s="1"/>
  <c r="T126" i="35" s="1"/>
  <c r="T127" i="35" s="1"/>
  <c r="T129" i="35" s="1"/>
  <c r="T123" i="35"/>
  <c r="X52" i="35"/>
  <c r="Y88" i="35"/>
  <c r="Y83" i="35"/>
  <c r="W65" i="35" l="1"/>
  <c r="S77" i="35"/>
  <c r="T78" i="35"/>
  <c r="Y89" i="35"/>
  <c r="Y91" i="35" s="1"/>
  <c r="Y93" i="35" s="1"/>
  <c r="Y95" i="35"/>
  <c r="X102" i="35"/>
  <c r="V109" i="35"/>
  <c r="T69" i="35"/>
  <c r="X90" i="35"/>
  <c r="X58" i="35" s="1"/>
  <c r="X51" i="35"/>
  <c r="Y52" i="35"/>
  <c r="Z56" i="35"/>
  <c r="X96" i="35"/>
  <c r="X98" i="35" s="1"/>
  <c r="X100" i="35" s="1"/>
  <c r="X60" i="35"/>
  <c r="AA81" i="35"/>
  <c r="Z83" i="35"/>
  <c r="U116" i="35"/>
  <c r="U111" i="35"/>
  <c r="U70" i="35" s="1"/>
  <c r="U69" i="35" l="1"/>
  <c r="AA82" i="35"/>
  <c r="AA84" i="35" s="1"/>
  <c r="AA88" i="35"/>
  <c r="AA86" i="35"/>
  <c r="Y90" i="35"/>
  <c r="T77" i="35"/>
  <c r="X57" i="35"/>
  <c r="Y58" i="35"/>
  <c r="Y96" i="35"/>
  <c r="Y98" i="35" s="1"/>
  <c r="Y100" i="35" s="1"/>
  <c r="Y60" i="35"/>
  <c r="U117" i="35"/>
  <c r="U119" i="35" s="1"/>
  <c r="U121" i="35" s="1"/>
  <c r="U128" i="35" s="1"/>
  <c r="U126" i="35" s="1"/>
  <c r="U123" i="35"/>
  <c r="X97" i="35"/>
  <c r="X62" i="35" s="1"/>
  <c r="Z52" i="35"/>
  <c r="Y51" i="35"/>
  <c r="U76" i="35"/>
  <c r="V110" i="35"/>
  <c r="V112" i="35" s="1"/>
  <c r="V114" i="35"/>
  <c r="V116" i="35"/>
  <c r="V68" i="35"/>
  <c r="AA50" i="35"/>
  <c r="X103" i="35"/>
  <c r="X105" i="35" s="1"/>
  <c r="X107" i="35" s="1"/>
  <c r="X64" i="35"/>
  <c r="X104" i="35" l="1"/>
  <c r="X66" i="35" s="1"/>
  <c r="AB81" i="35"/>
  <c r="V111" i="35"/>
  <c r="V70" i="35" s="1"/>
  <c r="Z51" i="35"/>
  <c r="X61" i="35"/>
  <c r="Z95" i="35"/>
  <c r="Z60" i="35" s="1"/>
  <c r="Y97" i="35"/>
  <c r="Y62" i="35" s="1"/>
  <c r="W109" i="35"/>
  <c r="W68" i="35" s="1"/>
  <c r="V76" i="35"/>
  <c r="AA83" i="35"/>
  <c r="V118" i="35"/>
  <c r="V125" i="35" s="1"/>
  <c r="V124" i="35" s="1"/>
  <c r="V117" i="35"/>
  <c r="V119" i="35" s="1"/>
  <c r="V121" i="35" s="1"/>
  <c r="V128" i="35" s="1"/>
  <c r="V126" i="35" s="1"/>
  <c r="V127" i="35" s="1"/>
  <c r="V129" i="35" s="1"/>
  <c r="V123" i="35"/>
  <c r="U118" i="35"/>
  <c r="Y57" i="35"/>
  <c r="Z89" i="35"/>
  <c r="Y102" i="35"/>
  <c r="AA56" i="35"/>
  <c r="Y61" i="35" l="1"/>
  <c r="X109" i="35"/>
  <c r="AA95" i="35"/>
  <c r="AA60" i="35" s="1"/>
  <c r="Z91" i="35"/>
  <c r="Z93" i="35" s="1"/>
  <c r="Z90" i="35"/>
  <c r="Z58" i="35" s="1"/>
  <c r="AA52" i="35"/>
  <c r="Y103" i="35"/>
  <c r="Y105" i="35" s="1"/>
  <c r="Y107" i="35" s="1"/>
  <c r="W76" i="35"/>
  <c r="W110" i="35"/>
  <c r="W112" i="35" s="1"/>
  <c r="W114" i="35" s="1"/>
  <c r="W116" i="35"/>
  <c r="Z96" i="35"/>
  <c r="Z98" i="35" s="1"/>
  <c r="Z100" i="35" s="1"/>
  <c r="Z102" i="35"/>
  <c r="Y64" i="35"/>
  <c r="U125" i="35"/>
  <c r="U124" i="35" s="1"/>
  <c r="U127" i="35" s="1"/>
  <c r="U129" i="35" s="1"/>
  <c r="U78" i="35"/>
  <c r="V69" i="35"/>
  <c r="AB88" i="35"/>
  <c r="AB82" i="35"/>
  <c r="AB84" i="35" s="1"/>
  <c r="AB86" i="35" s="1"/>
  <c r="AB50" i="35"/>
  <c r="X65" i="35"/>
  <c r="W111" i="35" l="1"/>
  <c r="W70" i="35" s="1"/>
  <c r="Y104" i="35"/>
  <c r="Y66" i="35" s="1"/>
  <c r="AA51" i="35"/>
  <c r="AB52" i="35"/>
  <c r="X110" i="35"/>
  <c r="X112" i="35" s="1"/>
  <c r="X114" i="35" s="1"/>
  <c r="X116" i="35"/>
  <c r="AB56" i="35"/>
  <c r="Z103" i="35"/>
  <c r="Z105" i="35" s="1"/>
  <c r="Z107" i="35" s="1"/>
  <c r="AB95" i="35"/>
  <c r="X68" i="35"/>
  <c r="AC81" i="35"/>
  <c r="AC50" i="35" s="1"/>
  <c r="Z97" i="35"/>
  <c r="Z62" i="35" s="1"/>
  <c r="AB83" i="35"/>
  <c r="V78" i="35"/>
  <c r="U77" i="35"/>
  <c r="Z57" i="35"/>
  <c r="AA89" i="35"/>
  <c r="Z64" i="35"/>
  <c r="AA96" i="35"/>
  <c r="AA98" i="35" s="1"/>
  <c r="AA100" i="35"/>
  <c r="W118" i="35"/>
  <c r="W125" i="35" s="1"/>
  <c r="W124" i="35" s="1"/>
  <c r="W117" i="35"/>
  <c r="W119" i="35" s="1"/>
  <c r="W121" i="35"/>
  <c r="W128" i="35" s="1"/>
  <c r="W126" i="35" s="1"/>
  <c r="W123" i="35"/>
  <c r="AD81" i="35" l="1"/>
  <c r="AD50" i="35"/>
  <c r="Y65" i="35"/>
  <c r="X117" i="35"/>
  <c r="X119" i="35" s="1"/>
  <c r="X121" i="35" s="1"/>
  <c r="X128" i="35" s="1"/>
  <c r="X126" i="35" s="1"/>
  <c r="X123" i="35"/>
  <c r="Z104" i="35"/>
  <c r="Z66" i="35" s="1"/>
  <c r="W78" i="35"/>
  <c r="V77" i="35"/>
  <c r="Z61" i="35"/>
  <c r="AA62" i="35"/>
  <c r="Y109" i="35"/>
  <c r="X76" i="35"/>
  <c r="AC56" i="35"/>
  <c r="X111" i="35"/>
  <c r="X70" i="35" s="1"/>
  <c r="AB51" i="35"/>
  <c r="W127" i="35"/>
  <c r="W129" i="35" s="1"/>
  <c r="W69" i="35"/>
  <c r="AA97" i="35"/>
  <c r="AA91" i="35"/>
  <c r="AA93" i="35" s="1"/>
  <c r="AA90" i="35"/>
  <c r="AA58" i="35" s="1"/>
  <c r="AC88" i="35"/>
  <c r="AC95" i="35" s="1"/>
  <c r="AC82" i="35"/>
  <c r="AC84" i="35" s="1"/>
  <c r="AC86" i="35" s="1"/>
  <c r="AB96" i="35"/>
  <c r="AB98" i="35" s="1"/>
  <c r="AB100" i="35" s="1"/>
  <c r="AB60" i="35"/>
  <c r="AA102" i="35"/>
  <c r="AA64" i="35" s="1"/>
  <c r="AC96" i="35" l="1"/>
  <c r="AC98" i="35" s="1"/>
  <c r="AC100" i="35" s="1"/>
  <c r="AC97" i="35"/>
  <c r="X69" i="35"/>
  <c r="Z65" i="35"/>
  <c r="AB102" i="35"/>
  <c r="X127" i="35"/>
  <c r="X129" i="35" s="1"/>
  <c r="Y110" i="35"/>
  <c r="Y112" i="35" s="1"/>
  <c r="Y114" i="35" s="1"/>
  <c r="Y116" i="35"/>
  <c r="Y76" i="35"/>
  <c r="Y68" i="35"/>
  <c r="AC83" i="35"/>
  <c r="W77" i="35"/>
  <c r="X78" i="35"/>
  <c r="AA57" i="35"/>
  <c r="AB89" i="35"/>
  <c r="X118" i="35"/>
  <c r="X125" i="35" s="1"/>
  <c r="X124" i="35" s="1"/>
  <c r="AA61" i="35"/>
  <c r="AD56" i="35"/>
  <c r="AE81" i="35"/>
  <c r="AE50" i="35"/>
  <c r="AB97" i="35"/>
  <c r="AB62" i="35" s="1"/>
  <c r="AA103" i="35"/>
  <c r="AA105" i="35" s="1"/>
  <c r="AA107" i="35" s="1"/>
  <c r="AC60" i="35"/>
  <c r="AD88" i="35"/>
  <c r="AD82" i="35"/>
  <c r="AD84" i="35" s="1"/>
  <c r="AD86" i="35"/>
  <c r="AD83" i="35"/>
  <c r="AB61" i="35" l="1"/>
  <c r="AC62" i="35"/>
  <c r="AC52" i="35"/>
  <c r="Y111" i="35"/>
  <c r="Y70" i="35" s="1"/>
  <c r="AA104" i="35"/>
  <c r="AA66" i="35" s="1"/>
  <c r="AB91" i="35"/>
  <c r="AB93" i="35" s="1"/>
  <c r="AB90" i="35"/>
  <c r="AB58" i="35" s="1"/>
  <c r="X77" i="35"/>
  <c r="AB103" i="35"/>
  <c r="AB105" i="35" s="1"/>
  <c r="AB107" i="35" s="1"/>
  <c r="AB104" i="35"/>
  <c r="AF81" i="35"/>
  <c r="AD95" i="35"/>
  <c r="AD60" i="35" s="1"/>
  <c r="Z109" i="35"/>
  <c r="Y117" i="35"/>
  <c r="Y119" i="35" s="1"/>
  <c r="Y121" i="35"/>
  <c r="Y128" i="35" s="1"/>
  <c r="Y126" i="35" s="1"/>
  <c r="Y123" i="35"/>
  <c r="AE82" i="35"/>
  <c r="AE84" i="35" s="1"/>
  <c r="AE88" i="35"/>
  <c r="AE86" i="35"/>
  <c r="AE83" i="35"/>
  <c r="AB64" i="35"/>
  <c r="Y69" i="35" l="1"/>
  <c r="AB57" i="35"/>
  <c r="AC89" i="35"/>
  <c r="Y118" i="35"/>
  <c r="Z110" i="35"/>
  <c r="Z112" i="35" s="1"/>
  <c r="Z111" i="35"/>
  <c r="Z70" i="35" s="1"/>
  <c r="Z114" i="35"/>
  <c r="Z116" i="35"/>
  <c r="Z68" i="35"/>
  <c r="AF82" i="35"/>
  <c r="AF84" i="35" s="1"/>
  <c r="AF86" i="35" s="1"/>
  <c r="AC61" i="35"/>
  <c r="AE95" i="35"/>
  <c r="AE56" i="35"/>
  <c r="AA65" i="35"/>
  <c r="AB66" i="35"/>
  <c r="AD96" i="35"/>
  <c r="AD98" i="35" s="1"/>
  <c r="AD97" i="35"/>
  <c r="AD62" i="35" s="1"/>
  <c r="AD100" i="35"/>
  <c r="AD52" i="35"/>
  <c r="AC51" i="35"/>
  <c r="AF50" i="35"/>
  <c r="AC102" i="35"/>
  <c r="AD61" i="35" l="1"/>
  <c r="Z69" i="35"/>
  <c r="AB65" i="35"/>
  <c r="AC91" i="35"/>
  <c r="AC93" i="35" s="1"/>
  <c r="AC90" i="35"/>
  <c r="AC58" i="35" s="1"/>
  <c r="AF83" i="35"/>
  <c r="AA109" i="35"/>
  <c r="AE96" i="35"/>
  <c r="AE98" i="35" s="1"/>
  <c r="AE100" i="35"/>
  <c r="AE52" i="35"/>
  <c r="AD51" i="35"/>
  <c r="Z117" i="35"/>
  <c r="Z119" i="35" s="1"/>
  <c r="Z121" i="35" s="1"/>
  <c r="Z128" i="35" s="1"/>
  <c r="Z126" i="35" s="1"/>
  <c r="Z123" i="35"/>
  <c r="Z76" i="35"/>
  <c r="Y125" i="35"/>
  <c r="Y124" i="35" s="1"/>
  <c r="Y127" i="35" s="1"/>
  <c r="Y129" i="35" s="1"/>
  <c r="Y78" i="35"/>
  <c r="AC103" i="35"/>
  <c r="AC105" i="35" s="1"/>
  <c r="AC107" i="35" s="1"/>
  <c r="AC104" i="35"/>
  <c r="AC66" i="35" s="1"/>
  <c r="AC64" i="35"/>
  <c r="AG81" i="35"/>
  <c r="AG50" i="35" s="1"/>
  <c r="AF88" i="35"/>
  <c r="AE60" i="35"/>
  <c r="AC65" i="35" l="1"/>
  <c r="AF95" i="35"/>
  <c r="AE97" i="35"/>
  <c r="AE62" i="35" s="1"/>
  <c r="AF60" i="35"/>
  <c r="AA110" i="35"/>
  <c r="AA112" i="35" s="1"/>
  <c r="AA111" i="35"/>
  <c r="AA70" i="35" s="1"/>
  <c r="AA114" i="35"/>
  <c r="AA116" i="35"/>
  <c r="AF52" i="35"/>
  <c r="AE51" i="35"/>
  <c r="AA68" i="35"/>
  <c r="AF56" i="35"/>
  <c r="AG88" i="35"/>
  <c r="AG82" i="35"/>
  <c r="AG84" i="35" s="1"/>
  <c r="AG86" i="35" s="1"/>
  <c r="B81" i="35"/>
  <c r="AD102" i="35"/>
  <c r="AC57" i="35"/>
  <c r="AD89" i="35"/>
  <c r="Y77" i="35"/>
  <c r="AA76" i="35"/>
  <c r="Z118" i="35"/>
  <c r="Z125" i="35" s="1"/>
  <c r="Z124" i="35" s="1"/>
  <c r="Z127" i="35" s="1"/>
  <c r="Z129" i="35" s="1"/>
  <c r="B86" i="35" l="1"/>
  <c r="B84" i="35" s="1"/>
  <c r="Z78" i="35"/>
  <c r="AA117" i="35"/>
  <c r="AA119" i="35" s="1"/>
  <c r="AA118" i="35"/>
  <c r="AA125" i="35" s="1"/>
  <c r="AA121" i="35"/>
  <c r="AA128" i="35" s="1"/>
  <c r="AA126" i="35" s="1"/>
  <c r="AA123" i="35"/>
  <c r="AD103" i="35"/>
  <c r="AD105" i="35" s="1"/>
  <c r="AD107" i="35" s="1"/>
  <c r="AD64" i="35"/>
  <c r="AD91" i="35"/>
  <c r="AD93" i="35" s="1"/>
  <c r="AD90" i="35"/>
  <c r="AD58" i="35" s="1"/>
  <c r="AF96" i="35"/>
  <c r="AF98" i="35" s="1"/>
  <c r="AF100" i="35" s="1"/>
  <c r="AF97" i="35"/>
  <c r="AF62" i="35" s="1"/>
  <c r="AB68" i="35"/>
  <c r="AB109" i="35"/>
  <c r="AF51" i="35"/>
  <c r="AA69" i="35"/>
  <c r="AE61" i="35"/>
  <c r="AG83" i="35"/>
  <c r="B88" i="35"/>
  <c r="AG95" i="35"/>
  <c r="AG56" i="35"/>
  <c r="AF61" i="35" l="1"/>
  <c r="AG96" i="35"/>
  <c r="AG98" i="35" s="1"/>
  <c r="AG100" i="35" s="1"/>
  <c r="B100" i="35" s="1"/>
  <c r="B98" i="35" s="1"/>
  <c r="AG97" i="35"/>
  <c r="B97" i="35" s="1"/>
  <c r="B95" i="35"/>
  <c r="AE102" i="35"/>
  <c r="AE64" i="35" s="1"/>
  <c r="B83" i="35"/>
  <c r="B82" i="35" s="1"/>
  <c r="B85" i="35" s="1"/>
  <c r="AD104" i="35"/>
  <c r="AD66" i="35" s="1"/>
  <c r="AA124" i="35"/>
  <c r="AA127" i="35" s="1"/>
  <c r="AA129" i="35" s="1"/>
  <c r="Z77" i="35"/>
  <c r="AA78" i="35"/>
  <c r="AC109" i="35"/>
  <c r="AC68" i="35" s="1"/>
  <c r="AD57" i="35"/>
  <c r="AE89" i="35"/>
  <c r="AG60" i="35"/>
  <c r="AG52" i="35"/>
  <c r="AG51" i="35" s="1"/>
  <c r="AB110" i="35"/>
  <c r="AB112" i="35" s="1"/>
  <c r="AB114" i="35"/>
  <c r="AB111" i="35"/>
  <c r="AB70" i="35" s="1"/>
  <c r="AB116" i="35"/>
  <c r="AD109" i="35" l="1"/>
  <c r="AF102" i="35"/>
  <c r="AA77" i="35"/>
  <c r="AB117" i="35"/>
  <c r="AB119" i="35" s="1"/>
  <c r="AB121" i="35"/>
  <c r="AB128" i="35" s="1"/>
  <c r="AB123" i="35"/>
  <c r="AB76" i="35"/>
  <c r="AB69" i="35"/>
  <c r="AC110" i="35"/>
  <c r="AC112" i="35" s="1"/>
  <c r="AC111" i="35"/>
  <c r="AC70" i="35" s="1"/>
  <c r="AC114" i="35"/>
  <c r="AC116" i="35"/>
  <c r="AE66" i="35"/>
  <c r="AD65" i="35"/>
  <c r="AE103" i="35"/>
  <c r="AE105" i="35" s="1"/>
  <c r="AE107" i="35" s="1"/>
  <c r="AE104" i="35"/>
  <c r="B96" i="35"/>
  <c r="B99" i="35" s="1"/>
  <c r="AE91" i="35"/>
  <c r="AE93" i="35" s="1"/>
  <c r="AE90" i="35"/>
  <c r="AE58" i="35" s="1"/>
  <c r="AG62" i="35"/>
  <c r="AG61" i="35" s="1"/>
  <c r="AC69" i="35" l="1"/>
  <c r="AC117" i="35"/>
  <c r="AC119" i="35" s="1"/>
  <c r="AC121" i="35"/>
  <c r="AC128" i="35" s="1"/>
  <c r="AC123" i="35"/>
  <c r="AC76" i="35"/>
  <c r="AE65" i="35"/>
  <c r="AB126" i="35"/>
  <c r="AF103" i="35"/>
  <c r="AF105" i="35" s="1"/>
  <c r="AF107" i="35"/>
  <c r="AF104" i="35"/>
  <c r="AF66" i="35" s="1"/>
  <c r="AB118" i="35"/>
  <c r="AF64" i="35"/>
  <c r="AE57" i="35"/>
  <c r="AF89" i="35"/>
  <c r="AD110" i="35"/>
  <c r="AD112" i="35" s="1"/>
  <c r="AD114" i="35"/>
  <c r="AD68" i="35"/>
  <c r="AF65" i="35" l="1"/>
  <c r="AF91" i="35"/>
  <c r="AF93" i="35" s="1"/>
  <c r="AF90" i="35"/>
  <c r="AF58" i="35" s="1"/>
  <c r="AG102" i="35"/>
  <c r="AB125" i="35"/>
  <c r="AB124" i="35" s="1"/>
  <c r="AB127" i="35" s="1"/>
  <c r="AB129" i="35" s="1"/>
  <c r="AB78" i="35"/>
  <c r="AC126" i="35"/>
  <c r="AE109" i="35"/>
  <c r="AD116" i="35"/>
  <c r="AD76" i="35" s="1"/>
  <c r="AC118" i="35"/>
  <c r="AC125" i="35" s="1"/>
  <c r="AC124" i="35" s="1"/>
  <c r="AD111" i="35"/>
  <c r="AD70" i="35" s="1"/>
  <c r="AE110" i="35" l="1"/>
  <c r="AE112" i="35" s="1"/>
  <c r="AE114" i="35" s="1"/>
  <c r="AE111" i="35"/>
  <c r="AE116" i="35"/>
  <c r="AB77" i="35"/>
  <c r="AC78" i="35"/>
  <c r="AE70" i="35"/>
  <c r="AD69" i="35"/>
  <c r="AC127" i="35"/>
  <c r="AC129" i="35" s="1"/>
  <c r="AD117" i="35"/>
  <c r="AD119" i="35" s="1"/>
  <c r="AD121" i="35"/>
  <c r="AD128" i="35" s="1"/>
  <c r="AD126" i="35" s="1"/>
  <c r="AD118" i="35"/>
  <c r="AD125" i="35" s="1"/>
  <c r="AD123" i="35"/>
  <c r="AE68" i="35"/>
  <c r="AG103" i="35"/>
  <c r="AG105" i="35" s="1"/>
  <c r="AG104" i="35"/>
  <c r="AG107" i="35"/>
  <c r="B107" i="35" s="1"/>
  <c r="B102" i="35"/>
  <c r="AG64" i="35"/>
  <c r="AF57" i="35"/>
  <c r="AG89" i="35"/>
  <c r="B104" i="35" l="1"/>
  <c r="B103" i="35" s="1"/>
  <c r="AG66" i="35"/>
  <c r="AG65" i="35" s="1"/>
  <c r="AF109" i="35"/>
  <c r="AE117" i="35"/>
  <c r="AE119" i="35" s="1"/>
  <c r="AE121" i="35" s="1"/>
  <c r="AE128" i="35" s="1"/>
  <c r="AE126" i="35" s="1"/>
  <c r="AE123" i="35"/>
  <c r="B105" i="35"/>
  <c r="B106" i="35" s="1"/>
  <c r="AD124" i="35"/>
  <c r="AD127" i="35" s="1"/>
  <c r="AD129" i="35" s="1"/>
  <c r="AE69" i="35"/>
  <c r="AC77" i="35"/>
  <c r="AD78" i="35"/>
  <c r="AG91" i="35"/>
  <c r="AG93" i="35" s="1"/>
  <c r="B93" i="35" s="1"/>
  <c r="B91" i="35" s="1"/>
  <c r="AG90" i="35"/>
  <c r="AE76" i="35"/>
  <c r="AD77" i="35" l="1"/>
  <c r="B90" i="35"/>
  <c r="B89" i="35" s="1"/>
  <c r="AG58" i="35"/>
  <c r="AG57" i="35" s="1"/>
  <c r="B92" i="35"/>
  <c r="AE118" i="35"/>
  <c r="AE125" i="35" s="1"/>
  <c r="AE124" i="35" s="1"/>
  <c r="AE127" i="35" s="1"/>
  <c r="AE129" i="35" s="1"/>
  <c r="AF110" i="35"/>
  <c r="AF112" i="35" s="1"/>
  <c r="AF114" i="35" s="1"/>
  <c r="AF116" i="35"/>
  <c r="AF76" i="35" s="1"/>
  <c r="AF68" i="35"/>
  <c r="AG109" i="35" l="1"/>
  <c r="AF117" i="35"/>
  <c r="AF119" i="35" s="1"/>
  <c r="AF118" i="35"/>
  <c r="AF121" i="35"/>
  <c r="AF128" i="35" s="1"/>
  <c r="AF123" i="35"/>
  <c r="AF111" i="35"/>
  <c r="AF70" i="35" s="1"/>
  <c r="AE78" i="35"/>
  <c r="AF78" i="35" l="1"/>
  <c r="AE77" i="35"/>
  <c r="AF125" i="35"/>
  <c r="AF124" i="35" s="1"/>
  <c r="AF69" i="35"/>
  <c r="AF126" i="35"/>
  <c r="AF127" i="35" s="1"/>
  <c r="AF129" i="35" s="1"/>
  <c r="AG110" i="35"/>
  <c r="AG112" i="35" s="1"/>
  <c r="AG111" i="35"/>
  <c r="B111" i="35" s="1"/>
  <c r="B110" i="35" s="1"/>
  <c r="AG114" i="35"/>
  <c r="B114" i="35" s="1"/>
  <c r="B112" i="35" s="1"/>
  <c r="B113" i="35" s="1"/>
  <c r="B109" i="35"/>
  <c r="AG116" i="35"/>
  <c r="AG68" i="35"/>
  <c r="AG117" i="35" l="1"/>
  <c r="AG119" i="35" s="1"/>
  <c r="AG121" i="35" s="1"/>
  <c r="B116" i="35"/>
  <c r="AG123" i="35"/>
  <c r="B123" i="35" s="1"/>
  <c r="AG76" i="35"/>
  <c r="AG70" i="35"/>
  <c r="AG69" i="35" s="1"/>
  <c r="AF77" i="35"/>
  <c r="B121" i="35" l="1"/>
  <c r="B119" i="35" s="1"/>
  <c r="AG128" i="35"/>
  <c r="AG118" i="35"/>
  <c r="B118" i="35" l="1"/>
  <c r="B117" i="35" s="1"/>
  <c r="AG125" i="35"/>
  <c r="AG78" i="35"/>
  <c r="AG77" i="35" s="1"/>
  <c r="AG126" i="35"/>
  <c r="B128" i="35"/>
  <c r="B120" i="35"/>
  <c r="B132" i="35" l="1"/>
  <c r="B126" i="35"/>
  <c r="B1" i="35"/>
  <c r="AG124" i="35"/>
  <c r="AG127" i="35" s="1"/>
  <c r="AG129" i="35" s="1"/>
  <c r="B125" i="35"/>
  <c r="B124" i="35" s="1"/>
  <c r="B127" i="35" l="1"/>
  <c r="B129" i="35" s="1"/>
  <c r="AF50" i="49" l="1"/>
  <c r="AE50" i="49"/>
  <c r="AD50" i="49"/>
  <c r="AC50" i="49"/>
  <c r="AB50" i="49"/>
  <c r="AA50" i="49"/>
  <c r="Z50" i="49"/>
  <c r="Y50" i="49"/>
  <c r="X50" i="49"/>
  <c r="W50" i="49"/>
  <c r="V50" i="49"/>
  <c r="U50" i="49"/>
  <c r="T50" i="49"/>
  <c r="S50" i="49"/>
  <c r="R50" i="49"/>
  <c r="Q50" i="49"/>
  <c r="P50" i="49"/>
  <c r="O50" i="49"/>
  <c r="N50" i="49"/>
  <c r="M50" i="49"/>
  <c r="L50" i="49"/>
  <c r="K50" i="49"/>
  <c r="J50" i="49"/>
  <c r="I50" i="49"/>
  <c r="H50" i="49"/>
  <c r="G50" i="49"/>
  <c r="F50" i="49"/>
  <c r="E50" i="49"/>
  <c r="D50" i="49"/>
  <c r="C50" i="49"/>
  <c r="B50" i="49"/>
  <c r="AG49" i="49"/>
  <c r="AG48" i="49"/>
  <c r="AG47" i="49"/>
  <c r="AG46" i="49"/>
  <c r="AG45" i="49"/>
  <c r="AG44" i="49"/>
  <c r="AG43" i="49"/>
  <c r="AG42" i="49"/>
  <c r="AG41" i="49"/>
  <c r="AG40" i="49"/>
  <c r="AG39" i="49"/>
  <c r="AG38" i="49"/>
  <c r="AG37" i="49"/>
  <c r="AG36" i="49"/>
  <c r="AG35" i="49"/>
  <c r="AG34" i="49"/>
  <c r="AG33" i="49"/>
  <c r="AG32" i="49"/>
  <c r="AG31" i="49"/>
  <c r="AG30" i="49"/>
  <c r="AG29" i="49"/>
  <c r="AG28" i="49"/>
  <c r="AG27" i="49"/>
  <c r="AG26" i="49"/>
  <c r="AG25" i="49"/>
  <c r="AG24" i="49"/>
  <c r="AG23" i="49"/>
  <c r="AG22" i="49"/>
  <c r="AG21" i="49"/>
  <c r="AG20" i="49"/>
  <c r="AG19" i="49"/>
  <c r="AG18" i="49"/>
  <c r="AG17" i="49"/>
  <c r="AG16" i="49"/>
  <c r="AG15" i="49"/>
  <c r="AG14" i="49"/>
  <c r="AG13" i="49"/>
  <c r="AG12" i="49"/>
  <c r="AG11" i="49"/>
  <c r="AG10" i="49"/>
  <c r="AG9" i="49"/>
  <c r="AG8" i="49"/>
  <c r="AG7" i="49"/>
  <c r="AG6" i="49"/>
  <c r="AG5" i="49"/>
  <c r="AG4" i="49"/>
  <c r="AG3" i="49"/>
  <c r="AG2" i="49"/>
  <c r="G13" i="32"/>
  <c r="H13" i="32"/>
  <c r="I13" i="32"/>
  <c r="J13" i="32"/>
  <c r="K13" i="32"/>
  <c r="L13" i="32"/>
  <c r="M13" i="32"/>
  <c r="N13" i="32"/>
  <c r="O13" i="32"/>
  <c r="P13" i="32"/>
  <c r="Q13" i="32"/>
  <c r="R13" i="32"/>
  <c r="S13" i="32"/>
  <c r="T13" i="32"/>
  <c r="U13" i="32"/>
  <c r="V13" i="32"/>
  <c r="W13" i="32"/>
  <c r="X13" i="32"/>
  <c r="Y13" i="32"/>
  <c r="Z13" i="32"/>
  <c r="AA13" i="32"/>
  <c r="AB13" i="32"/>
  <c r="AC13" i="32"/>
  <c r="AD13" i="32"/>
  <c r="AE13" i="32"/>
  <c r="AF13" i="32"/>
  <c r="AG13" i="32"/>
  <c r="AH13" i="32"/>
  <c r="AI13" i="32"/>
  <c r="AH50" i="49" l="1"/>
  <c r="AG50" i="49"/>
  <c r="C74" i="25" l="1"/>
  <c r="C7" i="3" l="1"/>
  <c r="AC80" i="25" l="1"/>
  <c r="AB73" i="25"/>
  <c r="W115" i="25" l="1"/>
  <c r="AB136" i="25"/>
  <c r="AC73" i="25"/>
  <c r="C39" i="20" l="1"/>
  <c r="Y45" i="3" l="1"/>
  <c r="Z45" i="3"/>
  <c r="AG56" i="12" l="1"/>
  <c r="AG3" i="12"/>
  <c r="C15" i="20" l="1"/>
  <c r="M29" i="37"/>
  <c r="O101" i="1"/>
  <c r="O80" i="25"/>
  <c r="N80" i="25"/>
  <c r="L38" i="25"/>
  <c r="L94" i="1"/>
  <c r="I1112" i="66"/>
  <c r="I1113" i="66"/>
  <c r="I1114" i="66"/>
  <c r="I1115" i="66"/>
  <c r="I1116" i="66"/>
  <c r="I1117" i="66"/>
  <c r="I1118" i="66"/>
  <c r="I1119" i="66"/>
  <c r="I1120" i="66"/>
  <c r="I1121" i="66"/>
  <c r="I1122" i="66"/>
  <c r="I1123" i="66"/>
  <c r="I1124" i="66"/>
  <c r="I1125" i="66"/>
  <c r="I1126" i="66"/>
  <c r="I1127" i="66"/>
  <c r="I1128" i="66"/>
  <c r="I1129" i="66"/>
  <c r="I1130" i="66"/>
  <c r="I1131" i="66"/>
  <c r="I1132" i="66"/>
  <c r="I1133" i="66"/>
  <c r="I1134" i="66"/>
  <c r="I1135" i="66"/>
  <c r="I1136" i="66"/>
  <c r="I1137" i="66"/>
  <c r="I1138" i="66"/>
  <c r="I1139" i="66"/>
  <c r="I1140" i="66"/>
  <c r="I1141" i="66"/>
  <c r="I1142" i="66"/>
  <c r="I1143" i="66"/>
  <c r="I1144" i="66"/>
  <c r="I1145" i="66"/>
  <c r="I1146" i="66"/>
  <c r="I1147" i="66"/>
  <c r="I1148" i="66"/>
  <c r="I1149" i="66"/>
  <c r="I1150" i="66"/>
  <c r="I1151" i="66"/>
  <c r="I1152" i="66"/>
  <c r="I1153" i="66"/>
  <c r="I1154" i="66"/>
  <c r="I1155" i="66"/>
  <c r="I1156" i="66"/>
  <c r="I1157" i="66"/>
  <c r="I1158" i="66"/>
  <c r="I1159" i="66"/>
  <c r="I1160" i="66"/>
  <c r="I1161" i="66"/>
  <c r="I1162" i="66"/>
  <c r="I1163" i="66"/>
  <c r="I1164" i="66"/>
  <c r="I1165" i="66"/>
  <c r="I1166" i="66"/>
  <c r="I1167" i="66"/>
  <c r="I1168" i="66"/>
  <c r="I1169" i="66"/>
  <c r="I1170" i="66"/>
  <c r="I1171" i="66"/>
  <c r="I1172" i="66"/>
  <c r="I1173" i="66"/>
  <c r="I1174" i="66"/>
  <c r="I1175" i="66"/>
  <c r="I1176" i="66"/>
  <c r="I1177" i="66"/>
  <c r="I1178" i="66"/>
  <c r="I1179" i="66"/>
  <c r="I1180" i="66"/>
  <c r="I1181" i="66"/>
  <c r="I1182" i="66"/>
  <c r="I1183" i="66"/>
  <c r="I1184" i="66"/>
  <c r="I1185" i="66"/>
  <c r="I1186" i="66"/>
  <c r="I1187" i="66"/>
  <c r="I1188" i="66"/>
  <c r="I1189" i="66"/>
  <c r="I1190" i="66"/>
  <c r="I1191" i="66"/>
  <c r="I1192" i="66"/>
  <c r="I1193" i="66"/>
  <c r="I1194" i="66"/>
  <c r="I1195" i="66"/>
  <c r="I1196" i="66"/>
  <c r="I1197" i="66"/>
  <c r="I1198" i="66"/>
  <c r="I1199" i="66"/>
  <c r="I1200" i="66"/>
  <c r="I1201" i="66"/>
  <c r="I1202" i="66"/>
  <c r="I1203" i="66"/>
  <c r="I1204" i="66"/>
  <c r="I1205" i="66"/>
  <c r="I1206" i="66"/>
  <c r="I1207" i="66"/>
  <c r="I1208" i="66"/>
  <c r="I1209" i="66"/>
  <c r="I1210" i="66"/>
  <c r="I1211" i="66"/>
  <c r="I1212" i="66"/>
  <c r="I1213" i="66"/>
  <c r="I1214" i="66"/>
  <c r="I1215" i="66"/>
  <c r="I1216" i="66"/>
  <c r="I1217" i="66"/>
  <c r="I1218" i="66"/>
  <c r="I1219" i="66"/>
  <c r="I1220" i="66"/>
  <c r="I1221" i="66"/>
  <c r="I1222" i="66"/>
  <c r="I1223" i="66"/>
  <c r="I1224" i="66"/>
  <c r="I1225" i="66"/>
  <c r="I1226" i="66"/>
  <c r="I1227" i="66"/>
  <c r="I1228" i="66"/>
  <c r="I1229" i="66"/>
  <c r="I1230" i="66"/>
  <c r="I1231" i="66"/>
  <c r="I1232" i="66"/>
  <c r="I1233" i="66"/>
  <c r="I1234" i="66"/>
  <c r="I1235" i="66"/>
  <c r="I1236" i="66"/>
  <c r="I1237" i="66"/>
  <c r="I1238" i="66"/>
  <c r="I1239" i="66"/>
  <c r="I1240" i="66"/>
  <c r="I1241" i="66"/>
  <c r="I1242" i="66"/>
  <c r="I1243" i="66"/>
  <c r="I1244" i="66"/>
  <c r="I1245" i="66"/>
  <c r="I1246" i="66"/>
  <c r="I1247" i="66"/>
  <c r="I1248" i="66"/>
  <c r="I1249" i="66"/>
  <c r="I1250" i="66"/>
  <c r="I1251" i="66"/>
  <c r="I1252" i="66"/>
  <c r="I1253" i="66"/>
  <c r="I1254" i="66"/>
  <c r="I1255" i="66"/>
  <c r="I1256" i="66"/>
  <c r="I1257" i="66"/>
  <c r="I1258" i="66"/>
  <c r="I1259" i="66"/>
  <c r="I1260" i="66"/>
  <c r="I1261" i="66"/>
  <c r="I1262" i="66"/>
  <c r="I1263" i="66"/>
  <c r="I1264" i="66"/>
  <c r="I1265" i="66"/>
  <c r="I1266" i="66"/>
  <c r="I1267" i="66"/>
  <c r="I1268" i="66"/>
  <c r="I1269" i="66"/>
  <c r="I1270" i="66"/>
  <c r="I1271" i="66"/>
  <c r="I1272" i="66"/>
  <c r="I1273" i="66"/>
  <c r="I1274" i="66"/>
  <c r="I1275" i="66"/>
  <c r="I1276" i="66"/>
  <c r="I1277" i="66"/>
  <c r="I1278" i="66"/>
  <c r="I1279" i="66"/>
  <c r="I1280" i="66"/>
  <c r="I1281" i="66"/>
  <c r="I1282" i="66"/>
  <c r="I1283" i="66"/>
  <c r="I1284" i="66"/>
  <c r="I1285" i="66"/>
  <c r="I1286" i="66"/>
  <c r="I1287" i="66"/>
  <c r="I1288" i="66"/>
  <c r="I1289" i="66"/>
  <c r="I1290" i="66"/>
  <c r="I1291" i="66"/>
  <c r="I1292" i="66"/>
  <c r="I1293" i="66"/>
  <c r="I1294" i="66"/>
  <c r="I1295" i="66"/>
  <c r="I1296" i="66"/>
  <c r="I1297" i="66"/>
  <c r="I1298" i="66"/>
  <c r="I1299" i="66"/>
  <c r="I1300" i="66"/>
  <c r="I1301" i="66"/>
  <c r="I1302" i="66"/>
  <c r="I1303" i="66"/>
  <c r="I1304" i="66"/>
  <c r="I1305" i="66"/>
  <c r="I1306" i="66"/>
  <c r="I1307" i="66"/>
  <c r="I1308" i="66"/>
  <c r="I1309" i="66"/>
  <c r="I1310" i="66"/>
  <c r="I1311" i="66"/>
  <c r="I1312" i="66"/>
  <c r="I1313" i="66"/>
  <c r="I1314" i="66"/>
  <c r="I1315" i="66"/>
  <c r="I1316" i="66"/>
  <c r="I1317" i="66"/>
  <c r="I1318" i="66"/>
  <c r="I1319" i="66"/>
  <c r="I1320" i="66"/>
  <c r="I1321" i="66"/>
  <c r="I1322" i="66"/>
  <c r="I1323" i="66"/>
  <c r="I1324" i="66"/>
  <c r="I1325" i="66"/>
  <c r="I1326" i="66"/>
  <c r="I1327" i="66"/>
  <c r="I1328" i="66"/>
  <c r="I1329" i="66"/>
  <c r="I1330" i="66"/>
  <c r="I1331" i="66"/>
  <c r="I1332" i="66"/>
  <c r="I1333" i="66"/>
  <c r="I1334" i="66"/>
  <c r="I1335" i="66"/>
  <c r="I1336" i="66"/>
  <c r="I1337" i="66"/>
  <c r="I1338" i="66"/>
  <c r="I1339" i="66"/>
  <c r="I1340" i="66"/>
  <c r="I1341" i="66"/>
  <c r="I1342" i="66"/>
  <c r="I1343" i="66"/>
  <c r="I1344" i="66"/>
  <c r="I1345" i="66"/>
  <c r="I1346" i="66"/>
  <c r="I1347" i="66"/>
  <c r="I1348" i="66"/>
  <c r="I1349" i="66"/>
  <c r="I1350" i="66"/>
  <c r="I1351" i="66"/>
  <c r="I1352" i="66"/>
  <c r="I1353" i="66"/>
  <c r="I1354" i="66"/>
  <c r="I1355" i="66"/>
  <c r="I1356" i="66"/>
  <c r="I1357" i="66"/>
  <c r="I1358" i="66"/>
  <c r="I1359" i="66"/>
  <c r="I1360" i="66"/>
  <c r="I1361" i="66"/>
  <c r="I1362" i="66"/>
  <c r="I1363" i="66"/>
  <c r="I1364" i="66"/>
  <c r="I1365" i="66"/>
  <c r="I1366" i="66"/>
  <c r="I1367" i="66"/>
  <c r="I1368" i="66"/>
  <c r="I1369" i="66"/>
  <c r="I1370" i="66"/>
  <c r="I1371" i="66"/>
  <c r="I1372" i="66"/>
  <c r="I1373" i="66"/>
  <c r="I1374" i="66"/>
  <c r="I1375" i="66"/>
  <c r="I1376" i="66"/>
  <c r="I1377" i="66"/>
  <c r="I1378" i="66"/>
  <c r="I1379" i="66"/>
  <c r="I1380" i="66"/>
  <c r="I1381" i="66"/>
  <c r="I1382" i="66"/>
  <c r="I1383" i="66"/>
  <c r="I1384" i="66"/>
  <c r="I1385" i="66"/>
  <c r="I1386" i="66"/>
  <c r="I1387" i="66"/>
  <c r="I1388" i="66"/>
  <c r="I1389" i="66"/>
  <c r="I1390" i="66"/>
  <c r="I1391" i="66"/>
  <c r="I1392" i="66"/>
  <c r="I1393" i="66"/>
  <c r="I1394" i="66"/>
  <c r="I1395" i="66"/>
  <c r="I1396" i="66"/>
  <c r="I1397" i="66"/>
  <c r="I1398" i="66"/>
  <c r="I1399" i="66"/>
  <c r="I1400" i="66"/>
  <c r="I1401" i="66"/>
  <c r="I1402" i="66"/>
  <c r="I1403" i="66"/>
  <c r="I1404" i="66"/>
  <c r="I1405" i="66"/>
  <c r="I1406" i="66"/>
  <c r="I1407" i="66"/>
  <c r="I1408" i="66"/>
  <c r="I1409" i="66"/>
  <c r="I1410" i="66"/>
  <c r="I1411" i="66"/>
  <c r="I1412" i="66"/>
  <c r="I1413" i="66"/>
  <c r="I1414" i="66"/>
  <c r="I1415" i="66"/>
  <c r="I1416" i="66"/>
  <c r="I1417" i="66"/>
  <c r="I1418" i="66"/>
  <c r="I1419" i="66"/>
  <c r="I1420" i="66"/>
  <c r="I1421" i="66"/>
  <c r="I1422" i="66"/>
  <c r="I1423" i="66"/>
  <c r="I1424" i="66"/>
  <c r="I1425" i="66"/>
  <c r="I1426" i="66"/>
  <c r="I1427" i="66"/>
  <c r="I1428" i="66"/>
  <c r="I1429" i="66"/>
  <c r="I1430" i="66"/>
  <c r="I1431" i="66"/>
  <c r="I1432" i="66"/>
  <c r="I1433" i="66"/>
  <c r="I1434" i="66"/>
  <c r="I1435" i="66"/>
  <c r="I1436" i="66"/>
  <c r="I1437" i="66"/>
  <c r="I1438" i="66"/>
  <c r="I1439" i="66"/>
  <c r="I1440" i="66"/>
  <c r="I1441" i="66"/>
  <c r="I1442" i="66"/>
  <c r="I1443" i="66"/>
  <c r="I1444" i="66"/>
  <c r="I1445" i="66"/>
  <c r="I1446" i="66"/>
  <c r="I1447" i="66"/>
  <c r="I1448" i="66"/>
  <c r="I1449" i="66"/>
  <c r="I1450" i="66"/>
  <c r="I1451" i="66"/>
  <c r="I1452" i="66"/>
  <c r="I1453" i="66"/>
  <c r="I1454" i="66"/>
  <c r="I1455" i="66"/>
  <c r="I1456" i="66"/>
  <c r="I1457" i="66"/>
  <c r="I1458" i="66"/>
  <c r="I1459" i="66"/>
  <c r="I1460" i="66"/>
  <c r="I1461" i="66"/>
  <c r="I1462" i="66"/>
  <c r="I1463" i="66"/>
  <c r="I1464" i="66"/>
  <c r="I1465" i="66"/>
  <c r="I1466" i="66"/>
  <c r="I1467" i="66"/>
  <c r="I1468" i="66"/>
  <c r="I1469" i="66"/>
  <c r="I1470" i="66"/>
  <c r="I1471" i="66"/>
  <c r="I1472" i="66"/>
  <c r="I1473" i="66"/>
  <c r="I1474" i="66"/>
  <c r="I1475" i="66"/>
  <c r="I1476" i="66"/>
  <c r="I1477" i="66"/>
  <c r="I1478" i="66"/>
  <c r="I1479" i="66"/>
  <c r="I1480" i="66"/>
  <c r="I1481" i="66"/>
  <c r="I1482" i="66"/>
  <c r="I1483" i="66"/>
  <c r="I1484" i="66"/>
  <c r="I1485" i="66"/>
  <c r="I1486" i="66"/>
  <c r="I1487" i="66"/>
  <c r="I1488" i="66"/>
  <c r="I1489" i="66"/>
  <c r="I1490" i="66"/>
  <c r="I1491" i="66"/>
  <c r="I1492" i="66"/>
  <c r="I1493" i="66"/>
  <c r="I1494" i="66"/>
  <c r="I1495" i="66"/>
  <c r="I1496" i="66"/>
  <c r="I1497" i="66"/>
  <c r="I1498" i="66"/>
  <c r="I1499" i="66"/>
  <c r="I1500" i="66"/>
  <c r="I1501" i="66"/>
  <c r="I1502" i="66"/>
  <c r="I1503" i="66"/>
  <c r="I1504" i="66"/>
  <c r="I1505" i="66"/>
  <c r="I1506" i="66"/>
  <c r="I1507" i="66"/>
  <c r="I1508" i="66"/>
  <c r="I1509" i="66"/>
  <c r="I1510" i="66"/>
  <c r="I1511" i="66"/>
  <c r="I1512" i="66"/>
  <c r="I1513" i="66"/>
  <c r="I1514" i="66"/>
  <c r="I1515" i="66"/>
  <c r="I1516" i="66"/>
  <c r="I1517" i="66"/>
  <c r="I1518" i="66"/>
  <c r="I1519" i="66"/>
  <c r="I1520" i="66"/>
  <c r="I1521" i="66"/>
  <c r="I1522" i="66"/>
  <c r="I1523" i="66"/>
  <c r="I1524" i="66"/>
  <c r="I1525" i="66"/>
  <c r="I1526" i="66"/>
  <c r="I1527" i="66"/>
  <c r="I1528" i="66"/>
  <c r="I1529" i="66"/>
  <c r="I1530" i="66"/>
  <c r="I1531" i="66"/>
  <c r="I1532" i="66"/>
  <c r="I1533" i="66"/>
  <c r="I1534" i="66"/>
  <c r="I1535" i="66"/>
  <c r="I1536" i="66"/>
  <c r="I1537" i="66"/>
  <c r="I1538" i="66"/>
  <c r="I1539" i="66"/>
  <c r="I1540" i="66"/>
  <c r="I1541" i="66"/>
  <c r="I1542" i="66"/>
  <c r="I1543" i="66"/>
  <c r="I1544" i="66"/>
  <c r="I1545" i="66"/>
  <c r="I1546" i="66"/>
  <c r="I1547" i="66"/>
  <c r="I1548" i="66"/>
  <c r="I1549" i="66"/>
  <c r="I1550" i="66"/>
  <c r="I1551" i="66"/>
  <c r="I1552" i="66"/>
  <c r="I1553" i="66"/>
  <c r="I1554" i="66"/>
  <c r="I1555" i="66"/>
  <c r="I1556" i="66"/>
  <c r="I1557" i="66"/>
  <c r="I1558" i="66"/>
  <c r="I1559" i="66"/>
  <c r="I1560" i="66"/>
  <c r="I1561" i="66"/>
  <c r="I1562" i="66"/>
  <c r="I1563" i="66"/>
  <c r="I1564" i="66"/>
  <c r="I1565" i="66"/>
  <c r="I1566" i="66"/>
  <c r="I1567" i="66"/>
  <c r="I1568" i="66"/>
  <c r="I1569" i="66"/>
  <c r="I1570" i="66"/>
  <c r="I1571" i="66"/>
  <c r="I1572" i="66"/>
  <c r="I1573" i="66"/>
  <c r="I1574" i="66"/>
  <c r="I1575" i="66"/>
  <c r="I1576" i="66"/>
  <c r="I1577" i="66"/>
  <c r="I1578" i="66"/>
  <c r="I1579" i="66"/>
  <c r="I1580" i="66"/>
  <c r="I1581" i="66"/>
  <c r="I1582" i="66"/>
  <c r="I1583" i="66"/>
  <c r="I1584" i="66"/>
  <c r="I1585" i="66"/>
  <c r="I1586" i="66"/>
  <c r="I1587" i="66"/>
  <c r="I1588" i="66"/>
  <c r="I1589" i="66"/>
  <c r="I1590" i="66"/>
  <c r="I1591" i="66"/>
  <c r="I1592" i="66"/>
  <c r="I1593" i="66"/>
  <c r="I1594" i="66"/>
  <c r="I1595" i="66"/>
  <c r="I1596" i="66"/>
  <c r="I1597" i="66"/>
  <c r="I1598" i="66"/>
  <c r="I1599" i="66"/>
  <c r="I1600" i="66"/>
  <c r="I1601" i="66"/>
  <c r="I1602" i="66"/>
  <c r="I1603" i="66"/>
  <c r="I1604" i="66"/>
  <c r="I1605" i="66"/>
  <c r="I1606" i="66"/>
  <c r="I1607" i="66"/>
  <c r="I1608" i="66"/>
  <c r="I1609" i="66"/>
  <c r="I1610" i="66"/>
  <c r="I1611" i="66"/>
  <c r="I1612" i="66"/>
  <c r="I1613" i="66"/>
  <c r="I1614" i="66"/>
  <c r="I1615" i="66"/>
  <c r="I1616" i="66"/>
  <c r="I1617" i="66"/>
  <c r="I1618" i="66"/>
  <c r="I1619" i="66"/>
  <c r="I1620" i="66"/>
  <c r="I1621" i="66"/>
  <c r="I1622" i="66"/>
  <c r="I1623" i="66"/>
  <c r="I1624" i="66"/>
  <c r="I1625" i="66"/>
  <c r="I1626" i="66"/>
  <c r="I1627" i="66"/>
  <c r="I1628" i="66"/>
  <c r="I1629" i="66"/>
  <c r="I1630" i="66"/>
  <c r="I1631" i="66"/>
  <c r="I1632" i="66"/>
  <c r="I1633" i="66"/>
  <c r="I1634" i="66"/>
  <c r="I1635" i="66"/>
  <c r="I1636" i="66"/>
  <c r="I1637" i="66"/>
  <c r="I1638" i="66"/>
  <c r="I1639" i="66"/>
  <c r="I1640" i="66"/>
  <c r="I1641" i="66"/>
  <c r="I1642" i="66"/>
  <c r="I1643" i="66"/>
  <c r="I1644" i="66"/>
  <c r="I1645" i="66"/>
  <c r="I1646" i="66"/>
  <c r="I1647" i="66"/>
  <c r="I1648" i="66"/>
  <c r="I1649" i="66"/>
  <c r="I1650" i="66"/>
  <c r="I1651" i="66"/>
  <c r="I1652" i="66"/>
  <c r="I1653" i="66"/>
  <c r="I1654" i="66"/>
  <c r="I1655" i="66"/>
  <c r="I1656" i="66"/>
  <c r="I1657" i="66"/>
  <c r="I1658" i="66"/>
  <c r="I1659" i="66"/>
  <c r="I1660" i="66"/>
  <c r="I1661" i="66"/>
  <c r="I1662" i="66"/>
  <c r="I1663" i="66"/>
  <c r="I1664" i="66"/>
  <c r="I1665" i="66"/>
  <c r="I1666" i="66"/>
  <c r="I1667" i="66"/>
  <c r="I1668" i="66"/>
  <c r="I1669" i="66"/>
  <c r="I1670" i="66"/>
  <c r="I1671" i="66"/>
  <c r="I1672" i="66"/>
  <c r="I1673" i="66"/>
  <c r="I1674" i="66"/>
  <c r="I1675" i="66"/>
  <c r="I1676" i="66"/>
  <c r="I1677" i="66"/>
  <c r="I1678" i="66"/>
  <c r="I1679" i="66"/>
  <c r="I1680" i="66"/>
  <c r="I1681" i="66"/>
  <c r="I1682" i="66"/>
  <c r="I1683" i="66"/>
  <c r="I1684" i="66"/>
  <c r="I1685" i="66"/>
  <c r="I1686" i="66"/>
  <c r="I1687" i="66"/>
  <c r="I1688" i="66"/>
  <c r="I1689" i="66"/>
  <c r="I1690" i="66"/>
  <c r="I1691" i="66"/>
  <c r="I1692" i="66"/>
  <c r="I1693" i="66"/>
  <c r="I1694" i="66"/>
  <c r="I1695" i="66"/>
  <c r="I1696" i="66"/>
  <c r="I1697" i="66"/>
  <c r="I1698" i="66"/>
  <c r="I1699" i="66"/>
  <c r="I1700" i="66"/>
  <c r="I1701" i="66"/>
  <c r="I1702" i="66"/>
  <c r="I1703" i="66"/>
  <c r="I1704" i="66"/>
  <c r="I1705" i="66"/>
  <c r="I1706" i="66"/>
  <c r="I1707" i="66"/>
  <c r="I1708" i="66"/>
  <c r="I1709" i="66"/>
  <c r="I1710" i="66"/>
  <c r="I1711" i="66"/>
  <c r="I1712" i="66"/>
  <c r="I1713" i="66"/>
  <c r="I1714" i="66"/>
  <c r="I1715" i="66"/>
  <c r="I1716" i="66"/>
  <c r="I1717" i="66"/>
  <c r="I1718" i="66"/>
  <c r="I1719" i="66"/>
  <c r="I1720" i="66"/>
  <c r="L5" i="66"/>
  <c r="L6" i="66"/>
  <c r="L7" i="66"/>
  <c r="L8" i="66"/>
  <c r="I77" i="25"/>
  <c r="J77" i="25"/>
  <c r="K77" i="25"/>
  <c r="K79" i="25" s="1"/>
  <c r="L77" i="25"/>
  <c r="L79" i="25" s="1"/>
  <c r="M77" i="25"/>
  <c r="N77" i="25"/>
  <c r="O77" i="25"/>
  <c r="P77" i="25"/>
  <c r="Q77" i="25"/>
  <c r="R77" i="25"/>
  <c r="S77" i="25"/>
  <c r="H77" i="25"/>
  <c r="I63" i="1"/>
  <c r="J63" i="1"/>
  <c r="K63" i="1"/>
  <c r="L63" i="1"/>
  <c r="M63" i="1"/>
  <c r="N63" i="1"/>
  <c r="O63" i="1"/>
  <c r="P63" i="1"/>
  <c r="Q63" i="1"/>
  <c r="R63" i="1"/>
  <c r="S63" i="1"/>
  <c r="S65" i="1" s="1"/>
  <c r="H63" i="1"/>
  <c r="H136" i="25"/>
  <c r="H20" i="3"/>
  <c r="H21" i="3" s="1"/>
  <c r="AG11" i="3"/>
  <c r="AH27" i="14" s="1"/>
  <c r="Y20" i="3"/>
  <c r="Y37" i="37"/>
  <c r="I74" i="25"/>
  <c r="J74" i="25"/>
  <c r="K74" i="25"/>
  <c r="L74" i="25"/>
  <c r="M74" i="25"/>
  <c r="N74" i="25"/>
  <c r="O74" i="25"/>
  <c r="P74" i="25"/>
  <c r="Q74" i="25"/>
  <c r="R74" i="25"/>
  <c r="S74" i="25"/>
  <c r="H74" i="25"/>
  <c r="C60" i="1"/>
  <c r="C46" i="25"/>
  <c r="C39" i="25"/>
  <c r="C16" i="20" s="1"/>
  <c r="C25" i="25"/>
  <c r="AL38" i="3"/>
  <c r="AL36" i="3" s="1"/>
  <c r="AJ38" i="3"/>
  <c r="AE3" i="64" s="1"/>
  <c r="AH38" i="3"/>
  <c r="AC3" i="64" s="1"/>
  <c r="AE38" i="3"/>
  <c r="AE36" i="3" s="1"/>
  <c r="AD38" i="3"/>
  <c r="Y3" i="64" s="1"/>
  <c r="AB38" i="3"/>
  <c r="AB36" i="3" s="1"/>
  <c r="Y38" i="3"/>
  <c r="Y36" i="3" s="1"/>
  <c r="X38" i="3"/>
  <c r="S3" i="64" s="1"/>
  <c r="W38" i="3"/>
  <c r="V38" i="3"/>
  <c r="R38" i="3"/>
  <c r="M3" i="64" s="1"/>
  <c r="Q38" i="3"/>
  <c r="Q36" i="3" s="1"/>
  <c r="N38" i="3"/>
  <c r="N36" i="3" s="1"/>
  <c r="L38" i="3"/>
  <c r="G3" i="64" s="1"/>
  <c r="K38" i="3"/>
  <c r="F3" i="64" s="1"/>
  <c r="AJ116" i="1"/>
  <c r="AI116" i="1"/>
  <c r="AH116" i="1"/>
  <c r="AE116" i="1"/>
  <c r="AB116" i="1"/>
  <c r="AA116" i="1"/>
  <c r="Y116" i="1"/>
  <c r="X116" i="1"/>
  <c r="W116" i="1"/>
  <c r="S116" i="1"/>
  <c r="R116" i="1"/>
  <c r="L116" i="1"/>
  <c r="K116" i="1"/>
  <c r="J116" i="1"/>
  <c r="I116" i="1"/>
  <c r="H116" i="1"/>
  <c r="AK112" i="1"/>
  <c r="AJ112" i="1"/>
  <c r="AI126" i="25"/>
  <c r="AH126" i="25"/>
  <c r="AG126" i="25"/>
  <c r="AF112" i="1"/>
  <c r="AB126" i="25"/>
  <c r="AA126" i="25"/>
  <c r="Z126" i="25"/>
  <c r="Y126" i="25"/>
  <c r="X112" i="1"/>
  <c r="T126" i="25"/>
  <c r="S112" i="1"/>
  <c r="R112" i="1"/>
  <c r="Q126" i="25"/>
  <c r="P112" i="1"/>
  <c r="O126" i="25"/>
  <c r="L112" i="1"/>
  <c r="K126" i="25"/>
  <c r="J126" i="25"/>
  <c r="I112" i="1"/>
  <c r="AJ123" i="25"/>
  <c r="AJ109" i="1" s="1"/>
  <c r="AI123" i="25"/>
  <c r="AI109" i="1" s="1"/>
  <c r="AH123" i="25"/>
  <c r="AH109" i="1" s="1"/>
  <c r="AG123" i="25"/>
  <c r="AG109" i="1" s="1"/>
  <c r="AF123" i="25"/>
  <c r="AF109" i="1" s="1"/>
  <c r="AE123" i="25"/>
  <c r="AE109" i="1" s="1"/>
  <c r="AD123" i="25"/>
  <c r="AD109" i="1" s="1"/>
  <c r="AC123" i="25"/>
  <c r="AC109" i="1" s="1"/>
  <c r="AB123" i="25"/>
  <c r="AA123" i="25"/>
  <c r="AA109" i="1" s="1"/>
  <c r="Z123" i="25"/>
  <c r="X123" i="25"/>
  <c r="X109" i="1" s="1"/>
  <c r="W123" i="25"/>
  <c r="V123" i="25"/>
  <c r="V109" i="1" s="1"/>
  <c r="U123" i="25"/>
  <c r="U109" i="1" s="1"/>
  <c r="S123" i="25"/>
  <c r="S109" i="1" s="1"/>
  <c r="R123" i="25"/>
  <c r="R109" i="1" s="1"/>
  <c r="Q123" i="25"/>
  <c r="Q109" i="1" s="1"/>
  <c r="P123" i="25"/>
  <c r="O123" i="25"/>
  <c r="O128" i="25" s="1"/>
  <c r="N123" i="25"/>
  <c r="N109" i="1" s="1"/>
  <c r="M123" i="25"/>
  <c r="M109" i="1" s="1"/>
  <c r="K123" i="25"/>
  <c r="J123" i="25"/>
  <c r="J109" i="1" s="1"/>
  <c r="I123" i="25"/>
  <c r="I109" i="1" s="1"/>
  <c r="H123" i="25"/>
  <c r="H109" i="1" s="1"/>
  <c r="AJ105" i="1"/>
  <c r="AH105" i="1"/>
  <c r="Z119" i="25"/>
  <c r="W119" i="25"/>
  <c r="V119" i="25"/>
  <c r="U105" i="1"/>
  <c r="T119" i="25"/>
  <c r="Q119" i="25"/>
  <c r="P119" i="25"/>
  <c r="O105" i="1"/>
  <c r="N105" i="1"/>
  <c r="M119" i="25"/>
  <c r="L105" i="1"/>
  <c r="I119" i="25"/>
  <c r="AL116" i="25"/>
  <c r="AK116" i="25"/>
  <c r="AK102" i="1" s="1"/>
  <c r="AJ116" i="25"/>
  <c r="AJ102" i="1" s="1"/>
  <c r="AI116" i="25"/>
  <c r="AI102" i="1" s="1"/>
  <c r="AH116" i="25"/>
  <c r="AH102" i="1" s="1"/>
  <c r="AG116" i="25"/>
  <c r="AG102" i="1" s="1"/>
  <c r="AF116" i="25"/>
  <c r="AF102" i="1" s="1"/>
  <c r="AE116" i="25"/>
  <c r="AE102" i="1" s="1"/>
  <c r="AD116" i="25"/>
  <c r="AD102" i="1" s="1"/>
  <c r="AC116" i="25"/>
  <c r="AC102" i="1" s="1"/>
  <c r="AA116" i="25"/>
  <c r="AA102" i="1" s="1"/>
  <c r="Z116" i="25"/>
  <c r="Z121" i="25" s="1"/>
  <c r="X116" i="25"/>
  <c r="X102" i="1" s="1"/>
  <c r="W116" i="25"/>
  <c r="U116" i="25"/>
  <c r="U102" i="1" s="1"/>
  <c r="R116" i="25"/>
  <c r="R102" i="1" s="1"/>
  <c r="Q116" i="25"/>
  <c r="Q102" i="1" s="1"/>
  <c r="P116" i="25"/>
  <c r="P121" i="25" s="1"/>
  <c r="O116" i="25"/>
  <c r="O102" i="1" s="1"/>
  <c r="N116" i="25"/>
  <c r="N102" i="1" s="1"/>
  <c r="M116" i="25"/>
  <c r="M102" i="1" s="1"/>
  <c r="L116" i="25"/>
  <c r="L102" i="1" s="1"/>
  <c r="K116" i="25"/>
  <c r="J116" i="25"/>
  <c r="J102" i="1" s="1"/>
  <c r="I116" i="25"/>
  <c r="I102" i="1" s="1"/>
  <c r="AL112" i="25"/>
  <c r="AK98" i="1"/>
  <c r="AI98" i="1"/>
  <c r="AE112" i="25"/>
  <c r="AD98" i="1"/>
  <c r="AC112" i="25"/>
  <c r="AA98" i="1"/>
  <c r="U112" i="25"/>
  <c r="T112" i="25"/>
  <c r="S112" i="25"/>
  <c r="P112" i="25"/>
  <c r="O112" i="25"/>
  <c r="L98" i="1"/>
  <c r="K98" i="1"/>
  <c r="J112" i="25"/>
  <c r="H112" i="25"/>
  <c r="AL109" i="25"/>
  <c r="AK109" i="25"/>
  <c r="AJ109" i="25"/>
  <c r="AJ95" i="1" s="1"/>
  <c r="AI109" i="25"/>
  <c r="AI95" i="1" s="1"/>
  <c r="AG109" i="25"/>
  <c r="AF109" i="25"/>
  <c r="AE109" i="25"/>
  <c r="AE95" i="1" s="1"/>
  <c r="AB109" i="25"/>
  <c r="AB95" i="1" s="1"/>
  <c r="Z109" i="25"/>
  <c r="Z95" i="1" s="1"/>
  <c r="Y109" i="25"/>
  <c r="Y95" i="1" s="1"/>
  <c r="V109" i="25"/>
  <c r="U109" i="25"/>
  <c r="U95" i="1" s="1"/>
  <c r="U100" i="1" s="1"/>
  <c r="T109" i="25"/>
  <c r="T95" i="1" s="1"/>
  <c r="S109" i="25"/>
  <c r="R109" i="25"/>
  <c r="R95" i="1" s="1"/>
  <c r="Q109" i="25"/>
  <c r="Q95" i="1" s="1"/>
  <c r="P109" i="25"/>
  <c r="P95" i="1" s="1"/>
  <c r="O109" i="25"/>
  <c r="O95" i="1" s="1"/>
  <c r="N109" i="25"/>
  <c r="N95" i="1" s="1"/>
  <c r="M109" i="25"/>
  <c r="M95" i="1" s="1"/>
  <c r="L109" i="25"/>
  <c r="I109" i="25"/>
  <c r="H109" i="25"/>
  <c r="AL91" i="1"/>
  <c r="AK91" i="1"/>
  <c r="AJ91" i="1"/>
  <c r="AG105" i="25"/>
  <c r="AD105" i="25"/>
  <c r="AC105" i="25"/>
  <c r="AA91" i="1"/>
  <c r="Z91" i="1"/>
  <c r="Y105" i="25"/>
  <c r="Y107" i="25" s="1"/>
  <c r="W91" i="1"/>
  <c r="V91" i="1"/>
  <c r="U91" i="1"/>
  <c r="T105" i="25"/>
  <c r="S91" i="1"/>
  <c r="P91" i="1"/>
  <c r="N91" i="1"/>
  <c r="M105" i="25"/>
  <c r="L91" i="1"/>
  <c r="K105" i="25"/>
  <c r="J91" i="1"/>
  <c r="I91" i="1"/>
  <c r="AI102" i="25"/>
  <c r="AI88" i="1" s="1"/>
  <c r="AH102" i="25"/>
  <c r="AG102" i="25"/>
  <c r="AG88" i="1" s="1"/>
  <c r="AE102" i="25"/>
  <c r="AE88" i="1" s="1"/>
  <c r="AD102" i="25"/>
  <c r="AD88" i="1" s="1"/>
  <c r="AC102" i="25"/>
  <c r="AC88" i="1" s="1"/>
  <c r="AB102" i="25"/>
  <c r="AA102" i="25"/>
  <c r="AA88" i="1" s="1"/>
  <c r="W102" i="25"/>
  <c r="V102" i="25"/>
  <c r="V88" i="1" s="1"/>
  <c r="U102" i="25"/>
  <c r="U88" i="1" s="1"/>
  <c r="T102" i="25"/>
  <c r="T88" i="1" s="1"/>
  <c r="S102" i="25"/>
  <c r="S88" i="1" s="1"/>
  <c r="R102" i="25"/>
  <c r="Q102" i="25"/>
  <c r="Q88" i="1" s="1"/>
  <c r="P102" i="25"/>
  <c r="P88" i="1" s="1"/>
  <c r="O102" i="25"/>
  <c r="N102" i="25"/>
  <c r="N88" i="1" s="1"/>
  <c r="M102" i="25"/>
  <c r="K102" i="25"/>
  <c r="J102" i="25"/>
  <c r="J88" i="1" s="1"/>
  <c r="J93" i="1" s="1"/>
  <c r="H102" i="25"/>
  <c r="H88" i="1" s="1"/>
  <c r="AL84" i="1"/>
  <c r="AH98" i="25"/>
  <c r="AG98" i="25"/>
  <c r="AF84" i="1"/>
  <c r="AE98" i="25"/>
  <c r="AB98" i="25"/>
  <c r="AA98" i="25"/>
  <c r="W98" i="25"/>
  <c r="V84" i="1"/>
  <c r="T98" i="25"/>
  <c r="S84" i="1"/>
  <c r="M98" i="25"/>
  <c r="L84" i="1"/>
  <c r="K98" i="25"/>
  <c r="I84" i="1"/>
  <c r="AL95" i="25"/>
  <c r="AL81" i="1" s="1"/>
  <c r="AK95" i="25"/>
  <c r="AI95" i="25"/>
  <c r="AF95" i="25"/>
  <c r="AF81" i="1" s="1"/>
  <c r="AE95" i="25"/>
  <c r="AE81" i="1" s="1"/>
  <c r="AD95" i="25"/>
  <c r="AD81" i="1" s="1"/>
  <c r="AC95" i="25"/>
  <c r="AC81" i="1" s="1"/>
  <c r="AA95" i="25"/>
  <c r="AA81" i="1" s="1"/>
  <c r="Z95" i="25"/>
  <c r="Z81" i="1" s="1"/>
  <c r="Y95" i="25"/>
  <c r="Y81" i="1" s="1"/>
  <c r="X95" i="25"/>
  <c r="X81" i="1" s="1"/>
  <c r="W95" i="25"/>
  <c r="V95" i="25"/>
  <c r="U95" i="25"/>
  <c r="T95" i="25"/>
  <c r="T81" i="1" s="1"/>
  <c r="S95" i="25"/>
  <c r="R95" i="25"/>
  <c r="R81" i="1" s="1"/>
  <c r="Q95" i="25"/>
  <c r="Q81" i="1" s="1"/>
  <c r="P95" i="25"/>
  <c r="P81" i="1" s="1"/>
  <c r="O95" i="25"/>
  <c r="O81" i="1" s="1"/>
  <c r="N95" i="25"/>
  <c r="N81" i="1" s="1"/>
  <c r="M95" i="25"/>
  <c r="M81" i="1" s="1"/>
  <c r="K95" i="25"/>
  <c r="K81" i="1" s="1"/>
  <c r="J95" i="25"/>
  <c r="I95" i="25"/>
  <c r="I81" i="1" s="1"/>
  <c r="AL77" i="1"/>
  <c r="AK91" i="25"/>
  <c r="AH91" i="25"/>
  <c r="AG91" i="25"/>
  <c r="AF91" i="25"/>
  <c r="AD77" i="1"/>
  <c r="AB91" i="25"/>
  <c r="Y91" i="25"/>
  <c r="X91" i="25"/>
  <c r="V77" i="1"/>
  <c r="R77" i="1"/>
  <c r="Q77" i="1"/>
  <c r="P77" i="1"/>
  <c r="O91" i="25"/>
  <c r="N77" i="1"/>
  <c r="M77" i="1"/>
  <c r="J91" i="25"/>
  <c r="I77" i="1"/>
  <c r="AL88" i="25"/>
  <c r="AK88" i="25"/>
  <c r="AI88" i="25"/>
  <c r="AH88" i="25"/>
  <c r="AF88" i="25"/>
  <c r="AE88" i="25"/>
  <c r="AB88" i="25"/>
  <c r="AA88" i="25"/>
  <c r="Z88" i="25"/>
  <c r="X88" i="25"/>
  <c r="W88" i="25"/>
  <c r="V88" i="25"/>
  <c r="U88" i="25"/>
  <c r="S88" i="25"/>
  <c r="R88" i="25"/>
  <c r="Q88" i="25"/>
  <c r="O88" i="25"/>
  <c r="O79" i="1" s="1"/>
  <c r="N88" i="25"/>
  <c r="M88" i="25"/>
  <c r="L88" i="25"/>
  <c r="K88" i="25"/>
  <c r="J88" i="25"/>
  <c r="H88" i="25"/>
  <c r="H74" i="1" s="1"/>
  <c r="AK84" i="25"/>
  <c r="AJ84" i="25"/>
  <c r="AI84" i="25"/>
  <c r="AG70" i="1"/>
  <c r="AF70" i="1"/>
  <c r="AC70" i="1"/>
  <c r="AA70" i="1"/>
  <c r="Y84" i="25"/>
  <c r="X84" i="25"/>
  <c r="V70" i="1"/>
  <c r="Q70" i="1"/>
  <c r="P70" i="1"/>
  <c r="O84" i="25"/>
  <c r="N84" i="25"/>
  <c r="L70" i="1"/>
  <c r="I70" i="1"/>
  <c r="H84" i="25"/>
  <c r="AJ81" i="25"/>
  <c r="AJ67" i="1" s="1"/>
  <c r="AI81" i="25"/>
  <c r="AH81" i="25"/>
  <c r="AH67" i="1" s="1"/>
  <c r="AG81" i="25"/>
  <c r="AG67" i="1" s="1"/>
  <c r="AD81" i="25"/>
  <c r="AC81" i="25"/>
  <c r="AB81" i="25"/>
  <c r="AB67" i="1" s="1"/>
  <c r="AA81" i="25"/>
  <c r="AA67" i="1" s="1"/>
  <c r="Z81" i="25"/>
  <c r="Z67" i="1" s="1"/>
  <c r="W81" i="25"/>
  <c r="W67" i="1" s="1"/>
  <c r="V81" i="25"/>
  <c r="U81" i="25"/>
  <c r="U67" i="1" s="1"/>
  <c r="T81" i="25"/>
  <c r="T67" i="1" s="1"/>
  <c r="S81" i="25"/>
  <c r="S67" i="1" s="1"/>
  <c r="R81" i="25"/>
  <c r="R67" i="1" s="1"/>
  <c r="Q81" i="25"/>
  <c r="Q67" i="1" s="1"/>
  <c r="P81" i="25"/>
  <c r="O81" i="25"/>
  <c r="N81" i="25"/>
  <c r="N67" i="1" s="1"/>
  <c r="M81" i="25"/>
  <c r="I81" i="25"/>
  <c r="I67" i="1" s="1"/>
  <c r="H81" i="25"/>
  <c r="AK70" i="25"/>
  <c r="AG70" i="25"/>
  <c r="AF56" i="1"/>
  <c r="AE56" i="1"/>
  <c r="AC70" i="25"/>
  <c r="AB56" i="1"/>
  <c r="AA56" i="1"/>
  <c r="X56" i="1"/>
  <c r="V56" i="1"/>
  <c r="U70" i="25"/>
  <c r="S56" i="1"/>
  <c r="R70" i="25"/>
  <c r="Q56" i="1"/>
  <c r="P56" i="1"/>
  <c r="O56" i="1"/>
  <c r="L56" i="1"/>
  <c r="J70" i="25"/>
  <c r="I70" i="25"/>
  <c r="AK67" i="25"/>
  <c r="AH67" i="25"/>
  <c r="AH53" i="1" s="1"/>
  <c r="AG67" i="25"/>
  <c r="AG53" i="1" s="1"/>
  <c r="AF67" i="25"/>
  <c r="AF53" i="1" s="1"/>
  <c r="AE67" i="25"/>
  <c r="AE53" i="1" s="1"/>
  <c r="AC67" i="25"/>
  <c r="AC53" i="1" s="1"/>
  <c r="AA67" i="25"/>
  <c r="AA53" i="1" s="1"/>
  <c r="Z67" i="25"/>
  <c r="Y67" i="25"/>
  <c r="Y53" i="1" s="1"/>
  <c r="X67" i="25"/>
  <c r="T67" i="25"/>
  <c r="R67" i="25"/>
  <c r="R53" i="1" s="1"/>
  <c r="O67" i="25"/>
  <c r="O53" i="1" s="1"/>
  <c r="M67" i="25"/>
  <c r="M53" i="1" s="1"/>
  <c r="L67" i="25"/>
  <c r="L53" i="1" s="1"/>
  <c r="J67" i="25"/>
  <c r="J53" i="1" s="1"/>
  <c r="H67" i="25"/>
  <c r="H53" i="1" s="1"/>
  <c r="AK63" i="1"/>
  <c r="AJ77" i="25"/>
  <c r="AG63" i="1"/>
  <c r="AD63" i="1"/>
  <c r="AC77" i="25"/>
  <c r="Z77" i="25"/>
  <c r="Y63" i="1"/>
  <c r="X63" i="1"/>
  <c r="W77" i="25"/>
  <c r="V63" i="1"/>
  <c r="T77" i="25"/>
  <c r="AL74" i="25"/>
  <c r="AI74" i="25"/>
  <c r="AF74" i="25"/>
  <c r="AE74" i="25"/>
  <c r="AD74" i="25"/>
  <c r="AC74" i="25"/>
  <c r="AB74" i="25"/>
  <c r="Z74" i="25"/>
  <c r="Y74" i="25"/>
  <c r="X74" i="25"/>
  <c r="W74" i="25"/>
  <c r="V74" i="25"/>
  <c r="U74" i="25"/>
  <c r="T74" i="25"/>
  <c r="AL49" i="25"/>
  <c r="AK49" i="25"/>
  <c r="AI49" i="25"/>
  <c r="AC42" i="1"/>
  <c r="AB42" i="1"/>
  <c r="Z49" i="25"/>
  <c r="Y42" i="1"/>
  <c r="T49" i="25"/>
  <c r="Q49" i="25"/>
  <c r="P49" i="25"/>
  <c r="O42" i="1"/>
  <c r="N49" i="25"/>
  <c r="K49" i="25"/>
  <c r="J42" i="1"/>
  <c r="I49" i="25"/>
  <c r="H49" i="25"/>
  <c r="AL46" i="25"/>
  <c r="AK46" i="25"/>
  <c r="AK39" i="1" s="1"/>
  <c r="AJ46" i="25"/>
  <c r="AJ39" i="1" s="1"/>
  <c r="AJ44" i="1" s="1"/>
  <c r="AI46" i="25"/>
  <c r="AI39" i="1" s="1"/>
  <c r="AH46" i="25"/>
  <c r="AH39" i="1" s="1"/>
  <c r="AG46" i="25"/>
  <c r="AF46" i="25"/>
  <c r="AF39" i="1" s="1"/>
  <c r="AE46" i="25"/>
  <c r="AE39" i="1" s="1"/>
  <c r="AD46" i="25"/>
  <c r="AD39" i="1" s="1"/>
  <c r="AC46" i="25"/>
  <c r="AB46" i="25"/>
  <c r="AA46" i="25"/>
  <c r="Z46" i="25"/>
  <c r="X46" i="25"/>
  <c r="X39" i="1" s="1"/>
  <c r="V46" i="25"/>
  <c r="U46" i="25"/>
  <c r="U39" i="1" s="1"/>
  <c r="S46" i="25"/>
  <c r="R46" i="25"/>
  <c r="Q46" i="25"/>
  <c r="N46" i="25"/>
  <c r="N39" i="1" s="1"/>
  <c r="M46" i="25"/>
  <c r="M39" i="1" s="1"/>
  <c r="L46" i="25"/>
  <c r="K46" i="25"/>
  <c r="K39" i="1" s="1"/>
  <c r="I46" i="25"/>
  <c r="H46" i="25"/>
  <c r="AL42" i="25"/>
  <c r="AI42" i="25"/>
  <c r="AG35" i="1"/>
  <c r="AF35" i="1"/>
  <c r="AA42" i="25"/>
  <c r="Z35" i="1"/>
  <c r="Y42" i="25"/>
  <c r="X42" i="25"/>
  <c r="W35" i="1"/>
  <c r="S35" i="1"/>
  <c r="P35" i="1"/>
  <c r="O35" i="1"/>
  <c r="N42" i="25"/>
  <c r="L35" i="1"/>
  <c r="K35" i="1"/>
  <c r="J35" i="1"/>
  <c r="AK39" i="25"/>
  <c r="AK32" i="1" s="1"/>
  <c r="AF39" i="25"/>
  <c r="AF32" i="1" s="1"/>
  <c r="AE39" i="25"/>
  <c r="AD39" i="25"/>
  <c r="AD32" i="1" s="1"/>
  <c r="AB39" i="25"/>
  <c r="AB32" i="1" s="1"/>
  <c r="AA39" i="25"/>
  <c r="AA32" i="1" s="1"/>
  <c r="Y39" i="25"/>
  <c r="Y32" i="1" s="1"/>
  <c r="X39" i="25"/>
  <c r="Q39" i="25"/>
  <c r="Q32" i="1" s="1"/>
  <c r="P39" i="25"/>
  <c r="P32" i="1" s="1"/>
  <c r="L39" i="25"/>
  <c r="K39" i="25"/>
  <c r="I39" i="25"/>
  <c r="H39" i="25"/>
  <c r="AK28" i="1"/>
  <c r="AI28" i="1"/>
  <c r="AF35" i="25"/>
  <c r="AD28" i="1"/>
  <c r="AC28" i="1"/>
  <c r="AB35" i="25"/>
  <c r="AA28" i="1"/>
  <c r="Y35" i="25"/>
  <c r="W28" i="1"/>
  <c r="V35" i="25"/>
  <c r="U35" i="25"/>
  <c r="T35" i="25"/>
  <c r="R28" i="1"/>
  <c r="Q35" i="25"/>
  <c r="O28" i="1"/>
  <c r="N28" i="1"/>
  <c r="L28" i="1"/>
  <c r="K28" i="1"/>
  <c r="I35" i="25"/>
  <c r="H35" i="25"/>
  <c r="AL28" i="25"/>
  <c r="AK49" i="1"/>
  <c r="AJ49" i="1"/>
  <c r="AI49" i="1"/>
  <c r="AH28" i="25"/>
  <c r="AG49" i="1"/>
  <c r="AF28" i="25"/>
  <c r="AE28" i="25"/>
  <c r="AD28" i="25"/>
  <c r="AC28" i="25"/>
  <c r="AA28" i="25"/>
  <c r="Y49" i="1"/>
  <c r="X49" i="1"/>
  <c r="W28" i="25"/>
  <c r="R28" i="25"/>
  <c r="Q49" i="1"/>
  <c r="O28" i="25"/>
  <c r="L28" i="25"/>
  <c r="K28" i="25"/>
  <c r="J28" i="25"/>
  <c r="I28" i="25"/>
  <c r="H49" i="1"/>
  <c r="AL25" i="25"/>
  <c r="AL46" i="1" s="1"/>
  <c r="AK25" i="25"/>
  <c r="AK46" i="1" s="1"/>
  <c r="AI25" i="25"/>
  <c r="AI46" i="1" s="1"/>
  <c r="AG25" i="25"/>
  <c r="AF25" i="25"/>
  <c r="AE25" i="25"/>
  <c r="AE46" i="1" s="1"/>
  <c r="AC25" i="25"/>
  <c r="AC46" i="1" s="1"/>
  <c r="AA25" i="25"/>
  <c r="AA46" i="1" s="1"/>
  <c r="Z25" i="25"/>
  <c r="Z46" i="1" s="1"/>
  <c r="Y25" i="25"/>
  <c r="X25" i="25"/>
  <c r="W25" i="25"/>
  <c r="W46" i="1" s="1"/>
  <c r="V25" i="25"/>
  <c r="U25" i="25"/>
  <c r="U46" i="1" s="1"/>
  <c r="T25" i="25"/>
  <c r="T46" i="1" s="1"/>
  <c r="S25" i="25"/>
  <c r="R25" i="25"/>
  <c r="Q25" i="25"/>
  <c r="Q46" i="1" s="1"/>
  <c r="O25" i="25"/>
  <c r="O46" i="1" s="1"/>
  <c r="N25" i="25"/>
  <c r="N46" i="1" s="1"/>
  <c r="M25" i="25"/>
  <c r="M46" i="1" s="1"/>
  <c r="L25" i="25"/>
  <c r="L46" i="1" s="1"/>
  <c r="K25" i="25"/>
  <c r="K46" i="1" s="1"/>
  <c r="J25" i="25"/>
  <c r="J46" i="1" s="1"/>
  <c r="I25" i="25"/>
  <c r="I46" i="1" s="1"/>
  <c r="AL21" i="25"/>
  <c r="AK21" i="25"/>
  <c r="AI21" i="25"/>
  <c r="AD21" i="25"/>
  <c r="AB21" i="25"/>
  <c r="AA21" i="25"/>
  <c r="Z21" i="25"/>
  <c r="Y21" i="25"/>
  <c r="U21" i="25"/>
  <c r="T21" i="25"/>
  <c r="S21" i="25"/>
  <c r="R21" i="25"/>
  <c r="Q21" i="25"/>
  <c r="O21" i="25"/>
  <c r="L21" i="25"/>
  <c r="I21" i="25"/>
  <c r="AK32" i="3"/>
  <c r="AJ32" i="3"/>
  <c r="AF18" i="25"/>
  <c r="AC32" i="3"/>
  <c r="AA32" i="3"/>
  <c r="Z32" i="3"/>
  <c r="U32" i="3"/>
  <c r="T18" i="25"/>
  <c r="S18" i="25"/>
  <c r="R18" i="25"/>
  <c r="Q18" i="25"/>
  <c r="M32" i="3"/>
  <c r="L18" i="25"/>
  <c r="J32" i="3"/>
  <c r="T28" i="1"/>
  <c r="O84" i="1"/>
  <c r="O98" i="25"/>
  <c r="J49" i="1"/>
  <c r="AK105" i="25"/>
  <c r="M105" i="1"/>
  <c r="AH84" i="1"/>
  <c r="AD112" i="25"/>
  <c r="AF77" i="25"/>
  <c r="AF63" i="1"/>
  <c r="K56" i="1"/>
  <c r="K70" i="25"/>
  <c r="P105" i="1"/>
  <c r="AH112" i="1"/>
  <c r="K91" i="1"/>
  <c r="Y28" i="25"/>
  <c r="AI98" i="25"/>
  <c r="AI84" i="1"/>
  <c r="M91" i="1"/>
  <c r="AG91" i="1"/>
  <c r="AE98" i="1"/>
  <c r="AC119" i="25"/>
  <c r="AC105" i="1"/>
  <c r="J42" i="25"/>
  <c r="AD42" i="25"/>
  <c r="AD35" i="1"/>
  <c r="AH63" i="1"/>
  <c r="AH77" i="25"/>
  <c r="L70" i="25"/>
  <c r="AF70" i="25"/>
  <c r="AF72" i="25" s="1"/>
  <c r="Q105" i="1"/>
  <c r="AK105" i="1"/>
  <c r="AK119" i="25"/>
  <c r="O112" i="1"/>
  <c r="AI112" i="1"/>
  <c r="O49" i="1"/>
  <c r="AG28" i="1"/>
  <c r="AG35" i="25"/>
  <c r="R35" i="1"/>
  <c r="R42" i="25"/>
  <c r="P84" i="25"/>
  <c r="P42" i="1"/>
  <c r="U119" i="25"/>
  <c r="S126" i="25"/>
  <c r="V49" i="1"/>
  <c r="V28" i="25"/>
  <c r="X28" i="25"/>
  <c r="V28" i="1"/>
  <c r="AJ49" i="25"/>
  <c r="AJ42" i="1"/>
  <c r="U98" i="1"/>
  <c r="Q112" i="1"/>
  <c r="O42" i="25"/>
  <c r="AD91" i="25"/>
  <c r="H84" i="1"/>
  <c r="H98" i="25"/>
  <c r="T112" i="1"/>
  <c r="R35" i="25"/>
  <c r="AH77" i="1"/>
  <c r="O77" i="1"/>
  <c r="S35" i="25"/>
  <c r="S28" i="1"/>
  <c r="Q35" i="1"/>
  <c r="Q42" i="25"/>
  <c r="AF77" i="1"/>
  <c r="AG84" i="1"/>
  <c r="AL84" i="25"/>
  <c r="AL70" i="1"/>
  <c r="L105" i="25"/>
  <c r="H119" i="25"/>
  <c r="H105" i="1"/>
  <c r="AA42" i="1"/>
  <c r="AA49" i="25"/>
  <c r="AA77" i="25"/>
  <c r="AA63" i="1"/>
  <c r="Y70" i="25"/>
  <c r="Y56" i="1"/>
  <c r="T70" i="1"/>
  <c r="T84" i="25"/>
  <c r="R91" i="25"/>
  <c r="AL91" i="25"/>
  <c r="P98" i="25"/>
  <c r="P84" i="1"/>
  <c r="AJ98" i="25"/>
  <c r="AJ84" i="1"/>
  <c r="N105" i="25"/>
  <c r="AH105" i="25"/>
  <c r="AH91" i="1"/>
  <c r="L112" i="25"/>
  <c r="AF98" i="1"/>
  <c r="AF112" i="25"/>
  <c r="J119" i="25"/>
  <c r="J105" i="1"/>
  <c r="AD119" i="25"/>
  <c r="AD105" i="1"/>
  <c r="H112" i="1"/>
  <c r="H126" i="25"/>
  <c r="AB112" i="1"/>
  <c r="Z135" i="25"/>
  <c r="H28" i="25"/>
  <c r="Z70" i="25"/>
  <c r="Z56" i="1"/>
  <c r="U70" i="1"/>
  <c r="U84" i="25"/>
  <c r="S77" i="1"/>
  <c r="S91" i="25"/>
  <c r="Q98" i="25"/>
  <c r="Q84" i="1"/>
  <c r="AI91" i="1"/>
  <c r="AI105" i="25"/>
  <c r="M98" i="1"/>
  <c r="M112" i="25"/>
  <c r="AE105" i="1"/>
  <c r="AE119" i="25"/>
  <c r="I126" i="25"/>
  <c r="P116" i="1"/>
  <c r="Q116" i="1"/>
  <c r="Z116" i="1"/>
  <c r="AC116" i="1"/>
  <c r="C95" i="25"/>
  <c r="M20" i="3"/>
  <c r="M21" i="3" s="1"/>
  <c r="H39" i="3"/>
  <c r="C4" i="64" s="1"/>
  <c r="C6" i="64" s="1"/>
  <c r="C7" i="54"/>
  <c r="AC17" i="14"/>
  <c r="AE39" i="3"/>
  <c r="Z4" i="64" s="1"/>
  <c r="AF39" i="3"/>
  <c r="AG39" i="3"/>
  <c r="AH39" i="3"/>
  <c r="AI39" i="3"/>
  <c r="AJ39" i="3"/>
  <c r="AA39" i="3"/>
  <c r="AB39" i="3"/>
  <c r="W4" i="64" s="1"/>
  <c r="AC39" i="3"/>
  <c r="AD39" i="3"/>
  <c r="Z39" i="3"/>
  <c r="Y39" i="3"/>
  <c r="Q122" i="25"/>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C25" i="20"/>
  <c r="M80" i="25"/>
  <c r="H80" i="25"/>
  <c r="I80" i="25"/>
  <c r="J80" i="25"/>
  <c r="K80" i="25"/>
  <c r="L80" i="25"/>
  <c r="P80" i="25"/>
  <c r="Q80" i="25"/>
  <c r="R80" i="25"/>
  <c r="S80" i="25"/>
  <c r="T80" i="25"/>
  <c r="U80" i="25"/>
  <c r="V80" i="25"/>
  <c r="W80" i="25"/>
  <c r="X80" i="25"/>
  <c r="Y80" i="25"/>
  <c r="Z80" i="25"/>
  <c r="AA80" i="25"/>
  <c r="AB80" i="25"/>
  <c r="AD80" i="25"/>
  <c r="AE80" i="25"/>
  <c r="AF80" i="25"/>
  <c r="AG80" i="25"/>
  <c r="AH80" i="25"/>
  <c r="AI80" i="25"/>
  <c r="AJ80" i="25"/>
  <c r="AK80" i="25"/>
  <c r="AL80" i="25"/>
  <c r="C7"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AL115" i="1"/>
  <c r="AK115"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C116" i="1"/>
  <c r="Y123" i="25"/>
  <c r="Y109" i="1" s="1"/>
  <c r="T123" i="25"/>
  <c r="T109" i="1" s="1"/>
  <c r="AK116" i="1"/>
  <c r="C6" i="56"/>
  <c r="AA66" i="25"/>
  <c r="AL123" i="25"/>
  <c r="AL116" i="1" s="1"/>
  <c r="T116" i="25"/>
  <c r="T102" i="1" s="1"/>
  <c r="V116" i="25"/>
  <c r="V102" i="1" s="1"/>
  <c r="AB116" i="25"/>
  <c r="AB102" i="1" s="1"/>
  <c r="AA122" i="25"/>
  <c r="J109" i="25"/>
  <c r="J95" i="1" s="1"/>
  <c r="K109" i="25"/>
  <c r="W109" i="25"/>
  <c r="X109" i="25"/>
  <c r="X95" i="1" s="1"/>
  <c r="AC109" i="25"/>
  <c r="AC95" i="1" s="1"/>
  <c r="AD109" i="25"/>
  <c r="AD95" i="1" s="1"/>
  <c r="AH109" i="25"/>
  <c r="AH95" i="1" s="1"/>
  <c r="L102" i="25"/>
  <c r="L88" i="1" s="1"/>
  <c r="X102" i="25"/>
  <c r="X88" i="1" s="1"/>
  <c r="Y102" i="25"/>
  <c r="Y88" i="1" s="1"/>
  <c r="Z102" i="25"/>
  <c r="Z88" i="1" s="1"/>
  <c r="AF102" i="25"/>
  <c r="AJ102" i="25"/>
  <c r="AJ88" i="1" s="1"/>
  <c r="AK102" i="25"/>
  <c r="AK88" i="1" s="1"/>
  <c r="AB95" i="25"/>
  <c r="AB81" i="1" s="1"/>
  <c r="AG95" i="25"/>
  <c r="AG81" i="1" s="1"/>
  <c r="AH95" i="25"/>
  <c r="AH81" i="1" s="1"/>
  <c r="I88" i="25"/>
  <c r="I79" i="1" s="1"/>
  <c r="P88" i="25"/>
  <c r="T88" i="25"/>
  <c r="Y88" i="25"/>
  <c r="AC88" i="25"/>
  <c r="AD88" i="25"/>
  <c r="AJ88" i="25"/>
  <c r="J81" i="25"/>
  <c r="K81" i="25"/>
  <c r="L81" i="25"/>
  <c r="L67" i="1" s="1"/>
  <c r="X81" i="25"/>
  <c r="AE81" i="25"/>
  <c r="AK81" i="25"/>
  <c r="AK67" i="1" s="1"/>
  <c r="AL81" i="25"/>
  <c r="AL79" i="1" s="1"/>
  <c r="P67" i="25"/>
  <c r="P53" i="1" s="1"/>
  <c r="Q67" i="25"/>
  <c r="W67" i="25"/>
  <c r="AI67" i="25"/>
  <c r="AI53" i="1" s="1"/>
  <c r="AJ67" i="25"/>
  <c r="AJ53" i="1" s="1"/>
  <c r="I58" i="25"/>
  <c r="J58" i="25"/>
  <c r="K58" i="25"/>
  <c r="L58" i="25"/>
  <c r="M58" i="25"/>
  <c r="N58" i="25"/>
  <c r="O58" i="25"/>
  <c r="P58" i="25"/>
  <c r="Q58" i="25"/>
  <c r="R58" i="25"/>
  <c r="S58" i="25"/>
  <c r="T58" i="25"/>
  <c r="U58" i="25"/>
  <c r="AA58" i="25"/>
  <c r="AB58" i="25"/>
  <c r="AD58" i="25"/>
  <c r="AE58" i="25"/>
  <c r="AF58" i="25"/>
  <c r="AG58" i="25"/>
  <c r="AH58" i="25"/>
  <c r="AI58" i="25"/>
  <c r="AJ58" i="25"/>
  <c r="AK58" i="25"/>
  <c r="AL58" i="25"/>
  <c r="V39" i="1"/>
  <c r="AA30" i="1"/>
  <c r="AJ18" i="25"/>
  <c r="C123" i="25"/>
  <c r="C109" i="1"/>
  <c r="C25" i="1"/>
  <c r="AE94" i="25"/>
  <c r="H45" i="3"/>
  <c r="H47" i="3" s="1"/>
  <c r="C7" i="32"/>
  <c r="R10" i="32" s="1"/>
  <c r="E15" i="54"/>
  <c r="G4" i="54"/>
  <c r="M24" i="25"/>
  <c r="M31" i="25"/>
  <c r="M38" i="25"/>
  <c r="M45" i="25"/>
  <c r="M52" i="25"/>
  <c r="M59" i="25"/>
  <c r="M66" i="25"/>
  <c r="M73" i="25"/>
  <c r="M87" i="25"/>
  <c r="M94" i="25"/>
  <c r="M101" i="25"/>
  <c r="M108" i="25"/>
  <c r="M115" i="25"/>
  <c r="M122" i="25"/>
  <c r="M129" i="25"/>
  <c r="M136" i="25"/>
  <c r="M142" i="25"/>
  <c r="M143" i="25"/>
  <c r="L24" i="25"/>
  <c r="L31" i="25"/>
  <c r="L45" i="25"/>
  <c r="L52" i="25"/>
  <c r="L59" i="25"/>
  <c r="L66" i="25"/>
  <c r="L73" i="25"/>
  <c r="L87" i="25"/>
  <c r="L94" i="25"/>
  <c r="L101" i="25"/>
  <c r="L108" i="25"/>
  <c r="L115" i="25"/>
  <c r="L122" i="25"/>
  <c r="L129" i="25"/>
  <c r="L136" i="25"/>
  <c r="L142" i="25"/>
  <c r="L143" i="25"/>
  <c r="G3" i="55"/>
  <c r="C7" i="25"/>
  <c r="F19" i="25" s="1"/>
  <c r="C37" i="20"/>
  <c r="M65" i="25"/>
  <c r="C190" i="24"/>
  <c r="C187" i="24"/>
  <c r="L65" i="25"/>
  <c r="C7" i="37"/>
  <c r="G25" i="61"/>
  <c r="Y4" i="64"/>
  <c r="J32" i="61"/>
  <c r="K32" i="61"/>
  <c r="J33" i="61"/>
  <c r="K33" i="61"/>
  <c r="J34" i="61"/>
  <c r="K34" i="61"/>
  <c r="J25" i="61"/>
  <c r="K25" i="61"/>
  <c r="J26" i="61"/>
  <c r="K26" i="61"/>
  <c r="J27" i="61"/>
  <c r="K27" i="61"/>
  <c r="J29" i="61"/>
  <c r="K29" i="61"/>
  <c r="J28" i="61"/>
  <c r="K28" i="61"/>
  <c r="AD129" i="25"/>
  <c r="J35" i="61"/>
  <c r="K35" i="61"/>
  <c r="K30" i="61"/>
  <c r="J30" i="61"/>
  <c r="X4" i="64"/>
  <c r="B4" i="64"/>
  <c r="B3" i="64"/>
  <c r="I121" i="63"/>
  <c r="I115" i="63"/>
  <c r="I109" i="63"/>
  <c r="I103" i="63"/>
  <c r="I97" i="63"/>
  <c r="I91" i="63"/>
  <c r="I85" i="63"/>
  <c r="I79" i="63"/>
  <c r="I73" i="63"/>
  <c r="I67" i="63"/>
  <c r="I61" i="63"/>
  <c r="I55" i="63"/>
  <c r="I49" i="63"/>
  <c r="I43" i="63"/>
  <c r="I37" i="63"/>
  <c r="I31" i="63"/>
  <c r="I25" i="63"/>
  <c r="I19" i="63"/>
  <c r="I13" i="63"/>
  <c r="H120" i="63"/>
  <c r="H114" i="63"/>
  <c r="H108" i="63"/>
  <c r="H102" i="63"/>
  <c r="H96" i="63"/>
  <c r="H90" i="63"/>
  <c r="H84" i="63"/>
  <c r="H78" i="63"/>
  <c r="H72" i="63"/>
  <c r="H66" i="63"/>
  <c r="H60" i="63"/>
  <c r="H54" i="63"/>
  <c r="H48" i="63"/>
  <c r="H42" i="63"/>
  <c r="H36" i="63"/>
  <c r="H30" i="63"/>
  <c r="H24" i="63"/>
  <c r="H18" i="63"/>
  <c r="H12" i="63"/>
  <c r="H124" i="63"/>
  <c r="H118" i="63"/>
  <c r="H112" i="63"/>
  <c r="H106" i="63"/>
  <c r="H100" i="63"/>
  <c r="H94" i="63"/>
  <c r="H88" i="63"/>
  <c r="H82" i="63"/>
  <c r="H76" i="63"/>
  <c r="H70" i="63"/>
  <c r="H64" i="63"/>
  <c r="H58" i="63"/>
  <c r="H52" i="63"/>
  <c r="H46" i="63"/>
  <c r="H40" i="63"/>
  <c r="H34" i="63"/>
  <c r="H28" i="63"/>
  <c r="H22" i="63"/>
  <c r="H16" i="63"/>
  <c r="I29" i="63"/>
  <c r="I123" i="63"/>
  <c r="I117" i="63"/>
  <c r="I111" i="63"/>
  <c r="I105" i="63"/>
  <c r="I99" i="63"/>
  <c r="I93" i="63"/>
  <c r="I87" i="63"/>
  <c r="I81" i="63"/>
  <c r="I75" i="63"/>
  <c r="I69" i="63"/>
  <c r="I63" i="63"/>
  <c r="I57" i="63"/>
  <c r="I51" i="63"/>
  <c r="I45" i="63"/>
  <c r="I39" i="63"/>
  <c r="I33" i="63"/>
  <c r="I27" i="63"/>
  <c r="I21" i="63"/>
  <c r="I15" i="63"/>
  <c r="H122" i="63"/>
  <c r="H116" i="63"/>
  <c r="H110" i="63"/>
  <c r="H104" i="63"/>
  <c r="H98" i="63"/>
  <c r="H92" i="63"/>
  <c r="H86" i="63"/>
  <c r="H80" i="63"/>
  <c r="H74" i="63"/>
  <c r="H68" i="63"/>
  <c r="H62" i="63"/>
  <c r="H56" i="63"/>
  <c r="H50" i="63"/>
  <c r="H44" i="63"/>
  <c r="H38" i="63"/>
  <c r="H32" i="63"/>
  <c r="H26" i="63"/>
  <c r="H20" i="63"/>
  <c r="H14" i="63"/>
  <c r="H10" i="63"/>
  <c r="I7" i="63"/>
  <c r="H6" i="63"/>
  <c r="I9" i="63"/>
  <c r="H8" i="63"/>
  <c r="K125" i="63"/>
  <c r="J125" i="63"/>
  <c r="S123" i="63"/>
  <c r="D121" i="63"/>
  <c r="D125" i="63"/>
  <c r="E125" i="63"/>
  <c r="E123" i="63"/>
  <c r="N119" i="63"/>
  <c r="M119" i="63"/>
  <c r="K119" i="63"/>
  <c r="J119" i="63"/>
  <c r="S117" i="63"/>
  <c r="D115" i="63"/>
  <c r="D119" i="63"/>
  <c r="E119" i="63"/>
  <c r="E117" i="63"/>
  <c r="M113" i="63"/>
  <c r="L113" i="63"/>
  <c r="K113" i="63"/>
  <c r="J113" i="63"/>
  <c r="Q111" i="63"/>
  <c r="Q113" i="63"/>
  <c r="R109" i="63"/>
  <c r="D109" i="63"/>
  <c r="D113" i="63"/>
  <c r="E113" i="63"/>
  <c r="K107" i="63"/>
  <c r="J107" i="63"/>
  <c r="Q104" i="63"/>
  <c r="D103" i="63"/>
  <c r="D107" i="63"/>
  <c r="E107" i="63"/>
  <c r="Q101" i="63"/>
  <c r="K101" i="63"/>
  <c r="J101" i="63"/>
  <c r="G99" i="63"/>
  <c r="D97" i="63"/>
  <c r="D101" i="63"/>
  <c r="E101" i="63"/>
  <c r="P95" i="63"/>
  <c r="N95" i="63"/>
  <c r="L95" i="63"/>
  <c r="K95" i="63"/>
  <c r="J95" i="63"/>
  <c r="D91" i="63"/>
  <c r="D95" i="63"/>
  <c r="E95" i="63"/>
  <c r="P89" i="63"/>
  <c r="N89" i="63"/>
  <c r="K89" i="63"/>
  <c r="J89" i="63"/>
  <c r="G87" i="63"/>
  <c r="D85" i="63"/>
  <c r="D89" i="63"/>
  <c r="E89" i="63"/>
  <c r="P83" i="63"/>
  <c r="M83" i="63"/>
  <c r="L83" i="63"/>
  <c r="K83" i="63"/>
  <c r="J83" i="63"/>
  <c r="S81" i="63"/>
  <c r="D79" i="63"/>
  <c r="D83" i="63"/>
  <c r="E83" i="63"/>
  <c r="Q77" i="63"/>
  <c r="N77" i="63"/>
  <c r="M77" i="63"/>
  <c r="L77" i="63"/>
  <c r="K77" i="63"/>
  <c r="J77" i="63"/>
  <c r="D73" i="63"/>
  <c r="D77" i="63"/>
  <c r="E77" i="63"/>
  <c r="Q71" i="63"/>
  <c r="N71" i="63"/>
  <c r="M71" i="63"/>
  <c r="L71" i="63"/>
  <c r="K71" i="63"/>
  <c r="J71" i="63"/>
  <c r="R69" i="63"/>
  <c r="D67" i="63"/>
  <c r="D71" i="63"/>
  <c r="E71" i="63"/>
  <c r="Q65" i="63"/>
  <c r="K65" i="63"/>
  <c r="J65" i="63"/>
  <c r="G63" i="63"/>
  <c r="D61" i="63"/>
  <c r="D65" i="63"/>
  <c r="E65" i="63"/>
  <c r="K59" i="63"/>
  <c r="J59" i="63"/>
  <c r="Q57" i="63"/>
  <c r="Q59" i="63"/>
  <c r="D55" i="63"/>
  <c r="D59" i="63"/>
  <c r="E59" i="63"/>
  <c r="K53" i="63"/>
  <c r="J53" i="63"/>
  <c r="Q51" i="63"/>
  <c r="Q53" i="63"/>
  <c r="D49" i="63"/>
  <c r="D53" i="63"/>
  <c r="E53" i="63"/>
  <c r="N47" i="63"/>
  <c r="I47" i="63"/>
  <c r="S45" i="63"/>
  <c r="D43" i="63"/>
  <c r="D47" i="63"/>
  <c r="E47" i="63"/>
  <c r="L41" i="63"/>
  <c r="K41" i="63"/>
  <c r="J41" i="63"/>
  <c r="Q39" i="63"/>
  <c r="Q41" i="63"/>
  <c r="D37" i="63"/>
  <c r="D41" i="63"/>
  <c r="E41" i="63"/>
  <c r="N35" i="63"/>
  <c r="M35" i="63"/>
  <c r="L35" i="63"/>
  <c r="K35" i="63"/>
  <c r="J35" i="63"/>
  <c r="Q33" i="63"/>
  <c r="Q35" i="63"/>
  <c r="G31" i="63"/>
  <c r="D31" i="63"/>
  <c r="D35" i="63"/>
  <c r="E35" i="63"/>
  <c r="G29" i="63"/>
  <c r="Q27" i="63"/>
  <c r="Q29" i="63"/>
  <c r="R25" i="63"/>
  <c r="G25" i="63"/>
  <c r="D25" i="63"/>
  <c r="D29" i="63"/>
  <c r="E29" i="63"/>
  <c r="P23" i="63"/>
  <c r="M23" i="63"/>
  <c r="L23" i="63"/>
  <c r="K23" i="63"/>
  <c r="J23" i="63"/>
  <c r="G21" i="63"/>
  <c r="D19" i="63"/>
  <c r="D23" i="63"/>
  <c r="E23" i="63"/>
  <c r="E21" i="63"/>
  <c r="P17" i="63"/>
  <c r="M17" i="63"/>
  <c r="L17" i="63"/>
  <c r="K17" i="63"/>
  <c r="J17" i="63"/>
  <c r="Q15" i="63"/>
  <c r="Q17" i="63"/>
  <c r="R13" i="63"/>
  <c r="D13" i="63"/>
  <c r="D17" i="63"/>
  <c r="E17" i="63"/>
  <c r="N11" i="63"/>
  <c r="M11" i="63"/>
  <c r="L11" i="63"/>
  <c r="K11" i="63"/>
  <c r="J11" i="63"/>
  <c r="Q9" i="63"/>
  <c r="Q11" i="63"/>
  <c r="R8" i="63"/>
  <c r="D7" i="63"/>
  <c r="D11" i="63"/>
  <c r="E11" i="63"/>
  <c r="E9" i="63"/>
  <c r="Q5" i="63"/>
  <c r="N5" i="63"/>
  <c r="M5" i="63"/>
  <c r="L5" i="63"/>
  <c r="K5" i="63"/>
  <c r="J5" i="63"/>
  <c r="I5" i="63"/>
  <c r="G5" i="63"/>
  <c r="F5" i="63"/>
  <c r="E5" i="63"/>
  <c r="D5" i="63"/>
  <c r="Q3" i="63"/>
  <c r="N3" i="63"/>
  <c r="M3" i="63"/>
  <c r="L3" i="63"/>
  <c r="K3" i="63"/>
  <c r="J3" i="63"/>
  <c r="F3" i="63"/>
  <c r="E3" i="63"/>
  <c r="I53" i="63"/>
  <c r="R53" i="63"/>
  <c r="I59" i="63"/>
  <c r="I41" i="63"/>
  <c r="R41" i="63"/>
  <c r="I65" i="63"/>
  <c r="R65" i="63"/>
  <c r="I17" i="63"/>
  <c r="R17" i="63"/>
  <c r="I23" i="63"/>
  <c r="I35" i="63"/>
  <c r="R35" i="63"/>
  <c r="I95" i="63"/>
  <c r="R95" i="63"/>
  <c r="I101" i="63"/>
  <c r="R101" i="63"/>
  <c r="I107" i="63"/>
  <c r="R107" i="63"/>
  <c r="I77" i="63"/>
  <c r="R77" i="63"/>
  <c r="I89" i="63"/>
  <c r="R89" i="63"/>
  <c r="I71" i="63"/>
  <c r="R71" i="63"/>
  <c r="I83" i="63"/>
  <c r="R83" i="63"/>
  <c r="I113" i="63"/>
  <c r="R113" i="63"/>
  <c r="S111" i="63"/>
  <c r="S51" i="63"/>
  <c r="R59" i="63"/>
  <c r="G3" i="63"/>
  <c r="G4" i="63"/>
  <c r="R43" i="63"/>
  <c r="S63" i="63"/>
  <c r="S104" i="63"/>
  <c r="I125" i="63"/>
  <c r="S87" i="63"/>
  <c r="G93" i="63"/>
  <c r="S99" i="63"/>
  <c r="S69" i="63"/>
  <c r="S93" i="63"/>
  <c r="G15" i="63"/>
  <c r="G75" i="63"/>
  <c r="R73" i="63"/>
  <c r="R37" i="63"/>
  <c r="G39" i="63"/>
  <c r="S21" i="63"/>
  <c r="S33" i="63"/>
  <c r="S39" i="63"/>
  <c r="G45" i="63"/>
  <c r="R49" i="63"/>
  <c r="S57" i="63"/>
  <c r="I119" i="63"/>
  <c r="S15" i="63"/>
  <c r="S75" i="63"/>
  <c r="L4" i="63"/>
  <c r="Q107" i="63"/>
  <c r="M4" i="63"/>
  <c r="J4" i="63"/>
  <c r="K4" i="63"/>
  <c r="F4" i="63"/>
  <c r="Q4" i="63"/>
  <c r="N4" i="63"/>
  <c r="R5" i="63"/>
  <c r="I11" i="63"/>
  <c r="E4" i="63"/>
  <c r="R4" i="63"/>
  <c r="R47" i="63"/>
  <c r="E45" i="63"/>
  <c r="R45" i="63"/>
  <c r="E39" i="63"/>
  <c r="R39" i="63"/>
  <c r="E87" i="63"/>
  <c r="R87" i="63"/>
  <c r="E99" i="63"/>
  <c r="R99" i="63"/>
  <c r="E33" i="63"/>
  <c r="R33" i="63"/>
  <c r="S9" i="63"/>
  <c r="P11" i="63"/>
  <c r="E63" i="63"/>
  <c r="R63" i="63"/>
  <c r="E51" i="63"/>
  <c r="R51" i="63"/>
  <c r="E57" i="63"/>
  <c r="R57" i="63"/>
  <c r="R29" i="63"/>
  <c r="E27" i="63"/>
  <c r="R27" i="63"/>
  <c r="G104" i="63"/>
  <c r="R103" i="63"/>
  <c r="E81" i="63"/>
  <c r="R81" i="63"/>
  <c r="E93" i="63"/>
  <c r="R93" i="63"/>
  <c r="E15" i="63"/>
  <c r="R15" i="63"/>
  <c r="E104" i="63"/>
  <c r="R104" i="63"/>
  <c r="E111" i="63"/>
  <c r="R111" i="63"/>
  <c r="G69" i="63"/>
  <c r="R67" i="63"/>
  <c r="E75" i="63"/>
  <c r="R75" i="63"/>
  <c r="R79" i="63"/>
  <c r="S27" i="63"/>
  <c r="G111" i="63"/>
  <c r="R61" i="63"/>
  <c r="G81" i="63"/>
  <c r="R85" i="63"/>
  <c r="R97" i="63"/>
  <c r="G117" i="63"/>
  <c r="D3" i="63"/>
  <c r="D4" i="63"/>
  <c r="R91" i="63"/>
  <c r="G123" i="63"/>
  <c r="G51" i="63"/>
  <c r="R9" i="63"/>
  <c r="G57" i="63"/>
  <c r="R55" i="63"/>
  <c r="I3" i="63"/>
  <c r="G9" i="63"/>
  <c r="R7" i="63"/>
  <c r="G33" i="63"/>
  <c r="R31" i="63"/>
  <c r="R3" i="63"/>
  <c r="I4" i="63"/>
  <c r="S4" i="63"/>
  <c r="V4" i="64"/>
  <c r="U4" i="64"/>
  <c r="I32" i="61"/>
  <c r="I33" i="61"/>
  <c r="I34" i="61"/>
  <c r="G32" i="61"/>
  <c r="G33" i="61"/>
  <c r="G34" i="61"/>
  <c r="H33" i="61"/>
  <c r="H34" i="61"/>
  <c r="H32" i="61"/>
  <c r="L12" i="61"/>
  <c r="I25" i="61"/>
  <c r="G26" i="61"/>
  <c r="H26" i="61"/>
  <c r="I26" i="61"/>
  <c r="G27" i="61"/>
  <c r="H27" i="61"/>
  <c r="I27" i="61"/>
  <c r="G29" i="61"/>
  <c r="H29" i="61"/>
  <c r="I29" i="61"/>
  <c r="G28" i="61"/>
  <c r="H28" i="61"/>
  <c r="I28" i="61"/>
  <c r="H25" i="61"/>
  <c r="L37" i="61"/>
  <c r="L38" i="61"/>
  <c r="L20" i="61"/>
  <c r="L21" i="61"/>
  <c r="L19" i="61"/>
  <c r="L13" i="61"/>
  <c r="L14" i="61"/>
  <c r="L16" i="61"/>
  <c r="L15" i="61"/>
  <c r="H30" i="61"/>
  <c r="G30" i="61"/>
  <c r="I30" i="61"/>
  <c r="L17" i="61"/>
  <c r="L22" i="61"/>
  <c r="L29" i="61"/>
  <c r="T4" i="64"/>
  <c r="Y47" i="3"/>
  <c r="J107" i="59"/>
  <c r="J91" i="59"/>
  <c r="J75" i="59"/>
  <c r="K76" i="59" s="1"/>
  <c r="J59" i="59"/>
  <c r="J43" i="59"/>
  <c r="J27" i="59"/>
  <c r="J11" i="59"/>
  <c r="F22" i="61"/>
  <c r="G22" i="61"/>
  <c r="H22" i="61"/>
  <c r="I22" i="61"/>
  <c r="K17" i="61"/>
  <c r="J22" i="61"/>
  <c r="K22" i="61"/>
  <c r="L25" i="61"/>
  <c r="L33" i="61"/>
  <c r="L26" i="61"/>
  <c r="L28" i="61"/>
  <c r="L27" i="61"/>
  <c r="L32" i="61"/>
  <c r="K42" i="61"/>
  <c r="K44" i="61"/>
  <c r="I35" i="61"/>
  <c r="H35" i="61"/>
  <c r="L34" i="61"/>
  <c r="G35" i="61"/>
  <c r="K41" i="61"/>
  <c r="L30" i="61"/>
  <c r="L41" i="61"/>
  <c r="K43" i="61"/>
  <c r="L35" i="61"/>
  <c r="C6" i="61"/>
  <c r="J42" i="61"/>
  <c r="J44" i="61"/>
  <c r="I17" i="61"/>
  <c r="J17" i="61"/>
  <c r="F17" i="61"/>
  <c r="G17" i="61"/>
  <c r="H17" i="61"/>
  <c r="J41" i="61"/>
  <c r="J43" i="61"/>
  <c r="G41" i="61"/>
  <c r="H41" i="61"/>
  <c r="I41" i="61"/>
  <c r="C7" i="59"/>
  <c r="A10" i="59"/>
  <c r="M12" i="59"/>
  <c r="M14" i="59"/>
  <c r="M16" i="59"/>
  <c r="G18" i="59"/>
  <c r="G20" i="59"/>
  <c r="G22" i="59"/>
  <c r="G24" i="59"/>
  <c r="G26" i="59"/>
  <c r="M28" i="59"/>
  <c r="M30" i="59"/>
  <c r="M32" i="59"/>
  <c r="G34" i="59"/>
  <c r="G36" i="59"/>
  <c r="G38" i="59"/>
  <c r="G40" i="59"/>
  <c r="G42" i="59"/>
  <c r="M44" i="59"/>
  <c r="M46" i="59"/>
  <c r="L47" i="59"/>
  <c r="M48" i="59"/>
  <c r="L48" i="59"/>
  <c r="S48" i="59"/>
  <c r="G50" i="59"/>
  <c r="G52" i="59"/>
  <c r="G54" i="59"/>
  <c r="G56" i="59"/>
  <c r="G58" i="59"/>
  <c r="M60" i="59"/>
  <c r="M62" i="59"/>
  <c r="L64" i="59"/>
  <c r="G66" i="59"/>
  <c r="G68" i="59"/>
  <c r="G70" i="59"/>
  <c r="G72" i="59"/>
  <c r="G74" i="59"/>
  <c r="I79" i="59"/>
  <c r="L79" i="59"/>
  <c r="M79" i="59"/>
  <c r="L80" i="59"/>
  <c r="M80" i="59"/>
  <c r="G82" i="59"/>
  <c r="G84" i="59"/>
  <c r="G86" i="59"/>
  <c r="G88" i="59"/>
  <c r="G90" i="59"/>
  <c r="I95" i="59"/>
  <c r="K95" i="59"/>
  <c r="L95" i="59"/>
  <c r="M95" i="59"/>
  <c r="L96" i="59"/>
  <c r="M96" i="59"/>
  <c r="G98" i="59"/>
  <c r="G100" i="59"/>
  <c r="G102" i="59"/>
  <c r="G104" i="59"/>
  <c r="G106" i="59"/>
  <c r="I111" i="59"/>
  <c r="K111" i="59"/>
  <c r="L111" i="59"/>
  <c r="M111" i="59"/>
  <c r="K112" i="59"/>
  <c r="L112" i="59"/>
  <c r="M112" i="59"/>
  <c r="G114" i="59"/>
  <c r="G116" i="59"/>
  <c r="G118" i="59"/>
  <c r="G120" i="59"/>
  <c r="G122" i="59"/>
  <c r="I127" i="59"/>
  <c r="K127" i="59"/>
  <c r="L127" i="59"/>
  <c r="M127" i="59"/>
  <c r="K128" i="59"/>
  <c r="L128" i="59"/>
  <c r="M128" i="59"/>
  <c r="G130" i="59"/>
  <c r="G132" i="59"/>
  <c r="G134" i="59"/>
  <c r="G136" i="59"/>
  <c r="G138" i="59"/>
  <c r="I143" i="59"/>
  <c r="K143" i="59"/>
  <c r="L143" i="59"/>
  <c r="M143" i="59"/>
  <c r="K144" i="59"/>
  <c r="L144" i="59"/>
  <c r="M144" i="59"/>
  <c r="G146" i="59"/>
  <c r="G148" i="59"/>
  <c r="G150" i="59"/>
  <c r="G152" i="59"/>
  <c r="G154" i="59"/>
  <c r="I159" i="59"/>
  <c r="K159" i="59"/>
  <c r="L159" i="59"/>
  <c r="M159" i="59"/>
  <c r="K160" i="59"/>
  <c r="L160" i="59"/>
  <c r="M160" i="59"/>
  <c r="G162" i="59"/>
  <c r="G164" i="59"/>
  <c r="G166" i="59"/>
  <c r="G168" i="59"/>
  <c r="G170" i="59"/>
  <c r="I175" i="59"/>
  <c r="K175" i="59"/>
  <c r="L175" i="59"/>
  <c r="M175" i="59"/>
  <c r="K176" i="59"/>
  <c r="L176" i="59"/>
  <c r="M176" i="59"/>
  <c r="G178" i="59"/>
  <c r="G180" i="59"/>
  <c r="G182" i="59"/>
  <c r="G184" i="59"/>
  <c r="G186" i="59"/>
  <c r="I191" i="59"/>
  <c r="K191" i="59"/>
  <c r="L191" i="59"/>
  <c r="M191" i="59"/>
  <c r="K192" i="59"/>
  <c r="L192" i="59"/>
  <c r="M192" i="59"/>
  <c r="G194" i="59"/>
  <c r="G196" i="59"/>
  <c r="G198" i="59"/>
  <c r="G200" i="59"/>
  <c r="G202" i="59"/>
  <c r="K207" i="59"/>
  <c r="L207" i="59"/>
  <c r="M207" i="59"/>
  <c r="K208" i="59"/>
  <c r="L208" i="59"/>
  <c r="M208" i="59"/>
  <c r="G210" i="59"/>
  <c r="G212" i="59"/>
  <c r="G214" i="59"/>
  <c r="G216" i="59"/>
  <c r="G218" i="59"/>
  <c r="L63" i="59"/>
  <c r="M64" i="59"/>
  <c r="C188" i="56"/>
  <c r="C182" i="56"/>
  <c r="C176" i="56"/>
  <c r="C170" i="56"/>
  <c r="C164" i="56"/>
  <c r="C152" i="56"/>
  <c r="C146" i="56"/>
  <c r="C140" i="56"/>
  <c r="C158" i="56"/>
  <c r="C134" i="56"/>
  <c r="C128" i="56"/>
  <c r="C122" i="56"/>
  <c r="C116" i="56"/>
  <c r="C110" i="56"/>
  <c r="C104" i="56"/>
  <c r="C98" i="56"/>
  <c r="C92" i="56"/>
  <c r="C86" i="56"/>
  <c r="C68" i="56"/>
  <c r="C62" i="56"/>
  <c r="C56" i="56"/>
  <c r="C50" i="56"/>
  <c r="V39" i="3"/>
  <c r="Q4" i="64" s="1"/>
  <c r="V24" i="25"/>
  <c r="W24" i="25"/>
  <c r="X24" i="25"/>
  <c r="T73" i="25"/>
  <c r="S73" i="25"/>
  <c r="U73" i="25"/>
  <c r="R73" i="25"/>
  <c r="S45" i="37"/>
  <c r="S45" i="3"/>
  <c r="R45" i="3"/>
  <c r="R47" i="3"/>
  <c r="I20" i="3"/>
  <c r="I21" i="3" s="1"/>
  <c r="J20" i="3"/>
  <c r="J21" i="3" s="1"/>
  <c r="K20" i="3"/>
  <c r="K21" i="3" s="1"/>
  <c r="L20" i="3"/>
  <c r="L21" i="3" s="1"/>
  <c r="N20" i="3"/>
  <c r="N21" i="3" s="1"/>
  <c r="O20" i="3"/>
  <c r="O21" i="3"/>
  <c r="P20" i="3"/>
  <c r="P21" i="3" s="1"/>
  <c r="Q20" i="3"/>
  <c r="Q21" i="3"/>
  <c r="R20" i="3"/>
  <c r="R21" i="3"/>
  <c r="S20" i="3"/>
  <c r="S21" i="3"/>
  <c r="T20" i="3"/>
  <c r="T21" i="3"/>
  <c r="U20" i="3"/>
  <c r="U21" i="3" s="1"/>
  <c r="V20" i="3"/>
  <c r="V21" i="3" s="1"/>
  <c r="W20" i="3"/>
  <c r="W21" i="3" s="1"/>
  <c r="X20" i="3"/>
  <c r="X21" i="3" s="1"/>
  <c r="Y21" i="3"/>
  <c r="Z20" i="3"/>
  <c r="Z21" i="3" s="1"/>
  <c r="AA20" i="3"/>
  <c r="AA21" i="3" s="1"/>
  <c r="AB20" i="3"/>
  <c r="AB21" i="3" s="1"/>
  <c r="AC20" i="3"/>
  <c r="AC21" i="3"/>
  <c r="AD20" i="3"/>
  <c r="AD21" i="3" s="1"/>
  <c r="AE20" i="3"/>
  <c r="AE21" i="3" s="1"/>
  <c r="AF20" i="3"/>
  <c r="AF21" i="3" s="1"/>
  <c r="AG20" i="3"/>
  <c r="AG21" i="3"/>
  <c r="AH20" i="3"/>
  <c r="AH21" i="3" s="1"/>
  <c r="AI20" i="3"/>
  <c r="AI21" i="3" s="1"/>
  <c r="AJ20" i="3"/>
  <c r="AJ21" i="3" s="1"/>
  <c r="AK20" i="3"/>
  <c r="AK21" i="3" s="1"/>
  <c r="AL20" i="3"/>
  <c r="AL21" i="3" s="1"/>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Q24" i="25"/>
  <c r="Q31" i="25"/>
  <c r="Q38" i="25"/>
  <c r="Q45" i="25"/>
  <c r="Q52" i="25"/>
  <c r="Q59" i="25"/>
  <c r="Q65" i="25"/>
  <c r="Q66" i="25"/>
  <c r="Q73" i="25"/>
  <c r="Q87" i="25"/>
  <c r="Q94" i="25"/>
  <c r="Q101" i="25"/>
  <c r="Q108" i="25"/>
  <c r="Q115" i="25"/>
  <c r="P24" i="25"/>
  <c r="P31" i="25"/>
  <c r="P38" i="25"/>
  <c r="P45" i="25"/>
  <c r="P52" i="25"/>
  <c r="P59" i="25"/>
  <c r="P65" i="25"/>
  <c r="P66" i="25"/>
  <c r="P73" i="25"/>
  <c r="P87" i="25"/>
  <c r="P94" i="25"/>
  <c r="P101" i="25"/>
  <c r="P108" i="25"/>
  <c r="P115" i="25"/>
  <c r="P122" i="25"/>
  <c r="O24" i="25"/>
  <c r="O31" i="25"/>
  <c r="O38" i="25"/>
  <c r="O45" i="25"/>
  <c r="O52" i="25"/>
  <c r="O59" i="25"/>
  <c r="O65" i="25"/>
  <c r="O66" i="25"/>
  <c r="O73" i="25"/>
  <c r="O87" i="25"/>
  <c r="O94" i="25"/>
  <c r="O101" i="25"/>
  <c r="O108" i="25"/>
  <c r="O115" i="25"/>
  <c r="O122" i="25"/>
  <c r="N24" i="25"/>
  <c r="N31" i="25"/>
  <c r="N38" i="25"/>
  <c r="N45" i="25"/>
  <c r="N52" i="25"/>
  <c r="N59" i="25"/>
  <c r="N65" i="25"/>
  <c r="N66" i="25"/>
  <c r="N73" i="25"/>
  <c r="N87" i="25"/>
  <c r="N94" i="25"/>
  <c r="N101" i="25"/>
  <c r="N108" i="25"/>
  <c r="N115" i="25"/>
  <c r="N122" i="25"/>
  <c r="C7" i="56"/>
  <c r="AB51" i="56" s="1"/>
  <c r="P45" i="3"/>
  <c r="G5" i="55"/>
  <c r="H5" i="55" s="1"/>
  <c r="G4" i="55"/>
  <c r="H4" i="55" s="1"/>
  <c r="G6" i="55"/>
  <c r="H6" i="55" s="1"/>
  <c r="C7" i="24"/>
  <c r="K14" i="24" s="1"/>
  <c r="C80" i="56"/>
  <c r="H24" i="1"/>
  <c r="I18" i="14"/>
  <c r="L39" i="3"/>
  <c r="G4" i="64" s="1"/>
  <c r="C108" i="57"/>
  <c r="C102" i="57"/>
  <c r="C96" i="57"/>
  <c r="C90" i="57"/>
  <c r="C84" i="57"/>
  <c r="C78" i="57"/>
  <c r="C72" i="57"/>
  <c r="C66" i="57"/>
  <c r="C60" i="57"/>
  <c r="E58" i="57"/>
  <c r="F58" i="57"/>
  <c r="G58" i="57"/>
  <c r="H58" i="57"/>
  <c r="I58" i="57"/>
  <c r="J58" i="57"/>
  <c r="K58" i="57"/>
  <c r="L58" i="57"/>
  <c r="M58" i="57"/>
  <c r="N58" i="57"/>
  <c r="O58" i="57"/>
  <c r="P58" i="57"/>
  <c r="Q58" i="57"/>
  <c r="R58" i="57"/>
  <c r="S58" i="57"/>
  <c r="T58" i="57"/>
  <c r="U58" i="57"/>
  <c r="V58" i="57"/>
  <c r="W58" i="57"/>
  <c r="X58" i="57"/>
  <c r="Y58" i="57"/>
  <c r="Z58" i="57"/>
  <c r="AA58" i="57"/>
  <c r="AB58" i="57"/>
  <c r="AC58" i="57"/>
  <c r="AD58" i="57"/>
  <c r="AE58" i="57"/>
  <c r="AF58" i="57"/>
  <c r="AG58" i="57"/>
  <c r="AH58" i="57"/>
  <c r="D58" i="57"/>
  <c r="D56" i="57"/>
  <c r="E56" i="57"/>
  <c r="F56" i="57"/>
  <c r="G56" i="57"/>
  <c r="H56" i="57"/>
  <c r="I56" i="57"/>
  <c r="J56" i="57"/>
  <c r="K56" i="57"/>
  <c r="L56" i="57"/>
  <c r="M56" i="57"/>
  <c r="N56" i="57"/>
  <c r="O56" i="57"/>
  <c r="P56" i="57"/>
  <c r="Q56" i="57"/>
  <c r="R56" i="57"/>
  <c r="S56" i="57"/>
  <c r="T56" i="57"/>
  <c r="U56" i="57"/>
  <c r="V56" i="57"/>
  <c r="W56" i="57"/>
  <c r="X56" i="57"/>
  <c r="Y56" i="57"/>
  <c r="Z56" i="57"/>
  <c r="AA56" i="57"/>
  <c r="AB56" i="57"/>
  <c r="AC56" i="57"/>
  <c r="AD56" i="57"/>
  <c r="AE56" i="57"/>
  <c r="AF56" i="57"/>
  <c r="AG56" i="57"/>
  <c r="AH56" i="57"/>
  <c r="C54" i="57"/>
  <c r="D52" i="57"/>
  <c r="E52" i="57"/>
  <c r="F52" i="57"/>
  <c r="G52" i="57"/>
  <c r="H52" i="57"/>
  <c r="I52" i="57"/>
  <c r="J52" i="57"/>
  <c r="K52" i="57"/>
  <c r="L52" i="57"/>
  <c r="M52" i="57"/>
  <c r="N52" i="57"/>
  <c r="O52" i="57"/>
  <c r="P52" i="57"/>
  <c r="Q52" i="57"/>
  <c r="R52" i="57"/>
  <c r="S52" i="57"/>
  <c r="T52" i="57"/>
  <c r="U52" i="57"/>
  <c r="V52" i="57"/>
  <c r="W52" i="57"/>
  <c r="X52" i="57"/>
  <c r="Y52" i="57"/>
  <c r="Z52" i="57"/>
  <c r="AA52" i="57"/>
  <c r="AB52" i="57"/>
  <c r="AC52" i="57"/>
  <c r="AD52" i="57"/>
  <c r="AE52" i="57"/>
  <c r="AF52" i="57"/>
  <c r="AG52" i="57"/>
  <c r="AH52" i="57"/>
  <c r="D50" i="57"/>
  <c r="E50" i="57"/>
  <c r="F50" i="57"/>
  <c r="G50" i="57"/>
  <c r="H50" i="57"/>
  <c r="I50" i="57"/>
  <c r="J50" i="57"/>
  <c r="K50" i="57"/>
  <c r="L50" i="57"/>
  <c r="M50" i="57"/>
  <c r="N50" i="57"/>
  <c r="O50" i="57"/>
  <c r="P50" i="57"/>
  <c r="Q50" i="57"/>
  <c r="R50" i="57"/>
  <c r="S50" i="57"/>
  <c r="T50" i="57"/>
  <c r="U50" i="57"/>
  <c r="V50" i="57"/>
  <c r="W50" i="57"/>
  <c r="X50" i="57"/>
  <c r="Y50" i="57"/>
  <c r="Z50" i="57"/>
  <c r="AA50" i="57"/>
  <c r="AB50" i="57"/>
  <c r="AC50" i="57"/>
  <c r="AD50" i="57"/>
  <c r="AE50" i="57"/>
  <c r="AF50" i="57"/>
  <c r="AG50" i="57"/>
  <c r="AH50" i="57"/>
  <c r="C48" i="57"/>
  <c r="C42" i="57"/>
  <c r="C36" i="57"/>
  <c r="AH35" i="57"/>
  <c r="AG35" i="57"/>
  <c r="AF35" i="57"/>
  <c r="AE35" i="57"/>
  <c r="AD35" i="57"/>
  <c r="AC35" i="57"/>
  <c r="AB35" i="57"/>
  <c r="AA35" i="57"/>
  <c r="Z35" i="57"/>
  <c r="Y35" i="57"/>
  <c r="X35" i="57"/>
  <c r="W35" i="57"/>
  <c r="V35" i="57"/>
  <c r="U35" i="57"/>
  <c r="T35" i="57"/>
  <c r="S35" i="57"/>
  <c r="R35" i="57"/>
  <c r="Q35" i="57"/>
  <c r="P35" i="57"/>
  <c r="O35" i="57"/>
  <c r="N35" i="57"/>
  <c r="M35" i="57"/>
  <c r="L35" i="57"/>
  <c r="K35" i="57"/>
  <c r="J35" i="57"/>
  <c r="I35" i="57"/>
  <c r="H35" i="57"/>
  <c r="G35" i="57"/>
  <c r="F35" i="57"/>
  <c r="E35" i="57"/>
  <c r="D35" i="57"/>
  <c r="C7" i="57"/>
  <c r="C74" i="56"/>
  <c r="AH49" i="56"/>
  <c r="AE49" i="56"/>
  <c r="AF49" i="56"/>
  <c r="AG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D49" i="56"/>
  <c r="B5" i="55"/>
  <c r="J17" i="14"/>
  <c r="I17" i="14"/>
  <c r="L17" i="14"/>
  <c r="K17" i="14"/>
  <c r="AJ45" i="3"/>
  <c r="AJ47" i="3" s="1"/>
  <c r="M17" i="14"/>
  <c r="N17" i="14"/>
  <c r="I28" i="43"/>
  <c r="J28" i="43"/>
  <c r="K28" i="43"/>
  <c r="L28" i="43"/>
  <c r="M28" i="43"/>
  <c r="N28" i="43"/>
  <c r="O28" i="43"/>
  <c r="P28" i="43"/>
  <c r="Q28" i="43"/>
  <c r="R28" i="43"/>
  <c r="S28" i="43"/>
  <c r="T28" i="43"/>
  <c r="U28" i="43"/>
  <c r="V28" i="43"/>
  <c r="W28" i="43"/>
  <c r="X28" i="43"/>
  <c r="Y28" i="43"/>
  <c r="Z28" i="43"/>
  <c r="AA28" i="43"/>
  <c r="AB28" i="43"/>
  <c r="AC28" i="43"/>
  <c r="AD28" i="43"/>
  <c r="AE28" i="43"/>
  <c r="AF28" i="43"/>
  <c r="AG28" i="43"/>
  <c r="AH28" i="43"/>
  <c r="AI28" i="43"/>
  <c r="AJ28" i="43"/>
  <c r="AK28" i="43"/>
  <c r="AL28" i="43"/>
  <c r="H28" i="43"/>
  <c r="I45" i="3"/>
  <c r="I47" i="3" s="1"/>
  <c r="J45" i="3"/>
  <c r="J47" i="3" s="1"/>
  <c r="K45" i="3"/>
  <c r="K47" i="3" s="1"/>
  <c r="L45" i="3"/>
  <c r="L47" i="3" s="1"/>
  <c r="M45" i="3"/>
  <c r="M47" i="3" s="1"/>
  <c r="N45" i="3"/>
  <c r="O45" i="3"/>
  <c r="Q45" i="3"/>
  <c r="T45" i="3"/>
  <c r="U45" i="3"/>
  <c r="V45" i="3"/>
  <c r="V47" i="3" s="1"/>
  <c r="W45" i="3"/>
  <c r="X45" i="3"/>
  <c r="X47" i="3" s="1"/>
  <c r="AA45" i="3"/>
  <c r="AA47" i="3" s="1"/>
  <c r="AB45" i="3"/>
  <c r="AC45" i="3"/>
  <c r="AD45" i="3"/>
  <c r="AE45" i="3"/>
  <c r="AF45" i="3"/>
  <c r="AF47" i="3" s="1"/>
  <c r="AG45" i="3"/>
  <c r="AG47" i="3" s="1"/>
  <c r="AH45" i="3"/>
  <c r="AH47" i="3" s="1"/>
  <c r="AI45" i="3"/>
  <c r="AI47" i="3" s="1"/>
  <c r="AK45" i="3"/>
  <c r="AK47" i="3" s="1"/>
  <c r="AL45" i="3"/>
  <c r="I101" i="25"/>
  <c r="J27" i="43"/>
  <c r="K27" i="43"/>
  <c r="L27" i="43"/>
  <c r="M27" i="43"/>
  <c r="N27" i="43"/>
  <c r="I27" i="43"/>
  <c r="H27" i="43"/>
  <c r="I39" i="3"/>
  <c r="D4" i="64" s="1"/>
  <c r="J39" i="3"/>
  <c r="E4" i="64" s="1"/>
  <c r="K39" i="3"/>
  <c r="F4" i="64" s="1"/>
  <c r="M39" i="3"/>
  <c r="H4" i="64" s="1"/>
  <c r="N39" i="3"/>
  <c r="I4" i="64"/>
  <c r="O39" i="3"/>
  <c r="J4" i="64" s="1"/>
  <c r="P39" i="3"/>
  <c r="K4" i="64" s="1"/>
  <c r="Q39" i="3"/>
  <c r="L4" i="64"/>
  <c r="R39" i="3"/>
  <c r="M4" i="64"/>
  <c r="S39" i="3"/>
  <c r="N4" i="64"/>
  <c r="T39" i="3"/>
  <c r="O4" i="64"/>
  <c r="U39" i="3"/>
  <c r="P4" i="64" s="1"/>
  <c r="W39" i="3"/>
  <c r="R4" i="64" s="1"/>
  <c r="X39" i="3"/>
  <c r="S4" i="64" s="1"/>
  <c r="AA4" i="64"/>
  <c r="AB4" i="64"/>
  <c r="AC4" i="64"/>
  <c r="AD4" i="64"/>
  <c r="AE4" i="64"/>
  <c r="AK39" i="3"/>
  <c r="AF4" i="64" s="1"/>
  <c r="AL39" i="3"/>
  <c r="AG4" i="64" s="1"/>
  <c r="M38" i="3"/>
  <c r="H3" i="64" s="1"/>
  <c r="U38" i="3"/>
  <c r="Z38" i="3"/>
  <c r="Z36" i="3" s="1"/>
  <c r="AA38" i="3"/>
  <c r="AA36" i="3" s="1"/>
  <c r="A17" i="25"/>
  <c r="H59" i="1"/>
  <c r="H45" i="1"/>
  <c r="D21" i="43"/>
  <c r="D18" i="43"/>
  <c r="H116" i="25"/>
  <c r="C116" i="25"/>
  <c r="C102" i="1" s="1"/>
  <c r="C109" i="25"/>
  <c r="C35" i="20" s="1"/>
  <c r="C102" i="25"/>
  <c r="C88" i="1"/>
  <c r="H95" i="25"/>
  <c r="C81" i="1"/>
  <c r="C88" i="25"/>
  <c r="C32" i="20" s="1"/>
  <c r="C81" i="25"/>
  <c r="C67" i="1"/>
  <c r="C67" i="25"/>
  <c r="I65" i="25"/>
  <c r="J65" i="25"/>
  <c r="K65" i="25"/>
  <c r="R65" i="25"/>
  <c r="S65" i="25"/>
  <c r="T65" i="25"/>
  <c r="U65" i="25"/>
  <c r="AB65" i="25"/>
  <c r="AE65" i="25"/>
  <c r="AG65" i="25"/>
  <c r="AH65" i="25"/>
  <c r="AI65" i="25"/>
  <c r="AJ65" i="25"/>
  <c r="AK65" i="25"/>
  <c r="AL65" i="25"/>
  <c r="C39" i="1"/>
  <c r="C18" i="25"/>
  <c r="P32" i="3"/>
  <c r="A18" i="24"/>
  <c r="Z27" i="43"/>
  <c r="V27" i="43"/>
  <c r="AG27" i="43"/>
  <c r="U27" i="43"/>
  <c r="AA27" i="43"/>
  <c r="Y27" i="43"/>
  <c r="W27" i="43"/>
  <c r="AF27" i="43"/>
  <c r="T27" i="43"/>
  <c r="AH27" i="43"/>
  <c r="AE27" i="43"/>
  <c r="S27" i="43"/>
  <c r="AD27" i="43"/>
  <c r="R27" i="43"/>
  <c r="X27" i="43"/>
  <c r="AI27" i="43"/>
  <c r="AC27" i="43"/>
  <c r="Q27" i="43"/>
  <c r="O27" i="43"/>
  <c r="AB27" i="43"/>
  <c r="P27" i="43"/>
  <c r="H52" i="1"/>
  <c r="AA24" i="25"/>
  <c r="AC24" i="25"/>
  <c r="AB24" i="25"/>
  <c r="W31" i="25"/>
  <c r="W38" i="25"/>
  <c r="W45" i="25"/>
  <c r="W52" i="25"/>
  <c r="W59" i="25"/>
  <c r="W66" i="25"/>
  <c r="W73" i="25"/>
  <c r="W87" i="25"/>
  <c r="W94" i="25"/>
  <c r="W101" i="25"/>
  <c r="W108" i="25"/>
  <c r="W65" i="25"/>
  <c r="U41" i="37"/>
  <c r="T41" i="37"/>
  <c r="V41" i="37"/>
  <c r="S41" i="37"/>
  <c r="R41" i="37"/>
  <c r="Q41" i="37"/>
  <c r="U29" i="37"/>
  <c r="V29" i="37"/>
  <c r="T29" i="37"/>
  <c r="S29" i="37"/>
  <c r="R29" i="37"/>
  <c r="Q29" i="37"/>
  <c r="V31" i="25"/>
  <c r="V38" i="25"/>
  <c r="V45" i="25"/>
  <c r="V52" i="25"/>
  <c r="V59" i="25"/>
  <c r="V66" i="25"/>
  <c r="V73" i="25"/>
  <c r="V87" i="25"/>
  <c r="V94" i="25"/>
  <c r="V101" i="25"/>
  <c r="V108" i="25"/>
  <c r="U24" i="25"/>
  <c r="U31" i="25"/>
  <c r="U38" i="25"/>
  <c r="U45" i="25"/>
  <c r="U52" i="25"/>
  <c r="U59" i="25"/>
  <c r="U66" i="25"/>
  <c r="U87" i="25"/>
  <c r="U94" i="25"/>
  <c r="U101" i="25"/>
  <c r="U108" i="25"/>
  <c r="U115" i="25"/>
  <c r="V115" i="25"/>
  <c r="U122" i="25"/>
  <c r="V122" i="25"/>
  <c r="U129" i="25"/>
  <c r="V129" i="25"/>
  <c r="U136" i="25"/>
  <c r="V136" i="25"/>
  <c r="U142" i="25"/>
  <c r="V142" i="25"/>
  <c r="T24" i="25"/>
  <c r="T31" i="25"/>
  <c r="T38" i="25"/>
  <c r="T45" i="25"/>
  <c r="T52" i="25"/>
  <c r="T59" i="25"/>
  <c r="T66" i="25"/>
  <c r="T87" i="25"/>
  <c r="T94" i="25"/>
  <c r="T101" i="25"/>
  <c r="T108" i="25"/>
  <c r="S24" i="25"/>
  <c r="S31" i="25"/>
  <c r="S38" i="25"/>
  <c r="S45" i="25"/>
  <c r="S52" i="25"/>
  <c r="S59" i="25"/>
  <c r="S66" i="25"/>
  <c r="S87" i="25"/>
  <c r="S94" i="25"/>
  <c r="S101" i="25"/>
  <c r="S108" i="25"/>
  <c r="R24" i="25"/>
  <c r="R31" i="25"/>
  <c r="R38" i="25"/>
  <c r="R45" i="25"/>
  <c r="R52" i="25"/>
  <c r="R59" i="25"/>
  <c r="R66" i="25"/>
  <c r="R87" i="25"/>
  <c r="R94" i="25"/>
  <c r="R101" i="25"/>
  <c r="R108" i="25"/>
  <c r="V31" i="1"/>
  <c r="V45" i="1"/>
  <c r="V52" i="1"/>
  <c r="V59" i="1"/>
  <c r="V73" i="1"/>
  <c r="V80" i="1"/>
  <c r="V87" i="1"/>
  <c r="V94" i="1"/>
  <c r="V101" i="1"/>
  <c r="V108" i="1"/>
  <c r="U31" i="1"/>
  <c r="U45" i="1"/>
  <c r="U52" i="1"/>
  <c r="U59" i="1"/>
  <c r="U73" i="1"/>
  <c r="U80" i="1"/>
  <c r="U87" i="1"/>
  <c r="U94" i="1"/>
  <c r="U101" i="1"/>
  <c r="U108" i="1"/>
  <c r="T31" i="1"/>
  <c r="T45" i="1"/>
  <c r="T52" i="1"/>
  <c r="T59" i="1"/>
  <c r="T73" i="1"/>
  <c r="T80" i="1"/>
  <c r="T87" i="1"/>
  <c r="T94" i="1"/>
  <c r="T101" i="1"/>
  <c r="T108" i="1"/>
  <c r="S31" i="1"/>
  <c r="S45" i="1"/>
  <c r="S52" i="1"/>
  <c r="S59" i="1"/>
  <c r="S73" i="1"/>
  <c r="S80" i="1"/>
  <c r="S87" i="1"/>
  <c r="S94" i="1"/>
  <c r="S101" i="1"/>
  <c r="S108" i="1"/>
  <c r="R31" i="1"/>
  <c r="R45" i="1"/>
  <c r="R52" i="1"/>
  <c r="R59" i="1"/>
  <c r="R73" i="1"/>
  <c r="R80" i="1"/>
  <c r="R87" i="1"/>
  <c r="R94" i="1"/>
  <c r="R101" i="1"/>
  <c r="R108" i="1"/>
  <c r="Q31" i="1"/>
  <c r="Q45" i="1"/>
  <c r="Q52" i="1"/>
  <c r="Q59" i="1"/>
  <c r="Q73" i="1"/>
  <c r="Q80" i="1"/>
  <c r="Q87" i="1"/>
  <c r="Q94" i="1"/>
  <c r="Q101" i="1"/>
  <c r="Q108" i="1"/>
  <c r="V65" i="25"/>
  <c r="H17" i="25"/>
  <c r="I52" i="25"/>
  <c r="I38" i="25"/>
  <c r="I87" i="25"/>
  <c r="I73" i="25"/>
  <c r="K17" i="20"/>
  <c r="N17" i="20"/>
  <c r="J17" i="20"/>
  <c r="M17" i="20"/>
  <c r="I17" i="20"/>
  <c r="F17" i="20"/>
  <c r="I24" i="25"/>
  <c r="J24" i="25"/>
  <c r="K24" i="25"/>
  <c r="Y24" i="25"/>
  <c r="Z24" i="25"/>
  <c r="AD24" i="25"/>
  <c r="AE24" i="25"/>
  <c r="AF24" i="25"/>
  <c r="AG24" i="25"/>
  <c r="AH24" i="25"/>
  <c r="AI24" i="25"/>
  <c r="AJ24" i="25"/>
  <c r="AK24" i="25"/>
  <c r="AL24" i="25"/>
  <c r="I31" i="25"/>
  <c r="J31" i="25"/>
  <c r="K31" i="25"/>
  <c r="X31" i="25"/>
  <c r="Y31" i="25"/>
  <c r="Z31" i="25"/>
  <c r="AA31" i="25"/>
  <c r="AB31" i="25"/>
  <c r="AC31" i="25"/>
  <c r="AD31" i="25"/>
  <c r="AE31" i="25"/>
  <c r="AF31" i="25"/>
  <c r="AG31" i="25"/>
  <c r="AH31" i="25"/>
  <c r="AI31" i="25"/>
  <c r="AJ31" i="25"/>
  <c r="AK31" i="25"/>
  <c r="AL31" i="25"/>
  <c r="J38" i="25"/>
  <c r="K38" i="25"/>
  <c r="X38" i="25"/>
  <c r="Y38" i="25"/>
  <c r="Z38" i="25"/>
  <c r="AA38" i="25"/>
  <c r="AB38" i="25"/>
  <c r="AC38" i="25"/>
  <c r="AD38" i="25"/>
  <c r="AE38" i="25"/>
  <c r="AF38" i="25"/>
  <c r="AG38" i="25"/>
  <c r="AH38" i="25"/>
  <c r="AI38" i="25"/>
  <c r="AJ38" i="25"/>
  <c r="AK38" i="25"/>
  <c r="AL38" i="25"/>
  <c r="I45" i="25"/>
  <c r="J45" i="25"/>
  <c r="K45" i="25"/>
  <c r="X45" i="25"/>
  <c r="Y45" i="25"/>
  <c r="Z45" i="25"/>
  <c r="AA45" i="25"/>
  <c r="AB45" i="25"/>
  <c r="AC45" i="25"/>
  <c r="AD45" i="25"/>
  <c r="AE45" i="25"/>
  <c r="AF45" i="25"/>
  <c r="AG45" i="25"/>
  <c r="AH45" i="25"/>
  <c r="AI45" i="25"/>
  <c r="AJ45" i="25"/>
  <c r="AK45" i="25"/>
  <c r="AL45" i="25"/>
  <c r="J52" i="25"/>
  <c r="K52" i="25"/>
  <c r="X52" i="25"/>
  <c r="Y52" i="25"/>
  <c r="Z52" i="25"/>
  <c r="AA52" i="25"/>
  <c r="AB52" i="25"/>
  <c r="AC52" i="25"/>
  <c r="AD52" i="25"/>
  <c r="AE52" i="25"/>
  <c r="AF52" i="25"/>
  <c r="AG52" i="25"/>
  <c r="AH52" i="25"/>
  <c r="AI52" i="25"/>
  <c r="AJ52" i="25"/>
  <c r="AK52" i="25"/>
  <c r="AL52" i="25"/>
  <c r="I59" i="25"/>
  <c r="J59" i="25"/>
  <c r="K59" i="25"/>
  <c r="X59" i="25"/>
  <c r="Y59" i="25"/>
  <c r="Z59" i="25"/>
  <c r="AA59" i="25"/>
  <c r="AB59" i="25"/>
  <c r="AC59" i="25"/>
  <c r="AD59" i="25"/>
  <c r="AE59" i="25"/>
  <c r="AF59" i="25"/>
  <c r="AG59" i="25"/>
  <c r="AH59" i="25"/>
  <c r="AI59" i="25"/>
  <c r="AJ59" i="25"/>
  <c r="AK59" i="25"/>
  <c r="AL59" i="25"/>
  <c r="I66" i="25"/>
  <c r="J66" i="25"/>
  <c r="K66" i="25"/>
  <c r="X66" i="25"/>
  <c r="Y66" i="25"/>
  <c r="Z66" i="25"/>
  <c r="AB66" i="25"/>
  <c r="AC66" i="25"/>
  <c r="AD66" i="25"/>
  <c r="AE66" i="25"/>
  <c r="AF66" i="25"/>
  <c r="AG66" i="25"/>
  <c r="AH66" i="25"/>
  <c r="AI66" i="25"/>
  <c r="AJ66" i="25"/>
  <c r="AK66" i="25"/>
  <c r="AL66" i="25"/>
  <c r="J73" i="25"/>
  <c r="K73" i="25"/>
  <c r="X73" i="25"/>
  <c r="Y73" i="25"/>
  <c r="Z73" i="25"/>
  <c r="AA73" i="25"/>
  <c r="AD73" i="25"/>
  <c r="AE73" i="25"/>
  <c r="AF73" i="25"/>
  <c r="AG73" i="25"/>
  <c r="AH73" i="25"/>
  <c r="AI73" i="25"/>
  <c r="AJ73" i="25"/>
  <c r="AK73" i="25"/>
  <c r="AL73" i="25"/>
  <c r="J87" i="25"/>
  <c r="K87" i="25"/>
  <c r="X87" i="25"/>
  <c r="Y87" i="25"/>
  <c r="Z87" i="25"/>
  <c r="AA87" i="25"/>
  <c r="AB87" i="25"/>
  <c r="AC87" i="25"/>
  <c r="AD87" i="25"/>
  <c r="AE87" i="25"/>
  <c r="AF87" i="25"/>
  <c r="AG87" i="25"/>
  <c r="AH87" i="25"/>
  <c r="AI87" i="25"/>
  <c r="AJ87" i="25"/>
  <c r="AK87" i="25"/>
  <c r="AL87" i="25"/>
  <c r="I94" i="25"/>
  <c r="J94" i="25"/>
  <c r="K94" i="25"/>
  <c r="X94" i="25"/>
  <c r="Y94" i="25"/>
  <c r="Z94" i="25"/>
  <c r="AA94" i="25"/>
  <c r="AB94" i="25"/>
  <c r="AC94" i="25"/>
  <c r="AD94" i="25"/>
  <c r="AF94" i="25"/>
  <c r="AG94" i="25"/>
  <c r="AH94" i="25"/>
  <c r="AI94" i="25"/>
  <c r="AJ94" i="25"/>
  <c r="AK94" i="25"/>
  <c r="AL94" i="25"/>
  <c r="J101" i="25"/>
  <c r="K101" i="25"/>
  <c r="X101" i="25"/>
  <c r="Y101" i="25"/>
  <c r="Z101" i="25"/>
  <c r="AA101" i="25"/>
  <c r="AB101" i="25"/>
  <c r="AC101" i="25"/>
  <c r="AD101" i="25"/>
  <c r="AE101" i="25"/>
  <c r="AF101" i="25"/>
  <c r="AG101" i="25"/>
  <c r="AH101" i="25"/>
  <c r="AI101" i="25"/>
  <c r="AJ101" i="25"/>
  <c r="AK101" i="25"/>
  <c r="AL101" i="25"/>
  <c r="I108" i="25"/>
  <c r="J108" i="25"/>
  <c r="K108" i="25"/>
  <c r="X108" i="25"/>
  <c r="Y108" i="25"/>
  <c r="Z108" i="25"/>
  <c r="AA108" i="25"/>
  <c r="AB108" i="25"/>
  <c r="AC108" i="25"/>
  <c r="AD108" i="25"/>
  <c r="AE108" i="25"/>
  <c r="AF108" i="25"/>
  <c r="AG108" i="25"/>
  <c r="AH108" i="25"/>
  <c r="AI108" i="25"/>
  <c r="AJ108" i="25"/>
  <c r="AK108" i="25"/>
  <c r="AL108" i="25"/>
  <c r="I17" i="43"/>
  <c r="J17" i="43"/>
  <c r="K17" i="43"/>
  <c r="L17" i="43"/>
  <c r="M17" i="43"/>
  <c r="N17" i="43"/>
  <c r="O17" i="43"/>
  <c r="P17" i="43"/>
  <c r="Q17" i="43"/>
  <c r="R17" i="43"/>
  <c r="S17" i="43"/>
  <c r="T17" i="43"/>
  <c r="U17" i="43"/>
  <c r="V17" i="43"/>
  <c r="W17" i="43"/>
  <c r="X17" i="43"/>
  <c r="Y17" i="43"/>
  <c r="Z17" i="43"/>
  <c r="AA17" i="43"/>
  <c r="AB17" i="43"/>
  <c r="AC17" i="43"/>
  <c r="AD17" i="43"/>
  <c r="AE17" i="43"/>
  <c r="AF17" i="43"/>
  <c r="AG17" i="43"/>
  <c r="AH17" i="43"/>
  <c r="AI17" i="43"/>
  <c r="AJ17" i="43"/>
  <c r="AK17" i="43"/>
  <c r="AL17" i="43"/>
  <c r="H17" i="43"/>
  <c r="Z65" i="25"/>
  <c r="AA65" i="25"/>
  <c r="AF65" i="25"/>
  <c r="X65" i="25"/>
  <c r="AC65" i="25"/>
  <c r="AD65" i="25"/>
  <c r="Y65" i="25"/>
  <c r="C4" i="52"/>
  <c r="C5" i="52"/>
  <c r="L80" i="1"/>
  <c r="AL108" i="1"/>
  <c r="AK108" i="1"/>
  <c r="AJ108" i="1"/>
  <c r="AI108" i="1"/>
  <c r="AH108" i="1"/>
  <c r="AG108" i="1"/>
  <c r="AF108" i="1"/>
  <c r="AE108" i="1"/>
  <c r="AD108" i="1"/>
  <c r="AC108" i="1"/>
  <c r="AB108" i="1"/>
  <c r="AA108" i="1"/>
  <c r="Z108" i="1"/>
  <c r="Y108" i="1"/>
  <c r="X108" i="1"/>
  <c r="W108" i="1"/>
  <c r="P108" i="1"/>
  <c r="O108" i="1"/>
  <c r="N108" i="1"/>
  <c r="M108" i="1"/>
  <c r="L108" i="1"/>
  <c r="K108" i="1"/>
  <c r="J108" i="1"/>
  <c r="I108" i="1"/>
  <c r="H108" i="1"/>
  <c r="AL101" i="1"/>
  <c r="AK101" i="1"/>
  <c r="AJ101" i="1"/>
  <c r="AI101" i="1"/>
  <c r="AH101" i="1"/>
  <c r="AG101" i="1"/>
  <c r="AF101" i="1"/>
  <c r="AE101" i="1"/>
  <c r="AD101" i="1"/>
  <c r="AC101" i="1"/>
  <c r="AB101" i="1"/>
  <c r="AA101" i="1"/>
  <c r="Z101" i="1"/>
  <c r="Y101" i="1"/>
  <c r="X101" i="1"/>
  <c r="W101" i="1"/>
  <c r="P101" i="1"/>
  <c r="N101" i="1"/>
  <c r="M101" i="1"/>
  <c r="L101" i="1"/>
  <c r="K101" i="1"/>
  <c r="J101" i="1"/>
  <c r="I101" i="1"/>
  <c r="H101" i="1"/>
  <c r="AL94" i="1"/>
  <c r="AK94" i="1"/>
  <c r="AJ94" i="1"/>
  <c r="AI94" i="1"/>
  <c r="AH94" i="1"/>
  <c r="AG94" i="1"/>
  <c r="AF94" i="1"/>
  <c r="AE94" i="1"/>
  <c r="AD94" i="1"/>
  <c r="AC94" i="1"/>
  <c r="AB94" i="1"/>
  <c r="AA94" i="1"/>
  <c r="Z94" i="1"/>
  <c r="Y94" i="1"/>
  <c r="X94" i="1"/>
  <c r="W94" i="1"/>
  <c r="P94" i="1"/>
  <c r="O94" i="1"/>
  <c r="N94" i="1"/>
  <c r="M94" i="1"/>
  <c r="K94" i="1"/>
  <c r="J94" i="1"/>
  <c r="I94" i="1"/>
  <c r="H94" i="1"/>
  <c r="AL87" i="1"/>
  <c r="AK87" i="1"/>
  <c r="AJ87" i="1"/>
  <c r="AI87" i="1"/>
  <c r="AH87" i="1"/>
  <c r="AG87" i="1"/>
  <c r="AF87" i="1"/>
  <c r="AE87" i="1"/>
  <c r="AD87" i="1"/>
  <c r="AC87" i="1"/>
  <c r="AB87" i="1"/>
  <c r="AA87" i="1"/>
  <c r="Z87" i="1"/>
  <c r="Y87" i="1"/>
  <c r="X87" i="1"/>
  <c r="W87" i="1"/>
  <c r="P87" i="1"/>
  <c r="O87" i="1"/>
  <c r="N87" i="1"/>
  <c r="L87" i="1"/>
  <c r="K87" i="1"/>
  <c r="J87" i="1"/>
  <c r="I87" i="1"/>
  <c r="H87" i="1"/>
  <c r="AL80" i="1"/>
  <c r="AK80" i="1"/>
  <c r="AJ80" i="1"/>
  <c r="AI80" i="1"/>
  <c r="AH80" i="1"/>
  <c r="AG80" i="1"/>
  <c r="AF80" i="1"/>
  <c r="AE80" i="1"/>
  <c r="AD80" i="1"/>
  <c r="AC80" i="1"/>
  <c r="AB80" i="1"/>
  <c r="AA80" i="1"/>
  <c r="Z80" i="1"/>
  <c r="Y80" i="1"/>
  <c r="X80" i="1"/>
  <c r="W80" i="1"/>
  <c r="P80" i="1"/>
  <c r="O80" i="1"/>
  <c r="N80" i="1"/>
  <c r="M80" i="1"/>
  <c r="K80" i="1"/>
  <c r="J80" i="1"/>
  <c r="I80" i="1"/>
  <c r="H80" i="1"/>
  <c r="C6"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AG21" i="37"/>
  <c r="AH21" i="37"/>
  <c r="AI21" i="37"/>
  <c r="AJ21" i="37"/>
  <c r="AK21" i="37"/>
  <c r="AL21" i="37"/>
  <c r="H29" i="37"/>
  <c r="I29" i="37"/>
  <c r="J29" i="37"/>
  <c r="K29" i="37"/>
  <c r="L29" i="37"/>
  <c r="N29" i="37"/>
  <c r="O29" i="37"/>
  <c r="P29" i="37"/>
  <c r="W29" i="37"/>
  <c r="X29" i="37"/>
  <c r="Y29" i="37"/>
  <c r="Z29" i="37"/>
  <c r="AA29" i="37"/>
  <c r="AB29" i="37"/>
  <c r="AC29" i="37"/>
  <c r="AD29" i="37"/>
  <c r="AE29" i="37"/>
  <c r="AF29" i="37"/>
  <c r="AG29" i="37"/>
  <c r="AH29" i="37"/>
  <c r="AI29" i="37"/>
  <c r="AJ29" i="37"/>
  <c r="AK29" i="37"/>
  <c r="AL29" i="37"/>
  <c r="H37" i="37"/>
  <c r="I37" i="37"/>
  <c r="J37" i="37"/>
  <c r="K37" i="37"/>
  <c r="L37" i="37"/>
  <c r="M37" i="37"/>
  <c r="N37" i="37"/>
  <c r="O37" i="37"/>
  <c r="P37" i="37"/>
  <c r="Q37" i="37"/>
  <c r="R37" i="37"/>
  <c r="S37" i="37"/>
  <c r="T37" i="37"/>
  <c r="U37" i="37"/>
  <c r="V37" i="37"/>
  <c r="W37" i="37"/>
  <c r="X37" i="37"/>
  <c r="Z37" i="37"/>
  <c r="AA37" i="37"/>
  <c r="AB37" i="37"/>
  <c r="AC37" i="37"/>
  <c r="AD37" i="37"/>
  <c r="AE37" i="37"/>
  <c r="AF37" i="37"/>
  <c r="AG37" i="37"/>
  <c r="AH37" i="37"/>
  <c r="AI37" i="37"/>
  <c r="AJ37" i="37"/>
  <c r="AK37" i="37"/>
  <c r="AL37" i="37"/>
  <c r="H41" i="37"/>
  <c r="I41" i="37"/>
  <c r="J41" i="37"/>
  <c r="K41" i="37"/>
  <c r="L41" i="37"/>
  <c r="M41" i="37"/>
  <c r="N41" i="37"/>
  <c r="O41" i="37"/>
  <c r="P41" i="37"/>
  <c r="W41" i="37"/>
  <c r="X41" i="37"/>
  <c r="Y41" i="37"/>
  <c r="Z41" i="37"/>
  <c r="AA41" i="37"/>
  <c r="AB41" i="37"/>
  <c r="AC41" i="37"/>
  <c r="AD41" i="37"/>
  <c r="AE41" i="37"/>
  <c r="AF41" i="37"/>
  <c r="AG41" i="37"/>
  <c r="AH41" i="37"/>
  <c r="AI41" i="37"/>
  <c r="AJ41" i="37"/>
  <c r="AK41" i="37"/>
  <c r="AL41" i="37"/>
  <c r="H45" i="37"/>
  <c r="I45" i="37"/>
  <c r="J45" i="37"/>
  <c r="K45" i="37"/>
  <c r="L45" i="37"/>
  <c r="M45" i="37"/>
  <c r="N45" i="37"/>
  <c r="O45" i="37"/>
  <c r="P45" i="37"/>
  <c r="Q45" i="37"/>
  <c r="R45" i="37"/>
  <c r="T45" i="37"/>
  <c r="U45" i="37"/>
  <c r="V45" i="37"/>
  <c r="W45" i="37"/>
  <c r="X45" i="37"/>
  <c r="Y45" i="37"/>
  <c r="Z45" i="37"/>
  <c r="AA45" i="37"/>
  <c r="AB45" i="37"/>
  <c r="AC45" i="37"/>
  <c r="AD45" i="37"/>
  <c r="AE45" i="37"/>
  <c r="AF45" i="37"/>
  <c r="AG45" i="37"/>
  <c r="AH45" i="37"/>
  <c r="AI45" i="37"/>
  <c r="AJ45" i="37"/>
  <c r="AK45" i="37"/>
  <c r="AL45" i="37"/>
  <c r="AL73" i="1"/>
  <c r="AK73" i="1"/>
  <c r="AJ73" i="1"/>
  <c r="AI73" i="1"/>
  <c r="AH73" i="1"/>
  <c r="AG73" i="1"/>
  <c r="AF73" i="1"/>
  <c r="AE73" i="1"/>
  <c r="AD73" i="1"/>
  <c r="AC73" i="1"/>
  <c r="AB73" i="1"/>
  <c r="AA73" i="1"/>
  <c r="Z73" i="1"/>
  <c r="Y73" i="1"/>
  <c r="X73" i="1"/>
  <c r="W73" i="1"/>
  <c r="P73" i="1"/>
  <c r="O73" i="1"/>
  <c r="N73" i="1"/>
  <c r="M73" i="1"/>
  <c r="L73" i="1"/>
  <c r="K73" i="1"/>
  <c r="J73" i="1"/>
  <c r="I73" i="1"/>
  <c r="H73" i="1"/>
  <c r="AL59" i="1"/>
  <c r="AK59" i="1"/>
  <c r="AJ59" i="1"/>
  <c r="AI59" i="1"/>
  <c r="AH59" i="1"/>
  <c r="AG59" i="1"/>
  <c r="AF59" i="1"/>
  <c r="AE59" i="1"/>
  <c r="AD59" i="1"/>
  <c r="AC59" i="1"/>
  <c r="AB59" i="1"/>
  <c r="AA59" i="1"/>
  <c r="Z59" i="1"/>
  <c r="Y59" i="1"/>
  <c r="X59" i="1"/>
  <c r="W59" i="1"/>
  <c r="P59" i="1"/>
  <c r="O59" i="1"/>
  <c r="N59" i="1"/>
  <c r="M59" i="1"/>
  <c r="L59" i="1"/>
  <c r="K59" i="1"/>
  <c r="J59" i="1"/>
  <c r="I59" i="1"/>
  <c r="AL52" i="1"/>
  <c r="AK52" i="1"/>
  <c r="AJ52" i="1"/>
  <c r="AI52" i="1"/>
  <c r="AH52" i="1"/>
  <c r="AG52" i="1"/>
  <c r="AF52" i="1"/>
  <c r="AE52" i="1"/>
  <c r="AD52" i="1"/>
  <c r="AC52" i="1"/>
  <c r="AB52" i="1"/>
  <c r="AA52" i="1"/>
  <c r="Z52" i="1"/>
  <c r="Y52" i="1"/>
  <c r="X52" i="1"/>
  <c r="W52" i="1"/>
  <c r="P52" i="1"/>
  <c r="O52" i="1"/>
  <c r="N52" i="1"/>
  <c r="M52" i="1"/>
  <c r="L52" i="1"/>
  <c r="K52" i="1"/>
  <c r="J52" i="1"/>
  <c r="I52" i="1"/>
  <c r="AL45" i="1"/>
  <c r="AK45" i="1"/>
  <c r="AJ45" i="1"/>
  <c r="AI45" i="1"/>
  <c r="AH45" i="1"/>
  <c r="AG45" i="1"/>
  <c r="AF45" i="1"/>
  <c r="AE45" i="1"/>
  <c r="AD45" i="1"/>
  <c r="AC45" i="1"/>
  <c r="AB45" i="1"/>
  <c r="AA45" i="1"/>
  <c r="Z45" i="1"/>
  <c r="Y45" i="1"/>
  <c r="X45" i="1"/>
  <c r="W45" i="1"/>
  <c r="P45" i="1"/>
  <c r="O45" i="1"/>
  <c r="N45" i="1"/>
  <c r="M45" i="1"/>
  <c r="L45" i="1"/>
  <c r="K45" i="1"/>
  <c r="J45" i="1"/>
  <c r="I45" i="1"/>
  <c r="AL31" i="1"/>
  <c r="AK31" i="1"/>
  <c r="AJ31" i="1"/>
  <c r="AI31" i="1"/>
  <c r="AH31" i="1"/>
  <c r="AG31" i="1"/>
  <c r="AF31" i="1"/>
  <c r="AE31" i="1"/>
  <c r="AD31" i="1"/>
  <c r="AC31" i="1"/>
  <c r="AB31" i="1"/>
  <c r="AA31" i="1"/>
  <c r="Z31" i="1"/>
  <c r="Y31" i="1"/>
  <c r="X31" i="1"/>
  <c r="W31" i="1"/>
  <c r="P31" i="1"/>
  <c r="O31" i="1"/>
  <c r="N31" i="1"/>
  <c r="M31" i="1"/>
  <c r="L31" i="1"/>
  <c r="K31" i="1"/>
  <c r="J31" i="1"/>
  <c r="I31" i="1"/>
  <c r="I24" i="1"/>
  <c r="J24" i="1"/>
  <c r="K24" i="1"/>
  <c r="L24" i="1"/>
  <c r="M24" i="1"/>
  <c r="N24" i="1"/>
  <c r="K45" i="14"/>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H101" i="25"/>
  <c r="H73" i="25"/>
  <c r="H94" i="25"/>
  <c r="H87" i="25"/>
  <c r="H59" i="25"/>
  <c r="H66" i="25"/>
  <c r="H52" i="25"/>
  <c r="H45" i="25"/>
  <c r="H38" i="25"/>
  <c r="H24" i="25"/>
  <c r="H31" i="25"/>
  <c r="C19" i="20"/>
  <c r="C33" i="20"/>
  <c r="H65" i="25"/>
  <c r="C6" i="1"/>
  <c r="C6" i="4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H17" i="3"/>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H17" i="1"/>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H18" i="24"/>
  <c r="H108" i="25"/>
  <c r="H115" i="25"/>
  <c r="I115" i="25"/>
  <c r="J115" i="25"/>
  <c r="K115" i="25"/>
  <c r="R115" i="25"/>
  <c r="S115" i="25"/>
  <c r="T115" i="25"/>
  <c r="X115" i="25"/>
  <c r="Y115" i="25"/>
  <c r="Z115" i="25"/>
  <c r="AA115" i="25"/>
  <c r="AB115" i="25"/>
  <c r="AC115" i="25"/>
  <c r="AD115" i="25"/>
  <c r="AE115" i="25"/>
  <c r="AF115" i="25"/>
  <c r="AG115" i="25"/>
  <c r="AH115" i="25"/>
  <c r="AI115" i="25"/>
  <c r="AJ115" i="25"/>
  <c r="AK115" i="25"/>
  <c r="AL115" i="25"/>
  <c r="H122" i="25"/>
  <c r="I122" i="25"/>
  <c r="J122" i="25"/>
  <c r="K122" i="25"/>
  <c r="R122" i="25"/>
  <c r="S122" i="25"/>
  <c r="T122" i="25"/>
  <c r="W122" i="25"/>
  <c r="X122" i="25"/>
  <c r="Y122" i="25"/>
  <c r="Z122" i="25"/>
  <c r="AB122" i="25"/>
  <c r="AC122" i="25"/>
  <c r="AD122" i="25"/>
  <c r="AE122" i="25"/>
  <c r="AF122" i="25"/>
  <c r="AG122" i="25"/>
  <c r="AH122" i="25"/>
  <c r="AI122" i="25"/>
  <c r="AJ122" i="25"/>
  <c r="AK122" i="25"/>
  <c r="AL122" i="25"/>
  <c r="H129" i="25"/>
  <c r="I129" i="25"/>
  <c r="J129" i="25"/>
  <c r="K129" i="25"/>
  <c r="N129" i="25"/>
  <c r="O129" i="25"/>
  <c r="P129" i="25"/>
  <c r="Q129" i="25"/>
  <c r="R129" i="25"/>
  <c r="S129" i="25"/>
  <c r="T129" i="25"/>
  <c r="W129" i="25"/>
  <c r="X129" i="25"/>
  <c r="Y129" i="25"/>
  <c r="Z129" i="25"/>
  <c r="AA129" i="25"/>
  <c r="AB129" i="25"/>
  <c r="AC129" i="25"/>
  <c r="AE129" i="25"/>
  <c r="AF129" i="25"/>
  <c r="AG129" i="25"/>
  <c r="AH129" i="25"/>
  <c r="AI129" i="25"/>
  <c r="AJ129" i="25"/>
  <c r="AK129" i="25"/>
  <c r="AL129" i="25"/>
  <c r="I136" i="25"/>
  <c r="J136" i="25"/>
  <c r="K136" i="25"/>
  <c r="N136" i="25"/>
  <c r="O136" i="25"/>
  <c r="P136" i="25"/>
  <c r="Q136" i="25"/>
  <c r="R136" i="25"/>
  <c r="S136" i="25"/>
  <c r="T136" i="25"/>
  <c r="W136" i="25"/>
  <c r="X136" i="25"/>
  <c r="Y136" i="25"/>
  <c r="Z136" i="25"/>
  <c r="AA136" i="25"/>
  <c r="AC136" i="25"/>
  <c r="AD136" i="25"/>
  <c r="AE136" i="25"/>
  <c r="AF136" i="25"/>
  <c r="AG136" i="25"/>
  <c r="AH136" i="25"/>
  <c r="AI136" i="25"/>
  <c r="AJ136" i="25"/>
  <c r="AK136" i="25"/>
  <c r="AL136" i="25"/>
  <c r="H142" i="25"/>
  <c r="I142" i="25"/>
  <c r="J142" i="25"/>
  <c r="K142" i="25"/>
  <c r="N142" i="25"/>
  <c r="O142" i="25"/>
  <c r="P142" i="25"/>
  <c r="Q142" i="25"/>
  <c r="R142" i="25"/>
  <c r="S142" i="25"/>
  <c r="T142" i="25"/>
  <c r="W142" i="25"/>
  <c r="X142" i="25"/>
  <c r="Y142" i="25"/>
  <c r="Z142" i="25"/>
  <c r="AA142" i="25"/>
  <c r="AB142" i="25"/>
  <c r="AC142" i="25"/>
  <c r="AD142" i="25"/>
  <c r="AE142" i="25"/>
  <c r="AF142" i="25"/>
  <c r="AG142" i="25"/>
  <c r="AH142" i="25"/>
  <c r="AI142" i="25"/>
  <c r="AJ142" i="25"/>
  <c r="AK142" i="25"/>
  <c r="AL142" i="25"/>
  <c r="H143" i="25"/>
  <c r="I143" i="25"/>
  <c r="J143" i="25"/>
  <c r="K143" i="25"/>
  <c r="N143" i="25"/>
  <c r="O143" i="25"/>
  <c r="P143" i="25"/>
  <c r="Q143" i="25"/>
  <c r="R143" i="25"/>
  <c r="S143" i="25"/>
  <c r="T143" i="25"/>
  <c r="U143" i="25"/>
  <c r="V143" i="25"/>
  <c r="W143" i="25"/>
  <c r="X143" i="25"/>
  <c r="Y143" i="25"/>
  <c r="Z143" i="25"/>
  <c r="AA143" i="25"/>
  <c r="AB143" i="25"/>
  <c r="AC143" i="25"/>
  <c r="AD143" i="25"/>
  <c r="AE143" i="25"/>
  <c r="AF143" i="25"/>
  <c r="AG143" i="25"/>
  <c r="AH143" i="25"/>
  <c r="AI143" i="25"/>
  <c r="AJ143" i="25"/>
  <c r="AK143" i="25"/>
  <c r="AL143" i="25"/>
  <c r="F13" i="32"/>
  <c r="E13" i="32"/>
  <c r="C6" i="32"/>
  <c r="H76" i="59"/>
  <c r="J76" i="59"/>
  <c r="C7" i="20"/>
  <c r="C6" i="3"/>
  <c r="C6" i="25"/>
  <c r="C6" i="24"/>
  <c r="C6" i="20"/>
  <c r="AL30" i="3"/>
  <c r="AJ30" i="3"/>
  <c r="I30" i="3"/>
  <c r="H60" i="59"/>
  <c r="F12" i="20"/>
  <c r="J12" i="20"/>
  <c r="M12" i="20"/>
  <c r="I12" i="20"/>
  <c r="K12" i="20"/>
  <c r="N12" i="20"/>
  <c r="I21" i="20"/>
  <c r="J21" i="20"/>
  <c r="M21" i="20"/>
  <c r="K21" i="20"/>
  <c r="N21" i="20"/>
  <c r="F21" i="20"/>
  <c r="AL27" i="43"/>
  <c r="AK27" i="43"/>
  <c r="AJ27" i="43"/>
  <c r="AL47" i="3"/>
  <c r="C11" i="20"/>
  <c r="W58" i="25"/>
  <c r="C53" i="1"/>
  <c r="C24" i="20"/>
  <c r="Z58" i="25"/>
  <c r="Y58" i="25"/>
  <c r="J81" i="1"/>
  <c r="V58" i="25"/>
  <c r="X58" i="25"/>
  <c r="AK53" i="1"/>
  <c r="H58" i="25"/>
  <c r="C31" i="20"/>
  <c r="AI30" i="3"/>
  <c r="AH30" i="3"/>
  <c r="AH15" i="3" s="1"/>
  <c r="J30" i="3"/>
  <c r="AG30" i="3"/>
  <c r="AD30" i="3"/>
  <c r="AF30" i="3"/>
  <c r="K30" i="3"/>
  <c r="H30" i="3"/>
  <c r="L30" i="3"/>
  <c r="AB30" i="3"/>
  <c r="AB47" i="3"/>
  <c r="Z30" i="3"/>
  <c r="Z47" i="3"/>
  <c r="AE30" i="3"/>
  <c r="AE47" i="3"/>
  <c r="AD47" i="3"/>
  <c r="AC47" i="3"/>
  <c r="AC30" i="3"/>
  <c r="AA30" i="3"/>
  <c r="I79" i="25"/>
  <c r="I65" i="1"/>
  <c r="Q79" i="25"/>
  <c r="Q65" i="1"/>
  <c r="J65" i="1"/>
  <c r="R65" i="1"/>
  <c r="R79" i="25"/>
  <c r="Z79" i="25"/>
  <c r="K65" i="1"/>
  <c r="S79" i="25"/>
  <c r="L65" i="1"/>
  <c r="M79" i="25"/>
  <c r="M65" i="1"/>
  <c r="N79" i="25"/>
  <c r="N65" i="1"/>
  <c r="O79" i="25"/>
  <c r="O65" i="1"/>
  <c r="H60" i="1"/>
  <c r="H79" i="25"/>
  <c r="P79" i="25"/>
  <c r="P65" i="1"/>
  <c r="Y30" i="3"/>
  <c r="X30" i="3"/>
  <c r="W47" i="3"/>
  <c r="W30" i="3"/>
  <c r="W15" i="3" s="1"/>
  <c r="V30" i="3"/>
  <c r="U30" i="3"/>
  <c r="T47" i="3"/>
  <c r="T30" i="3"/>
  <c r="S30" i="3"/>
  <c r="S47" i="3"/>
  <c r="R30" i="3"/>
  <c r="Q30" i="3"/>
  <c r="Q47" i="3"/>
  <c r="P47" i="3"/>
  <c r="P30" i="3"/>
  <c r="C38" i="20"/>
  <c r="N107" i="25"/>
  <c r="C95" i="1"/>
  <c r="C34" i="20"/>
  <c r="AC58" i="25"/>
  <c r="K135" i="25"/>
  <c r="O47" i="3"/>
  <c r="O30" i="3"/>
  <c r="N30" i="3"/>
  <c r="N47" i="3"/>
  <c r="AK30" i="3"/>
  <c r="O17" i="14"/>
  <c r="M30" i="3"/>
  <c r="P17" i="14"/>
  <c r="Q17" i="14"/>
  <c r="S17" i="14"/>
  <c r="R17" i="14"/>
  <c r="T17" i="14"/>
  <c r="U17" i="14"/>
  <c r="V17" i="14"/>
  <c r="W17" i="14"/>
  <c r="X17" i="14"/>
  <c r="Y17" i="14"/>
  <c r="Z17" i="14"/>
  <c r="AA17" i="14"/>
  <c r="AB17" i="14"/>
  <c r="AD17" i="14"/>
  <c r="AE17" i="14"/>
  <c r="AF17" i="14"/>
  <c r="AG17" i="14"/>
  <c r="AH17" i="14"/>
  <c r="AI17" i="14"/>
  <c r="AJ17" i="14"/>
  <c r="AK17" i="14"/>
  <c r="AL17" i="14"/>
  <c r="AM17" i="14"/>
  <c r="D11" i="54"/>
  <c r="K22" i="3"/>
  <c r="Q22" i="3"/>
  <c r="P42" i="3"/>
  <c r="L12" i="20"/>
  <c r="O12" i="20"/>
  <c r="L21" i="20"/>
  <c r="O21" i="20"/>
  <c r="L17" i="20"/>
  <c r="O17" i="20"/>
  <c r="I23" i="20"/>
  <c r="AD11" i="3"/>
  <c r="AE27" i="14" s="1"/>
  <c r="I11" i="3"/>
  <c r="E73" i="57" s="1"/>
  <c r="AJ11" i="3"/>
  <c r="V49" i="3"/>
  <c r="AL49" i="3"/>
  <c r="AE49" i="3"/>
  <c r="J20" i="20"/>
  <c r="M20" i="20"/>
  <c r="I20" i="20"/>
  <c r="F20" i="20"/>
  <c r="L20" i="20"/>
  <c r="O20" i="20"/>
  <c r="J23" i="20"/>
  <c r="K23" i="20"/>
  <c r="N23" i="20"/>
  <c r="K20" i="20"/>
  <c r="N20" i="20"/>
  <c r="F23" i="20"/>
  <c r="L23" i="20"/>
  <c r="O23" i="20"/>
  <c r="M23" i="20"/>
  <c r="F20" i="54" l="1"/>
  <c r="F21" i="54"/>
  <c r="AE13" i="24"/>
  <c r="G125" i="24"/>
  <c r="R13" i="24"/>
  <c r="D6" i="64"/>
  <c r="E6" i="64" s="1"/>
  <c r="F6" i="64" s="1"/>
  <c r="G6" i="64" s="1"/>
  <c r="H6" i="64" s="1"/>
  <c r="I6" i="64" s="1"/>
  <c r="J6" i="64" s="1"/>
  <c r="K6" i="64" s="1"/>
  <c r="L6" i="64" s="1"/>
  <c r="M6" i="64" s="1"/>
  <c r="N6" i="64" s="1"/>
  <c r="O6" i="64" s="1"/>
  <c r="P6" i="64" s="1"/>
  <c r="Q6" i="64" s="1"/>
  <c r="R6" i="64" s="1"/>
  <c r="S6" i="64" s="1"/>
  <c r="T6" i="64" s="1"/>
  <c r="U6" i="64" s="1"/>
  <c r="V6" i="64" s="1"/>
  <c r="W6" i="64" s="1"/>
  <c r="X6" i="64" s="1"/>
  <c r="Y6" i="64" s="1"/>
  <c r="Z6" i="64" s="1"/>
  <c r="AA6" i="64" s="1"/>
  <c r="AB6" i="64" s="1"/>
  <c r="AC6" i="64" s="1"/>
  <c r="AD6" i="64" s="1"/>
  <c r="AE6" i="64" s="1"/>
  <c r="AF6" i="64" s="1"/>
  <c r="AG6" i="64" s="1"/>
  <c r="F124" i="1"/>
  <c r="F123" i="1"/>
  <c r="F129" i="1"/>
  <c r="F128" i="1"/>
  <c r="J49" i="3"/>
  <c r="C36" i="20"/>
  <c r="C74" i="1"/>
  <c r="AB37" i="25"/>
  <c r="AF86" i="1"/>
  <c r="W135" i="25"/>
  <c r="C32" i="1"/>
  <c r="J72" i="25"/>
  <c r="AD44" i="25"/>
  <c r="T107" i="25"/>
  <c r="R114" i="1"/>
  <c r="P100" i="25"/>
  <c r="V46" i="1"/>
  <c r="V30" i="25"/>
  <c r="L32" i="3"/>
  <c r="AD135" i="25"/>
  <c r="Q72" i="1"/>
  <c r="AA18" i="25"/>
  <c r="Z112" i="1"/>
  <c r="L121" i="1"/>
  <c r="K49" i="1"/>
  <c r="Y112" i="1"/>
  <c r="M107" i="25"/>
  <c r="AG93" i="1"/>
  <c r="J30" i="25"/>
  <c r="K107" i="25"/>
  <c r="AH18" i="25"/>
  <c r="Z51" i="25"/>
  <c r="U18" i="25"/>
  <c r="L98" i="25"/>
  <c r="K42" i="25"/>
  <c r="V70" i="25"/>
  <c r="V72" i="25" s="1"/>
  <c r="AK30" i="1"/>
  <c r="AJ21" i="25"/>
  <c r="AJ23" i="25" s="1"/>
  <c r="AF30" i="1"/>
  <c r="AL98" i="1"/>
  <c r="W35" i="25"/>
  <c r="T91" i="1"/>
  <c r="X77" i="25"/>
  <c r="X79" i="25" s="1"/>
  <c r="Q32" i="3"/>
  <c r="P91" i="25"/>
  <c r="P93" i="25" s="1"/>
  <c r="V105" i="1"/>
  <c r="Q135" i="25"/>
  <c r="I105" i="1"/>
  <c r="X77" i="1"/>
  <c r="Z42" i="25"/>
  <c r="J77" i="1"/>
  <c r="AF84" i="25"/>
  <c r="P70" i="25"/>
  <c r="P72" i="25" s="1"/>
  <c r="W84" i="1"/>
  <c r="Q91" i="25"/>
  <c r="Q93" i="25" s="1"/>
  <c r="AK112" i="25"/>
  <c r="AK114" i="25" s="1"/>
  <c r="AK77" i="1"/>
  <c r="J51" i="1"/>
  <c r="L25" i="1"/>
  <c r="L30" i="1" s="1"/>
  <c r="J21" i="25"/>
  <c r="U56" i="1"/>
  <c r="M121" i="25"/>
  <c r="Q44" i="25"/>
  <c r="AL49" i="1"/>
  <c r="Y77" i="1"/>
  <c r="X70" i="25"/>
  <c r="AD100" i="1"/>
  <c r="Y91" i="1"/>
  <c r="AE121" i="1"/>
  <c r="L84" i="25"/>
  <c r="AA84" i="25"/>
  <c r="AA86" i="25" s="1"/>
  <c r="Y77" i="25"/>
  <c r="Y79" i="25" s="1"/>
  <c r="S105" i="25"/>
  <c r="S107" i="25" s="1"/>
  <c r="AA84" i="1"/>
  <c r="X65" i="1"/>
  <c r="AF32" i="3"/>
  <c r="AJ135" i="25"/>
  <c r="J56" i="1"/>
  <c r="Z42" i="1"/>
  <c r="X35" i="1"/>
  <c r="AH79" i="1"/>
  <c r="Z63" i="1"/>
  <c r="Z65" i="1" s="1"/>
  <c r="O86" i="1"/>
  <c r="AE100" i="1"/>
  <c r="AC107" i="1"/>
  <c r="X121" i="1"/>
  <c r="T72" i="1"/>
  <c r="P86" i="1"/>
  <c r="H114" i="1"/>
  <c r="I114" i="1"/>
  <c r="H25" i="1"/>
  <c r="H30" i="1" s="1"/>
  <c r="K25" i="1"/>
  <c r="K30" i="1" s="1"/>
  <c r="N91" i="25"/>
  <c r="V105" i="25"/>
  <c r="N42" i="1"/>
  <c r="Y70" i="1"/>
  <c r="Y35" i="1"/>
  <c r="W49" i="1"/>
  <c r="J58" i="1"/>
  <c r="AA112" i="25"/>
  <c r="Y37" i="1"/>
  <c r="AK86" i="25"/>
  <c r="AC114" i="25"/>
  <c r="Z18" i="25"/>
  <c r="W100" i="25"/>
  <c r="AK35" i="25"/>
  <c r="W42" i="25"/>
  <c r="I18" i="25"/>
  <c r="T46" i="25"/>
  <c r="T39" i="1" s="1"/>
  <c r="AJ28" i="25"/>
  <c r="Y28" i="1"/>
  <c r="AE135" i="25"/>
  <c r="AD114" i="25"/>
  <c r="R49" i="1"/>
  <c r="I105" i="25"/>
  <c r="AL35" i="1"/>
  <c r="H42" i="1"/>
  <c r="AL16" i="37"/>
  <c r="AM35" i="14" s="1"/>
  <c r="G227" i="24"/>
  <c r="G245" i="24"/>
  <c r="V9" i="24"/>
  <c r="R39" i="57" s="1"/>
  <c r="I10" i="24"/>
  <c r="E37" i="57" s="1"/>
  <c r="G209" i="24"/>
  <c r="S7" i="24"/>
  <c r="O83" i="56" s="1"/>
  <c r="M8" i="66"/>
  <c r="M7" i="66"/>
  <c r="L9" i="66"/>
  <c r="M9" i="66" s="1"/>
  <c r="S10" i="24"/>
  <c r="O37" i="57" s="1"/>
  <c r="G82" i="24"/>
  <c r="Y13" i="24"/>
  <c r="G181" i="24"/>
  <c r="G176" i="24"/>
  <c r="G28" i="24"/>
  <c r="J8" i="24"/>
  <c r="F43" i="57" s="1"/>
  <c r="P8" i="24"/>
  <c r="L43" i="57" s="1"/>
  <c r="AJ14" i="24"/>
  <c r="G74" i="24"/>
  <c r="G146" i="24"/>
  <c r="W7" i="24"/>
  <c r="S45" i="57" s="1"/>
  <c r="R14" i="24"/>
  <c r="I9" i="24"/>
  <c r="E77" i="56" s="1"/>
  <c r="Y128" i="25"/>
  <c r="AA30" i="25"/>
  <c r="AL30" i="25"/>
  <c r="X72" i="25"/>
  <c r="Z72" i="25"/>
  <c r="R72" i="25"/>
  <c r="AL93" i="25"/>
  <c r="AH93" i="25"/>
  <c r="AI100" i="25"/>
  <c r="L114" i="25"/>
  <c r="S135" i="25"/>
  <c r="Q79" i="1"/>
  <c r="T116" i="1"/>
  <c r="AH107" i="25"/>
  <c r="AH88" i="1"/>
  <c r="AH93" i="1" s="1"/>
  <c r="J35" i="25"/>
  <c r="J28" i="1"/>
  <c r="R39" i="25"/>
  <c r="R30" i="1"/>
  <c r="AL39" i="25"/>
  <c r="AL32" i="1" s="1"/>
  <c r="J46" i="25"/>
  <c r="J39" i="1" s="1"/>
  <c r="AI63" i="1"/>
  <c r="AI65" i="1" s="1"/>
  <c r="AI77" i="25"/>
  <c r="AI79" i="25" s="1"/>
  <c r="M70" i="25"/>
  <c r="M56" i="1"/>
  <c r="M58" i="1" s="1"/>
  <c r="AB84" i="25"/>
  <c r="AB70" i="1"/>
  <c r="Z91" i="25"/>
  <c r="Z77" i="1"/>
  <c r="Z79" i="1" s="1"/>
  <c r="X84" i="1"/>
  <c r="X86" i="1" s="1"/>
  <c r="X98" i="25"/>
  <c r="X100" i="25" s="1"/>
  <c r="R105" i="1"/>
  <c r="R119" i="25"/>
  <c r="R121" i="25" s="1"/>
  <c r="AL105" i="1"/>
  <c r="AL119" i="25"/>
  <c r="AL121" i="25" s="1"/>
  <c r="AK93" i="25"/>
  <c r="H86" i="25"/>
  <c r="H70" i="1"/>
  <c r="AJ105" i="25"/>
  <c r="AJ107" i="25" s="1"/>
  <c r="S39" i="25"/>
  <c r="S32" i="1" s="1"/>
  <c r="S37" i="1" s="1"/>
  <c r="H35" i="1"/>
  <c r="H42" i="25"/>
  <c r="H44" i="25" s="1"/>
  <c r="R49" i="25"/>
  <c r="R42" i="1"/>
  <c r="AJ74" i="25"/>
  <c r="AH56" i="1"/>
  <c r="AH58" i="1" s="1"/>
  <c r="AH70" i="25"/>
  <c r="AJ95" i="25"/>
  <c r="Y84" i="1"/>
  <c r="Y98" i="25"/>
  <c r="Y100" i="25" s="1"/>
  <c r="U114" i="25"/>
  <c r="AB109" i="1"/>
  <c r="AB114" i="1" s="1"/>
  <c r="AB128" i="25"/>
  <c r="AH121" i="1"/>
  <c r="AH135" i="25"/>
  <c r="AE114" i="1"/>
  <c r="AI35" i="25"/>
  <c r="W105" i="25"/>
  <c r="W107" i="25" s="1"/>
  <c r="AL42" i="1"/>
  <c r="AG56" i="1"/>
  <c r="K35" i="25"/>
  <c r="AA49" i="1"/>
  <c r="N49" i="1"/>
  <c r="N28" i="25"/>
  <c r="T39" i="25"/>
  <c r="I35" i="1"/>
  <c r="I42" i="25"/>
  <c r="AC42" i="25"/>
  <c r="AC35" i="1"/>
  <c r="S49" i="25"/>
  <c r="S51" i="25" s="1"/>
  <c r="S42" i="1"/>
  <c r="AK74" i="25"/>
  <c r="AI56" i="1"/>
  <c r="AI58" i="1" s="1"/>
  <c r="AI70" i="25"/>
  <c r="AI72" i="25" s="1"/>
  <c r="AD70" i="1"/>
  <c r="AD84" i="25"/>
  <c r="AD86" i="25" s="1"/>
  <c r="H77" i="1"/>
  <c r="H79" i="1" s="1"/>
  <c r="H91" i="25"/>
  <c r="H93" i="25" s="1"/>
  <c r="Z98" i="25"/>
  <c r="Z84" i="1"/>
  <c r="Z86" i="1" s="1"/>
  <c r="V98" i="1"/>
  <c r="V112" i="25"/>
  <c r="AC84" i="25"/>
  <c r="N35" i="1"/>
  <c r="M28" i="1"/>
  <c r="M35" i="25"/>
  <c r="M37" i="25" s="1"/>
  <c r="U39" i="25"/>
  <c r="U32" i="1" s="1"/>
  <c r="U37" i="25"/>
  <c r="AL63" i="1"/>
  <c r="AL77" i="25"/>
  <c r="AL79" i="25" s="1"/>
  <c r="AJ70" i="25"/>
  <c r="AJ56" i="1"/>
  <c r="AJ58" i="1" s="1"/>
  <c r="K70" i="1"/>
  <c r="K84" i="25"/>
  <c r="K86" i="25" s="1"/>
  <c r="AE84" i="25"/>
  <c r="AE86" i="25" s="1"/>
  <c r="AE70" i="1"/>
  <c r="AC77" i="1"/>
  <c r="AC91" i="25"/>
  <c r="W112" i="25"/>
  <c r="W98" i="1"/>
  <c r="AA121" i="1"/>
  <c r="P135" i="25"/>
  <c r="AG30" i="1"/>
  <c r="U79" i="1"/>
  <c r="I67" i="25"/>
  <c r="I53" i="1" s="1"/>
  <c r="M70" i="1"/>
  <c r="M84" i="25"/>
  <c r="M86" i="25" s="1"/>
  <c r="AB121" i="1"/>
  <c r="AD25" i="25"/>
  <c r="AD46" i="1" s="1"/>
  <c r="P35" i="25"/>
  <c r="P37" i="25" s="1"/>
  <c r="P28" i="1"/>
  <c r="P30" i="1" s="1"/>
  <c r="AJ28" i="1"/>
  <c r="AJ35" i="25"/>
  <c r="W49" i="25"/>
  <c r="W42" i="1"/>
  <c r="J84" i="1"/>
  <c r="J86" i="1" s="1"/>
  <c r="J98" i="25"/>
  <c r="J100" i="25" s="1"/>
  <c r="AB105" i="25"/>
  <c r="AB107" i="25" s="1"/>
  <c r="AB91" i="1"/>
  <c r="X105" i="1"/>
  <c r="X119" i="25"/>
  <c r="AK95" i="1"/>
  <c r="AK100" i="1" s="1"/>
  <c r="O18" i="25"/>
  <c r="I135" i="25"/>
  <c r="AF28" i="1"/>
  <c r="O70" i="1"/>
  <c r="AG77" i="1"/>
  <c r="L93" i="1"/>
  <c r="R126" i="25"/>
  <c r="R128" i="25" s="1"/>
  <c r="AI70" i="1"/>
  <c r="AG32" i="3"/>
  <c r="Q121" i="1"/>
  <c r="M91" i="25"/>
  <c r="S49" i="1"/>
  <c r="S28" i="25"/>
  <c r="S30" i="25" s="1"/>
  <c r="AH35" i="1"/>
  <c r="AH42" i="25"/>
  <c r="X49" i="25"/>
  <c r="X51" i="25" s="1"/>
  <c r="X42" i="1"/>
  <c r="X44" i="1" s="1"/>
  <c r="T56" i="1"/>
  <c r="T70" i="25"/>
  <c r="T72" i="25" s="1"/>
  <c r="Y105" i="1"/>
  <c r="Y119" i="25"/>
  <c r="AH114" i="1"/>
  <c r="W112" i="1"/>
  <c r="W126" i="25"/>
  <c r="W128" i="25" s="1"/>
  <c r="T135" i="25"/>
  <c r="W79" i="25"/>
  <c r="AE121" i="25"/>
  <c r="AC135" i="25"/>
  <c r="AE114" i="25"/>
  <c r="AA128" i="25"/>
  <c r="AI121" i="1"/>
  <c r="Y86" i="1"/>
  <c r="S121" i="1"/>
  <c r="I121" i="1"/>
  <c r="AI18" i="25"/>
  <c r="W105" i="1"/>
  <c r="AC121" i="25"/>
  <c r="K112" i="1"/>
  <c r="W39" i="25"/>
  <c r="W32" i="1" s="1"/>
  <c r="W37" i="1" s="1"/>
  <c r="W30" i="1"/>
  <c r="AE91" i="25"/>
  <c r="AE93" i="25" s="1"/>
  <c r="AE77" i="1"/>
  <c r="AE79" i="1" s="1"/>
  <c r="AJ100" i="1"/>
  <c r="X28" i="1"/>
  <c r="X35" i="25"/>
  <c r="N98" i="1"/>
  <c r="N112" i="25"/>
  <c r="N114" i="25" s="1"/>
  <c r="AF119" i="25"/>
  <c r="AF105" i="1"/>
  <c r="AF107" i="1" s="1"/>
  <c r="AI107" i="25"/>
  <c r="AG18" i="25"/>
  <c r="S70" i="25"/>
  <c r="AA105" i="25"/>
  <c r="AA107" i="25" s="1"/>
  <c r="W18" i="25"/>
  <c r="AF21" i="25"/>
  <c r="Y46" i="25"/>
  <c r="Y39" i="1" s="1"/>
  <c r="Y44" i="1" s="1"/>
  <c r="L49" i="25"/>
  <c r="L42" i="1"/>
  <c r="AF49" i="25"/>
  <c r="AF51" i="25" s="1"/>
  <c r="AF42" i="1"/>
  <c r="AF44" i="1" s="1"/>
  <c r="S67" i="25"/>
  <c r="S53" i="1" s="1"/>
  <c r="S58" i="1" s="1"/>
  <c r="H56" i="1"/>
  <c r="H70" i="25"/>
  <c r="H72" i="25" s="1"/>
  <c r="W70" i="1"/>
  <c r="W72" i="1" s="1"/>
  <c r="W84" i="25"/>
  <c r="U77" i="1"/>
  <c r="U91" i="25"/>
  <c r="U93" i="25" s="1"/>
  <c r="AG119" i="25"/>
  <c r="AG121" i="25" s="1"/>
  <c r="AG105" i="1"/>
  <c r="AE126" i="25"/>
  <c r="AE112" i="1"/>
  <c r="H135" i="25"/>
  <c r="AB135" i="25"/>
  <c r="R107" i="1"/>
  <c r="X32" i="3"/>
  <c r="X44" i="3" s="1"/>
  <c r="X42" i="3" s="1"/>
  <c r="X18" i="25"/>
  <c r="AB28" i="25"/>
  <c r="AB30" i="25" s="1"/>
  <c r="AB49" i="1"/>
  <c r="Z35" i="25"/>
  <c r="Z37" i="25" s="1"/>
  <c r="Z28" i="1"/>
  <c r="AH39" i="25"/>
  <c r="AH32" i="1" s="1"/>
  <c r="AI86" i="25"/>
  <c r="AJ112" i="25"/>
  <c r="AJ98" i="1"/>
  <c r="AJ51" i="25"/>
  <c r="AG39" i="25"/>
  <c r="AG32" i="1" s="1"/>
  <c r="R56" i="1"/>
  <c r="R58" i="1" s="1"/>
  <c r="AI135" i="25"/>
  <c r="P126" i="25"/>
  <c r="P128" i="25" s="1"/>
  <c r="K42" i="1"/>
  <c r="K44" i="1" s="1"/>
  <c r="S98" i="25"/>
  <c r="S100" i="25" s="1"/>
  <c r="I30" i="25"/>
  <c r="Z39" i="1"/>
  <c r="Z44" i="1" s="1"/>
  <c r="K67" i="25"/>
  <c r="K53" i="1" s="1"/>
  <c r="K58" i="1" s="1"/>
  <c r="T42" i="1"/>
  <c r="AK126" i="25"/>
  <c r="T98" i="1"/>
  <c r="AA35" i="1"/>
  <c r="AA37" i="1" s="1"/>
  <c r="AD77" i="25"/>
  <c r="AD79" i="25" s="1"/>
  <c r="V21" i="25"/>
  <c r="V42" i="1"/>
  <c r="V44" i="1" s="1"/>
  <c r="V49" i="25"/>
  <c r="V51" i="25" s="1"/>
  <c r="AC98" i="25"/>
  <c r="AC100" i="25" s="1"/>
  <c r="AC84" i="1"/>
  <c r="U112" i="1"/>
  <c r="U126" i="25"/>
  <c r="R135" i="25"/>
  <c r="R121" i="1"/>
  <c r="AL121" i="1"/>
  <c r="AL135" i="25"/>
  <c r="Z49" i="1"/>
  <c r="Z51" i="1" s="1"/>
  <c r="Z28" i="25"/>
  <c r="Z30" i="25" s="1"/>
  <c r="AE49" i="25"/>
  <c r="AE51" i="25" s="1"/>
  <c r="AE42" i="1"/>
  <c r="AE44" i="1" s="1"/>
  <c r="R84" i="1"/>
  <c r="R86" i="1" s="1"/>
  <c r="R98" i="25"/>
  <c r="R100" i="25" s="1"/>
  <c r="AJ126" i="25"/>
  <c r="AJ128" i="25" s="1"/>
  <c r="L23" i="25"/>
  <c r="N39" i="25"/>
  <c r="N32" i="1" s="1"/>
  <c r="N37" i="1" s="1"/>
  <c r="N25" i="1"/>
  <c r="N30" i="1" s="1"/>
  <c r="V42" i="25"/>
  <c r="V35" i="1"/>
  <c r="Q91" i="1"/>
  <c r="Q105" i="25"/>
  <c r="Q107" i="25" s="1"/>
  <c r="AG84" i="25"/>
  <c r="AG86" i="25" s="1"/>
  <c r="M42" i="1"/>
  <c r="M44" i="1" s="1"/>
  <c r="M49" i="25"/>
  <c r="AG49" i="25"/>
  <c r="AG42" i="1"/>
  <c r="O86" i="25"/>
  <c r="AK38" i="3"/>
  <c r="X100" i="1"/>
  <c r="M18" i="25"/>
  <c r="M23" i="1" s="1"/>
  <c r="M39" i="25"/>
  <c r="M32" i="1" s="1"/>
  <c r="I91" i="25"/>
  <c r="I93" i="25" s="1"/>
  <c r="L72" i="1"/>
  <c r="AK93" i="1"/>
  <c r="X93" i="25"/>
  <c r="P28" i="25"/>
  <c r="P49" i="1"/>
  <c r="AH28" i="1"/>
  <c r="AH35" i="25"/>
  <c r="V39" i="25"/>
  <c r="V32" i="1" s="1"/>
  <c r="AE35" i="1"/>
  <c r="AE42" i="25"/>
  <c r="X98" i="1"/>
  <c r="X112" i="25"/>
  <c r="X114" i="25" s="1"/>
  <c r="AB112" i="25"/>
  <c r="AB114" i="25" s="1"/>
  <c r="AB98" i="1"/>
  <c r="AB100" i="1" s="1"/>
  <c r="I3" i="64"/>
  <c r="AK56" i="1"/>
  <c r="AK58" i="1" s="1"/>
  <c r="O93" i="25"/>
  <c r="Y49" i="25"/>
  <c r="AD93" i="25"/>
  <c r="AD121" i="25"/>
  <c r="Q70" i="25"/>
  <c r="Q72" i="25" s="1"/>
  <c r="N21" i="25"/>
  <c r="S70" i="1"/>
  <c r="S72" i="1" s="1"/>
  <c r="S84" i="25"/>
  <c r="S86" i="25" s="1"/>
  <c r="H100" i="25"/>
  <c r="AB67" i="25"/>
  <c r="AB53" i="1" s="1"/>
  <c r="AB58" i="1" s="1"/>
  <c r="U107" i="1"/>
  <c r="J121" i="25"/>
  <c r="Z105" i="1"/>
  <c r="AI35" i="1"/>
  <c r="AD91" i="1"/>
  <c r="AA112" i="1"/>
  <c r="AA114" i="1" s="1"/>
  <c r="Y18" i="25"/>
  <c r="AI30" i="1"/>
  <c r="AH42" i="1"/>
  <c r="AH44" i="1" s="1"/>
  <c r="AH49" i="25"/>
  <c r="AH51" i="25" s="1"/>
  <c r="W77" i="1"/>
  <c r="W79" i="1" s="1"/>
  <c r="W91" i="25"/>
  <c r="W93" i="25" s="1"/>
  <c r="X114" i="1"/>
  <c r="J135" i="25"/>
  <c r="J121" i="1"/>
  <c r="AI39" i="25"/>
  <c r="AI44" i="25" s="1"/>
  <c r="AB49" i="25"/>
  <c r="AB51" i="25" s="1"/>
  <c r="Z105" i="25"/>
  <c r="Z107" i="25" s="1"/>
  <c r="K112" i="25"/>
  <c r="AG112" i="1"/>
  <c r="AG114" i="1" s="1"/>
  <c r="AB84" i="1"/>
  <c r="AB86" i="1" s="1"/>
  <c r="O119" i="25"/>
  <c r="O121" i="25" s="1"/>
  <c r="W114" i="25"/>
  <c r="AB28" i="1"/>
  <c r="O51" i="1"/>
  <c r="P21" i="25"/>
  <c r="H28" i="1"/>
  <c r="AH100" i="25"/>
  <c r="V93" i="1"/>
  <c r="P58" i="1"/>
  <c r="T100" i="1"/>
  <c r="AI42" i="1"/>
  <c r="AI44" i="1" s="1"/>
  <c r="AK70" i="1"/>
  <c r="AK72" i="1" s="1"/>
  <c r="AJ121" i="1"/>
  <c r="Q114" i="1"/>
  <c r="AC98" i="1"/>
  <c r="AC100" i="1" s="1"/>
  <c r="I42" i="1"/>
  <c r="K15" i="25"/>
  <c r="G97" i="57" s="1"/>
  <c r="F138" i="25"/>
  <c r="D39" i="20" s="1"/>
  <c r="F110" i="25"/>
  <c r="D35" i="20" s="1"/>
  <c r="F137" i="25"/>
  <c r="G39" i="20" s="1"/>
  <c r="U51" i="56"/>
  <c r="AC53" i="56"/>
  <c r="AE53" i="56"/>
  <c r="AE15" i="1"/>
  <c r="AA165" i="56" s="1"/>
  <c r="Q100" i="25"/>
  <c r="M93" i="25"/>
  <c r="AK121" i="25"/>
  <c r="Y79" i="1"/>
  <c r="L72" i="25"/>
  <c r="Y44" i="25"/>
  <c r="AI51" i="25"/>
  <c r="T79" i="25"/>
  <c r="N86" i="25"/>
  <c r="AC107" i="25"/>
  <c r="AG107" i="25"/>
  <c r="Q121" i="25"/>
  <c r="C14" i="20"/>
  <c r="C46" i="1"/>
  <c r="A17" i="1" s="1"/>
  <c r="V57" i="56"/>
  <c r="I15" i="1"/>
  <c r="J26" i="14" s="1"/>
  <c r="AL15" i="1"/>
  <c r="AM26" i="14" s="1"/>
  <c r="W11" i="25"/>
  <c r="S93" i="56" s="1"/>
  <c r="K53" i="56"/>
  <c r="AI13" i="37"/>
  <c r="AJ38" i="14" s="1"/>
  <c r="AF15" i="1"/>
  <c r="AG26" i="14" s="1"/>
  <c r="L53" i="56"/>
  <c r="K15" i="1"/>
  <c r="Y16" i="37"/>
  <c r="Z35" i="14" s="1"/>
  <c r="L15" i="25"/>
  <c r="H159" i="56" s="1"/>
  <c r="M11" i="25"/>
  <c r="I93" i="56" s="1"/>
  <c r="V19" i="37"/>
  <c r="W39" i="14" s="1"/>
  <c r="H11" i="32"/>
  <c r="AF16" i="37"/>
  <c r="AG35" i="14" s="1"/>
  <c r="T11" i="25"/>
  <c r="P93" i="56" s="1"/>
  <c r="F75" i="25"/>
  <c r="D25" i="20" s="1"/>
  <c r="AC63" i="56"/>
  <c r="R15" i="25"/>
  <c r="N97" i="57" s="1"/>
  <c r="N79" i="57" s="1"/>
  <c r="AJ15" i="1"/>
  <c r="AF165" i="56" s="1"/>
  <c r="T11" i="32"/>
  <c r="N11" i="1"/>
  <c r="J99" i="56" s="1"/>
  <c r="F103" i="1"/>
  <c r="H188" i="59" s="1"/>
  <c r="J188" i="59" s="1"/>
  <c r="F58" i="25"/>
  <c r="F79" i="59" s="1"/>
  <c r="AH15" i="1"/>
  <c r="AI26" i="14" s="1"/>
  <c r="F10" i="32"/>
  <c r="J7" i="37"/>
  <c r="I15" i="37"/>
  <c r="J32" i="14" s="1"/>
  <c r="S15" i="25"/>
  <c r="O159" i="56" s="1"/>
  <c r="F24" i="25"/>
  <c r="F16" i="59" s="1"/>
  <c r="S15" i="1"/>
  <c r="T26" i="14" s="1"/>
  <c r="I11" i="1"/>
  <c r="J24" i="14" s="1"/>
  <c r="L19" i="37"/>
  <c r="M39" i="14" s="1"/>
  <c r="O11" i="1"/>
  <c r="K99" i="56" s="1"/>
  <c r="AG10" i="32"/>
  <c r="H10" i="32"/>
  <c r="AC6" i="37"/>
  <c r="AD30" i="14" s="1"/>
  <c r="J11" i="32"/>
  <c r="O17" i="37"/>
  <c r="K189" i="56" s="1"/>
  <c r="T15" i="37"/>
  <c r="U32" i="14" s="1"/>
  <c r="X10" i="32"/>
  <c r="F47" i="25"/>
  <c r="F60" i="59" s="1"/>
  <c r="J60" i="59" s="1"/>
  <c r="K60" i="59" s="1"/>
  <c r="F94" i="25"/>
  <c r="F144" i="59" s="1"/>
  <c r="J15" i="37"/>
  <c r="K32" i="14" s="1"/>
  <c r="R15" i="37"/>
  <c r="N177" i="56" s="1"/>
  <c r="V11" i="32"/>
  <c r="AF19" i="37"/>
  <c r="AG39" i="14" s="1"/>
  <c r="Q16" i="37"/>
  <c r="R35" i="14" s="1"/>
  <c r="AC15" i="25"/>
  <c r="Y159" i="56" s="1"/>
  <c r="F45" i="25"/>
  <c r="F48" i="59" s="1"/>
  <c r="AH7" i="37"/>
  <c r="AI33" i="14" s="1"/>
  <c r="F117" i="25"/>
  <c r="F204" i="59" s="1"/>
  <c r="AE10" i="32"/>
  <c r="AF105" i="56"/>
  <c r="V51" i="56"/>
  <c r="AF53" i="56"/>
  <c r="G53" i="56"/>
  <c r="AE13" i="37"/>
  <c r="AF38" i="14" s="1"/>
  <c r="N19" i="37"/>
  <c r="O39" i="14" s="1"/>
  <c r="S19" i="37"/>
  <c r="T39" i="14" s="1"/>
  <c r="P53" i="56"/>
  <c r="Y7" i="37"/>
  <c r="U117" i="56" s="1"/>
  <c r="T53" i="56"/>
  <c r="M6" i="37"/>
  <c r="I111" i="56" s="1"/>
  <c r="AG11" i="32"/>
  <c r="R53" i="56"/>
  <c r="AF7" i="37"/>
  <c r="AG33" i="14" s="1"/>
  <c r="AD53" i="56"/>
  <c r="N11" i="25"/>
  <c r="O21" i="14" s="1"/>
  <c r="F66" i="25"/>
  <c r="F96" i="59" s="1"/>
  <c r="Y11" i="1"/>
  <c r="Z24" i="14" s="1"/>
  <c r="K15" i="37"/>
  <c r="L32" i="14" s="1"/>
  <c r="F82" i="25"/>
  <c r="D31" i="20" s="1"/>
  <c r="L10" i="32"/>
  <c r="S53" i="56"/>
  <c r="AK17" i="37"/>
  <c r="AL37" i="14" s="1"/>
  <c r="X13" i="37"/>
  <c r="Y38" i="14" s="1"/>
  <c r="M16" i="37"/>
  <c r="N35" i="14" s="1"/>
  <c r="F53" i="56"/>
  <c r="Q53" i="56"/>
  <c r="F61" i="25"/>
  <c r="F92" i="59" s="1"/>
  <c r="S11" i="32"/>
  <c r="AH19" i="37"/>
  <c r="AI39" i="14" s="1"/>
  <c r="AG16" i="37"/>
  <c r="AH35" i="14" s="1"/>
  <c r="P13" i="37"/>
  <c r="Q38" i="14" s="1"/>
  <c r="Y10" i="32"/>
  <c r="N16" i="37"/>
  <c r="O35" i="14" s="1"/>
  <c r="AE17" i="37"/>
  <c r="AA189" i="56" s="1"/>
  <c r="AA11" i="32"/>
  <c r="U17" i="37"/>
  <c r="V37" i="14" s="1"/>
  <c r="AE57" i="56"/>
  <c r="AC11" i="25"/>
  <c r="AD21" i="14" s="1"/>
  <c r="W51" i="56"/>
  <c r="R13" i="37"/>
  <c r="S38" i="14" s="1"/>
  <c r="Y17" i="37"/>
  <c r="Z37" i="14" s="1"/>
  <c r="AE15" i="37"/>
  <c r="AF32" i="14" s="1"/>
  <c r="Q51" i="56"/>
  <c r="H53" i="56"/>
  <c r="X7" i="37"/>
  <c r="Y33" i="14" s="1"/>
  <c r="K16" i="37"/>
  <c r="G183" i="56" s="1"/>
  <c r="S171" i="56"/>
  <c r="AB65" i="56"/>
  <c r="O15" i="25"/>
  <c r="P23" i="14" s="1"/>
  <c r="L11" i="25"/>
  <c r="M21" i="14" s="1"/>
  <c r="AC19" i="37"/>
  <c r="AD39" i="14" s="1"/>
  <c r="W6" i="37"/>
  <c r="N51" i="56"/>
  <c r="Y51" i="56"/>
  <c r="U53" i="56"/>
  <c r="V53" i="56"/>
  <c r="Z51" i="56"/>
  <c r="AH51" i="56"/>
  <c r="U11" i="25"/>
  <c r="Q93" i="56" s="1"/>
  <c r="AF51" i="56"/>
  <c r="AL6" i="37"/>
  <c r="AM30" i="14" s="1"/>
  <c r="Y6" i="37"/>
  <c r="Z30" i="14" s="1"/>
  <c r="H17" i="37"/>
  <c r="I37" i="14" s="1"/>
  <c r="U6" i="37"/>
  <c r="V30" i="14" s="1"/>
  <c r="W16" i="37"/>
  <c r="X35" i="14" s="1"/>
  <c r="AA51" i="56"/>
  <c r="AD17" i="37"/>
  <c r="AC17" i="37"/>
  <c r="AD37" i="14" s="1"/>
  <c r="AL11" i="25"/>
  <c r="AH93" i="56" s="1"/>
  <c r="AD171" i="56"/>
  <c r="J51" i="56"/>
  <c r="O16" i="37"/>
  <c r="K183" i="56" s="1"/>
  <c r="AC7" i="37"/>
  <c r="AD33" i="14" s="1"/>
  <c r="F26" i="25"/>
  <c r="D14" i="20" s="1"/>
  <c r="M19" i="37"/>
  <c r="N39" i="14" s="1"/>
  <c r="AK11" i="25"/>
  <c r="AL21" i="14" s="1"/>
  <c r="M15" i="37"/>
  <c r="I177" i="56" s="1"/>
  <c r="F129" i="25"/>
  <c r="Z57" i="56"/>
  <c r="J17" i="37"/>
  <c r="AK6" i="37"/>
  <c r="AL30" i="14" s="1"/>
  <c r="Z15" i="37"/>
  <c r="AI15" i="1"/>
  <c r="L17" i="37"/>
  <c r="M37" i="14" s="1"/>
  <c r="Y19" i="37"/>
  <c r="Z39" i="14" s="1"/>
  <c r="AB13" i="24"/>
  <c r="AL13" i="37"/>
  <c r="AM38" i="14" s="1"/>
  <c r="AH9" i="24"/>
  <c r="AD39" i="57" s="1"/>
  <c r="M14" i="24"/>
  <c r="AH65" i="56"/>
  <c r="F37" i="54"/>
  <c r="AH17" i="37"/>
  <c r="AI37" i="14" s="1"/>
  <c r="H6" i="37"/>
  <c r="I30" i="14" s="1"/>
  <c r="AF11" i="1"/>
  <c r="AG24" i="14" s="1"/>
  <c r="AG13" i="37"/>
  <c r="AH38" i="14" s="1"/>
  <c r="AB19" i="37"/>
  <c r="AC39" i="14" s="1"/>
  <c r="H11" i="1"/>
  <c r="I24" i="14" s="1"/>
  <c r="V11" i="1"/>
  <c r="R99" i="56" s="1"/>
  <c r="AK16" i="37"/>
  <c r="AL35" i="14" s="1"/>
  <c r="AD19" i="37"/>
  <c r="AE39" i="14" s="1"/>
  <c r="AE19" i="37"/>
  <c r="AF39" i="14" s="1"/>
  <c r="AA19" i="37"/>
  <c r="AB39" i="14" s="1"/>
  <c r="P11" i="1"/>
  <c r="L99" i="56" s="1"/>
  <c r="AJ7" i="37"/>
  <c r="AK33" i="14" s="1"/>
  <c r="J16" i="37"/>
  <c r="F68" i="1"/>
  <c r="H108" i="59" s="1"/>
  <c r="J108" i="59" s="1"/>
  <c r="R15" i="1"/>
  <c r="N165" i="56" s="1"/>
  <c r="S7" i="37"/>
  <c r="T33" i="14" s="1"/>
  <c r="Q13" i="37"/>
  <c r="R38" i="14" s="1"/>
  <c r="Q19" i="37"/>
  <c r="R39" i="14" s="1"/>
  <c r="AJ17" i="37"/>
  <c r="AK37" i="14" s="1"/>
  <c r="E59" i="56"/>
  <c r="AD6" i="37"/>
  <c r="AE30" i="14" s="1"/>
  <c r="Q11" i="1"/>
  <c r="R24" i="14" s="1"/>
  <c r="AL19" i="37"/>
  <c r="AM39" i="14" s="1"/>
  <c r="AJ15" i="37"/>
  <c r="AK32" i="14" s="1"/>
  <c r="S13" i="37"/>
  <c r="T38" i="14" s="1"/>
  <c r="AG19" i="37"/>
  <c r="AH39" i="14" s="1"/>
  <c r="G213" i="24"/>
  <c r="AF14" i="24"/>
  <c r="D53" i="56"/>
  <c r="D54" i="56" s="1"/>
  <c r="AB15" i="37"/>
  <c r="AC32" i="14" s="1"/>
  <c r="X63" i="56"/>
  <c r="AD15" i="1"/>
  <c r="AE26" i="14" s="1"/>
  <c r="G59" i="24"/>
  <c r="I7" i="37"/>
  <c r="E117" i="56" s="1"/>
  <c r="AL7" i="37"/>
  <c r="AM33" i="14" s="1"/>
  <c r="K13" i="37"/>
  <c r="L38" i="14" s="1"/>
  <c r="P15" i="37"/>
  <c r="L177" i="56" s="1"/>
  <c r="H7" i="37"/>
  <c r="I33" i="14" s="1"/>
  <c r="O7" i="37"/>
  <c r="P33" i="14" s="1"/>
  <c r="Z17" i="37"/>
  <c r="AA37" i="14" s="1"/>
  <c r="R11" i="1"/>
  <c r="S24" i="14" s="1"/>
  <c r="G158" i="24"/>
  <c r="V7" i="37"/>
  <c r="W33" i="14" s="1"/>
  <c r="H13" i="37"/>
  <c r="I38" i="14" s="1"/>
  <c r="AC14" i="24"/>
  <c r="AK9" i="24"/>
  <c r="AG39" i="57" s="1"/>
  <c r="AD15" i="37"/>
  <c r="AE32" i="14" s="1"/>
  <c r="AK13" i="37"/>
  <c r="AL38" i="14" s="1"/>
  <c r="W15" i="37"/>
  <c r="X32" i="14" s="1"/>
  <c r="Q17" i="37"/>
  <c r="T17" i="37"/>
  <c r="P189" i="56" s="1"/>
  <c r="U11" i="1"/>
  <c r="Q99" i="56" s="1"/>
  <c r="H7" i="24"/>
  <c r="D45" i="57" s="1"/>
  <c r="D46" i="57" s="1"/>
  <c r="AA16" i="37"/>
  <c r="AB35" i="14" s="1"/>
  <c r="Q7" i="37"/>
  <c r="M117" i="56" s="1"/>
  <c r="AI17" i="37"/>
  <c r="AJ37" i="14" s="1"/>
  <c r="S17" i="37"/>
  <c r="T37" i="14" s="1"/>
  <c r="F35" i="54"/>
  <c r="AK19" i="37"/>
  <c r="AL39" i="14" s="1"/>
  <c r="N15" i="37"/>
  <c r="O32" i="14" s="1"/>
  <c r="AH6" i="37"/>
  <c r="AI30" i="14" s="1"/>
  <c r="T7" i="37"/>
  <c r="AA13" i="37"/>
  <c r="AB38" i="14" s="1"/>
  <c r="AG15" i="37"/>
  <c r="G230" i="24"/>
  <c r="AH14" i="24"/>
  <c r="F75" i="1"/>
  <c r="H124" i="59" s="1"/>
  <c r="J124" i="59" s="1"/>
  <c r="AC13" i="37"/>
  <c r="AD38" i="14" s="1"/>
  <c r="AB16" i="37"/>
  <c r="AC35" i="14" s="1"/>
  <c r="AL15" i="37"/>
  <c r="AM32" i="14" s="1"/>
  <c r="AG6" i="37"/>
  <c r="AK7" i="37"/>
  <c r="AL33" i="14" s="1"/>
  <c r="AB13" i="37"/>
  <c r="AC38" i="14" s="1"/>
  <c r="N13" i="37"/>
  <c r="O38" i="14" s="1"/>
  <c r="G55" i="24"/>
  <c r="U13" i="37"/>
  <c r="V38" i="14" s="1"/>
  <c r="W13" i="37"/>
  <c r="X38" i="14" s="1"/>
  <c r="W8" i="24"/>
  <c r="S43" i="57" s="1"/>
  <c r="Q9" i="24"/>
  <c r="M39" i="57" s="1"/>
  <c r="G64" i="24"/>
  <c r="X15" i="37"/>
  <c r="Y32" i="14" s="1"/>
  <c r="AC15" i="1"/>
  <c r="AD26" i="14" s="1"/>
  <c r="F82" i="1"/>
  <c r="H140" i="59" s="1"/>
  <c r="L6" i="37"/>
  <c r="H111" i="56" s="1"/>
  <c r="Z16" i="37"/>
  <c r="AA35" i="14" s="1"/>
  <c r="AF15" i="37"/>
  <c r="AG32" i="14" s="1"/>
  <c r="AA6" i="37"/>
  <c r="AB30" i="14" s="1"/>
  <c r="AH13" i="37"/>
  <c r="AI38" i="14" s="1"/>
  <c r="C15" i="54"/>
  <c r="D15" i="54" s="1"/>
  <c r="AH11" i="1"/>
  <c r="AI24" i="14" s="1"/>
  <c r="N7" i="37"/>
  <c r="O33" i="14" s="1"/>
  <c r="W7" i="37"/>
  <c r="Z13" i="37"/>
  <c r="AA38" i="14" s="1"/>
  <c r="S6" i="37"/>
  <c r="AI15" i="37"/>
  <c r="AJ32" i="14" s="1"/>
  <c r="L11" i="1"/>
  <c r="M11" i="1"/>
  <c r="N24" i="14" s="1"/>
  <c r="O15" i="37"/>
  <c r="P32" i="14" s="1"/>
  <c r="W19" i="37"/>
  <c r="X39" i="14" s="1"/>
  <c r="G137" i="24"/>
  <c r="M7" i="24"/>
  <c r="I45" i="57" s="1"/>
  <c r="F31" i="54"/>
  <c r="AB17" i="37"/>
  <c r="AC37" i="14" s="1"/>
  <c r="F26" i="1"/>
  <c r="H28" i="59" s="1"/>
  <c r="J28" i="59" s="1"/>
  <c r="K28" i="59" s="1"/>
  <c r="F33" i="1"/>
  <c r="H44" i="59" s="1"/>
  <c r="Q15" i="37"/>
  <c r="R32" i="14" s="1"/>
  <c r="AH15" i="37"/>
  <c r="AI32" i="14" s="1"/>
  <c r="AI16" i="37"/>
  <c r="AJ35" i="14" s="1"/>
  <c r="Y15" i="37"/>
  <c r="Z32" i="14" s="1"/>
  <c r="AF6" i="37"/>
  <c r="AG30" i="14" s="1"/>
  <c r="T13" i="37"/>
  <c r="U38" i="14" s="1"/>
  <c r="V6" i="37"/>
  <c r="W30" i="14" s="1"/>
  <c r="AB6" i="37"/>
  <c r="AC30" i="14" s="1"/>
  <c r="AB7" i="37"/>
  <c r="AC33" i="14" s="1"/>
  <c r="AI19" i="37"/>
  <c r="AJ39" i="14" s="1"/>
  <c r="G242" i="24"/>
  <c r="AI6" i="37"/>
  <c r="AJ30" i="14" s="1"/>
  <c r="L15" i="1"/>
  <c r="G240" i="24"/>
  <c r="T19" i="37"/>
  <c r="U39" i="14" s="1"/>
  <c r="O19" i="37"/>
  <c r="P39" i="14" s="1"/>
  <c r="Z6" i="37"/>
  <c r="AA30" i="14" s="1"/>
  <c r="T13" i="24"/>
  <c r="K11" i="1"/>
  <c r="L24" i="14" s="1"/>
  <c r="H13" i="24"/>
  <c r="AD7" i="37"/>
  <c r="AE33" i="14" s="1"/>
  <c r="AA17" i="37"/>
  <c r="W189" i="56" s="1"/>
  <c r="P6" i="37"/>
  <c r="L111" i="56" s="1"/>
  <c r="AE6" i="37"/>
  <c r="M15" i="1"/>
  <c r="AF13" i="37"/>
  <c r="AG38" i="14" s="1"/>
  <c r="AG7" i="37"/>
  <c r="AC117" i="56" s="1"/>
  <c r="L15" i="37"/>
  <c r="M32" i="14" s="1"/>
  <c r="AL8" i="24"/>
  <c r="AH43" i="57" s="1"/>
  <c r="AA11" i="1"/>
  <c r="AB24" i="14" s="1"/>
  <c r="R17" i="37"/>
  <c r="N189" i="56" s="1"/>
  <c r="P17" i="37"/>
  <c r="L189" i="56" s="1"/>
  <c r="G106" i="24"/>
  <c r="G163" i="24"/>
  <c r="AD11" i="1"/>
  <c r="AE24" i="14" s="1"/>
  <c r="AK15" i="1"/>
  <c r="AG103" i="57" s="1"/>
  <c r="AG85" i="57" s="1"/>
  <c r="T16" i="37"/>
  <c r="U35" i="14" s="1"/>
  <c r="U7" i="37"/>
  <c r="Q117" i="56" s="1"/>
  <c r="AA15" i="37"/>
  <c r="AJ19" i="37"/>
  <c r="AK39" i="14" s="1"/>
  <c r="F24" i="54"/>
  <c r="E17" i="14" s="1"/>
  <c r="Z7" i="37"/>
  <c r="V117" i="56" s="1"/>
  <c r="I19" i="37"/>
  <c r="J39" i="14" s="1"/>
  <c r="F31" i="37"/>
  <c r="I17" i="37"/>
  <c r="E189" i="56" s="1"/>
  <c r="G70" i="24"/>
  <c r="AI11" i="1"/>
  <c r="AJ24" i="14" s="1"/>
  <c r="P7" i="37"/>
  <c r="Q33" i="14" s="1"/>
  <c r="F23" i="37"/>
  <c r="G195" i="24"/>
  <c r="X65" i="56"/>
  <c r="N17" i="37"/>
  <c r="J189" i="56" s="1"/>
  <c r="J19" i="37"/>
  <c r="K39" i="14" s="1"/>
  <c r="U15" i="37"/>
  <c r="Q177" i="56" s="1"/>
  <c r="I6" i="37"/>
  <c r="J30" i="14" s="1"/>
  <c r="F54" i="1"/>
  <c r="H92" i="59" s="1"/>
  <c r="J92" i="59" s="1"/>
  <c r="K92" i="59" s="1"/>
  <c r="K6" i="37"/>
  <c r="L30" i="14" s="1"/>
  <c r="R7" i="37"/>
  <c r="S33" i="14" s="1"/>
  <c r="K19" i="37"/>
  <c r="L39" i="14" s="1"/>
  <c r="W11" i="1"/>
  <c r="J6" i="37"/>
  <c r="K30" i="14" s="1"/>
  <c r="AE16" i="37"/>
  <c r="AF35" i="14" s="1"/>
  <c r="AF17" i="37"/>
  <c r="AG37" i="14" s="1"/>
  <c r="AL17" i="37"/>
  <c r="AM37" i="14" s="1"/>
  <c r="AH59" i="56"/>
  <c r="L7" i="37"/>
  <c r="T6" i="37"/>
  <c r="P111" i="56" s="1"/>
  <c r="M7" i="37"/>
  <c r="I117" i="56" s="1"/>
  <c r="Q6" i="37"/>
  <c r="R30" i="14" s="1"/>
  <c r="AB8" i="24"/>
  <c r="X43" i="57" s="1"/>
  <c r="L16" i="37"/>
  <c r="H183" i="56" s="1"/>
  <c r="G113" i="24"/>
  <c r="J13" i="24"/>
  <c r="AE63" i="56"/>
  <c r="L51" i="56"/>
  <c r="F96" i="1"/>
  <c r="H172" i="59" s="1"/>
  <c r="J172" i="59" s="1"/>
  <c r="P19" i="37"/>
  <c r="Q39" i="14" s="1"/>
  <c r="AE7" i="37"/>
  <c r="AF33" i="14" s="1"/>
  <c r="AD16" i="37"/>
  <c r="AE35" i="14" s="1"/>
  <c r="S15" i="37"/>
  <c r="O177" i="56" s="1"/>
  <c r="F89" i="1"/>
  <c r="H156" i="59" s="1"/>
  <c r="O13" i="37"/>
  <c r="P38" i="14" s="1"/>
  <c r="H15" i="37"/>
  <c r="D177" i="56" s="1"/>
  <c r="D178" i="56" s="1"/>
  <c r="R19" i="37"/>
  <c r="S39" i="14" s="1"/>
  <c r="AD65" i="56"/>
  <c r="S16" i="37"/>
  <c r="O183" i="56" s="1"/>
  <c r="M17" i="37"/>
  <c r="I189" i="56" s="1"/>
  <c r="X16" i="37"/>
  <c r="Y35" i="14" s="1"/>
  <c r="H16" i="37"/>
  <c r="D183" i="56" s="1"/>
  <c r="D184" i="56" s="1"/>
  <c r="AJ6" i="37"/>
  <c r="AK30" i="14" s="1"/>
  <c r="AA7" i="37"/>
  <c r="AB33" i="14" s="1"/>
  <c r="M13" i="37"/>
  <c r="N38" i="14" s="1"/>
  <c r="L10" i="24"/>
  <c r="H75" i="56" s="1"/>
  <c r="G22" i="24"/>
  <c r="D57" i="56"/>
  <c r="D58" i="56" s="1"/>
  <c r="AH10" i="24"/>
  <c r="AD37" i="57" s="1"/>
  <c r="T51" i="56"/>
  <c r="AK15" i="37"/>
  <c r="AG177" i="56" s="1"/>
  <c r="P16" i="37"/>
  <c r="Q35" i="14" s="1"/>
  <c r="AI7" i="37"/>
  <c r="AJ33" i="14" s="1"/>
  <c r="X17" i="37"/>
  <c r="Y37" i="14" s="1"/>
  <c r="AC11" i="1"/>
  <c r="AD24" i="14" s="1"/>
  <c r="X6" i="37"/>
  <c r="T111" i="56" s="1"/>
  <c r="N6" i="37"/>
  <c r="J111" i="56" s="1"/>
  <c r="K17" i="37"/>
  <c r="G189" i="56" s="1"/>
  <c r="AJ13" i="37"/>
  <c r="AK38" i="14" s="1"/>
  <c r="AC16" i="37"/>
  <c r="AD35" i="14" s="1"/>
  <c r="R16" i="37"/>
  <c r="N183" i="56" s="1"/>
  <c r="V15" i="1"/>
  <c r="R165" i="56" s="1"/>
  <c r="F110" i="1"/>
  <c r="H204" i="59" s="1"/>
  <c r="J204" i="59" s="1"/>
  <c r="U19" i="37"/>
  <c r="V39" i="14" s="1"/>
  <c r="AJ16" i="37"/>
  <c r="AK35" i="14" s="1"/>
  <c r="Y13" i="37"/>
  <c r="Z38" i="14" s="1"/>
  <c r="R6" i="37"/>
  <c r="F38" i="54"/>
  <c r="V15" i="37"/>
  <c r="W32" i="14" s="1"/>
  <c r="F94" i="1"/>
  <c r="H160" i="59" s="1"/>
  <c r="AG17" i="37"/>
  <c r="AH37" i="14" s="1"/>
  <c r="K7" i="37"/>
  <c r="L33" i="14" s="1"/>
  <c r="V13" i="37"/>
  <c r="W38" i="14" s="1"/>
  <c r="AH16" i="37"/>
  <c r="AI35" i="14" s="1"/>
  <c r="AF7" i="24"/>
  <c r="AB45" i="57" s="1"/>
  <c r="G143" i="24"/>
  <c r="E53" i="56"/>
  <c r="Z19" i="37"/>
  <c r="AA39" i="14" s="1"/>
  <c r="F87" i="25"/>
  <c r="P59" i="56"/>
  <c r="Y63" i="56"/>
  <c r="G51" i="56"/>
  <c r="AE51" i="56"/>
  <c r="J53" i="56"/>
  <c r="W53" i="56"/>
  <c r="AB53" i="56"/>
  <c r="AF15" i="25"/>
  <c r="AG23" i="14" s="1"/>
  <c r="N15" i="25"/>
  <c r="O23" i="14" s="1"/>
  <c r="W65" i="56"/>
  <c r="AG53" i="56"/>
  <c r="I51" i="56"/>
  <c r="AF38" i="3"/>
  <c r="V36" i="3"/>
  <c r="Q3" i="64"/>
  <c r="AB72" i="1"/>
  <c r="M79" i="1"/>
  <c r="Q86" i="1"/>
  <c r="V77" i="25"/>
  <c r="AF42" i="25"/>
  <c r="AF44" i="25" s="1"/>
  <c r="O49" i="25"/>
  <c r="AH49" i="1"/>
  <c r="AE84" i="1"/>
  <c r="AE86" i="1" s="1"/>
  <c r="AH21" i="25"/>
  <c r="AD49" i="1"/>
  <c r="AD51" i="1" s="1"/>
  <c r="X135" i="25"/>
  <c r="S79" i="1"/>
  <c r="T114" i="25"/>
  <c r="AA72" i="1"/>
  <c r="L42" i="25"/>
  <c r="L44" i="25" s="1"/>
  <c r="AG21" i="25"/>
  <c r="AF79" i="1"/>
  <c r="AG135" i="25"/>
  <c r="AH72" i="25"/>
  <c r="J18" i="25"/>
  <c r="J23" i="1" s="1"/>
  <c r="Q37" i="1"/>
  <c r="N51" i="1"/>
  <c r="AH128" i="25"/>
  <c r="K121" i="1"/>
  <c r="H121" i="25"/>
  <c r="H18" i="25"/>
  <c r="V107" i="25"/>
  <c r="Z121" i="1"/>
  <c r="Q28" i="1"/>
  <c r="Q30" i="1" s="1"/>
  <c r="AG28" i="25"/>
  <c r="AG30" i="25" s="1"/>
  <c r="AD37" i="1"/>
  <c r="L86" i="25"/>
  <c r="P42" i="25"/>
  <c r="P44" i="25" s="1"/>
  <c r="AB70" i="25"/>
  <c r="V84" i="25"/>
  <c r="V86" i="25" s="1"/>
  <c r="K84" i="1"/>
  <c r="K86" i="1" s="1"/>
  <c r="H81" i="1"/>
  <c r="H86" i="1" s="1"/>
  <c r="P86" i="25"/>
  <c r="AA70" i="25"/>
  <c r="AA72" i="25" s="1"/>
  <c r="AL51" i="1"/>
  <c r="W46" i="25"/>
  <c r="AL107" i="1"/>
  <c r="AD65" i="1"/>
  <c r="AB18" i="25"/>
  <c r="AB23" i="25" s="1"/>
  <c r="AG72" i="1"/>
  <c r="AC86" i="1"/>
  <c r="AG72" i="25"/>
  <c r="H102" i="1"/>
  <c r="H107" i="1" s="1"/>
  <c r="Z53" i="1"/>
  <c r="Z58" i="1" s="1"/>
  <c r="AA100" i="25"/>
  <c r="AD35" i="25"/>
  <c r="AD37" i="25" s="1"/>
  <c r="K30" i="25"/>
  <c r="AD93" i="1"/>
  <c r="J44" i="3"/>
  <c r="J42" i="3" s="1"/>
  <c r="AA93" i="1"/>
  <c r="V135" i="25"/>
  <c r="AF37" i="1"/>
  <c r="AF49" i="1"/>
  <c r="P79" i="1"/>
  <c r="AD30" i="1"/>
  <c r="AK107" i="1"/>
  <c r="M107" i="1"/>
  <c r="AI114" i="1"/>
  <c r="N70" i="1"/>
  <c r="N72" i="1" s="1"/>
  <c r="I98" i="25"/>
  <c r="L35" i="25"/>
  <c r="AG77" i="25"/>
  <c r="AC91" i="1"/>
  <c r="AC93" i="1" s="1"/>
  <c r="AI112" i="25"/>
  <c r="AI114" i="25" s="1"/>
  <c r="S128" i="25"/>
  <c r="AB93" i="25"/>
  <c r="L95" i="1"/>
  <c r="L100" i="1" s="1"/>
  <c r="AK79" i="1"/>
  <c r="Y93" i="1"/>
  <c r="AJ114" i="1"/>
  <c r="U105" i="25"/>
  <c r="U107" i="25" s="1"/>
  <c r="L49" i="1"/>
  <c r="I28" i="1"/>
  <c r="O98" i="1"/>
  <c r="O100" i="1" s="1"/>
  <c r="R79" i="1"/>
  <c r="N93" i="1"/>
  <c r="F26" i="54"/>
  <c r="F73" i="1"/>
  <c r="H112" i="59" s="1"/>
  <c r="F36" i="54"/>
  <c r="R11" i="32"/>
  <c r="Z10" i="32"/>
  <c r="W121" i="1"/>
  <c r="W51" i="1"/>
  <c r="F136" i="25"/>
  <c r="M6" i="66"/>
  <c r="AB15" i="1"/>
  <c r="X165" i="56" s="1"/>
  <c r="I16" i="37"/>
  <c r="W17" i="37"/>
  <c r="X37" i="14" s="1"/>
  <c r="N53" i="56"/>
  <c r="P51" i="56"/>
  <c r="L13" i="37"/>
  <c r="M38" i="14" s="1"/>
  <c r="AH53" i="56"/>
  <c r="R51" i="56"/>
  <c r="H19" i="37"/>
  <c r="I39" i="14" s="1"/>
  <c r="I13" i="37"/>
  <c r="J38" i="14" s="1"/>
  <c r="V17" i="37"/>
  <c r="W37" i="14" s="1"/>
  <c r="Y53" i="56"/>
  <c r="K51" i="56"/>
  <c r="AD13" i="37"/>
  <c r="AE38" i="14" s="1"/>
  <c r="O6" i="37"/>
  <c r="K111" i="56" s="1"/>
  <c r="U16" i="37"/>
  <c r="I53" i="56"/>
  <c r="O51" i="56"/>
  <c r="F60" i="25"/>
  <c r="F91" i="59" s="1"/>
  <c r="AH183" i="56"/>
  <c r="M51" i="56"/>
  <c r="X53" i="56"/>
  <c r="F59" i="1"/>
  <c r="AC15" i="37"/>
  <c r="J13" i="37"/>
  <c r="K38" i="14" s="1"/>
  <c r="Z53" i="56"/>
  <c r="S51" i="56"/>
  <c r="Q11" i="25"/>
  <c r="R21" i="14" s="1"/>
  <c r="AG51" i="56"/>
  <c r="AC51" i="56"/>
  <c r="F96" i="25"/>
  <c r="F156" i="59" s="1"/>
  <c r="H51" i="56"/>
  <c r="AA53" i="56"/>
  <c r="F40" i="54"/>
  <c r="F39" i="54"/>
  <c r="F45" i="37"/>
  <c r="Z15" i="1"/>
  <c r="V103" i="57" s="1"/>
  <c r="V85" i="57" s="1"/>
  <c r="Z15" i="25"/>
  <c r="V97" i="57" s="1"/>
  <c r="V79" i="57" s="1"/>
  <c r="F73" i="25"/>
  <c r="F112" i="59" s="1"/>
  <c r="M9" i="24"/>
  <c r="I77" i="56" s="1"/>
  <c r="F41" i="54"/>
  <c r="AB7" i="24"/>
  <c r="G190" i="24"/>
  <c r="X14" i="24"/>
  <c r="G130" i="24"/>
  <c r="AK10" i="24"/>
  <c r="AG75" i="56" s="1"/>
  <c r="G101" i="24"/>
  <c r="Z14" i="24"/>
  <c r="V8" i="24"/>
  <c r="R43" i="57" s="1"/>
  <c r="P13" i="24"/>
  <c r="Q14" i="24"/>
  <c r="G50" i="24"/>
  <c r="G85" i="24"/>
  <c r="U9" i="24"/>
  <c r="Q77" i="56" s="1"/>
  <c r="G173" i="24"/>
  <c r="T14" i="24"/>
  <c r="V7" i="24"/>
  <c r="R83" i="56" s="1"/>
  <c r="G222" i="24"/>
  <c r="Z13" i="24"/>
  <c r="M8" i="24"/>
  <c r="G58" i="24"/>
  <c r="G170" i="24"/>
  <c r="F44" i="54"/>
  <c r="G38" i="24"/>
  <c r="AL14" i="24"/>
  <c r="T8" i="24"/>
  <c r="P81" i="56" s="1"/>
  <c r="AB10" i="24"/>
  <c r="AI7" i="24"/>
  <c r="AE45" i="57" s="1"/>
  <c r="AA7" i="24"/>
  <c r="G237" i="24"/>
  <c r="U7" i="24"/>
  <c r="Q45" i="57" s="1"/>
  <c r="F23" i="54"/>
  <c r="F42" i="54"/>
  <c r="G197" i="24"/>
  <c r="Y7" i="24"/>
  <c r="U45" i="57" s="1"/>
  <c r="G61" i="24"/>
  <c r="G94" i="24"/>
  <c r="L14" i="24"/>
  <c r="G161" i="24"/>
  <c r="G152" i="24"/>
  <c r="G157" i="24"/>
  <c r="AD14" i="24"/>
  <c r="U10" i="24"/>
  <c r="Q75" i="56" s="1"/>
  <c r="J7" i="24"/>
  <c r="AC9" i="24"/>
  <c r="Y77" i="56" s="1"/>
  <c r="AA8" i="24"/>
  <c r="W43" i="57" s="1"/>
  <c r="X8" i="24"/>
  <c r="T81" i="56" s="1"/>
  <c r="G169" i="24"/>
  <c r="G210" i="24"/>
  <c r="R8" i="24"/>
  <c r="N81" i="56" s="1"/>
  <c r="G37" i="24"/>
  <c r="AE7" i="24"/>
  <c r="AE15" i="24" s="1"/>
  <c r="AF10" i="24"/>
  <c r="AB37" i="57" s="1"/>
  <c r="G203" i="24"/>
  <c r="Z10" i="24"/>
  <c r="V75" i="56" s="1"/>
  <c r="AG13" i="24"/>
  <c r="AA10" i="24"/>
  <c r="G35" i="24"/>
  <c r="AA9" i="24"/>
  <c r="W39" i="57" s="1"/>
  <c r="AD9" i="24"/>
  <c r="Z77" i="56" s="1"/>
  <c r="AC13" i="24"/>
  <c r="G124" i="24"/>
  <c r="G126" i="24" s="1"/>
  <c r="G239" i="24"/>
  <c r="I13" i="24"/>
  <c r="G103" i="24"/>
  <c r="G200" i="24"/>
  <c r="W14" i="24"/>
  <c r="G221" i="24"/>
  <c r="G184" i="24"/>
  <c r="AG14" i="24"/>
  <c r="AA13" i="24"/>
  <c r="K8" i="24"/>
  <c r="K16" i="24" s="1"/>
  <c r="AD13" i="24"/>
  <c r="AK7" i="24"/>
  <c r="AG83" i="56" s="1"/>
  <c r="Z7" i="24"/>
  <c r="V45" i="57" s="1"/>
  <c r="S8" i="24"/>
  <c r="M13" i="24"/>
  <c r="V13" i="24"/>
  <c r="G89" i="24"/>
  <c r="N7" i="24"/>
  <c r="J83" i="56" s="1"/>
  <c r="G179" i="24"/>
  <c r="AE8" i="24"/>
  <c r="AE16" i="24" s="1"/>
  <c r="G76" i="24"/>
  <c r="G212" i="24"/>
  <c r="AL9" i="24"/>
  <c r="AH39" i="57" s="1"/>
  <c r="K10" i="24"/>
  <c r="Y10" i="24"/>
  <c r="U37" i="57" s="1"/>
  <c r="O14" i="24"/>
  <c r="G134" i="24"/>
  <c r="G234" i="24"/>
  <c r="P14" i="24"/>
  <c r="Q7" i="24"/>
  <c r="M83" i="56" s="1"/>
  <c r="G246" i="24"/>
  <c r="G249" i="24"/>
  <c r="F27" i="54"/>
  <c r="F34" i="54"/>
  <c r="G73" i="24"/>
  <c r="G160" i="24"/>
  <c r="G98" i="24"/>
  <c r="T10" i="24"/>
  <c r="S14" i="24"/>
  <c r="L13" i="24"/>
  <c r="AC10" i="24"/>
  <c r="Y37" i="57" s="1"/>
  <c r="G128" i="24"/>
  <c r="G88" i="24"/>
  <c r="AE10" i="24"/>
  <c r="AA75" i="56" s="1"/>
  <c r="G107" i="24"/>
  <c r="W9" i="24"/>
  <c r="S39" i="57" s="1"/>
  <c r="AK14" i="24"/>
  <c r="O10" i="24"/>
  <c r="K75" i="56" s="1"/>
  <c r="G34" i="24"/>
  <c r="AA14" i="24"/>
  <c r="AC7" i="24"/>
  <c r="AG10" i="24"/>
  <c r="AC37" i="57" s="1"/>
  <c r="G100" i="24"/>
  <c r="G175" i="24"/>
  <c r="G177" i="24" s="1"/>
  <c r="G178" i="24"/>
  <c r="AC8" i="24"/>
  <c r="L9" i="24"/>
  <c r="G71" i="24"/>
  <c r="AJ10" i="24"/>
  <c r="AF37" i="57" s="1"/>
  <c r="G115" i="24"/>
  <c r="Z9" i="24"/>
  <c r="G248" i="24"/>
  <c r="G52" i="24"/>
  <c r="H9" i="24"/>
  <c r="F28" i="54"/>
  <c r="F29" i="54"/>
  <c r="F43" i="54"/>
  <c r="G233" i="24"/>
  <c r="Q10" i="24"/>
  <c r="M75" i="56" s="1"/>
  <c r="W10" i="24"/>
  <c r="S37" i="57" s="1"/>
  <c r="AJ8" i="24"/>
  <c r="O13" i="24"/>
  <c r="M10" i="24"/>
  <c r="I37" i="57" s="1"/>
  <c r="AL13" i="24"/>
  <c r="G46" i="24"/>
  <c r="N10" i="24"/>
  <c r="J37" i="57" s="1"/>
  <c r="G68" i="24"/>
  <c r="K7" i="24"/>
  <c r="G83" i="56" s="1"/>
  <c r="G79" i="24"/>
  <c r="G154" i="24"/>
  <c r="H14" i="24"/>
  <c r="G201" i="24"/>
  <c r="H10" i="24"/>
  <c r="D37" i="57" s="1"/>
  <c r="D38" i="57" s="1"/>
  <c r="G185" i="24"/>
  <c r="AK13" i="24"/>
  <c r="AJ13" i="24"/>
  <c r="G77" i="24"/>
  <c r="T9" i="24"/>
  <c r="P39" i="57" s="1"/>
  <c r="AH7" i="24"/>
  <c r="AD45" i="57" s="1"/>
  <c r="N13" i="24"/>
  <c r="G164" i="24"/>
  <c r="AL7" i="24"/>
  <c r="AH83" i="56" s="1"/>
  <c r="AD7" i="24"/>
  <c r="AI13" i="24"/>
  <c r="G243" i="24"/>
  <c r="G231" i="24"/>
  <c r="N9" i="24"/>
  <c r="J39" i="57" s="1"/>
  <c r="F33" i="54"/>
  <c r="G182" i="24"/>
  <c r="O8" i="24"/>
  <c r="AF13" i="24"/>
  <c r="G149" i="24"/>
  <c r="G140" i="24"/>
  <c r="I8" i="24"/>
  <c r="E43" i="57" s="1"/>
  <c r="G44" i="24"/>
  <c r="J9" i="24"/>
  <c r="F39" i="57" s="1"/>
  <c r="Q13" i="24"/>
  <c r="Q8" i="24"/>
  <c r="G136" i="24"/>
  <c r="AG7" i="24"/>
  <c r="AC45" i="57" s="1"/>
  <c r="Y8" i="24"/>
  <c r="U81" i="56" s="1"/>
  <c r="G131" i="24"/>
  <c r="AJ9" i="24"/>
  <c r="AF77" i="56" s="1"/>
  <c r="G56" i="24"/>
  <c r="G139" i="24"/>
  <c r="AF8" i="24"/>
  <c r="AB43" i="57" s="1"/>
  <c r="AD10" i="24"/>
  <c r="Z37" i="57" s="1"/>
  <c r="AI10" i="24"/>
  <c r="AE75" i="56" s="1"/>
  <c r="G65" i="24"/>
  <c r="U8" i="24"/>
  <c r="Q43" i="57" s="1"/>
  <c r="K9" i="24"/>
  <c r="G77" i="56" s="1"/>
  <c r="F25" i="54"/>
  <c r="G92" i="24"/>
  <c r="F22" i="54"/>
  <c r="G122" i="24"/>
  <c r="F80" i="1"/>
  <c r="H128" i="59" s="1"/>
  <c r="Y15" i="1"/>
  <c r="U103" i="57" s="1"/>
  <c r="U85" i="57" s="1"/>
  <c r="Q63" i="56"/>
  <c r="T65" i="56"/>
  <c r="F68" i="25"/>
  <c r="D24" i="20" s="1"/>
  <c r="I15" i="25"/>
  <c r="E159" i="56" s="1"/>
  <c r="AF11" i="25"/>
  <c r="AB93" i="56" s="1"/>
  <c r="S11" i="25"/>
  <c r="O93" i="56" s="1"/>
  <c r="AE15" i="25"/>
  <c r="AA97" i="57" s="1"/>
  <c r="AA79" i="57" s="1"/>
  <c r="AI11" i="32"/>
  <c r="Q11" i="32"/>
  <c r="AF10" i="32"/>
  <c r="W10" i="32"/>
  <c r="AA10" i="32"/>
  <c r="M10" i="32"/>
  <c r="N10" i="32"/>
  <c r="AI10" i="32"/>
  <c r="R57" i="56"/>
  <c r="AC59" i="56"/>
  <c r="AF59" i="56"/>
  <c r="AA15" i="1"/>
  <c r="F24" i="1"/>
  <c r="H16" i="59" s="1"/>
  <c r="AB11" i="1"/>
  <c r="AC24" i="14" s="1"/>
  <c r="AB15" i="25"/>
  <c r="AC23" i="14" s="1"/>
  <c r="F61" i="1"/>
  <c r="AG11" i="1"/>
  <c r="AH24" i="14" s="1"/>
  <c r="O57" i="56"/>
  <c r="F54" i="25"/>
  <c r="F76" i="59" s="1"/>
  <c r="AA11" i="25"/>
  <c r="W93" i="56" s="1"/>
  <c r="Q15" i="25"/>
  <c r="M159" i="56" s="1"/>
  <c r="F142" i="25"/>
  <c r="J10" i="32"/>
  <c r="X11" i="32"/>
  <c r="AB11" i="32"/>
  <c r="AE11" i="32"/>
  <c r="W11" i="32"/>
  <c r="I10" i="32"/>
  <c r="P10" i="32"/>
  <c r="I59" i="56"/>
  <c r="S57" i="56"/>
  <c r="I57" i="56"/>
  <c r="F53" i="25"/>
  <c r="F75" i="59" s="1"/>
  <c r="K75" i="59" s="1"/>
  <c r="K79" i="59" s="1"/>
  <c r="F115" i="1"/>
  <c r="H208" i="59" s="1"/>
  <c r="Q15" i="1"/>
  <c r="M165" i="56" s="1"/>
  <c r="F59" i="25"/>
  <c r="AJ11" i="1"/>
  <c r="AK24" i="14" s="1"/>
  <c r="O59" i="56"/>
  <c r="AJ11" i="25"/>
  <c r="AK21" i="14" s="1"/>
  <c r="H11" i="25"/>
  <c r="I21" i="14" s="1"/>
  <c r="M63" i="56"/>
  <c r="J65" i="56"/>
  <c r="P65" i="56"/>
  <c r="AB11" i="25"/>
  <c r="X93" i="56" s="1"/>
  <c r="AG15" i="25"/>
  <c r="AC97" i="57" s="1"/>
  <c r="AC79" i="57" s="1"/>
  <c r="F108" i="25"/>
  <c r="F176" i="59" s="1"/>
  <c r="Y11" i="25"/>
  <c r="Z21" i="14" s="1"/>
  <c r="N11" i="32"/>
  <c r="S10" i="32"/>
  <c r="K10" i="32"/>
  <c r="M11" i="32"/>
  <c r="L11" i="32"/>
  <c r="AC10" i="32"/>
  <c r="K11" i="32"/>
  <c r="Q10" i="32"/>
  <c r="M15" i="25"/>
  <c r="I97" i="57" s="1"/>
  <c r="I79" i="57" s="1"/>
  <c r="Q59" i="56"/>
  <c r="N59" i="56"/>
  <c r="AG63" i="56"/>
  <c r="AB63" i="56"/>
  <c r="R11" i="25"/>
  <c r="N93" i="56" s="1"/>
  <c r="H15" i="1"/>
  <c r="D103" i="57" s="1"/>
  <c r="D104" i="57" s="1"/>
  <c r="X11" i="1"/>
  <c r="Y24" i="14" s="1"/>
  <c r="AI15" i="25"/>
  <c r="AJ23" i="14" s="1"/>
  <c r="P15" i="25"/>
  <c r="L159" i="56" s="1"/>
  <c r="F89" i="25"/>
  <c r="F140" i="59" s="1"/>
  <c r="J11" i="1"/>
  <c r="K24" i="14" s="1"/>
  <c r="AK11" i="1"/>
  <c r="AL24" i="14" s="1"/>
  <c r="S11" i="1"/>
  <c r="T24" i="14" s="1"/>
  <c r="F21" i="43"/>
  <c r="AD57" i="56"/>
  <c r="X11" i="25"/>
  <c r="Y21" i="14" s="1"/>
  <c r="F66" i="1"/>
  <c r="F11" i="32"/>
  <c r="AF11" i="32"/>
  <c r="O11" i="32"/>
  <c r="P11" i="32"/>
  <c r="T10" i="32"/>
  <c r="E10" i="32"/>
  <c r="F124" i="25"/>
  <c r="D37" i="20" s="1"/>
  <c r="H15" i="25"/>
  <c r="I23" i="14" s="1"/>
  <c r="F40" i="25"/>
  <c r="D16" i="20" s="1"/>
  <c r="AG11" i="25"/>
  <c r="AH21" i="14" s="1"/>
  <c r="F52" i="25"/>
  <c r="F64" i="59" s="1"/>
  <c r="E11" i="32"/>
  <c r="U11" i="32"/>
  <c r="Y11" i="32"/>
  <c r="AC11" i="32"/>
  <c r="G11" i="32"/>
  <c r="G10" i="32"/>
  <c r="V10" i="32"/>
  <c r="H57" i="56"/>
  <c r="Z65" i="56"/>
  <c r="F19" i="1"/>
  <c r="H12" i="59" s="1"/>
  <c r="J12" i="59" s="1"/>
  <c r="K12" i="59" s="1"/>
  <c r="AJ15" i="25"/>
  <c r="AF159" i="56" s="1"/>
  <c r="J11" i="25"/>
  <c r="K21" i="14" s="1"/>
  <c r="V11" i="25"/>
  <c r="W21" i="14" s="1"/>
  <c r="Z11" i="1"/>
  <c r="V99" i="56" s="1"/>
  <c r="F45" i="1"/>
  <c r="F43" i="1" s="1"/>
  <c r="H62" i="59" s="1"/>
  <c r="J62" i="59" s="1"/>
  <c r="O11" i="25"/>
  <c r="AH15" i="25"/>
  <c r="AD159" i="56" s="1"/>
  <c r="P15" i="1"/>
  <c r="Q26" i="14" s="1"/>
  <c r="T11" i="1"/>
  <c r="U24" i="14" s="1"/>
  <c r="M65" i="56"/>
  <c r="W57" i="56"/>
  <c r="Z11" i="25"/>
  <c r="AK15" i="25"/>
  <c r="AL23" i="14" s="1"/>
  <c r="F80" i="25"/>
  <c r="AD15" i="25"/>
  <c r="AE23" i="14" s="1"/>
  <c r="F103" i="25"/>
  <c r="T15" i="25"/>
  <c r="U23" i="14" s="1"/>
  <c r="F115" i="25"/>
  <c r="F192" i="59" s="1"/>
  <c r="U10" i="32"/>
  <c r="O10" i="32"/>
  <c r="I11" i="25"/>
  <c r="E93" i="56" s="1"/>
  <c r="K11" i="25"/>
  <c r="G93" i="56" s="1"/>
  <c r="AL15" i="25"/>
  <c r="AH97" i="57" s="1"/>
  <c r="AH79" i="57" s="1"/>
  <c r="P11" i="25"/>
  <c r="L93" i="56" s="1"/>
  <c r="AH10" i="32"/>
  <c r="AB10" i="32"/>
  <c r="Z11" i="32"/>
  <c r="AD11" i="32"/>
  <c r="AH11" i="32"/>
  <c r="I11" i="32"/>
  <c r="AD10" i="32"/>
  <c r="F19" i="43"/>
  <c r="V65" i="56"/>
  <c r="R63" i="56"/>
  <c r="AG65" i="56"/>
  <c r="F131" i="25"/>
  <c r="D38" i="20" s="1"/>
  <c r="J15" i="1"/>
  <c r="F165" i="56" s="1"/>
  <c r="AD11" i="25"/>
  <c r="AE21" i="14" s="1"/>
  <c r="AE11" i="25"/>
  <c r="AF21" i="14" s="1"/>
  <c r="Y15" i="25"/>
  <c r="U159" i="56" s="1"/>
  <c r="F52" i="1"/>
  <c r="F50" i="1" s="1"/>
  <c r="H78" i="59" s="1"/>
  <c r="J78" i="59" s="1"/>
  <c r="J80" i="59" s="1"/>
  <c r="AH11" i="25"/>
  <c r="AD93" i="56" s="1"/>
  <c r="F117" i="1"/>
  <c r="O15" i="1"/>
  <c r="K165" i="56" s="1"/>
  <c r="AE11" i="1"/>
  <c r="AF24" i="14" s="1"/>
  <c r="AG15" i="1"/>
  <c r="AC165" i="56" s="1"/>
  <c r="F31" i="1"/>
  <c r="H32" i="59" s="1"/>
  <c r="J32" i="59" s="1"/>
  <c r="K59" i="56"/>
  <c r="T57" i="56"/>
  <c r="AA15" i="25"/>
  <c r="AB23" i="14" s="1"/>
  <c r="F33" i="25"/>
  <c r="D15" i="20" s="1"/>
  <c r="F65" i="25"/>
  <c r="AI11" i="25"/>
  <c r="AJ21" i="14" s="1"/>
  <c r="F37" i="37"/>
  <c r="X19" i="37"/>
  <c r="Y39" i="14" s="1"/>
  <c r="F29" i="37"/>
  <c r="F38" i="1"/>
  <c r="H48" i="59" s="1"/>
  <c r="X15" i="1"/>
  <c r="T165" i="56" s="1"/>
  <c r="X15" i="25"/>
  <c r="T159" i="56" s="1"/>
  <c r="R65" i="56"/>
  <c r="I65" i="56"/>
  <c r="F51" i="56"/>
  <c r="D51" i="56"/>
  <c r="D52" i="56" s="1"/>
  <c r="M53" i="56"/>
  <c r="X51" i="56"/>
  <c r="E51" i="56"/>
  <c r="O53" i="56"/>
  <c r="AD51" i="56"/>
  <c r="F38" i="25"/>
  <c r="F32" i="59" s="1"/>
  <c r="W88" i="1"/>
  <c r="W93" i="1" s="1"/>
  <c r="K102" i="1"/>
  <c r="T53" i="1"/>
  <c r="I84" i="25"/>
  <c r="I86" i="25" s="1"/>
  <c r="T105" i="1"/>
  <c r="T107" i="1" s="1"/>
  <c r="V98" i="25"/>
  <c r="V100" i="25" s="1"/>
  <c r="P105" i="25"/>
  <c r="P107" i="25" s="1"/>
  <c r="AH74" i="25"/>
  <c r="AH79" i="25" s="1"/>
  <c r="I38" i="3"/>
  <c r="I36" i="3" s="1"/>
  <c r="N67" i="25"/>
  <c r="N53" i="1" s="1"/>
  <c r="V67" i="25"/>
  <c r="V53" i="1" s="1"/>
  <c r="V58" i="1" s="1"/>
  <c r="AD67" i="25"/>
  <c r="AD53" i="1" s="1"/>
  <c r="AL67" i="25"/>
  <c r="AL65" i="1" s="1"/>
  <c r="W70" i="25"/>
  <c r="W72" i="25" s="1"/>
  <c r="W56" i="1"/>
  <c r="N112" i="1"/>
  <c r="N114" i="1" s="1"/>
  <c r="N126" i="25"/>
  <c r="N128" i="25" s="1"/>
  <c r="AL112" i="1"/>
  <c r="AL126" i="25"/>
  <c r="AL128" i="25" s="1"/>
  <c r="AK65" i="1"/>
  <c r="W121" i="25"/>
  <c r="W102" i="1"/>
  <c r="AL86" i="25"/>
  <c r="AJ119" i="25"/>
  <c r="AJ121" i="25" s="1"/>
  <c r="AJ39" i="25"/>
  <c r="AJ32" i="1" s="1"/>
  <c r="AJ37" i="25"/>
  <c r="T35" i="1"/>
  <c r="T42" i="25"/>
  <c r="T44" i="25" s="1"/>
  <c r="AB42" i="25"/>
  <c r="AB44" i="25" s="1"/>
  <c r="AB35" i="1"/>
  <c r="AB37" i="1" s="1"/>
  <c r="AJ42" i="25"/>
  <c r="AJ35" i="1"/>
  <c r="O46" i="25"/>
  <c r="O39" i="1" s="1"/>
  <c r="O44" i="1" s="1"/>
  <c r="U49" i="25"/>
  <c r="U51" i="25" s="1"/>
  <c r="U42" i="1"/>
  <c r="U44" i="1" s="1"/>
  <c r="AK51" i="25"/>
  <c r="AA74" i="25"/>
  <c r="AA65" i="1" s="1"/>
  <c r="AG74" i="25"/>
  <c r="Y81" i="25"/>
  <c r="Y86" i="25" s="1"/>
  <c r="J70" i="1"/>
  <c r="J84" i="25"/>
  <c r="J86" i="25" s="1"/>
  <c r="Z70" i="1"/>
  <c r="Z72" i="1" s="1"/>
  <c r="Z84" i="25"/>
  <c r="Z86" i="25" s="1"/>
  <c r="L91" i="25"/>
  <c r="L93" i="25" s="1"/>
  <c r="L77" i="1"/>
  <c r="AJ77" i="1"/>
  <c r="AJ91" i="25"/>
  <c r="AJ93" i="25" s="1"/>
  <c r="AD98" i="25"/>
  <c r="AD100" i="25" s="1"/>
  <c r="AD84" i="1"/>
  <c r="AD86" i="1" s="1"/>
  <c r="H91" i="1"/>
  <c r="H93" i="1" s="1"/>
  <c r="H105" i="25"/>
  <c r="AD36" i="3"/>
  <c r="AK123" i="25"/>
  <c r="AK109" i="1" s="1"/>
  <c r="AK114" i="1" s="1"/>
  <c r="O70" i="25"/>
  <c r="O72" i="25" s="1"/>
  <c r="AF23" i="25"/>
  <c r="AB25" i="25"/>
  <c r="T49" i="1"/>
  <c r="T51" i="1" s="1"/>
  <c r="T28" i="25"/>
  <c r="T30" i="25" s="1"/>
  <c r="AL28" i="1"/>
  <c r="AL35" i="25"/>
  <c r="O39" i="25"/>
  <c r="AC39" i="25"/>
  <c r="AC32" i="1" s="1"/>
  <c r="AC30" i="1"/>
  <c r="M42" i="25"/>
  <c r="M35" i="1"/>
  <c r="U42" i="25"/>
  <c r="U35" i="1"/>
  <c r="AK35" i="1"/>
  <c r="AK37" i="1" s="1"/>
  <c r="AK42" i="25"/>
  <c r="AK44" i="25" s="1"/>
  <c r="P46" i="25"/>
  <c r="AD42" i="1"/>
  <c r="AD44" i="1" s="1"/>
  <c r="AD49" i="25"/>
  <c r="AD51" i="25" s="1"/>
  <c r="R84" i="25"/>
  <c r="R86" i="25" s="1"/>
  <c r="R70" i="1"/>
  <c r="R72" i="1" s="1"/>
  <c r="AH84" i="25"/>
  <c r="AH86" i="25" s="1"/>
  <c r="AH70" i="1"/>
  <c r="AH72" i="1" s="1"/>
  <c r="X91" i="1"/>
  <c r="X93" i="1" s="1"/>
  <c r="X105" i="25"/>
  <c r="X107" i="25" s="1"/>
  <c r="AF91" i="1"/>
  <c r="AF105" i="25"/>
  <c r="AF107" i="25" s="1"/>
  <c r="N79" i="1"/>
  <c r="N93" i="25"/>
  <c r="J98" i="1"/>
  <c r="J100" i="1" s="1"/>
  <c r="T63" i="1"/>
  <c r="AJ63" i="1"/>
  <c r="AJ65" i="1" s="1"/>
  <c r="AK77" i="25"/>
  <c r="AK79" i="25" s="1"/>
  <c r="AE70" i="25"/>
  <c r="AE72" i="25" s="1"/>
  <c r="N18" i="25"/>
  <c r="N23" i="1" s="1"/>
  <c r="V32" i="3"/>
  <c r="V18" i="25"/>
  <c r="AD32" i="3"/>
  <c r="AD18" i="25"/>
  <c r="W21" i="25"/>
  <c r="W23" i="25" s="1"/>
  <c r="H25" i="25"/>
  <c r="AJ25" i="25"/>
  <c r="M49" i="1"/>
  <c r="M51" i="1" s="1"/>
  <c r="M28" i="25"/>
  <c r="M30" i="25" s="1"/>
  <c r="U49" i="1"/>
  <c r="U51" i="1" s="1"/>
  <c r="U28" i="25"/>
  <c r="U30" i="25" s="1"/>
  <c r="AE35" i="25"/>
  <c r="AE37" i="25" s="1"/>
  <c r="AE28" i="1"/>
  <c r="H32" i="1"/>
  <c r="V81" i="1"/>
  <c r="V86" i="1" s="1"/>
  <c r="U77" i="25"/>
  <c r="U79" i="25" s="1"/>
  <c r="U63" i="1"/>
  <c r="T77" i="1"/>
  <c r="T79" i="1" s="1"/>
  <c r="T91" i="25"/>
  <c r="T93" i="25" s="1"/>
  <c r="N98" i="25"/>
  <c r="N100" i="25" s="1"/>
  <c r="N84" i="1"/>
  <c r="N86" i="1" s="1"/>
  <c r="R112" i="25"/>
  <c r="R114" i="25" s="1"/>
  <c r="R98" i="1"/>
  <c r="R100" i="1" s="1"/>
  <c r="Z112" i="25"/>
  <c r="Z114" i="25" s="1"/>
  <c r="Z98" i="1"/>
  <c r="Z100" i="1" s="1"/>
  <c r="AH112" i="25"/>
  <c r="AH114" i="25" s="1"/>
  <c r="AH98" i="1"/>
  <c r="AH100" i="1" s="1"/>
  <c r="AB119" i="25"/>
  <c r="AB121" i="25" s="1"/>
  <c r="AB105" i="1"/>
  <c r="AB107" i="1" s="1"/>
  <c r="V126" i="25"/>
  <c r="V128" i="25" s="1"/>
  <c r="V112" i="1"/>
  <c r="V114" i="1" s="1"/>
  <c r="P93" i="1"/>
  <c r="V116" i="1"/>
  <c r="V121" i="1" s="1"/>
  <c r="AH86" i="1"/>
  <c r="T93" i="1"/>
  <c r="AE18" i="25"/>
  <c r="H21" i="25"/>
  <c r="H23" i="25" s="1"/>
  <c r="X21" i="25"/>
  <c r="P25" i="25"/>
  <c r="P30" i="25" s="1"/>
  <c r="AD112" i="1"/>
  <c r="AD114" i="1" s="1"/>
  <c r="AD126" i="25"/>
  <c r="AD128" i="25" s="1"/>
  <c r="K25" i="3"/>
  <c r="K29" i="3" s="1"/>
  <c r="S116" i="25"/>
  <c r="S102" i="1" s="1"/>
  <c r="AB77" i="1"/>
  <c r="AB79" i="1" s="1"/>
  <c r="U128" i="25"/>
  <c r="L37" i="25"/>
  <c r="AB77" i="25"/>
  <c r="AB79" i="25" s="1"/>
  <c r="AB63" i="1"/>
  <c r="AB65" i="1" s="1"/>
  <c r="U67" i="25"/>
  <c r="N70" i="25"/>
  <c r="N56" i="1"/>
  <c r="AD70" i="25"/>
  <c r="AD56" i="1"/>
  <c r="AL70" i="25"/>
  <c r="AL56" i="1"/>
  <c r="AF81" i="25"/>
  <c r="I72" i="1"/>
  <c r="J93" i="25"/>
  <c r="K77" i="1"/>
  <c r="K79" i="1" s="1"/>
  <c r="K91" i="25"/>
  <c r="K93" i="25" s="1"/>
  <c r="AA91" i="25"/>
  <c r="AA93" i="25" s="1"/>
  <c r="AA77" i="1"/>
  <c r="AI91" i="25"/>
  <c r="AI93" i="25" s="1"/>
  <c r="AI77" i="1"/>
  <c r="AI79" i="1" s="1"/>
  <c r="L95" i="25"/>
  <c r="L81" i="1" s="1"/>
  <c r="AJ100" i="25"/>
  <c r="AJ81" i="1"/>
  <c r="AJ86" i="1" s="1"/>
  <c r="U98" i="25"/>
  <c r="U84" i="1"/>
  <c r="AK98" i="25"/>
  <c r="AK100" i="25" s="1"/>
  <c r="AK84" i="1"/>
  <c r="AL102" i="25"/>
  <c r="AL100" i="1" s="1"/>
  <c r="O91" i="1"/>
  <c r="O105" i="25"/>
  <c r="O107" i="25" s="1"/>
  <c r="AE105" i="25"/>
  <c r="AE107" i="25" s="1"/>
  <c r="AE91" i="1"/>
  <c r="AE93" i="1" s="1"/>
  <c r="I98" i="1"/>
  <c r="I112" i="25"/>
  <c r="I114" i="25" s="1"/>
  <c r="Q112" i="25"/>
  <c r="Q114" i="25" s="1"/>
  <c r="Q98" i="1"/>
  <c r="Q100" i="1" s="1"/>
  <c r="Y98" i="1"/>
  <c r="Y100" i="1" s="1"/>
  <c r="Y112" i="25"/>
  <c r="Y114" i="25" s="1"/>
  <c r="AG98" i="1"/>
  <c r="AG112" i="25"/>
  <c r="AG114" i="25" s="1"/>
  <c r="K105" i="1"/>
  <c r="K119" i="25"/>
  <c r="K121" i="25" s="1"/>
  <c r="S105" i="1"/>
  <c r="S119" i="25"/>
  <c r="AA119" i="25"/>
  <c r="AA121" i="25" s="1"/>
  <c r="AA105" i="1"/>
  <c r="AA107" i="1" s="1"/>
  <c r="AI105" i="1"/>
  <c r="AI107" i="1" s="1"/>
  <c r="AI119" i="25"/>
  <c r="AI121" i="25" s="1"/>
  <c r="L123" i="25"/>
  <c r="M112" i="1"/>
  <c r="M114" i="1" s="1"/>
  <c r="M126" i="25"/>
  <c r="M128" i="25" s="1"/>
  <c r="AC112" i="1"/>
  <c r="AC114" i="1" s="1"/>
  <c r="AC126" i="25"/>
  <c r="AC128" i="25" s="1"/>
  <c r="AE58" i="1"/>
  <c r="V67" i="1"/>
  <c r="V72" i="1" s="1"/>
  <c r="O67" i="1"/>
  <c r="O72" i="1" s="1"/>
  <c r="AA86" i="1"/>
  <c r="X121" i="25"/>
  <c r="M72" i="25"/>
  <c r="H121" i="1"/>
  <c r="AK51" i="1"/>
  <c r="AB30" i="1"/>
  <c r="T37" i="25"/>
  <c r="Q93" i="1"/>
  <c r="V114" i="25"/>
  <c r="AE107" i="1"/>
  <c r="O30" i="25"/>
  <c r="AE30" i="25"/>
  <c r="I72" i="25"/>
  <c r="AK135" i="25"/>
  <c r="Y114" i="1"/>
  <c r="K51" i="1"/>
  <c r="S93" i="1"/>
  <c r="R37" i="25"/>
  <c r="AK121" i="1"/>
  <c r="J44" i="1"/>
  <c r="J128" i="25"/>
  <c r="O58" i="1"/>
  <c r="I100" i="25"/>
  <c r="AJ107" i="1"/>
  <c r="Y93" i="25"/>
  <c r="U93" i="1"/>
  <c r="O114" i="25"/>
  <c r="Z93" i="1"/>
  <c r="AK72" i="25"/>
  <c r="O107" i="1"/>
  <c r="M21" i="25"/>
  <c r="AI51" i="1"/>
  <c r="N44" i="1"/>
  <c r="W15" i="25"/>
  <c r="S159" i="56" s="1"/>
  <c r="W15" i="1"/>
  <c r="S165" i="56" s="1"/>
  <c r="F87" i="1"/>
  <c r="Z23" i="25"/>
  <c r="Y23" i="25"/>
  <c r="W25" i="3"/>
  <c r="T23" i="25"/>
  <c r="X23" i="25"/>
  <c r="R32" i="3"/>
  <c r="AL18" i="25"/>
  <c r="AK18" i="25"/>
  <c r="P18" i="25"/>
  <c r="Q23" i="25"/>
  <c r="V22" i="3"/>
  <c r="V10" i="3" s="1"/>
  <c r="R107" i="56" s="1"/>
  <c r="AC25" i="3"/>
  <c r="U23" i="25"/>
  <c r="L51" i="25"/>
  <c r="L39" i="1"/>
  <c r="S38" i="3"/>
  <c r="V79" i="25"/>
  <c r="V65" i="1"/>
  <c r="W30" i="25"/>
  <c r="R51" i="25"/>
  <c r="R39" i="1"/>
  <c r="R44" i="1" s="1"/>
  <c r="T38" i="3"/>
  <c r="T36" i="3" s="1"/>
  <c r="Y65" i="1"/>
  <c r="H32" i="3"/>
  <c r="H44" i="3" s="1"/>
  <c r="N116" i="1"/>
  <c r="N121" i="1" s="1"/>
  <c r="N135" i="25"/>
  <c r="O116" i="1"/>
  <c r="O135" i="25"/>
  <c r="X46" i="1"/>
  <c r="X51" i="1" s="1"/>
  <c r="X30" i="25"/>
  <c r="AI22" i="3"/>
  <c r="AI10" i="3" s="1"/>
  <c r="AE107" i="56" s="1"/>
  <c r="AA39" i="1"/>
  <c r="AA44" i="1" s="1"/>
  <c r="AA51" i="25"/>
  <c r="T32" i="1"/>
  <c r="AB39" i="1"/>
  <c r="AB44" i="1" s="1"/>
  <c r="AH107" i="1"/>
  <c r="W109" i="1"/>
  <c r="X53" i="1"/>
  <c r="X58" i="1" s="1"/>
  <c r="R93" i="25"/>
  <c r="W3" i="64"/>
  <c r="J107" i="1"/>
  <c r="AI28" i="25"/>
  <c r="AI30" i="25" s="1"/>
  <c r="S98" i="1"/>
  <c r="Y121" i="1"/>
  <c r="AH119" i="25"/>
  <c r="AH121" i="25" s="1"/>
  <c r="I56" i="1"/>
  <c r="I58" i="1" s="1"/>
  <c r="AC49" i="25"/>
  <c r="AC51" i="25" s="1"/>
  <c r="AL98" i="25"/>
  <c r="AL100" i="25" s="1"/>
  <c r="Z3" i="64"/>
  <c r="AF58" i="1"/>
  <c r="AG88" i="25"/>
  <c r="F88" i="25" s="1"/>
  <c r="F139" i="59" s="1"/>
  <c r="I107" i="1"/>
  <c r="AD107" i="1"/>
  <c r="T86" i="25"/>
  <c r="Q42" i="1"/>
  <c r="AD25" i="3"/>
  <c r="T3" i="64"/>
  <c r="K32" i="3"/>
  <c r="K44" i="3" s="1"/>
  <c r="K42" i="3" s="1"/>
  <c r="AE67" i="1"/>
  <c r="AE72" i="1" s="1"/>
  <c r="AA109" i="25"/>
  <c r="F109" i="25" s="1"/>
  <c r="Y116" i="25"/>
  <c r="Y102" i="1" s="1"/>
  <c r="Y107" i="1" s="1"/>
  <c r="P121" i="1"/>
  <c r="N119" i="25"/>
  <c r="N121" i="25" s="1"/>
  <c r="AE63" i="1"/>
  <c r="AE65" i="1" s="1"/>
  <c r="AJ93" i="1"/>
  <c r="AG42" i="25"/>
  <c r="AG44" i="25" s="1"/>
  <c r="AK42" i="1"/>
  <c r="AK44" i="1" s="1"/>
  <c r="AE77" i="25"/>
  <c r="AE79" i="25" s="1"/>
  <c r="AC79" i="25"/>
  <c r="AD67" i="1"/>
  <c r="Z100" i="25"/>
  <c r="M88" i="1"/>
  <c r="M93" i="1" s="1"/>
  <c r="I95" i="1"/>
  <c r="W63" i="1"/>
  <c r="W65" i="1" s="1"/>
  <c r="AH25" i="25"/>
  <c r="Z39" i="25"/>
  <c r="Z10" i="25" s="1"/>
  <c r="V95" i="56" s="1"/>
  <c r="AF114" i="1"/>
  <c r="L58" i="1"/>
  <c r="P98" i="1"/>
  <c r="P100" i="1" s="1"/>
  <c r="R23" i="25"/>
  <c r="AI67" i="1"/>
  <c r="AI37" i="25"/>
  <c r="N51" i="25"/>
  <c r="K88" i="1"/>
  <c r="K93" i="1" s="1"/>
  <c r="V107" i="1"/>
  <c r="O109" i="1"/>
  <c r="O114" i="1" s="1"/>
  <c r="L135" i="25"/>
  <c r="S23" i="25"/>
  <c r="AA25" i="3"/>
  <c r="AA58" i="1"/>
  <c r="AL105" i="25"/>
  <c r="V51" i="1"/>
  <c r="AI128" i="25"/>
  <c r="J39" i="25"/>
  <c r="J49" i="25"/>
  <c r="J51" i="25" s="1"/>
  <c r="J112" i="1"/>
  <c r="J114" i="1" s="1"/>
  <c r="Q84" i="25"/>
  <c r="Q86" i="25" s="1"/>
  <c r="AH22" i="3"/>
  <c r="J114" i="25"/>
  <c r="W86" i="25"/>
  <c r="I102" i="25"/>
  <c r="U28" i="1"/>
  <c r="R91" i="1"/>
  <c r="AC35" i="25"/>
  <c r="AH25" i="3"/>
  <c r="W81" i="1"/>
  <c r="X36" i="3"/>
  <c r="AD23" i="25"/>
  <c r="X79" i="1"/>
  <c r="AI93" i="1"/>
  <c r="S114" i="25"/>
  <c r="S114" i="1"/>
  <c r="R105" i="25"/>
  <c r="R107" i="25" s="1"/>
  <c r="AK107" i="25"/>
  <c r="AA135" i="25"/>
  <c r="U121" i="25"/>
  <c r="AB88" i="1"/>
  <c r="AC18" i="25"/>
  <c r="Y58" i="1"/>
  <c r="AL86" i="1"/>
  <c r="Q107" i="1"/>
  <c r="T114" i="1"/>
  <c r="Y135" i="25"/>
  <c r="T84" i="1"/>
  <c r="T86" i="1" s="1"/>
  <c r="AG128" i="25"/>
  <c r="S81" i="1"/>
  <c r="S86" i="1" s="1"/>
  <c r="T100" i="25"/>
  <c r="AJ114" i="25"/>
  <c r="V79" i="1"/>
  <c r="AI100" i="1"/>
  <c r="V91" i="25"/>
  <c r="V93" i="25" s="1"/>
  <c r="AE49" i="1"/>
  <c r="AE51" i="1" s="1"/>
  <c r="N107" i="1"/>
  <c r="K18" i="25"/>
  <c r="AF126" i="25"/>
  <c r="AF128" i="25" s="1"/>
  <c r="X70" i="1"/>
  <c r="K100" i="25"/>
  <c r="AE25" i="3"/>
  <c r="AG86" i="1"/>
  <c r="AF114" i="25"/>
  <c r="N100" i="1"/>
  <c r="Q128" i="25"/>
  <c r="L126" i="25"/>
  <c r="AC56" i="1"/>
  <c r="AC58" i="1" s="1"/>
  <c r="U3" i="64"/>
  <c r="H107" i="25"/>
  <c r="AG37" i="1"/>
  <c r="O30" i="1"/>
  <c r="H38" i="3"/>
  <c r="X44" i="25"/>
  <c r="X32" i="1"/>
  <c r="X37" i="1" s="1"/>
  <c r="AD44" i="3"/>
  <c r="AD42" i="3" s="1"/>
  <c r="K32" i="1"/>
  <c r="K44" i="25"/>
  <c r="L32" i="1"/>
  <c r="L37" i="1" s="1"/>
  <c r="J38" i="3"/>
  <c r="E3" i="64" s="1"/>
  <c r="I44" i="25"/>
  <c r="I32" i="1"/>
  <c r="I37" i="1" s="1"/>
  <c r="Q51" i="25"/>
  <c r="Q39" i="1"/>
  <c r="Q10" i="25"/>
  <c r="M95" i="56" s="1"/>
  <c r="AG51" i="25"/>
  <c r="AG39" i="1"/>
  <c r="AE32" i="1"/>
  <c r="AE37" i="1" s="1"/>
  <c r="AE44" i="25"/>
  <c r="P38" i="3"/>
  <c r="AG46" i="1"/>
  <c r="AG51" i="1" s="1"/>
  <c r="AF65" i="1"/>
  <c r="AF79" i="25"/>
  <c r="X22" i="3"/>
  <c r="X10" i="3" s="1"/>
  <c r="T107" i="56" s="1"/>
  <c r="Y46" i="1"/>
  <c r="Y51" i="1" s="1"/>
  <c r="Y30" i="25"/>
  <c r="AL51" i="25"/>
  <c r="AL39" i="1"/>
  <c r="AL44" i="1" s="1"/>
  <c r="AI38" i="3"/>
  <c r="S46" i="1"/>
  <c r="AC39" i="1"/>
  <c r="AC44" i="1" s="1"/>
  <c r="AD116" i="1"/>
  <c r="AD121" i="1" s="1"/>
  <c r="AC44" i="3"/>
  <c r="AC42" i="3" s="1"/>
  <c r="AC22" i="3"/>
  <c r="AC10" i="3" s="1"/>
  <c r="Y107" i="56" s="1"/>
  <c r="W32" i="3"/>
  <c r="H39" i="1"/>
  <c r="H44" i="1" s="1"/>
  <c r="H51" i="25"/>
  <c r="H10" i="25"/>
  <c r="D95" i="56" s="1"/>
  <c r="D96" i="56" s="1"/>
  <c r="AL44" i="25"/>
  <c r="I51" i="25"/>
  <c r="I39" i="1"/>
  <c r="Y25" i="3"/>
  <c r="P102" i="1"/>
  <c r="P107" i="1" s="1"/>
  <c r="Y72" i="25"/>
  <c r="Z93" i="25"/>
  <c r="L79" i="1"/>
  <c r="O100" i="25"/>
  <c r="AF88" i="1"/>
  <c r="S95" i="1"/>
  <c r="V121" i="25"/>
  <c r="AD107" i="25"/>
  <c r="P114" i="25"/>
  <c r="W53" i="1"/>
  <c r="AC67" i="1"/>
  <c r="AC72" i="1" s="1"/>
  <c r="U22" i="3"/>
  <c r="U10" i="3" s="1"/>
  <c r="Q107" i="56" s="1"/>
  <c r="P22" i="3"/>
  <c r="P10" i="3" s="1"/>
  <c r="L107" i="56" s="1"/>
  <c r="J79" i="1"/>
  <c r="AF95" i="1"/>
  <c r="AF100" i="1" s="1"/>
  <c r="X25" i="3"/>
  <c r="P67" i="1"/>
  <c r="P72" i="1" s="1"/>
  <c r="M100" i="25"/>
  <c r="L3" i="64"/>
  <c r="AJ36" i="3"/>
  <c r="H128" i="25"/>
  <c r="V95" i="1"/>
  <c r="V100" i="1" s="1"/>
  <c r="AF121" i="25"/>
  <c r="L23" i="1"/>
  <c r="O35" i="25"/>
  <c r="O37" i="25" s="1"/>
  <c r="AC21" i="25"/>
  <c r="AC121" i="1"/>
  <c r="T65" i="1"/>
  <c r="L36" i="3"/>
  <c r="M100" i="1"/>
  <c r="AK28" i="25"/>
  <c r="AK30" i="25" s="1"/>
  <c r="L51" i="1"/>
  <c r="T25" i="3"/>
  <c r="M36" i="3"/>
  <c r="AI81" i="1"/>
  <c r="AI86" i="1" s="1"/>
  <c r="U86" i="25"/>
  <c r="AF93" i="25"/>
  <c r="AG116" i="1"/>
  <c r="AG121" i="1" s="1"/>
  <c r="M67" i="1"/>
  <c r="L107" i="1"/>
  <c r="N22" i="3"/>
  <c r="N10" i="3" s="1"/>
  <c r="J107" i="56" s="1"/>
  <c r="N25" i="3"/>
  <c r="AF37" i="25"/>
  <c r="Q51" i="1"/>
  <c r="W95" i="1"/>
  <c r="N35" i="25"/>
  <c r="AA51" i="1"/>
  <c r="X107" i="1"/>
  <c r="I128" i="25"/>
  <c r="K36" i="3"/>
  <c r="J67" i="1"/>
  <c r="Q28" i="25"/>
  <c r="Q30" i="25" s="1"/>
  <c r="L119" i="25"/>
  <c r="L121" i="25" s="1"/>
  <c r="AC63" i="1"/>
  <c r="AC65" i="1" s="1"/>
  <c r="M84" i="1"/>
  <c r="M86" i="1" s="1"/>
  <c r="M51" i="25"/>
  <c r="P25" i="3"/>
  <c r="T128" i="25"/>
  <c r="AC72" i="25"/>
  <c r="AB100" i="25"/>
  <c r="U72" i="1"/>
  <c r="F31" i="25"/>
  <c r="M15" i="3"/>
  <c r="N29" i="14" s="1"/>
  <c r="F30" i="3"/>
  <c r="V16" i="37"/>
  <c r="R183" i="56" s="1"/>
  <c r="V15" i="25"/>
  <c r="W23" i="14" s="1"/>
  <c r="L11" i="3"/>
  <c r="H73" i="57" s="1"/>
  <c r="Z49" i="3"/>
  <c r="AC15" i="3"/>
  <c r="Y171" i="56" s="1"/>
  <c r="AE11" i="3"/>
  <c r="AA105" i="56" s="1"/>
  <c r="F18" i="3"/>
  <c r="F37" i="3"/>
  <c r="AB49" i="3"/>
  <c r="AI11" i="3"/>
  <c r="AJ27" i="14" s="1"/>
  <c r="AH11" i="3"/>
  <c r="AI27" i="14" s="1"/>
  <c r="J11" i="3"/>
  <c r="AA49" i="3"/>
  <c r="AC11" i="3"/>
  <c r="Y105" i="56" s="1"/>
  <c r="F122" i="1"/>
  <c r="X11" i="3"/>
  <c r="AF11" i="3"/>
  <c r="S49" i="3"/>
  <c r="Y11" i="3"/>
  <c r="AJ15" i="3"/>
  <c r="AJ13" i="3" s="1"/>
  <c r="AK28" i="14" s="1"/>
  <c r="O15" i="3"/>
  <c r="S15" i="3"/>
  <c r="O171" i="56" s="1"/>
  <c r="K14" i="3"/>
  <c r="V15" i="3"/>
  <c r="Y15" i="3"/>
  <c r="U171" i="56" s="1"/>
  <c r="AD15" i="3"/>
  <c r="I49" i="3"/>
  <c r="Z15" i="3"/>
  <c r="AA29" i="14" s="1"/>
  <c r="F43" i="3"/>
  <c r="P11" i="3"/>
  <c r="F19" i="3"/>
  <c r="AA11" i="3"/>
  <c r="AI49" i="3"/>
  <c r="AF15" i="3"/>
  <c r="AB171" i="56" s="1"/>
  <c r="N11" i="3"/>
  <c r="O27" i="14" s="1"/>
  <c r="Y49" i="3"/>
  <c r="J15" i="3"/>
  <c r="Q11" i="3"/>
  <c r="M105" i="56" s="1"/>
  <c r="S109" i="57"/>
  <c r="S91" i="57" s="1"/>
  <c r="F20" i="3"/>
  <c r="T15" i="3"/>
  <c r="U29" i="14" s="1"/>
  <c r="Z11" i="3"/>
  <c r="Q15" i="3"/>
  <c r="L49" i="3"/>
  <c r="K15" i="3"/>
  <c r="G171" i="56" s="1"/>
  <c r="AE15" i="3"/>
  <c r="AG49" i="3"/>
  <c r="Q49" i="3"/>
  <c r="W49" i="3"/>
  <c r="O11" i="3"/>
  <c r="Q10" i="3"/>
  <c r="M107" i="56" s="1"/>
  <c r="K49" i="3"/>
  <c r="R15" i="3"/>
  <c r="S29" i="14" s="1"/>
  <c r="R11" i="3"/>
  <c r="S27" i="14" s="1"/>
  <c r="M11" i="3"/>
  <c r="I105" i="56" s="1"/>
  <c r="H49" i="3"/>
  <c r="AG15" i="3"/>
  <c r="AC171" i="56" s="1"/>
  <c r="AF49" i="3"/>
  <c r="AK15" i="3"/>
  <c r="AG109" i="57" s="1"/>
  <c r="AG91" i="57" s="1"/>
  <c r="AB11" i="3"/>
  <c r="X49" i="3"/>
  <c r="AD109" i="57"/>
  <c r="AD91" i="57" s="1"/>
  <c r="AL15" i="3"/>
  <c r="AH109" i="57" s="1"/>
  <c r="AH91" i="57" s="1"/>
  <c r="AI15" i="3"/>
  <c r="AJ29" i="14" s="1"/>
  <c r="P15" i="3"/>
  <c r="AJ49" i="3"/>
  <c r="M49" i="3"/>
  <c r="I15" i="3"/>
  <c r="I13" i="3" s="1"/>
  <c r="J28" i="14" s="1"/>
  <c r="AL11" i="3"/>
  <c r="AM27" i="14" s="1"/>
  <c r="T11" i="3"/>
  <c r="U27" i="14" s="1"/>
  <c r="X29" i="14"/>
  <c r="AB15" i="3"/>
  <c r="X171" i="56" s="1"/>
  <c r="AA15" i="3"/>
  <c r="W109" i="57" s="1"/>
  <c r="W91" i="57" s="1"/>
  <c r="K10" i="3"/>
  <c r="G75" i="57" s="1"/>
  <c r="H11" i="3"/>
  <c r="O49" i="3"/>
  <c r="AK49" i="3"/>
  <c r="AI29" i="14"/>
  <c r="U11" i="3"/>
  <c r="Q105" i="56" s="1"/>
  <c r="W11" i="3"/>
  <c r="X27" i="14" s="1"/>
  <c r="N15" i="3"/>
  <c r="K11" i="3"/>
  <c r="G73" i="57" s="1"/>
  <c r="E105" i="56"/>
  <c r="AH49" i="3"/>
  <c r="V11" i="3"/>
  <c r="R105" i="56" s="1"/>
  <c r="AD49" i="3"/>
  <c r="R49" i="3"/>
  <c r="J27" i="14"/>
  <c r="L15" i="3"/>
  <c r="H109" i="57" s="1"/>
  <c r="AC49" i="3"/>
  <c r="G53" i="24"/>
  <c r="G116" i="24"/>
  <c r="G40" i="24"/>
  <c r="P49" i="3"/>
  <c r="H15" i="3"/>
  <c r="D171" i="56" s="1"/>
  <c r="Y9" i="24"/>
  <c r="G236" i="24"/>
  <c r="G91" i="24"/>
  <c r="J14" i="24"/>
  <c r="V10" i="24"/>
  <c r="AK8" i="24"/>
  <c r="Z8" i="24"/>
  <c r="G119" i="24"/>
  <c r="G23" i="24"/>
  <c r="G19" i="24"/>
  <c r="X10" i="24"/>
  <c r="S9" i="24"/>
  <c r="G148" i="24"/>
  <c r="D17" i="14"/>
  <c r="N49" i="3"/>
  <c r="U15" i="3"/>
  <c r="F45" i="3"/>
  <c r="G104" i="24"/>
  <c r="H8" i="24"/>
  <c r="G219" i="24"/>
  <c r="G67" i="24"/>
  <c r="G194" i="24"/>
  <c r="V14" i="24"/>
  <c r="G25" i="24"/>
  <c r="AF9" i="24"/>
  <c r="W13" i="24"/>
  <c r="N8" i="24"/>
  <c r="G47" i="24"/>
  <c r="G188" i="24"/>
  <c r="F23" i="3"/>
  <c r="G80" i="24"/>
  <c r="G31" i="24"/>
  <c r="R7" i="24"/>
  <c r="N45" i="57" s="1"/>
  <c r="S11" i="3"/>
  <c r="W183" i="56"/>
  <c r="AG8" i="24"/>
  <c r="G127" i="24"/>
  <c r="AC105" i="56"/>
  <c r="X7" i="24"/>
  <c r="F33" i="3"/>
  <c r="AB9" i="24"/>
  <c r="G112" i="24"/>
  <c r="G204" i="24"/>
  <c r="G198" i="24"/>
  <c r="I7" i="24"/>
  <c r="E45" i="57" s="1"/>
  <c r="K13" i="24"/>
  <c r="G49" i="24"/>
  <c r="L7" i="24"/>
  <c r="H45" i="57" s="1"/>
  <c r="G133" i="24"/>
  <c r="W77" i="56"/>
  <c r="G41" i="24"/>
  <c r="U13" i="24"/>
  <c r="X15" i="3"/>
  <c r="Z105" i="56"/>
  <c r="AH13" i="24"/>
  <c r="AL10" i="24"/>
  <c r="T49" i="3"/>
  <c r="G216" i="24"/>
  <c r="G155" i="24"/>
  <c r="G225" i="24"/>
  <c r="AI14" i="24"/>
  <c r="G145" i="24"/>
  <c r="AG9" i="24"/>
  <c r="AC77" i="56" s="1"/>
  <c r="G110" i="24"/>
  <c r="AB14" i="24"/>
  <c r="G121" i="24"/>
  <c r="G187" i="24"/>
  <c r="R9" i="24"/>
  <c r="N39" i="57" s="1"/>
  <c r="AD8" i="24"/>
  <c r="G118" i="24"/>
  <c r="AI9" i="24"/>
  <c r="L8" i="24"/>
  <c r="R77" i="56"/>
  <c r="AK11" i="3"/>
  <c r="G26" i="24"/>
  <c r="G142" i="24"/>
  <c r="Y14" i="24"/>
  <c r="G43" i="24"/>
  <c r="O9" i="24"/>
  <c r="K77" i="56" s="1"/>
  <c r="G215" i="24"/>
  <c r="P10" i="24"/>
  <c r="P9" i="24"/>
  <c r="G228" i="24"/>
  <c r="G86" i="24"/>
  <c r="G224" i="24"/>
  <c r="AJ7" i="24"/>
  <c r="G20" i="24"/>
  <c r="G207" i="24"/>
  <c r="AG111" i="56"/>
  <c r="F39" i="3"/>
  <c r="P7" i="24"/>
  <c r="G191" i="24"/>
  <c r="I14" i="24"/>
  <c r="AE9" i="24"/>
  <c r="X9" i="24"/>
  <c r="G167" i="24"/>
  <c r="G109" i="24"/>
  <c r="G62" i="24"/>
  <c r="X13" i="24"/>
  <c r="G29" i="24"/>
  <c r="G30" i="24" s="1"/>
  <c r="G32" i="24"/>
  <c r="AI8" i="24"/>
  <c r="G97" i="24"/>
  <c r="G218" i="24"/>
  <c r="G151" i="24"/>
  <c r="AH8" i="24"/>
  <c r="R10" i="24"/>
  <c r="S13" i="24"/>
  <c r="S15" i="24" s="1"/>
  <c r="O7" i="24"/>
  <c r="G166" i="24"/>
  <c r="U14" i="24"/>
  <c r="G95" i="24"/>
  <c r="G206" i="24"/>
  <c r="G83" i="24"/>
  <c r="T7" i="24"/>
  <c r="J10" i="24"/>
  <c r="N14" i="24"/>
  <c r="G172" i="24"/>
  <c r="D11" i="20"/>
  <c r="F12" i="59"/>
  <c r="F41" i="37"/>
  <c r="F21" i="3"/>
  <c r="F122" i="25"/>
  <c r="F208" i="59" s="1"/>
  <c r="F143" i="25"/>
  <c r="F101" i="25"/>
  <c r="F18" i="54"/>
  <c r="E18" i="14" s="1"/>
  <c r="F101" i="1"/>
  <c r="H176" i="59" s="1"/>
  <c r="AK27" i="14"/>
  <c r="R25" i="3"/>
  <c r="S25" i="3"/>
  <c r="I51" i="3"/>
  <c r="AF25" i="3"/>
  <c r="H25" i="3"/>
  <c r="Q25" i="3"/>
  <c r="Q29" i="3" s="1"/>
  <c r="Q14" i="3" s="1"/>
  <c r="AL25" i="3"/>
  <c r="J22" i="3"/>
  <c r="J10" i="3" s="1"/>
  <c r="AG25" i="3"/>
  <c r="O22" i="3"/>
  <c r="O10" i="3" s="1"/>
  <c r="K107" i="56" s="1"/>
  <c r="Q44" i="3"/>
  <c r="Q42" i="3" s="1"/>
  <c r="AB25" i="3"/>
  <c r="U81" i="1"/>
  <c r="U100" i="25"/>
  <c r="O25" i="3"/>
  <c r="AJ25" i="3"/>
  <c r="AK25" i="3"/>
  <c r="U36" i="3"/>
  <c r="P3" i="64"/>
  <c r="R3" i="64"/>
  <c r="W36" i="3"/>
  <c r="O88" i="1"/>
  <c r="I25" i="3"/>
  <c r="AA23" i="25"/>
  <c r="AG37" i="25"/>
  <c r="AK36" i="3"/>
  <c r="AF3" i="64"/>
  <c r="AE100" i="25"/>
  <c r="U44" i="3"/>
  <c r="U42" i="3" s="1"/>
  <c r="AD22" i="3"/>
  <c r="AD10" i="3" s="1"/>
  <c r="Z107" i="56" s="1"/>
  <c r="AE128" i="25"/>
  <c r="I86" i="1"/>
  <c r="M25" i="3"/>
  <c r="J25" i="3"/>
  <c r="H95" i="1"/>
  <c r="H114" i="25"/>
  <c r="M25" i="1"/>
  <c r="K95" i="1"/>
  <c r="K100" i="1" s="1"/>
  <c r="K114" i="25"/>
  <c r="K109" i="1"/>
  <c r="K128" i="25"/>
  <c r="R36" i="3"/>
  <c r="I25" i="1"/>
  <c r="I37" i="25"/>
  <c r="Z25" i="3"/>
  <c r="L25" i="3"/>
  <c r="AG95" i="1"/>
  <c r="AJ86" i="25"/>
  <c r="V30" i="1"/>
  <c r="T121" i="25"/>
  <c r="X67" i="1"/>
  <c r="X86" i="25"/>
  <c r="AD30" i="25"/>
  <c r="L30" i="25"/>
  <c r="S39" i="1"/>
  <c r="I32" i="3"/>
  <c r="AB46" i="1"/>
  <c r="R46" i="1"/>
  <c r="R30" i="25"/>
  <c r="AC38" i="3"/>
  <c r="AB32" i="3"/>
  <c r="M114" i="25"/>
  <c r="K67" i="1"/>
  <c r="X37" i="25"/>
  <c r="N30" i="25"/>
  <c r="AG100" i="25"/>
  <c r="AL114" i="25"/>
  <c r="AI32" i="3"/>
  <c r="AI44" i="3" s="1"/>
  <c r="AI42" i="3" s="1"/>
  <c r="Z109" i="1"/>
  <c r="Z114" i="1" s="1"/>
  <c r="Z128" i="25"/>
  <c r="L107" i="25"/>
  <c r="AF46" i="1"/>
  <c r="AF30" i="25"/>
  <c r="AB86" i="25"/>
  <c r="AG3" i="64"/>
  <c r="Q53" i="1"/>
  <c r="Q58" i="1" s="1"/>
  <c r="V3" i="64"/>
  <c r="P109" i="1"/>
  <c r="AG38" i="3"/>
  <c r="R88" i="1"/>
  <c r="O38" i="3"/>
  <c r="AH32" i="3"/>
  <c r="AH44" i="3" s="1"/>
  <c r="AH42" i="3" s="1"/>
  <c r="H67" i="1"/>
  <c r="S93" i="25"/>
  <c r="AH23" i="25"/>
  <c r="AK81" i="1"/>
  <c r="AK86" i="1" s="1"/>
  <c r="AD79" i="1"/>
  <c r="Z102" i="1"/>
  <c r="Z107" i="1" s="1"/>
  <c r="AL109" i="1"/>
  <c r="AG107" i="1"/>
  <c r="AJ72" i="25"/>
  <c r="AC79" i="1"/>
  <c r="AC93" i="25"/>
  <c r="I121" i="25"/>
  <c r="L100" i="25"/>
  <c r="U114" i="1"/>
  <c r="AC30" i="25"/>
  <c r="Y32" i="3"/>
  <c r="H98" i="1"/>
  <c r="AF98" i="25"/>
  <c r="AF100" i="25" s="1"/>
  <c r="AC49" i="1"/>
  <c r="AC51" i="1" s="1"/>
  <c r="I49" i="1"/>
  <c r="I51" i="1" s="1"/>
  <c r="K21" i="25"/>
  <c r="AA35" i="25"/>
  <c r="AA37" i="25" s="1"/>
  <c r="AE21" i="25"/>
  <c r="X126" i="25"/>
  <c r="X128" i="25" s="1"/>
  <c r="AJ70" i="1"/>
  <c r="AJ72" i="1" s="1"/>
  <c r="J105" i="25"/>
  <c r="J107" i="25" s="1"/>
  <c r="S42" i="25"/>
  <c r="U15" i="1"/>
  <c r="Q165" i="56" s="1"/>
  <c r="F108" i="1"/>
  <c r="H192" i="59" s="1"/>
  <c r="J15" i="25"/>
  <c r="A4" i="64"/>
  <c r="U47" i="3"/>
  <c r="U49" i="3"/>
  <c r="U15" i="25"/>
  <c r="Q97" i="57" s="1"/>
  <c r="T15" i="1"/>
  <c r="U26" i="14" s="1"/>
  <c r="D18" i="14"/>
  <c r="S59" i="56"/>
  <c r="F18" i="43"/>
  <c r="U63" i="56"/>
  <c r="AE65" i="56"/>
  <c r="F25" i="43"/>
  <c r="U57" i="56"/>
  <c r="F28" i="43"/>
  <c r="AH57" i="56"/>
  <c r="AF57" i="56"/>
  <c r="P63" i="56"/>
  <c r="K63" i="56"/>
  <c r="V59" i="56"/>
  <c r="L63" i="56"/>
  <c r="L65" i="56"/>
  <c r="AA65" i="56"/>
  <c r="F22" i="43"/>
  <c r="E57" i="56"/>
  <c r="S65" i="56"/>
  <c r="U65" i="56"/>
  <c r="Y65" i="56"/>
  <c r="AF63" i="56"/>
  <c r="AA59" i="56"/>
  <c r="J63" i="56"/>
  <c r="N63" i="56"/>
  <c r="AA63" i="56"/>
  <c r="AH63" i="56"/>
  <c r="AA57" i="56"/>
  <c r="F27" i="43"/>
  <c r="F30" i="43"/>
  <c r="U59" i="56"/>
  <c r="F24" i="43"/>
  <c r="F31" i="43"/>
  <c r="O63" i="56"/>
  <c r="Y59" i="56"/>
  <c r="F19" i="54"/>
  <c r="N15" i="1"/>
  <c r="AL11" i="1"/>
  <c r="F57" i="1" l="1"/>
  <c r="F140" i="25"/>
  <c r="H39" i="20" s="1"/>
  <c r="I39" i="20" s="1"/>
  <c r="G229" i="24"/>
  <c r="S32" i="14"/>
  <c r="F126" i="1"/>
  <c r="E39" i="57"/>
  <c r="F188" i="59"/>
  <c r="G183" i="24"/>
  <c r="F127" i="1"/>
  <c r="G127" i="1" s="1"/>
  <c r="G129" i="1"/>
  <c r="G124" i="1"/>
  <c r="U183" i="56"/>
  <c r="AK11" i="37"/>
  <c r="AL36" i="14" s="1"/>
  <c r="AL9" i="37"/>
  <c r="AM31" i="14" s="1"/>
  <c r="AH177" i="56"/>
  <c r="V183" i="56"/>
  <c r="AG183" i="56"/>
  <c r="AK10" i="37"/>
  <c r="AL34" i="14" s="1"/>
  <c r="AK9" i="37"/>
  <c r="AL31" i="14" s="1"/>
  <c r="AH189" i="56"/>
  <c r="AE183" i="56"/>
  <c r="AH111" i="56"/>
  <c r="M183" i="56"/>
  <c r="AF26" i="14"/>
  <c r="Z103" i="57"/>
  <c r="Z85" i="57" s="1"/>
  <c r="O24" i="14"/>
  <c r="U99" i="56"/>
  <c r="O103" i="57"/>
  <c r="O85" i="57" s="1"/>
  <c r="O165" i="56"/>
  <c r="G67" i="57"/>
  <c r="E103" i="57"/>
  <c r="E104" i="57" s="1"/>
  <c r="R103" i="57"/>
  <c r="R85" i="57" s="1"/>
  <c r="G99" i="56"/>
  <c r="Z165" i="56"/>
  <c r="J93" i="56"/>
  <c r="T23" i="14"/>
  <c r="O97" i="57"/>
  <c r="O79" i="57" s="1"/>
  <c r="G205" i="24"/>
  <c r="D75" i="56"/>
  <c r="H12" i="24"/>
  <c r="I20" i="14" s="1"/>
  <c r="Q39" i="57"/>
  <c r="AD77" i="56"/>
  <c r="E75" i="56"/>
  <c r="J16" i="24"/>
  <c r="G84" i="24"/>
  <c r="S11" i="24"/>
  <c r="F81" i="56"/>
  <c r="AC189" i="56"/>
  <c r="AC153" i="56" s="1"/>
  <c r="O37" i="14"/>
  <c r="AH171" i="56"/>
  <c r="Y67" i="1"/>
  <c r="Y72" i="1" s="1"/>
  <c r="S10" i="25"/>
  <c r="O95" i="56" s="1"/>
  <c r="T51" i="25"/>
  <c r="T10" i="25"/>
  <c r="P95" i="56" s="1"/>
  <c r="AK37" i="25"/>
  <c r="AL88" i="1"/>
  <c r="AL93" i="1" s="1"/>
  <c r="AL114" i="1"/>
  <c r="AB51" i="1"/>
  <c r="H37" i="25"/>
  <c r="R10" i="25"/>
  <c r="N95" i="56" s="1"/>
  <c r="W86" i="1"/>
  <c r="T37" i="1"/>
  <c r="I23" i="25"/>
  <c r="K37" i="25"/>
  <c r="W37" i="25"/>
  <c r="X72" i="1"/>
  <c r="AL10" i="25"/>
  <c r="AH95" i="56" s="1"/>
  <c r="W107" i="1"/>
  <c r="T58" i="1"/>
  <c r="I23" i="1"/>
  <c r="AJ79" i="25"/>
  <c r="U86" i="1"/>
  <c r="R93" i="1"/>
  <c r="AH117" i="56"/>
  <c r="AH147" i="56" s="1"/>
  <c r="Q37" i="25"/>
  <c r="AH37" i="1"/>
  <c r="AL37" i="1"/>
  <c r="O123" i="56"/>
  <c r="AL10" i="37"/>
  <c r="AM34" i="14" s="1"/>
  <c r="AK14" i="1"/>
  <c r="V37" i="1"/>
  <c r="AG100" i="1"/>
  <c r="O29" i="3"/>
  <c r="O14" i="3" s="1"/>
  <c r="O12" i="3" s="1"/>
  <c r="AG117" i="56"/>
  <c r="AE30" i="1"/>
  <c r="G211" i="24"/>
  <c r="L81" i="56"/>
  <c r="G75" i="24"/>
  <c r="S83" i="56"/>
  <c r="O75" i="56"/>
  <c r="I83" i="56"/>
  <c r="I89" i="56" s="1"/>
  <c r="G238" i="24"/>
  <c r="W15" i="24"/>
  <c r="G247" i="24"/>
  <c r="M77" i="56"/>
  <c r="M89" i="56" s="1"/>
  <c r="W11" i="24"/>
  <c r="AL15" i="24"/>
  <c r="O45" i="57"/>
  <c r="P12" i="24"/>
  <c r="Q20" i="14" s="1"/>
  <c r="J12" i="24"/>
  <c r="K20" i="14" s="1"/>
  <c r="D13" i="24"/>
  <c r="P16" i="24"/>
  <c r="AB83" i="56"/>
  <c r="AH165" i="56"/>
  <c r="J72" i="1"/>
  <c r="N29" i="3"/>
  <c r="N14" i="3" s="1"/>
  <c r="N12" i="3" s="1"/>
  <c r="AK128" i="25"/>
  <c r="T44" i="1"/>
  <c r="Y22" i="3"/>
  <c r="Y10" i="3" s="1"/>
  <c r="U107" i="56" s="1"/>
  <c r="AK10" i="1"/>
  <c r="AG101" i="56" s="1"/>
  <c r="AH65" i="1"/>
  <c r="F65" i="1" s="1"/>
  <c r="G66" i="1" s="1"/>
  <c r="S121" i="25"/>
  <c r="K72" i="25"/>
  <c r="AB177" i="56"/>
  <c r="F46" i="25"/>
  <c r="G19" i="20" s="1"/>
  <c r="G22" i="20" s="1"/>
  <c r="L44" i="1"/>
  <c r="M37" i="1"/>
  <c r="I141" i="56"/>
  <c r="Y44" i="3"/>
  <c r="Y42" i="3" s="1"/>
  <c r="AJ44" i="25"/>
  <c r="N72" i="25"/>
  <c r="O3" i="64"/>
  <c r="AH105" i="56"/>
  <c r="AK10" i="25"/>
  <c r="AG95" i="56" s="1"/>
  <c r="AD75" i="56"/>
  <c r="F17" i="14"/>
  <c r="G17" i="14" s="1"/>
  <c r="AH81" i="56"/>
  <c r="AL16" i="24"/>
  <c r="AH159" i="56"/>
  <c r="AH123" i="56" s="1"/>
  <c r="V111" i="56"/>
  <c r="AH77" i="56"/>
  <c r="AH89" i="56" s="1"/>
  <c r="AL11" i="37"/>
  <c r="AM36" i="14" s="1"/>
  <c r="Q111" i="56"/>
  <c r="Q141" i="56" s="1"/>
  <c r="AD189" i="56"/>
  <c r="Q32" i="14"/>
  <c r="Q37" i="14"/>
  <c r="U177" i="56"/>
  <c r="AB37" i="14"/>
  <c r="Z33" i="14"/>
  <c r="AE9" i="37"/>
  <c r="AF31" i="14" s="1"/>
  <c r="K117" i="56"/>
  <c r="K153" i="56" s="1"/>
  <c r="U30" i="14"/>
  <c r="AG77" i="56"/>
  <c r="AG89" i="56" s="1"/>
  <c r="G144" i="24"/>
  <c r="F124" i="59"/>
  <c r="AK15" i="24"/>
  <c r="F29" i="25"/>
  <c r="E14" i="20" s="1"/>
  <c r="F14" i="20" s="1"/>
  <c r="F22" i="25"/>
  <c r="E11" i="20" s="1"/>
  <c r="F11" i="20" s="1"/>
  <c r="F13" i="20" s="1"/>
  <c r="AG159" i="56"/>
  <c r="AG93" i="56"/>
  <c r="AG171" i="56"/>
  <c r="AG99" i="56"/>
  <c r="AG165" i="56"/>
  <c r="AF15" i="24"/>
  <c r="E11" i="56"/>
  <c r="AG189" i="56"/>
  <c r="AE93" i="56"/>
  <c r="AJ10" i="37"/>
  <c r="AK34" i="14" s="1"/>
  <c r="AF111" i="56"/>
  <c r="AF177" i="56"/>
  <c r="AJ11" i="37"/>
  <c r="AK36" i="14" s="1"/>
  <c r="AF189" i="56"/>
  <c r="AF117" i="56"/>
  <c r="AJ9" i="37"/>
  <c r="AK31" i="14" s="1"/>
  <c r="G147" i="24"/>
  <c r="AJ16" i="24"/>
  <c r="AF93" i="56"/>
  <c r="AF123" i="56" s="1"/>
  <c r="AG9" i="37"/>
  <c r="AH31" i="14" s="1"/>
  <c r="F34" i="37"/>
  <c r="G244" i="24"/>
  <c r="Z177" i="56"/>
  <c r="M9" i="37"/>
  <c r="N31" i="14" s="1"/>
  <c r="AE177" i="56"/>
  <c r="I12" i="24"/>
  <c r="J20" i="14" s="1"/>
  <c r="Q24" i="14"/>
  <c r="L141" i="56"/>
  <c r="Z99" i="56"/>
  <c r="X189" i="56"/>
  <c r="AH15" i="24"/>
  <c r="T117" i="56"/>
  <c r="R117" i="56"/>
  <c r="R147" i="56" s="1"/>
  <c r="N21" i="14"/>
  <c r="L12" i="24"/>
  <c r="M20" i="14" s="1"/>
  <c r="AJ30" i="1"/>
  <c r="AF86" i="25"/>
  <c r="F81" i="25"/>
  <c r="F123" i="59" s="1"/>
  <c r="AE10" i="25"/>
  <c r="AA95" i="56" s="1"/>
  <c r="AJ46" i="1"/>
  <c r="AJ10" i="25"/>
  <c r="AF95" i="56" s="1"/>
  <c r="F25" i="25"/>
  <c r="G14" i="20" s="1"/>
  <c r="V10" i="25"/>
  <c r="R95" i="56" s="1"/>
  <c r="S72" i="25"/>
  <c r="AH44" i="25"/>
  <c r="O121" i="1"/>
  <c r="AC44" i="25"/>
  <c r="J39" i="20"/>
  <c r="M39" i="20" s="1"/>
  <c r="F32" i="25"/>
  <c r="G33" i="25" s="1"/>
  <c r="J25" i="1"/>
  <c r="K23" i="25"/>
  <c r="K14" i="25" s="1"/>
  <c r="AH30" i="1"/>
  <c r="O32" i="3"/>
  <c r="O44" i="3" s="1"/>
  <c r="O42" i="3" s="1"/>
  <c r="S30" i="14"/>
  <c r="R9" i="37"/>
  <c r="S31" i="14" s="1"/>
  <c r="N111" i="56"/>
  <c r="N141" i="56" s="1"/>
  <c r="AF116" i="1"/>
  <c r="AF121" i="1" s="1"/>
  <c r="AF135" i="25"/>
  <c r="F177" i="56"/>
  <c r="K35" i="14"/>
  <c r="J10" i="37"/>
  <c r="K34" i="14" s="1"/>
  <c r="AH37" i="25"/>
  <c r="P51" i="25"/>
  <c r="P39" i="1"/>
  <c r="P44" i="1" s="1"/>
  <c r="U25" i="3"/>
  <c r="N32" i="3"/>
  <c r="N44" i="3" s="1"/>
  <c r="N42" i="3" s="1"/>
  <c r="H37" i="1"/>
  <c r="X30" i="14"/>
  <c r="S111" i="56"/>
  <c r="S30" i="1"/>
  <c r="S37" i="25"/>
  <c r="N44" i="25"/>
  <c r="AA32" i="14"/>
  <c r="V177" i="56"/>
  <c r="AL23" i="25"/>
  <c r="AI32" i="1"/>
  <c r="U33" i="14"/>
  <c r="P117" i="56"/>
  <c r="P153" i="56" s="1"/>
  <c r="J11" i="37"/>
  <c r="K36" i="14" s="1"/>
  <c r="F189" i="56"/>
  <c r="K37" i="14"/>
  <c r="J37" i="25"/>
  <c r="T9" i="37"/>
  <c r="U31" i="14" s="1"/>
  <c r="H23" i="1"/>
  <c r="M44" i="25"/>
  <c r="AH33" i="14"/>
  <c r="AG11" i="37"/>
  <c r="AH36" i="14" s="1"/>
  <c r="T30" i="14"/>
  <c r="O111" i="56"/>
  <c r="O141" i="56" s="1"/>
  <c r="AE37" i="14"/>
  <c r="Z189" i="56"/>
  <c r="Y51" i="25"/>
  <c r="X24" i="14"/>
  <c r="S99" i="56"/>
  <c r="S129" i="56" s="1"/>
  <c r="AK26" i="14"/>
  <c r="AF103" i="57"/>
  <c r="AF85" i="57" s="1"/>
  <c r="R177" i="56"/>
  <c r="AH46" i="1"/>
  <c r="AH51" i="1" s="1"/>
  <c r="AH10" i="25"/>
  <c r="AD95" i="56" s="1"/>
  <c r="F74" i="25"/>
  <c r="G25" i="20" s="1"/>
  <c r="N23" i="25"/>
  <c r="U30" i="1"/>
  <c r="U10" i="25"/>
  <c r="Q95" i="56" s="1"/>
  <c r="J36" i="3"/>
  <c r="X21" i="14"/>
  <c r="X30" i="1"/>
  <c r="X10" i="25"/>
  <c r="T95" i="56" s="1"/>
  <c r="AE103" i="57"/>
  <c r="AE85" i="57" s="1"/>
  <c r="AI13" i="1"/>
  <c r="AJ25" i="14" s="1"/>
  <c r="AF37" i="14"/>
  <c r="AE11" i="37"/>
  <c r="AF36" i="14" s="1"/>
  <c r="Y30" i="1"/>
  <c r="Y37" i="25"/>
  <c r="AA79" i="25"/>
  <c r="N10" i="25"/>
  <c r="J95" i="56" s="1"/>
  <c r="AF51" i="1"/>
  <c r="U44" i="25"/>
  <c r="M33" i="14"/>
  <c r="H117" i="56"/>
  <c r="H147" i="56" s="1"/>
  <c r="M24" i="14"/>
  <c r="H99" i="56"/>
  <c r="J10" i="25"/>
  <c r="F95" i="56" s="1"/>
  <c r="P177" i="56"/>
  <c r="P141" i="56" s="1"/>
  <c r="J183" i="56"/>
  <c r="AH29" i="3"/>
  <c r="AH14" i="3" s="1"/>
  <c r="AD173" i="56" s="1"/>
  <c r="AH10" i="3"/>
  <c r="AD107" i="56" s="1"/>
  <c r="M10" i="25"/>
  <c r="I95" i="56" s="1"/>
  <c r="P46" i="1"/>
  <c r="P51" i="1" s="1"/>
  <c r="P10" i="25"/>
  <c r="L95" i="56" s="1"/>
  <c r="V37" i="25"/>
  <c r="AD72" i="1"/>
  <c r="F95" i="25"/>
  <c r="G33" i="20" s="1"/>
  <c r="L10" i="25"/>
  <c r="H95" i="56" s="1"/>
  <c r="U53" i="1"/>
  <c r="U58" i="1" s="1"/>
  <c r="U72" i="25"/>
  <c r="AC37" i="1"/>
  <c r="I103" i="57"/>
  <c r="I85" i="57" s="1"/>
  <c r="I165" i="56"/>
  <c r="N26" i="14"/>
  <c r="X33" i="14"/>
  <c r="S117" i="56"/>
  <c r="V44" i="25"/>
  <c r="Y121" i="25"/>
  <c r="L22" i="3"/>
  <c r="L10" i="3" s="1"/>
  <c r="H107" i="56" s="1"/>
  <c r="L44" i="3"/>
  <c r="L42" i="3" s="1"/>
  <c r="L26" i="14"/>
  <c r="G103" i="57"/>
  <c r="G165" i="56"/>
  <c r="K13" i="1"/>
  <c r="L25" i="14" s="1"/>
  <c r="AE10" i="37"/>
  <c r="AF34" i="14" s="1"/>
  <c r="K33" i="14"/>
  <c r="F117" i="56"/>
  <c r="AA117" i="56"/>
  <c r="AA153" i="56" s="1"/>
  <c r="AA79" i="1"/>
  <c r="F39" i="25"/>
  <c r="F43" i="59" s="1"/>
  <c r="AF30" i="14"/>
  <c r="AA111" i="56"/>
  <c r="AG10" i="25"/>
  <c r="AC95" i="56" s="1"/>
  <c r="AG23" i="25"/>
  <c r="L23" i="14"/>
  <c r="G159" i="56"/>
  <c r="O10" i="25"/>
  <c r="K95" i="56" s="1"/>
  <c r="O23" i="25"/>
  <c r="AL37" i="25"/>
  <c r="U65" i="1"/>
  <c r="U147" i="56"/>
  <c r="W100" i="1"/>
  <c r="M72" i="1"/>
  <c r="S51" i="1"/>
  <c r="W114" i="1"/>
  <c r="AI23" i="25"/>
  <c r="AI14" i="25" s="1"/>
  <c r="AE99" i="57" s="1"/>
  <c r="AE81" i="57" s="1"/>
  <c r="AL72" i="25"/>
  <c r="AD10" i="25"/>
  <c r="Z95" i="56" s="1"/>
  <c r="AI10" i="25"/>
  <c r="AE95" i="56" s="1"/>
  <c r="R32" i="1"/>
  <c r="R37" i="1" s="1"/>
  <c r="R44" i="25"/>
  <c r="R14" i="25" s="1"/>
  <c r="N99" i="57" s="1"/>
  <c r="N81" i="57" s="1"/>
  <c r="AC37" i="25"/>
  <c r="E165" i="56"/>
  <c r="I44" i="1"/>
  <c r="N37" i="25"/>
  <c r="AL30" i="1"/>
  <c r="Y183" i="56"/>
  <c r="AL26" i="14"/>
  <c r="W26" i="14"/>
  <c r="S100" i="1"/>
  <c r="P23" i="25"/>
  <c r="P14" i="25" s="1"/>
  <c r="L161" i="56" s="1"/>
  <c r="AD72" i="25"/>
  <c r="AD14" i="25" s="1"/>
  <c r="Z161" i="56" s="1"/>
  <c r="V23" i="25"/>
  <c r="W44" i="25"/>
  <c r="AI72" i="1"/>
  <c r="P9" i="37"/>
  <c r="Q31" i="14" s="1"/>
  <c r="S44" i="25"/>
  <c r="AB117" i="56"/>
  <c r="AJ30" i="25"/>
  <c r="AJ79" i="1"/>
  <c r="D117" i="56"/>
  <c r="D118" i="56" s="1"/>
  <c r="E118" i="56" s="1"/>
  <c r="AB183" i="56"/>
  <c r="AJ37" i="1"/>
  <c r="AE23" i="25"/>
  <c r="AE14" i="25" s="1"/>
  <c r="AA161" i="56" s="1"/>
  <c r="AD29" i="3"/>
  <c r="AD14" i="3" s="1"/>
  <c r="AD12" i="3" s="1"/>
  <c r="N30" i="14"/>
  <c r="N32" i="14"/>
  <c r="AF93" i="1"/>
  <c r="AG44" i="1"/>
  <c r="AL107" i="25"/>
  <c r="J23" i="25"/>
  <c r="W10" i="25"/>
  <c r="S95" i="56" s="1"/>
  <c r="T121" i="1"/>
  <c r="T10" i="37"/>
  <c r="U34" i="14" s="1"/>
  <c r="AF10" i="37"/>
  <c r="AG34" i="14" s="1"/>
  <c r="AG10" i="37"/>
  <c r="AH34" i="14" s="1"/>
  <c r="L128" i="25"/>
  <c r="L14" i="25" s="1"/>
  <c r="H161" i="56" s="1"/>
  <c r="AB72" i="25"/>
  <c r="AB14" i="25" s="1"/>
  <c r="L35" i="14"/>
  <c r="AC183" i="56"/>
  <c r="AC147" i="56" s="1"/>
  <c r="T32" i="3"/>
  <c r="T44" i="3" s="1"/>
  <c r="T42" i="3" s="1"/>
  <c r="AB93" i="1"/>
  <c r="AE32" i="3"/>
  <c r="AE44" i="3" s="1"/>
  <c r="AE42" i="3" s="1"/>
  <c r="M23" i="25"/>
  <c r="H22" i="3"/>
  <c r="H10" i="3" s="1"/>
  <c r="V25" i="3"/>
  <c r="AA183" i="56"/>
  <c r="I100" i="1"/>
  <c r="AF67" i="1"/>
  <c r="AF72" i="1" s="1"/>
  <c r="U37" i="1"/>
  <c r="K13" i="25"/>
  <c r="L22" i="14" s="1"/>
  <c r="AF10" i="25"/>
  <c r="AB95" i="56" s="1"/>
  <c r="AE165" i="56"/>
  <c r="AE111" i="56"/>
  <c r="F39" i="37"/>
  <c r="AE171" i="56"/>
  <c r="AE117" i="56"/>
  <c r="AE147" i="56" s="1"/>
  <c r="AE189" i="56"/>
  <c r="F141" i="25"/>
  <c r="E39" i="20" s="1"/>
  <c r="F39" i="20" s="1"/>
  <c r="L39" i="20" s="1"/>
  <c r="O39" i="20" s="1"/>
  <c r="G138" i="25"/>
  <c r="AJ26" i="14"/>
  <c r="AI15" i="24"/>
  <c r="M13" i="1"/>
  <c r="N25" i="14" s="1"/>
  <c r="AI10" i="37"/>
  <c r="AJ34" i="14" s="1"/>
  <c r="AF99" i="56"/>
  <c r="AF129" i="56" s="1"/>
  <c r="AF75" i="56"/>
  <c r="AF183" i="56"/>
  <c r="AE83" i="56"/>
  <c r="O117" i="56"/>
  <c r="H61" i="57"/>
  <c r="O30" i="14"/>
  <c r="T11" i="37"/>
  <c r="U36" i="14" s="1"/>
  <c r="G117" i="56"/>
  <c r="G147" i="56" s="1"/>
  <c r="AD177" i="56"/>
  <c r="S183" i="56"/>
  <c r="AE159" i="56"/>
  <c r="Q189" i="56"/>
  <c r="Q153" i="56" s="1"/>
  <c r="AB97" i="57"/>
  <c r="AB79" i="57" s="1"/>
  <c r="J117" i="56"/>
  <c r="J153" i="56" s="1"/>
  <c r="Q30" i="14"/>
  <c r="N33" i="14"/>
  <c r="U37" i="14"/>
  <c r="V32" i="14"/>
  <c r="L117" i="56"/>
  <c r="L153" i="56" s="1"/>
  <c r="AD117" i="56"/>
  <c r="H10" i="37"/>
  <c r="I34" i="14" s="1"/>
  <c r="AI11" i="37"/>
  <c r="AJ36" i="14" s="1"/>
  <c r="AI9" i="37"/>
  <c r="AJ31" i="14" s="1"/>
  <c r="P10" i="37"/>
  <c r="Q34" i="14" s="1"/>
  <c r="AC99" i="56"/>
  <c r="AC129" i="56" s="1"/>
  <c r="AB159" i="56"/>
  <c r="AB123" i="56" s="1"/>
  <c r="AH10" i="37"/>
  <c r="AI34" i="14" s="1"/>
  <c r="M30" i="14"/>
  <c r="J52" i="14" s="1"/>
  <c r="P11" i="37"/>
  <c r="Q36" i="14" s="1"/>
  <c r="AH11" i="37"/>
  <c r="AI36" i="14" s="1"/>
  <c r="M11" i="37"/>
  <c r="N36" i="14" s="1"/>
  <c r="AC75" i="56"/>
  <c r="AM21" i="14"/>
  <c r="D19" i="20"/>
  <c r="D22" i="20" s="1"/>
  <c r="J22" i="20" s="1"/>
  <c r="M22" i="20" s="1"/>
  <c r="AE105" i="56"/>
  <c r="AE99" i="56"/>
  <c r="W10" i="37"/>
  <c r="X34" i="14" s="1"/>
  <c r="P24" i="14"/>
  <c r="AA177" i="56"/>
  <c r="AC83" i="56"/>
  <c r="AC89" i="56" s="1"/>
  <c r="AG15" i="24"/>
  <c r="AD183" i="56"/>
  <c r="AH9" i="37"/>
  <c r="AI31" i="14" s="1"/>
  <c r="AD111" i="56"/>
  <c r="AD99" i="56"/>
  <c r="AD165" i="56"/>
  <c r="AD105" i="56"/>
  <c r="AD135" i="56" s="1"/>
  <c r="X11" i="37"/>
  <c r="Y36" i="14" s="1"/>
  <c r="S35" i="14"/>
  <c r="D36" i="20"/>
  <c r="D189" i="56"/>
  <c r="D190" i="56" s="1"/>
  <c r="W9" i="37"/>
  <c r="X31" i="14" s="1"/>
  <c r="Z117" i="56"/>
  <c r="Y117" i="56"/>
  <c r="T35" i="14"/>
  <c r="U10" i="37"/>
  <c r="V34" i="14" s="1"/>
  <c r="AD83" i="56"/>
  <c r="S177" i="56"/>
  <c r="AC10" i="37"/>
  <c r="AD34" i="14" s="1"/>
  <c r="I99" i="56"/>
  <c r="Z183" i="56"/>
  <c r="M99" i="56"/>
  <c r="M129" i="56" s="1"/>
  <c r="AE69" i="56"/>
  <c r="AC93" i="56"/>
  <c r="AC159" i="56"/>
  <c r="AH30" i="14"/>
  <c r="AC111" i="56"/>
  <c r="AH32" i="14"/>
  <c r="AC177" i="56"/>
  <c r="AB99" i="56"/>
  <c r="AB165" i="56"/>
  <c r="AF11" i="37"/>
  <c r="AG36" i="14" s="1"/>
  <c r="AB189" i="56"/>
  <c r="AB81" i="56"/>
  <c r="AF16" i="24"/>
  <c r="AF9" i="37"/>
  <c r="AG31" i="14" s="1"/>
  <c r="AB75" i="56"/>
  <c r="AB111" i="56"/>
  <c r="U189" i="56"/>
  <c r="U153" i="56" s="1"/>
  <c r="F64" i="25"/>
  <c r="F94" i="59" s="1"/>
  <c r="F111" i="56"/>
  <c r="U111" i="56"/>
  <c r="G66" i="25"/>
  <c r="J9" i="37"/>
  <c r="K31" i="14" s="1"/>
  <c r="D99" i="56"/>
  <c r="D100" i="56" s="1"/>
  <c r="L103" i="57"/>
  <c r="L85" i="57" s="1"/>
  <c r="Y9" i="37"/>
  <c r="Z31" i="14" s="1"/>
  <c r="F92" i="1"/>
  <c r="H158" i="59" s="1"/>
  <c r="AA103" i="57"/>
  <c r="AA85" i="57" s="1"/>
  <c r="AA159" i="56"/>
  <c r="AD10" i="1"/>
  <c r="Z101" i="56" s="1"/>
  <c r="X14" i="25"/>
  <c r="T99" i="57" s="1"/>
  <c r="T81" i="57" s="1"/>
  <c r="Y10" i="25"/>
  <c r="U95" i="56" s="1"/>
  <c r="H11" i="24"/>
  <c r="U75" i="56"/>
  <c r="U87" i="56" s="1"/>
  <c r="AC9" i="37"/>
  <c r="AD31" i="14" s="1"/>
  <c r="AF13" i="1"/>
  <c r="AG25" i="14" s="1"/>
  <c r="D30" i="20"/>
  <c r="AD13" i="1"/>
  <c r="AE25" i="14" s="1"/>
  <c r="V9" i="37"/>
  <c r="W31" i="14" s="1"/>
  <c r="AA93" i="56"/>
  <c r="G111" i="56"/>
  <c r="F78" i="25"/>
  <c r="E25" i="20" s="1"/>
  <c r="F25" i="20" s="1"/>
  <c r="O11" i="37"/>
  <c r="P36" i="14" s="1"/>
  <c r="U9" i="37"/>
  <c r="V31" i="14" s="1"/>
  <c r="J37" i="14"/>
  <c r="J25" i="20"/>
  <c r="M25" i="20" s="1"/>
  <c r="M147" i="56"/>
  <c r="R33" i="14"/>
  <c r="AA99" i="56"/>
  <c r="AA129" i="56" s="1"/>
  <c r="F183" i="56"/>
  <c r="AH103" i="57"/>
  <c r="AH85" i="57" s="1"/>
  <c r="M35" i="14"/>
  <c r="P37" i="14"/>
  <c r="Q10" i="37"/>
  <c r="R34" i="14" s="1"/>
  <c r="R111" i="56"/>
  <c r="H189" i="56"/>
  <c r="G162" i="24"/>
  <c r="H177" i="56"/>
  <c r="H141" i="56" s="1"/>
  <c r="T177" i="56"/>
  <c r="T141" i="56" s="1"/>
  <c r="G177" i="56"/>
  <c r="N99" i="56"/>
  <c r="N129" i="56" s="1"/>
  <c r="Q11" i="37"/>
  <c r="R36" i="14" s="1"/>
  <c r="E54" i="56"/>
  <c r="F54" i="56" s="1"/>
  <c r="G54" i="56" s="1"/>
  <c r="H54" i="56" s="1"/>
  <c r="I54" i="56" s="1"/>
  <c r="J54" i="56" s="1"/>
  <c r="K54" i="56" s="1"/>
  <c r="L54" i="56" s="1"/>
  <c r="M54" i="56" s="1"/>
  <c r="N54" i="56" s="1"/>
  <c r="O54" i="56" s="1"/>
  <c r="P54" i="56" s="1"/>
  <c r="Q54" i="56" s="1"/>
  <c r="R54" i="56" s="1"/>
  <c r="S54" i="56" s="1"/>
  <c r="T54" i="56" s="1"/>
  <c r="U54" i="56" s="1"/>
  <c r="V54" i="56" s="1"/>
  <c r="W54" i="56" s="1"/>
  <c r="X54" i="56" s="1"/>
  <c r="Y54" i="56" s="1"/>
  <c r="Z54" i="56" s="1"/>
  <c r="AA54" i="56" s="1"/>
  <c r="AB54" i="56" s="1"/>
  <c r="AC54" i="56" s="1"/>
  <c r="AD54" i="56" s="1"/>
  <c r="AE54" i="56" s="1"/>
  <c r="AF54" i="56" s="1"/>
  <c r="AG54" i="56" s="1"/>
  <c r="AH54" i="56" s="1"/>
  <c r="R13" i="1"/>
  <c r="S25" i="14" s="1"/>
  <c r="Z111" i="56"/>
  <c r="H67" i="57"/>
  <c r="L11" i="37"/>
  <c r="M36" i="14" s="1"/>
  <c r="L13" i="1"/>
  <c r="M25" i="14" s="1"/>
  <c r="Z75" i="56"/>
  <c r="Z93" i="56"/>
  <c r="AD16" i="24"/>
  <c r="AD15" i="24"/>
  <c r="V33" i="14"/>
  <c r="M189" i="56"/>
  <c r="M153" i="56" s="1"/>
  <c r="C13" i="37"/>
  <c r="S11" i="37"/>
  <c r="T36" i="14" s="1"/>
  <c r="H165" i="56"/>
  <c r="AG141" i="56"/>
  <c r="AL32" i="14"/>
  <c r="O9" i="37"/>
  <c r="P31" i="14" s="1"/>
  <c r="M37" i="57"/>
  <c r="V21" i="14"/>
  <c r="F99" i="25"/>
  <c r="E33" i="20" s="1"/>
  <c r="AB11" i="37"/>
  <c r="AC36" i="14" s="1"/>
  <c r="N103" i="57"/>
  <c r="N85" i="57" s="1"/>
  <c r="G38" i="54"/>
  <c r="Z159" i="56"/>
  <c r="W117" i="56"/>
  <c r="W147" i="56" s="1"/>
  <c r="R37" i="14"/>
  <c r="K10" i="37"/>
  <c r="L34" i="14" s="1"/>
  <c r="H103" i="57"/>
  <c r="AD9" i="37"/>
  <c r="AE31" i="14" s="1"/>
  <c r="M26" i="14"/>
  <c r="R11" i="37"/>
  <c r="S36" i="14" s="1"/>
  <c r="Z83" i="56"/>
  <c r="Z89" i="56" s="1"/>
  <c r="S26" i="14"/>
  <c r="G39" i="57"/>
  <c r="AA10" i="37"/>
  <c r="AB34" i="14" s="1"/>
  <c r="AD11" i="37"/>
  <c r="AE36" i="14" s="1"/>
  <c r="AD10" i="37"/>
  <c r="AE34" i="14" s="1"/>
  <c r="N117" i="56"/>
  <c r="N153" i="56" s="1"/>
  <c r="Y165" i="56"/>
  <c r="U21" i="14"/>
  <c r="N13" i="25"/>
  <c r="O22" i="14" s="1"/>
  <c r="J97" i="57"/>
  <c r="J79" i="57" s="1"/>
  <c r="J159" i="56"/>
  <c r="J123" i="56" s="1"/>
  <c r="K159" i="56"/>
  <c r="K97" i="57"/>
  <c r="K79" i="57" s="1"/>
  <c r="M23" i="14"/>
  <c r="H97" i="57"/>
  <c r="AF13" i="25"/>
  <c r="AG22" i="14" s="1"/>
  <c r="AA11" i="37"/>
  <c r="AB36" i="14" s="1"/>
  <c r="G66" i="24"/>
  <c r="G159" i="24"/>
  <c r="D83" i="56"/>
  <c r="D84" i="56" s="1"/>
  <c r="I16" i="24"/>
  <c r="V16" i="24"/>
  <c r="J15" i="24"/>
  <c r="G174" i="24"/>
  <c r="AB12" i="24"/>
  <c r="AC20" i="14" s="1"/>
  <c r="X81" i="56"/>
  <c r="AH11" i="24"/>
  <c r="Y12" i="24"/>
  <c r="Z20" i="14" s="1"/>
  <c r="AB16" i="24"/>
  <c r="AC15" i="24"/>
  <c r="AC16" i="24"/>
  <c r="Y93" i="56"/>
  <c r="Y123" i="56" s="1"/>
  <c r="AB10" i="37"/>
  <c r="AC34" i="14" s="1"/>
  <c r="AC13" i="1"/>
  <c r="AD25" i="14" s="1"/>
  <c r="G72" i="24"/>
  <c r="J33" i="14"/>
  <c r="K37" i="57"/>
  <c r="AC11" i="37"/>
  <c r="AD36" i="14" s="1"/>
  <c r="AB9" i="37"/>
  <c r="AC31" i="14" s="1"/>
  <c r="Y189" i="56"/>
  <c r="R129" i="56"/>
  <c r="N159" i="56"/>
  <c r="N123" i="56" s="1"/>
  <c r="AA9" i="37"/>
  <c r="AB31" i="14" s="1"/>
  <c r="I11" i="37"/>
  <c r="J36" i="14" s="1"/>
  <c r="V11" i="24"/>
  <c r="S23" i="14"/>
  <c r="I153" i="56"/>
  <c r="Z9" i="37"/>
  <c r="AA31" i="14" s="1"/>
  <c r="V189" i="56"/>
  <c r="V153" i="56" s="1"/>
  <c r="Q81" i="56"/>
  <c r="Q87" i="56" s="1"/>
  <c r="U16" i="24"/>
  <c r="H15" i="24"/>
  <c r="AE37" i="57"/>
  <c r="W24" i="14"/>
  <c r="S9" i="37"/>
  <c r="T31" i="14" s="1"/>
  <c r="P26" i="14"/>
  <c r="K129" i="56"/>
  <c r="AC13" i="25"/>
  <c r="AD22" i="14" s="1"/>
  <c r="Z11" i="37"/>
  <c r="AA36" i="14" s="1"/>
  <c r="X183" i="56"/>
  <c r="G108" i="24"/>
  <c r="AB103" i="57"/>
  <c r="AB85" i="57" s="1"/>
  <c r="R45" i="57"/>
  <c r="Y111" i="56"/>
  <c r="V24" i="14"/>
  <c r="L13" i="25"/>
  <c r="M22" i="14" s="1"/>
  <c r="I13" i="1"/>
  <c r="J25" i="14" s="1"/>
  <c r="O10" i="37"/>
  <c r="P34" i="14" s="1"/>
  <c r="G39" i="24"/>
  <c r="N10" i="37"/>
  <c r="O34" i="14" s="1"/>
  <c r="D67" i="57"/>
  <c r="E38" i="57"/>
  <c r="H93" i="56"/>
  <c r="H123" i="56" s="1"/>
  <c r="W111" i="56"/>
  <c r="N11" i="37"/>
  <c r="O36" i="14" s="1"/>
  <c r="G196" i="24"/>
  <c r="X177" i="56"/>
  <c r="F85" i="1"/>
  <c r="H142" i="59" s="1"/>
  <c r="J142" i="59" s="1"/>
  <c r="Q21" i="14"/>
  <c r="O13" i="1"/>
  <c r="P25" i="14" s="1"/>
  <c r="O189" i="56"/>
  <c r="Y99" i="56"/>
  <c r="I183" i="56"/>
  <c r="I147" i="56" s="1"/>
  <c r="S123" i="56"/>
  <c r="F85" i="25"/>
  <c r="E31" i="20" s="1"/>
  <c r="F31" i="20" s="1"/>
  <c r="V13" i="1"/>
  <c r="W25" i="14" s="1"/>
  <c r="Z10" i="37"/>
  <c r="AA34" i="14" s="1"/>
  <c r="E123" i="56"/>
  <c r="W16" i="24"/>
  <c r="G232" i="24"/>
  <c r="T183" i="56"/>
  <c r="Q83" i="56"/>
  <c r="Q89" i="56" s="1"/>
  <c r="U11" i="37"/>
  <c r="V36" i="14" s="1"/>
  <c r="Q13" i="1"/>
  <c r="R25" i="14" s="1"/>
  <c r="N37" i="14"/>
  <c r="M111" i="56"/>
  <c r="W12" i="24"/>
  <c r="X20" i="14" s="1"/>
  <c r="G171" i="24"/>
  <c r="H94" i="59"/>
  <c r="J94" i="59" s="1"/>
  <c r="J96" i="59" s="1"/>
  <c r="Y39" i="57"/>
  <c r="I32" i="14"/>
  <c r="G138" i="24"/>
  <c r="AD11" i="24"/>
  <c r="G214" i="24"/>
  <c r="Y103" i="57"/>
  <c r="Y85" i="57" s="1"/>
  <c r="G180" i="24"/>
  <c r="I9" i="37"/>
  <c r="J31" i="14" s="1"/>
  <c r="W177" i="56"/>
  <c r="M15" i="24"/>
  <c r="E111" i="56"/>
  <c r="V35" i="14"/>
  <c r="X117" i="56"/>
  <c r="T32" i="14"/>
  <c r="Q183" i="56"/>
  <c r="Q147" i="56" s="1"/>
  <c r="E97" i="57"/>
  <c r="S37" i="14"/>
  <c r="AH71" i="56"/>
  <c r="AB32" i="14"/>
  <c r="L97" i="57"/>
  <c r="L79" i="57" s="1"/>
  <c r="M10" i="37"/>
  <c r="N34" i="14" s="1"/>
  <c r="G192" i="24"/>
  <c r="G24" i="24"/>
  <c r="J75" i="56"/>
  <c r="L55" i="14"/>
  <c r="G114" i="24"/>
  <c r="S81" i="56"/>
  <c r="Q9" i="37"/>
  <c r="R31" i="14" s="1"/>
  <c r="X9" i="37"/>
  <c r="Y31" i="14" s="1"/>
  <c r="M177" i="56"/>
  <c r="X10" i="37"/>
  <c r="Y34" i="14" s="1"/>
  <c r="G57" i="24"/>
  <c r="F113" i="1"/>
  <c r="H206" i="59" s="1"/>
  <c r="J206" i="59" s="1"/>
  <c r="J208" i="59" s="1"/>
  <c r="G61" i="57"/>
  <c r="G79" i="57" s="1"/>
  <c r="H80" i="59"/>
  <c r="Y97" i="57"/>
  <c r="Y79" i="57" s="1"/>
  <c r="J64" i="59"/>
  <c r="E177" i="56"/>
  <c r="E178" i="56" s="1"/>
  <c r="L21" i="14"/>
  <c r="J177" i="56"/>
  <c r="J141" i="56" s="1"/>
  <c r="Q23" i="14"/>
  <c r="AH13" i="1"/>
  <c r="AI25" i="14" s="1"/>
  <c r="F128" i="59"/>
  <c r="K11" i="37"/>
  <c r="L36" i="14" s="1"/>
  <c r="AA33" i="14"/>
  <c r="X59" i="56"/>
  <c r="X71" i="56" s="1"/>
  <c r="H9" i="37"/>
  <c r="I31" i="14" s="1"/>
  <c r="P77" i="56"/>
  <c r="K177" i="56"/>
  <c r="K141" i="56" s="1"/>
  <c r="G89" i="56"/>
  <c r="Y30" i="14"/>
  <c r="W99" i="56"/>
  <c r="P99" i="56"/>
  <c r="AD23" i="14"/>
  <c r="T189" i="56"/>
  <c r="D93" i="56"/>
  <c r="D94" i="56" s="1"/>
  <c r="E94" i="56" s="1"/>
  <c r="AD103" i="57"/>
  <c r="AD85" i="57" s="1"/>
  <c r="H11" i="37"/>
  <c r="I36" i="14" s="1"/>
  <c r="K9" i="37"/>
  <c r="L31" i="14" s="1"/>
  <c r="X111" i="56"/>
  <c r="Z39" i="57"/>
  <c r="U12" i="24"/>
  <c r="V20" i="14" s="1"/>
  <c r="K103" i="57"/>
  <c r="K85" i="57" s="1"/>
  <c r="AG37" i="57"/>
  <c r="Y11" i="37"/>
  <c r="Z36" i="14" s="1"/>
  <c r="Y10" i="37"/>
  <c r="Z34" i="14" s="1"/>
  <c r="G165" i="24"/>
  <c r="E99" i="56"/>
  <c r="AE13" i="1"/>
  <c r="AF25" i="14" s="1"/>
  <c r="P35" i="14"/>
  <c r="E67" i="57"/>
  <c r="G153" i="24"/>
  <c r="L9" i="37"/>
  <c r="M31" i="14" s="1"/>
  <c r="G241" i="24"/>
  <c r="S21" i="14"/>
  <c r="I10" i="37"/>
  <c r="J34" i="14" s="1"/>
  <c r="Q16" i="24"/>
  <c r="N23" i="14"/>
  <c r="F56" i="25"/>
  <c r="F77" i="59" s="1"/>
  <c r="G45" i="57"/>
  <c r="F11" i="56"/>
  <c r="K11" i="24"/>
  <c r="R23" i="14"/>
  <c r="G199" i="24"/>
  <c r="D111" i="56"/>
  <c r="D112" i="56" s="1"/>
  <c r="F26" i="37"/>
  <c r="Q12" i="3"/>
  <c r="F120" i="1"/>
  <c r="AA13" i="1"/>
  <c r="AB25" i="14" s="1"/>
  <c r="X12" i="24"/>
  <c r="Y20" i="14" s="1"/>
  <c r="L10" i="37"/>
  <c r="M34" i="14" s="1"/>
  <c r="P183" i="56"/>
  <c r="AK13" i="25"/>
  <c r="AL22" i="14" s="1"/>
  <c r="L183" i="56"/>
  <c r="R89" i="56"/>
  <c r="L37" i="14"/>
  <c r="AG97" i="57"/>
  <c r="AG79" i="57" s="1"/>
  <c r="I159" i="56"/>
  <c r="I123" i="56" s="1"/>
  <c r="P43" i="57"/>
  <c r="T12" i="24"/>
  <c r="U20" i="14" s="1"/>
  <c r="M13" i="25"/>
  <c r="N22" i="14" s="1"/>
  <c r="R10" i="37"/>
  <c r="S34" i="14" s="1"/>
  <c r="T43" i="57"/>
  <c r="U83" i="56"/>
  <c r="S10" i="37"/>
  <c r="T34" i="14" s="1"/>
  <c r="N9" i="37"/>
  <c r="O31" i="14" s="1"/>
  <c r="AJ19" i="14"/>
  <c r="AC11" i="24"/>
  <c r="G60" i="24"/>
  <c r="I35" i="14"/>
  <c r="AK23" i="14"/>
  <c r="H37" i="57"/>
  <c r="G23" i="54"/>
  <c r="F43" i="37"/>
  <c r="AF97" i="57"/>
  <c r="AF79" i="57" s="1"/>
  <c r="S189" i="56"/>
  <c r="G19" i="54"/>
  <c r="R13" i="25"/>
  <c r="S22" i="14" s="1"/>
  <c r="K15" i="24"/>
  <c r="W11" i="37"/>
  <c r="X36" i="14" s="1"/>
  <c r="G186" i="24"/>
  <c r="S16" i="24"/>
  <c r="T93" i="56"/>
  <c r="T123" i="56" s="1"/>
  <c r="G141" i="24"/>
  <c r="AJ12" i="24"/>
  <c r="AK20" i="14" s="1"/>
  <c r="G102" i="24"/>
  <c r="AJ13" i="1"/>
  <c r="AK25" i="14" s="1"/>
  <c r="AB26" i="14"/>
  <c r="F116" i="25"/>
  <c r="G117" i="25" s="1"/>
  <c r="AB10" i="25"/>
  <c r="X95" i="56" s="1"/>
  <c r="D3" i="64"/>
  <c r="AC23" i="25"/>
  <c r="AD123" i="56"/>
  <c r="W39" i="1"/>
  <c r="W44" i="1" s="1"/>
  <c r="W51" i="25"/>
  <c r="AA10" i="25"/>
  <c r="W95" i="56" s="1"/>
  <c r="Q44" i="1"/>
  <c r="Q14" i="1" s="1"/>
  <c r="M105" i="57" s="1"/>
  <c r="M87" i="57" s="1"/>
  <c r="AC29" i="3"/>
  <c r="AC14" i="3" s="1"/>
  <c r="AC12" i="3" s="1"/>
  <c r="AC10" i="25"/>
  <c r="Y95" i="56" s="1"/>
  <c r="F130" i="25"/>
  <c r="G38" i="20" s="1"/>
  <c r="J38" i="20" s="1"/>
  <c r="M38" i="20" s="1"/>
  <c r="V44" i="3"/>
  <c r="V42" i="3" s="1"/>
  <c r="F38" i="3"/>
  <c r="G39" i="3" s="1"/>
  <c r="Q14" i="25"/>
  <c r="M161" i="56" s="1"/>
  <c r="M125" i="56" s="1"/>
  <c r="AA3" i="64"/>
  <c r="AF36" i="3"/>
  <c r="V165" i="56"/>
  <c r="V129" i="56" s="1"/>
  <c r="AA26" i="14"/>
  <c r="G99" i="24"/>
  <c r="G78" i="24"/>
  <c r="J45" i="57"/>
  <c r="G117" i="24"/>
  <c r="S75" i="56"/>
  <c r="Z45" i="57"/>
  <c r="AD27" i="14"/>
  <c r="AI21" i="14"/>
  <c r="J23" i="14"/>
  <c r="U15" i="24"/>
  <c r="G54" i="24"/>
  <c r="S13" i="1"/>
  <c r="T25" i="14" s="1"/>
  <c r="AA37" i="57"/>
  <c r="E81" i="56"/>
  <c r="E87" i="56" s="1"/>
  <c r="M103" i="57"/>
  <c r="M85" i="57" s="1"/>
  <c r="F77" i="56"/>
  <c r="O16" i="24"/>
  <c r="V15" i="24"/>
  <c r="G132" i="24"/>
  <c r="AH45" i="57"/>
  <c r="V11" i="37"/>
  <c r="W36" i="14" s="1"/>
  <c r="Q37" i="57"/>
  <c r="G105" i="24"/>
  <c r="F63" i="25"/>
  <c r="F93" i="59" s="1"/>
  <c r="AD32" i="14"/>
  <c r="Y177" i="56"/>
  <c r="E42" i="56" s="1"/>
  <c r="AG13" i="25"/>
  <c r="AH22" i="14" s="1"/>
  <c r="Y75" i="56"/>
  <c r="AC12" i="24"/>
  <c r="AD20" i="14" s="1"/>
  <c r="F108" i="59"/>
  <c r="F95" i="59"/>
  <c r="G96" i="59" s="1"/>
  <c r="R81" i="56"/>
  <c r="G202" i="24"/>
  <c r="G250" i="24"/>
  <c r="G36" i="24"/>
  <c r="D159" i="56"/>
  <c r="D160" i="56" s="1"/>
  <c r="E160" i="56" s="1"/>
  <c r="M12" i="24"/>
  <c r="N20" i="14" s="1"/>
  <c r="K26" i="14"/>
  <c r="G45" i="24"/>
  <c r="P30" i="14"/>
  <c r="I75" i="56"/>
  <c r="O99" i="56"/>
  <c r="G51" i="24"/>
  <c r="C11" i="37"/>
  <c r="Q12" i="24"/>
  <c r="R20" i="14" s="1"/>
  <c r="F71" i="1"/>
  <c r="H110" i="59" s="1"/>
  <c r="J110" i="59" s="1"/>
  <c r="J112" i="59" s="1"/>
  <c r="G123" i="24"/>
  <c r="E15" i="37"/>
  <c r="D97" i="57"/>
  <c r="D98" i="57" s="1"/>
  <c r="R189" i="56"/>
  <c r="G48" i="24"/>
  <c r="G61" i="25"/>
  <c r="G87" i="24"/>
  <c r="S13" i="25"/>
  <c r="T22" i="14" s="1"/>
  <c r="G150" i="24"/>
  <c r="X16" i="24"/>
  <c r="AL11" i="24"/>
  <c r="G22" i="43"/>
  <c r="F103" i="57"/>
  <c r="U11" i="24"/>
  <c r="J11" i="24"/>
  <c r="Z26" i="14"/>
  <c r="G92" i="59"/>
  <c r="Y43" i="57"/>
  <c r="Y81" i="56"/>
  <c r="X103" i="57"/>
  <c r="X85" i="57" s="1"/>
  <c r="M93" i="56"/>
  <c r="M123" i="56" s="1"/>
  <c r="AH23" i="14"/>
  <c r="Z30" i="1"/>
  <c r="Z97" i="57"/>
  <c r="Z79" i="57" s="1"/>
  <c r="K107" i="1"/>
  <c r="AF23" i="14"/>
  <c r="AE97" i="57"/>
  <c r="AE79" i="57" s="1"/>
  <c r="R26" i="14"/>
  <c r="AB10" i="1"/>
  <c r="X101" i="56" s="1"/>
  <c r="F64" i="1"/>
  <c r="AC26" i="14"/>
  <c r="X99" i="56"/>
  <c r="X129" i="56" s="1"/>
  <c r="AB13" i="1"/>
  <c r="AC25" i="14" s="1"/>
  <c r="D33" i="20"/>
  <c r="X159" i="56"/>
  <c r="X123" i="56" s="1"/>
  <c r="E11" i="37"/>
  <c r="H13" i="25"/>
  <c r="I22" i="14" s="1"/>
  <c r="P13" i="1"/>
  <c r="Q25" i="14" s="1"/>
  <c r="M45" i="57"/>
  <c r="X19" i="14"/>
  <c r="G63" i="24"/>
  <c r="S77" i="56"/>
  <c r="G44" i="54"/>
  <c r="N11" i="24"/>
  <c r="Q11" i="24"/>
  <c r="G40" i="54"/>
  <c r="G43" i="57"/>
  <c r="AF39" i="57"/>
  <c r="M16" i="24"/>
  <c r="G81" i="56"/>
  <c r="AJ11" i="24"/>
  <c r="G81" i="24"/>
  <c r="K12" i="24"/>
  <c r="L20" i="14" s="1"/>
  <c r="G42" i="54"/>
  <c r="X45" i="57"/>
  <c r="X83" i="56"/>
  <c r="AC109" i="57"/>
  <c r="AC91" i="57" s="1"/>
  <c r="P159" i="56"/>
  <c r="P123" i="56" s="1"/>
  <c r="L165" i="56"/>
  <c r="L129" i="56" s="1"/>
  <c r="AB15" i="24"/>
  <c r="AH29" i="14"/>
  <c r="F61" i="57"/>
  <c r="N83" i="56"/>
  <c r="F127" i="25"/>
  <c r="E37" i="20" s="1"/>
  <c r="F37" i="20" s="1"/>
  <c r="AG13" i="3"/>
  <c r="AH28" i="14" s="1"/>
  <c r="M11" i="24"/>
  <c r="D61" i="57"/>
  <c r="AK11" i="24"/>
  <c r="O12" i="24"/>
  <c r="P20" i="14" s="1"/>
  <c r="G140" i="59"/>
  <c r="N43" i="57"/>
  <c r="R16" i="24"/>
  <c r="F93" i="56"/>
  <c r="G96" i="24"/>
  <c r="Y15" i="24"/>
  <c r="I39" i="57"/>
  <c r="AC27" i="14"/>
  <c r="X105" i="56"/>
  <c r="X135" i="56" s="1"/>
  <c r="H96" i="59"/>
  <c r="J77" i="56"/>
  <c r="J89" i="56" s="1"/>
  <c r="F99" i="56"/>
  <c r="F129" i="56" s="1"/>
  <c r="G156" i="24"/>
  <c r="T99" i="56"/>
  <c r="T129" i="56" s="1"/>
  <c r="K81" i="56"/>
  <c r="K87" i="56" s="1"/>
  <c r="G26" i="25"/>
  <c r="N15" i="24"/>
  <c r="AC21" i="14"/>
  <c r="AG45" i="57"/>
  <c r="K43" i="57"/>
  <c r="X37" i="57"/>
  <c r="X75" i="56"/>
  <c r="Q15" i="24"/>
  <c r="L123" i="56"/>
  <c r="F15" i="54"/>
  <c r="G25" i="54"/>
  <c r="G235" i="24"/>
  <c r="E183" i="56"/>
  <c r="J35" i="14"/>
  <c r="D18" i="20"/>
  <c r="AA12" i="24"/>
  <c r="AB20" i="14" s="1"/>
  <c r="AB21" i="14"/>
  <c r="W171" i="56"/>
  <c r="W103" i="57"/>
  <c r="W85" i="57" s="1"/>
  <c r="W165" i="56"/>
  <c r="F78" i="1"/>
  <c r="H126" i="59" s="1"/>
  <c r="J126" i="59" s="1"/>
  <c r="J128" i="59" s="1"/>
  <c r="W97" i="57"/>
  <c r="W79" i="57" s="1"/>
  <c r="AA13" i="25"/>
  <c r="AB22" i="14" s="1"/>
  <c r="W159" i="56"/>
  <c r="W123" i="56" s="1"/>
  <c r="Z13" i="1"/>
  <c r="AA25" i="14" s="1"/>
  <c r="AA24" i="14"/>
  <c r="AA15" i="24"/>
  <c r="G93" i="24"/>
  <c r="AA11" i="24"/>
  <c r="S63" i="56"/>
  <c r="S69" i="56" s="1"/>
  <c r="AB27" i="14"/>
  <c r="W105" i="56"/>
  <c r="G90" i="24"/>
  <c r="W37" i="57"/>
  <c r="W75" i="56"/>
  <c r="W81" i="56"/>
  <c r="AA16" i="24"/>
  <c r="F71" i="25"/>
  <c r="F110" i="59" s="1"/>
  <c r="V71" i="56"/>
  <c r="Z13" i="25"/>
  <c r="AA22" i="14" s="1"/>
  <c r="V37" i="57"/>
  <c r="V171" i="56"/>
  <c r="D10" i="1"/>
  <c r="F22" i="1"/>
  <c r="H14" i="59" s="1"/>
  <c r="AA23" i="14"/>
  <c r="V159" i="56"/>
  <c r="F28" i="59"/>
  <c r="G129" i="24"/>
  <c r="G135" i="24"/>
  <c r="Z15" i="24"/>
  <c r="Y16" i="24"/>
  <c r="U43" i="57"/>
  <c r="G69" i="24"/>
  <c r="V83" i="56"/>
  <c r="I26" i="14"/>
  <c r="Y83" i="56"/>
  <c r="Y89" i="56" s="1"/>
  <c r="Y45" i="57"/>
  <c r="M97" i="57"/>
  <c r="M79" i="57" s="1"/>
  <c r="Y13" i="1"/>
  <c r="Z25" i="14" s="1"/>
  <c r="E52" i="56"/>
  <c r="F52" i="56" s="1"/>
  <c r="G52" i="56" s="1"/>
  <c r="H52" i="56" s="1"/>
  <c r="I52" i="56" s="1"/>
  <c r="J52" i="56" s="1"/>
  <c r="K52" i="56" s="1"/>
  <c r="L52" i="56" s="1"/>
  <c r="M52" i="56" s="1"/>
  <c r="N52" i="56" s="1"/>
  <c r="O52" i="56" s="1"/>
  <c r="P52" i="56" s="1"/>
  <c r="Q52" i="56" s="1"/>
  <c r="R52" i="56" s="1"/>
  <c r="S52" i="56" s="1"/>
  <c r="T52" i="56" s="1"/>
  <c r="U52" i="56" s="1"/>
  <c r="V52" i="56" s="1"/>
  <c r="W52" i="56" s="1"/>
  <c r="X52" i="56" s="1"/>
  <c r="Y52" i="56" s="1"/>
  <c r="Z52" i="56" s="1"/>
  <c r="AA52" i="56" s="1"/>
  <c r="AB52" i="56" s="1"/>
  <c r="AC52" i="56" s="1"/>
  <c r="AD52" i="56" s="1"/>
  <c r="AE52" i="56" s="1"/>
  <c r="AF52" i="56" s="1"/>
  <c r="AG52" i="56" s="1"/>
  <c r="AH52" i="56" s="1"/>
  <c r="O81" i="56"/>
  <c r="S12" i="24"/>
  <c r="T20" i="14" s="1"/>
  <c r="O43" i="57"/>
  <c r="G223" i="24"/>
  <c r="Q13" i="25"/>
  <c r="R22" i="14" s="1"/>
  <c r="G109" i="57"/>
  <c r="G91" i="57" s="1"/>
  <c r="R93" i="56"/>
  <c r="G89" i="25"/>
  <c r="E61" i="57"/>
  <c r="M81" i="56"/>
  <c r="M87" i="56" s="1"/>
  <c r="M43" i="57"/>
  <c r="H77" i="56"/>
  <c r="H39" i="57"/>
  <c r="Z11" i="24"/>
  <c r="AF12" i="24"/>
  <c r="AG20" i="14" s="1"/>
  <c r="AA81" i="56"/>
  <c r="AA87" i="56" s="1"/>
  <c r="AA43" i="57"/>
  <c r="AE12" i="24"/>
  <c r="AF20" i="14" s="1"/>
  <c r="T16" i="24"/>
  <c r="D39" i="57"/>
  <c r="D40" i="57" s="1"/>
  <c r="D77" i="56"/>
  <c r="D78" i="56" s="1"/>
  <c r="E78" i="56" s="1"/>
  <c r="V39" i="57"/>
  <c r="V77" i="56"/>
  <c r="AA83" i="56"/>
  <c r="AA45" i="57"/>
  <c r="F83" i="56"/>
  <c r="F45" i="57"/>
  <c r="W83" i="56"/>
  <c r="W89" i="56" s="1"/>
  <c r="W45" i="57"/>
  <c r="F18" i="14"/>
  <c r="G18" i="14" s="1"/>
  <c r="U165" i="56"/>
  <c r="U129" i="56" s="1"/>
  <c r="I13" i="25"/>
  <c r="J22" i="14" s="1"/>
  <c r="D165" i="56"/>
  <c r="D166" i="56" s="1"/>
  <c r="AF81" i="56"/>
  <c r="AF87" i="56" s="1"/>
  <c r="AF43" i="57"/>
  <c r="P37" i="57"/>
  <c r="P75" i="56"/>
  <c r="P87" i="56" s="1"/>
  <c r="AI13" i="25"/>
  <c r="AJ22" i="14" s="1"/>
  <c r="J21" i="14"/>
  <c r="AA21" i="14"/>
  <c r="V93" i="56"/>
  <c r="AK13" i="1"/>
  <c r="AL25" i="14" s="1"/>
  <c r="AA27" i="14"/>
  <c r="V105" i="56"/>
  <c r="G75" i="56"/>
  <c r="G37" i="57"/>
  <c r="I43" i="57"/>
  <c r="I81" i="56"/>
  <c r="F50" i="25"/>
  <c r="E19" i="20" s="1"/>
  <c r="F106" i="25"/>
  <c r="F174" i="59" s="1"/>
  <c r="W19" i="14"/>
  <c r="R69" i="56"/>
  <c r="F134" i="25"/>
  <c r="E38" i="20" s="1"/>
  <c r="F38" i="20" s="1"/>
  <c r="U97" i="57"/>
  <c r="F44" i="59"/>
  <c r="F43" i="25"/>
  <c r="E16" i="20" s="1"/>
  <c r="F16" i="20" s="1"/>
  <c r="Y13" i="25"/>
  <c r="Z22" i="14" s="1"/>
  <c r="U93" i="56"/>
  <c r="U123" i="56" s="1"/>
  <c r="Z23" i="14"/>
  <c r="P13" i="25"/>
  <c r="Q22" i="14" s="1"/>
  <c r="AG21" i="14"/>
  <c r="F92" i="25"/>
  <c r="F113" i="25"/>
  <c r="E35" i="20" s="1"/>
  <c r="F35" i="20" s="1"/>
  <c r="D34" i="20"/>
  <c r="F172" i="59"/>
  <c r="F80" i="59"/>
  <c r="G80" i="59" s="1"/>
  <c r="F57" i="25"/>
  <c r="G59" i="25"/>
  <c r="J13" i="1"/>
  <c r="K25" i="14" s="1"/>
  <c r="AD97" i="57"/>
  <c r="AD79" i="57" s="1"/>
  <c r="AG13" i="1"/>
  <c r="AH25" i="14" s="1"/>
  <c r="AH13" i="25"/>
  <c r="AI22" i="14" s="1"/>
  <c r="AM23" i="14"/>
  <c r="Z13" i="3"/>
  <c r="AA28" i="14" s="1"/>
  <c r="E46" i="57"/>
  <c r="G54" i="25"/>
  <c r="F29" i="1"/>
  <c r="H30" i="59" s="1"/>
  <c r="J30" i="59" s="1"/>
  <c r="J31" i="59" s="1"/>
  <c r="K32" i="59" s="1"/>
  <c r="AC103" i="57"/>
  <c r="AC85" i="57" s="1"/>
  <c r="H64" i="59"/>
  <c r="P21" i="14"/>
  <c r="K93" i="56"/>
  <c r="D10" i="25"/>
  <c r="X97" i="57"/>
  <c r="X79" i="57" s="1"/>
  <c r="AD13" i="25"/>
  <c r="AE22" i="14" s="1"/>
  <c r="H13" i="1"/>
  <c r="I25" i="14" s="1"/>
  <c r="G19" i="43"/>
  <c r="P97" i="57"/>
  <c r="P79" i="57" s="1"/>
  <c r="O13" i="25"/>
  <c r="P22" i="14" s="1"/>
  <c r="AH26" i="14"/>
  <c r="AI23" i="14"/>
  <c r="D32" i="20"/>
  <c r="I71" i="56"/>
  <c r="G76" i="59"/>
  <c r="AE13" i="25"/>
  <c r="AF22" i="14" s="1"/>
  <c r="T13" i="25"/>
  <c r="U22" i="14" s="1"/>
  <c r="H144" i="59"/>
  <c r="F67" i="57"/>
  <c r="AJ13" i="25"/>
  <c r="AK22" i="14" s="1"/>
  <c r="G82" i="25"/>
  <c r="AL13" i="25"/>
  <c r="AM22" i="14" s="1"/>
  <c r="AB13" i="25"/>
  <c r="AC22" i="14" s="1"/>
  <c r="F36" i="25"/>
  <c r="E15" i="20" s="1"/>
  <c r="L16" i="24"/>
  <c r="T21" i="14"/>
  <c r="G32" i="20"/>
  <c r="T103" i="57"/>
  <c r="T85" i="57" s="1"/>
  <c r="Y26" i="14"/>
  <c r="X13" i="1"/>
  <c r="Y25" i="14" s="1"/>
  <c r="F36" i="1"/>
  <c r="H46" i="59" s="1"/>
  <c r="Y23" i="14"/>
  <c r="X13" i="25"/>
  <c r="Y22" i="14" s="1"/>
  <c r="T97" i="57"/>
  <c r="T79" i="57" s="1"/>
  <c r="D39" i="14"/>
  <c r="E18" i="37"/>
  <c r="S103" i="57"/>
  <c r="S85" i="57" s="1"/>
  <c r="N27" i="14"/>
  <c r="H105" i="56"/>
  <c r="P109" i="57"/>
  <c r="P91" i="57" s="1"/>
  <c r="G111" i="24"/>
  <c r="G226" i="24"/>
  <c r="M27" i="14"/>
  <c r="AL29" i="14"/>
  <c r="R27" i="14"/>
  <c r="AE109" i="57"/>
  <c r="AE91" i="57" s="1"/>
  <c r="AB109" i="57"/>
  <c r="AB91" i="57" s="1"/>
  <c r="N13" i="3"/>
  <c r="O28" i="14" s="1"/>
  <c r="AG29" i="14"/>
  <c r="D63" i="57"/>
  <c r="F59" i="59"/>
  <c r="G60" i="59" s="1"/>
  <c r="W13" i="1"/>
  <c r="X25" i="14" s="1"/>
  <c r="X26" i="14"/>
  <c r="U135" i="25"/>
  <c r="U116" i="1"/>
  <c r="U121" i="1" s="1"/>
  <c r="AD58" i="1"/>
  <c r="O32" i="1"/>
  <c r="O37" i="1" s="1"/>
  <c r="O44" i="25"/>
  <c r="M116" i="1"/>
  <c r="M10" i="1" s="1"/>
  <c r="I101" i="56" s="1"/>
  <c r="M135" i="25"/>
  <c r="L109" i="1"/>
  <c r="L114" i="1" s="1"/>
  <c r="F123" i="25"/>
  <c r="H46" i="1"/>
  <c r="H51" i="1" s="1"/>
  <c r="H30" i="25"/>
  <c r="H14" i="25" s="1"/>
  <c r="AG79" i="25"/>
  <c r="F60" i="1"/>
  <c r="G61" i="1" s="1"/>
  <c r="W58" i="1"/>
  <c r="T14" i="25"/>
  <c r="P161" i="56" s="1"/>
  <c r="P125" i="56" s="1"/>
  <c r="F67" i="25"/>
  <c r="AL53" i="1"/>
  <c r="AL58" i="1" s="1"/>
  <c r="AL67" i="1"/>
  <c r="AL72" i="1" s="1"/>
  <c r="O51" i="25"/>
  <c r="S105" i="56"/>
  <c r="S135" i="56" s="1"/>
  <c r="X23" i="14"/>
  <c r="W13" i="25"/>
  <c r="X22" i="14" s="1"/>
  <c r="S97" i="57"/>
  <c r="S79" i="57" s="1"/>
  <c r="F26" i="3"/>
  <c r="F99" i="1"/>
  <c r="H174" i="59" s="1"/>
  <c r="AH69" i="56"/>
  <c r="G39" i="61"/>
  <c r="G42" i="61" s="1"/>
  <c r="G44" i="61" s="1"/>
  <c r="G33" i="24"/>
  <c r="I171" i="56"/>
  <c r="I135" i="56" s="1"/>
  <c r="L13" i="3"/>
  <c r="M28" i="14" s="1"/>
  <c r="AA71" i="56"/>
  <c r="M13" i="3"/>
  <c r="N28" i="14" s="1"/>
  <c r="Y135" i="56"/>
  <c r="M173" i="56"/>
  <c r="M137" i="56" s="1"/>
  <c r="AL32" i="3"/>
  <c r="AL44" i="3" s="1"/>
  <c r="AL42" i="3" s="1"/>
  <c r="V29" i="3"/>
  <c r="V14" i="3" s="1"/>
  <c r="V12" i="3" s="1"/>
  <c r="H91" i="57"/>
  <c r="AK23" i="25"/>
  <c r="AK14" i="25" s="1"/>
  <c r="AG99" i="57" s="1"/>
  <c r="AG81" i="57" s="1"/>
  <c r="S32" i="3"/>
  <c r="Q13" i="3"/>
  <c r="R28" i="14" s="1"/>
  <c r="AA13" i="3"/>
  <c r="AB28" i="14" s="1"/>
  <c r="AI13" i="3"/>
  <c r="AJ28" i="14" s="1"/>
  <c r="K12" i="3"/>
  <c r="F27" i="59"/>
  <c r="G15" i="20"/>
  <c r="F86" i="25"/>
  <c r="F84" i="25" s="1"/>
  <c r="U29" i="3"/>
  <c r="U14" i="3" s="1"/>
  <c r="Q173" i="56" s="1"/>
  <c r="Q137" i="56" s="1"/>
  <c r="I88" i="1"/>
  <c r="I93" i="1" s="1"/>
  <c r="I107" i="25"/>
  <c r="F107" i="25" s="1"/>
  <c r="F102" i="25"/>
  <c r="K10" i="1"/>
  <c r="F18" i="25"/>
  <c r="I10" i="25"/>
  <c r="E95" i="56" s="1"/>
  <c r="E96" i="56" s="1"/>
  <c r="G35" i="20"/>
  <c r="J35" i="20" s="1"/>
  <c r="M35" i="20" s="1"/>
  <c r="G110" i="25"/>
  <c r="F187" i="59"/>
  <c r="G188" i="59" s="1"/>
  <c r="AH30" i="25"/>
  <c r="AH14" i="25" s="1"/>
  <c r="O109" i="57"/>
  <c r="O91" i="57" s="1"/>
  <c r="AF13" i="3"/>
  <c r="AG28" i="14" s="1"/>
  <c r="T29" i="14"/>
  <c r="N109" i="57"/>
  <c r="N91" i="57" s="1"/>
  <c r="W27" i="14"/>
  <c r="Z44" i="25"/>
  <c r="Z14" i="25" s="1"/>
  <c r="Z32" i="1"/>
  <c r="Z37" i="1" s="1"/>
  <c r="N171" i="56"/>
  <c r="V109" i="57"/>
  <c r="V91" i="57" s="1"/>
  <c r="V13" i="3"/>
  <c r="W28" i="14" s="1"/>
  <c r="J105" i="56"/>
  <c r="S36" i="3"/>
  <c r="N3" i="64"/>
  <c r="J44" i="25"/>
  <c r="J32" i="1"/>
  <c r="J37" i="1" s="1"/>
  <c r="AG79" i="1"/>
  <c r="AG93" i="25"/>
  <c r="F93" i="25" s="1"/>
  <c r="F91" i="25" s="1"/>
  <c r="H29" i="3"/>
  <c r="H14" i="3" s="1"/>
  <c r="K10" i="25"/>
  <c r="AA95" i="1"/>
  <c r="AA100" i="1" s="1"/>
  <c r="AA114" i="25"/>
  <c r="T22" i="3"/>
  <c r="T10" i="3" s="1"/>
  <c r="P107" i="56" s="1"/>
  <c r="M111" i="57"/>
  <c r="M93" i="57" s="1"/>
  <c r="AF141" i="56"/>
  <c r="Y29" i="3"/>
  <c r="Y14" i="3" s="1"/>
  <c r="U111" i="57" s="1"/>
  <c r="U93" i="57" s="1"/>
  <c r="G105" i="56"/>
  <c r="G135" i="56" s="1"/>
  <c r="R13" i="3"/>
  <c r="S28" i="14" s="1"/>
  <c r="AC135" i="56"/>
  <c r="M29" i="14"/>
  <c r="X29" i="3"/>
  <c r="X14" i="3" s="1"/>
  <c r="T173" i="56" s="1"/>
  <c r="T137" i="56" s="1"/>
  <c r="W13" i="3"/>
  <c r="X28" i="14" s="1"/>
  <c r="I29" i="14"/>
  <c r="AM29" i="14"/>
  <c r="K3" i="64"/>
  <c r="P36" i="3"/>
  <c r="L27" i="14"/>
  <c r="AC13" i="3"/>
  <c r="AD28" i="14" s="1"/>
  <c r="N105" i="56"/>
  <c r="Y109" i="57"/>
  <c r="Y91" i="57" s="1"/>
  <c r="J109" i="57"/>
  <c r="J91" i="57" s="1"/>
  <c r="G47" i="25"/>
  <c r="H171" i="56"/>
  <c r="F100" i="25"/>
  <c r="F159" i="59" s="1"/>
  <c r="J29" i="3"/>
  <c r="J14" i="3" s="1"/>
  <c r="F173" i="56" s="1"/>
  <c r="AD29" i="14"/>
  <c r="AD3" i="64"/>
  <c r="AI36" i="3"/>
  <c r="AB29" i="14"/>
  <c r="L29" i="14"/>
  <c r="G107" i="56"/>
  <c r="H36" i="3"/>
  <c r="C3" i="64"/>
  <c r="C5" i="64" s="1"/>
  <c r="F81" i="1"/>
  <c r="H139" i="59" s="1"/>
  <c r="J139" i="59" s="1"/>
  <c r="V10" i="1"/>
  <c r="R101" i="56" s="1"/>
  <c r="H100" i="1"/>
  <c r="F120" i="25"/>
  <c r="E36" i="20" s="1"/>
  <c r="V13" i="25"/>
  <c r="W22" i="14" s="1"/>
  <c r="R159" i="56"/>
  <c r="R97" i="57"/>
  <c r="R79" i="57" s="1"/>
  <c r="H13" i="3"/>
  <c r="I28" i="14" s="1"/>
  <c r="S13" i="3"/>
  <c r="T28" i="14" s="1"/>
  <c r="P105" i="56"/>
  <c r="V27" i="14"/>
  <c r="I39" i="61"/>
  <c r="I42" i="61" s="1"/>
  <c r="I43" i="61" s="1"/>
  <c r="G120" i="24"/>
  <c r="D12" i="3"/>
  <c r="I109" i="57"/>
  <c r="I91" i="57" s="1"/>
  <c r="W35" i="14"/>
  <c r="E13" i="37"/>
  <c r="V10" i="37"/>
  <c r="W34" i="14" s="1"/>
  <c r="G143" i="25"/>
  <c r="R11" i="24"/>
  <c r="U109" i="57"/>
  <c r="U91" i="57" s="1"/>
  <c r="Y13" i="3"/>
  <c r="Z28" i="14" s="1"/>
  <c r="T105" i="56"/>
  <c r="Y27" i="14"/>
  <c r="D109" i="57"/>
  <c r="R171" i="56"/>
  <c r="R109" i="57"/>
  <c r="W29" i="14"/>
  <c r="AB13" i="3"/>
  <c r="AC28" i="14" s="1"/>
  <c r="AC29" i="14"/>
  <c r="G173" i="56"/>
  <c r="G111" i="57"/>
  <c r="G93" i="57" s="1"/>
  <c r="AL13" i="3"/>
  <c r="AM28" i="14" s="1"/>
  <c r="G31" i="43"/>
  <c r="AF69" i="56"/>
  <c r="C13" i="24"/>
  <c r="R15" i="24"/>
  <c r="K29" i="14"/>
  <c r="F109" i="57"/>
  <c r="F171" i="56"/>
  <c r="J13" i="3"/>
  <c r="K28" i="14" s="1"/>
  <c r="G42" i="24"/>
  <c r="AE13" i="3"/>
  <c r="AF28" i="14" s="1"/>
  <c r="AF27" i="14"/>
  <c r="Q27" i="14"/>
  <c r="L105" i="56"/>
  <c r="X109" i="57"/>
  <c r="X91" i="57" s="1"/>
  <c r="E109" i="57"/>
  <c r="E91" i="57" s="1"/>
  <c r="J29" i="14"/>
  <c r="E171" i="56"/>
  <c r="E135" i="56" s="1"/>
  <c r="AA171" i="56"/>
  <c r="AA135" i="56" s="1"/>
  <c r="AF29" i="14"/>
  <c r="AA109" i="57"/>
  <c r="AA91" i="57" s="1"/>
  <c r="F105" i="56"/>
  <c r="K27" i="14"/>
  <c r="F73" i="57"/>
  <c r="D73" i="57"/>
  <c r="D105" i="56"/>
  <c r="D106" i="56" s="1"/>
  <c r="E106" i="56" s="1"/>
  <c r="I27" i="14"/>
  <c r="H51" i="3"/>
  <c r="R29" i="14"/>
  <c r="M171" i="56"/>
  <c r="M135" i="56" s="1"/>
  <c r="M109" i="57"/>
  <c r="M91" i="57" s="1"/>
  <c r="Z171" i="56"/>
  <c r="Z135" i="56" s="1"/>
  <c r="AE29" i="14"/>
  <c r="AD13" i="3"/>
  <c r="AE28" i="14" s="1"/>
  <c r="Z109" i="57"/>
  <c r="Z91" i="57" s="1"/>
  <c r="K171" i="56"/>
  <c r="K109" i="57"/>
  <c r="K91" i="57" s="1"/>
  <c r="O13" i="3"/>
  <c r="P28" i="14" s="1"/>
  <c r="P29" i="14"/>
  <c r="H39" i="61"/>
  <c r="Z29" i="14"/>
  <c r="F47" i="3"/>
  <c r="G47" i="3" s="1"/>
  <c r="AF171" i="56"/>
  <c r="AF135" i="56" s="1"/>
  <c r="AF109" i="57"/>
  <c r="AF91" i="57" s="1"/>
  <c r="AK29" i="14"/>
  <c r="P171" i="56"/>
  <c r="T13" i="3"/>
  <c r="U28" i="14" s="1"/>
  <c r="U105" i="56"/>
  <c r="U135" i="56" s="1"/>
  <c r="Z27" i="14"/>
  <c r="U69" i="56"/>
  <c r="AH13" i="3"/>
  <c r="AI28" i="14" s="1"/>
  <c r="L109" i="57"/>
  <c r="L91" i="57" s="1"/>
  <c r="L171" i="56"/>
  <c r="Q29" i="14"/>
  <c r="P13" i="3"/>
  <c r="Q28" i="14" s="1"/>
  <c r="K13" i="3"/>
  <c r="L28" i="14" s="1"/>
  <c r="J171" i="56"/>
  <c r="O29" i="14"/>
  <c r="P27" i="14"/>
  <c r="K105" i="56"/>
  <c r="AB105" i="56"/>
  <c r="AB135" i="56" s="1"/>
  <c r="AG27" i="14"/>
  <c r="Y19" i="14"/>
  <c r="T63" i="56"/>
  <c r="AL27" i="14"/>
  <c r="AG105" i="56"/>
  <c r="Z59" i="56"/>
  <c r="Z71" i="56" s="1"/>
  <c r="L77" i="56"/>
  <c r="L39" i="57"/>
  <c r="G189" i="24"/>
  <c r="S71" i="56"/>
  <c r="W59" i="56"/>
  <c r="W71" i="56" s="1"/>
  <c r="AD19" i="14"/>
  <c r="Y57" i="56"/>
  <c r="Y69" i="56" s="1"/>
  <c r="N77" i="56"/>
  <c r="G49" i="3"/>
  <c r="H83" i="56"/>
  <c r="O69" i="56"/>
  <c r="L37" i="57"/>
  <c r="L75" i="56"/>
  <c r="L87" i="56" s="1"/>
  <c r="Q171" i="56"/>
  <c r="Q135" i="56" s="1"/>
  <c r="V29" i="14"/>
  <c r="Q109" i="57"/>
  <c r="Q91" i="57" s="1"/>
  <c r="U13" i="3"/>
  <c r="V28" i="14" s="1"/>
  <c r="V147" i="56"/>
  <c r="V43" i="57"/>
  <c r="V81" i="56"/>
  <c r="V87" i="56" s="1"/>
  <c r="Z12" i="24"/>
  <c r="AA20" i="14" s="1"/>
  <c r="Z16" i="24"/>
  <c r="AA69" i="56"/>
  <c r="D10" i="3"/>
  <c r="L15" i="24"/>
  <c r="C10" i="24"/>
  <c r="AG81" i="56"/>
  <c r="AG87" i="56" s="1"/>
  <c r="AK16" i="24"/>
  <c r="AG43" i="57"/>
  <c r="AK12" i="24"/>
  <c r="AL20" i="14" s="1"/>
  <c r="R75" i="56"/>
  <c r="V12" i="24"/>
  <c r="W20" i="14" s="1"/>
  <c r="R37" i="57"/>
  <c r="AH37" i="57"/>
  <c r="AH75" i="56"/>
  <c r="AL12" i="24"/>
  <c r="AM20" i="14" s="1"/>
  <c r="T109" i="57"/>
  <c r="T91" i="57" s="1"/>
  <c r="Y29" i="14"/>
  <c r="T171" i="56"/>
  <c r="X13" i="3"/>
  <c r="Y28" i="14" s="1"/>
  <c r="T37" i="57"/>
  <c r="T75" i="56"/>
  <c r="T87" i="56" s="1"/>
  <c r="AK13" i="3"/>
  <c r="AL28" i="14" s="1"/>
  <c r="AG59" i="56"/>
  <c r="AG71" i="56" s="1"/>
  <c r="AB19" i="14"/>
  <c r="W63" i="56"/>
  <c r="W69" i="56" s="1"/>
  <c r="I15" i="24"/>
  <c r="E83" i="56"/>
  <c r="I11" i="24"/>
  <c r="U39" i="57"/>
  <c r="U77" i="56"/>
  <c r="Y11" i="24"/>
  <c r="L11" i="24"/>
  <c r="D10" i="24"/>
  <c r="T59" i="56"/>
  <c r="T71" i="56" s="1"/>
  <c r="G208" i="24"/>
  <c r="T39" i="57"/>
  <c r="T77" i="56"/>
  <c r="T45" i="57"/>
  <c r="X11" i="24"/>
  <c r="X15" i="24"/>
  <c r="T83" i="56"/>
  <c r="AC43" i="57"/>
  <c r="AC81" i="56"/>
  <c r="AG12" i="24"/>
  <c r="AH20" i="14" s="1"/>
  <c r="N12" i="24"/>
  <c r="O20" i="14" s="1"/>
  <c r="N16" i="24"/>
  <c r="J81" i="56"/>
  <c r="J43" i="57"/>
  <c r="T15" i="24"/>
  <c r="T11" i="24"/>
  <c r="P45" i="57"/>
  <c r="P83" i="56"/>
  <c r="T27" i="14"/>
  <c r="O105" i="56"/>
  <c r="O135" i="56" s="1"/>
  <c r="O39" i="57"/>
  <c r="O77" i="56"/>
  <c r="O89" i="56" s="1"/>
  <c r="C11" i="24"/>
  <c r="AG19" i="14"/>
  <c r="AB57" i="56"/>
  <c r="AB69" i="56" s="1"/>
  <c r="AE11" i="24"/>
  <c r="AA77" i="56"/>
  <c r="AA39" i="57"/>
  <c r="AC19" i="14"/>
  <c r="X57" i="56"/>
  <c r="X69" i="56" s="1"/>
  <c r="AD59" i="56"/>
  <c r="AD71" i="56" s="1"/>
  <c r="G217" i="24"/>
  <c r="AB39" i="57"/>
  <c r="AB77" i="56"/>
  <c r="AF11" i="24"/>
  <c r="F75" i="56"/>
  <c r="F87" i="56" s="1"/>
  <c r="F37" i="57"/>
  <c r="AI19" i="14"/>
  <c r="AD63" i="56"/>
  <c r="AD69" i="56" s="1"/>
  <c r="AB59" i="56"/>
  <c r="AB71" i="56" s="1"/>
  <c r="AG11" i="24"/>
  <c r="G168" i="24"/>
  <c r="G27" i="24"/>
  <c r="AE43" i="57"/>
  <c r="AI12" i="24"/>
  <c r="AJ20" i="14" s="1"/>
  <c r="AE81" i="56"/>
  <c r="AE87" i="56" s="1"/>
  <c r="AI16" i="24"/>
  <c r="D11" i="24"/>
  <c r="K45" i="57"/>
  <c r="O15" i="24"/>
  <c r="K83" i="56"/>
  <c r="K89" i="56" s="1"/>
  <c r="O11" i="24"/>
  <c r="X39" i="57"/>
  <c r="X77" i="56"/>
  <c r="AB11" i="24"/>
  <c r="AF65" i="56"/>
  <c r="AF71" i="56" s="1"/>
  <c r="G21" i="24"/>
  <c r="H81" i="56"/>
  <c r="H87" i="56" s="1"/>
  <c r="H43" i="57"/>
  <c r="AL19" i="14"/>
  <c r="AG57" i="56"/>
  <c r="AG69" i="56" s="1"/>
  <c r="AC65" i="56"/>
  <c r="AC71" i="56" s="1"/>
  <c r="U71" i="56"/>
  <c r="K39" i="57"/>
  <c r="AG16" i="24"/>
  <c r="AF45" i="57"/>
  <c r="AJ15" i="24"/>
  <c r="AF83" i="56"/>
  <c r="AF89" i="56" s="1"/>
  <c r="AE39" i="57"/>
  <c r="AE77" i="56"/>
  <c r="AI11" i="24"/>
  <c r="AC39" i="57"/>
  <c r="AE59" i="56"/>
  <c r="AE71" i="56" s="1"/>
  <c r="R12" i="24"/>
  <c r="S20" i="14" s="1"/>
  <c r="N37" i="57"/>
  <c r="N75" i="56"/>
  <c r="N87" i="56" s="1"/>
  <c r="G220" i="24"/>
  <c r="AA19" i="14"/>
  <c r="V63" i="56"/>
  <c r="V69" i="56" s="1"/>
  <c r="Y71" i="56"/>
  <c r="AE19" i="14"/>
  <c r="Z63" i="56"/>
  <c r="Z69" i="56" s="1"/>
  <c r="AH19" i="14"/>
  <c r="AC57" i="56"/>
  <c r="AC69" i="56" s="1"/>
  <c r="AD43" i="57"/>
  <c r="AH16" i="24"/>
  <c r="AH12" i="24"/>
  <c r="AI20" i="14" s="1"/>
  <c r="AD81" i="56"/>
  <c r="AD87" i="56" s="1"/>
  <c r="L45" i="57"/>
  <c r="P11" i="24"/>
  <c r="L83" i="56"/>
  <c r="P15" i="24"/>
  <c r="AD12" i="24"/>
  <c r="AE20" i="14" s="1"/>
  <c r="Z81" i="56"/>
  <c r="Z43" i="57"/>
  <c r="D43" i="57"/>
  <c r="D44" i="57" s="1"/>
  <c r="E44" i="57" s="1"/>
  <c r="F44" i="57" s="1"/>
  <c r="H16" i="24"/>
  <c r="D81" i="56"/>
  <c r="D82" i="56" s="1"/>
  <c r="D13" i="20"/>
  <c r="F160" i="59"/>
  <c r="G25" i="43"/>
  <c r="K44" i="14"/>
  <c r="R59" i="56"/>
  <c r="T30" i="1"/>
  <c r="T10" i="1"/>
  <c r="P101" i="56" s="1"/>
  <c r="Q10" i="1"/>
  <c r="M101" i="56" s="1"/>
  <c r="R44" i="3"/>
  <c r="R42" i="3" s="1"/>
  <c r="R22" i="3"/>
  <c r="R10" i="3" s="1"/>
  <c r="N107" i="56" s="1"/>
  <c r="I30" i="1"/>
  <c r="AA22" i="3"/>
  <c r="AA44" i="3"/>
  <c r="AA42" i="3" s="1"/>
  <c r="D172" i="56"/>
  <c r="AL22" i="3"/>
  <c r="M44" i="3"/>
  <c r="M42" i="3" s="1"/>
  <c r="M22" i="3"/>
  <c r="M10" i="3" s="1"/>
  <c r="I107" i="56" s="1"/>
  <c r="K72" i="1"/>
  <c r="AI25" i="3"/>
  <c r="AI29" i="3" s="1"/>
  <c r="AI14" i="3" s="1"/>
  <c r="L29" i="3"/>
  <c r="L14" i="3" s="1"/>
  <c r="AB22" i="3"/>
  <c r="AB10" i="3" s="1"/>
  <c r="X107" i="56" s="1"/>
  <c r="AB44" i="3"/>
  <c r="AB42" i="3" s="1"/>
  <c r="AE22" i="3"/>
  <c r="J3" i="64"/>
  <c r="O36" i="3"/>
  <c r="AC36" i="3"/>
  <c r="X3" i="64"/>
  <c r="AF44" i="3"/>
  <c r="AF42" i="3" s="1"/>
  <c r="AF22" i="3"/>
  <c r="J30" i="1"/>
  <c r="R51" i="1"/>
  <c r="P29" i="3"/>
  <c r="P14" i="3" s="1"/>
  <c r="AK44" i="3"/>
  <c r="AK42" i="3" s="1"/>
  <c r="AK22" i="3"/>
  <c r="AG22" i="3"/>
  <c r="AG44" i="3"/>
  <c r="AG42" i="3" s="1"/>
  <c r="L86" i="1"/>
  <c r="AB3" i="64"/>
  <c r="AG36" i="3"/>
  <c r="I44" i="3"/>
  <c r="I42" i="3" s="1"/>
  <c r="I22" i="3"/>
  <c r="I10" i="3" s="1"/>
  <c r="K114" i="1"/>
  <c r="W22" i="3"/>
  <c r="W44" i="3"/>
  <c r="W42" i="3" s="1"/>
  <c r="Z22" i="3"/>
  <c r="Z44" i="3"/>
  <c r="Z42" i="3" s="1"/>
  <c r="AJ44" i="3"/>
  <c r="AJ42" i="3" s="1"/>
  <c r="AJ22" i="3"/>
  <c r="M30" i="1"/>
  <c r="S107" i="1"/>
  <c r="F102" i="1"/>
  <c r="S22" i="3"/>
  <c r="S10" i="3" s="1"/>
  <c r="O107" i="56" s="1"/>
  <c r="P114" i="1"/>
  <c r="N58" i="1"/>
  <c r="N10" i="1"/>
  <c r="J101" i="56" s="1"/>
  <c r="S44" i="1"/>
  <c r="S10" i="1"/>
  <c r="O101" i="56" s="1"/>
  <c r="F39" i="1"/>
  <c r="O93" i="1"/>
  <c r="F75" i="57"/>
  <c r="F107" i="56"/>
  <c r="E153" i="56"/>
  <c r="F121" i="25"/>
  <c r="H72" i="1"/>
  <c r="H42" i="3"/>
  <c r="Z19" i="14"/>
  <c r="Q129" i="56"/>
  <c r="U13" i="1"/>
  <c r="V25" i="14" s="1"/>
  <c r="Q103" i="57"/>
  <c r="V26" i="14"/>
  <c r="F106" i="1"/>
  <c r="J140" i="59"/>
  <c r="F159" i="56"/>
  <c r="F97" i="57"/>
  <c r="J13" i="25"/>
  <c r="K22" i="14" s="1"/>
  <c r="K23" i="14"/>
  <c r="Q159" i="56"/>
  <c r="Q123" i="56" s="1"/>
  <c r="D12" i="25"/>
  <c r="V23" i="14"/>
  <c r="U13" i="25"/>
  <c r="V22" i="14" s="1"/>
  <c r="P103" i="57"/>
  <c r="P85" i="57" s="1"/>
  <c r="P165" i="56"/>
  <c r="T13" i="1"/>
  <c r="U25" i="14" s="1"/>
  <c r="L57" i="56"/>
  <c r="Q19" i="14"/>
  <c r="G123" i="56"/>
  <c r="J103" i="57"/>
  <c r="J165" i="56"/>
  <c r="O26" i="14"/>
  <c r="N13" i="1"/>
  <c r="O25" i="14" s="1"/>
  <c r="D12" i="1"/>
  <c r="AM19" i="14"/>
  <c r="J59" i="56"/>
  <c r="G28" i="43"/>
  <c r="N57" i="56"/>
  <c r="N69" i="56" s="1"/>
  <c r="S19" i="14"/>
  <c r="N65" i="56"/>
  <c r="N71" i="56" s="1"/>
  <c r="G57" i="56"/>
  <c r="F32" i="54"/>
  <c r="F30" i="54"/>
  <c r="Q65" i="56"/>
  <c r="Q79" i="57"/>
  <c r="O65" i="56"/>
  <c r="O71" i="56" s="1"/>
  <c r="F59" i="56"/>
  <c r="AK19" i="14"/>
  <c r="K65" i="56"/>
  <c r="K71" i="56" s="1"/>
  <c r="T19" i="14"/>
  <c r="D76" i="56"/>
  <c r="P71" i="56"/>
  <c r="J156" i="59"/>
  <c r="AH99" i="56"/>
  <c r="AM24" i="14"/>
  <c r="AL13" i="1"/>
  <c r="D59" i="56"/>
  <c r="D60" i="56" s="1"/>
  <c r="E60" i="56" s="1"/>
  <c r="C10" i="43"/>
  <c r="F57" i="56"/>
  <c r="M57" i="56"/>
  <c r="R19" i="14"/>
  <c r="J57" i="56"/>
  <c r="O19" i="14"/>
  <c r="M59" i="56"/>
  <c r="D10" i="43"/>
  <c r="J44" i="59"/>
  <c r="K44" i="59" s="1"/>
  <c r="K57" i="56"/>
  <c r="P19" i="14"/>
  <c r="G59" i="56"/>
  <c r="H59" i="56"/>
  <c r="P57" i="56"/>
  <c r="U19" i="14"/>
  <c r="O147" i="56"/>
  <c r="AF19" i="14"/>
  <c r="Q57" i="56"/>
  <c r="V19" i="14"/>
  <c r="E58" i="56"/>
  <c r="L59" i="56"/>
  <c r="I63" i="56"/>
  <c r="I69" i="56" s="1"/>
  <c r="N19" i="14"/>
  <c r="G124" i="59" l="1"/>
  <c r="J54" i="14"/>
  <c r="G85" i="57"/>
  <c r="AD153" i="56"/>
  <c r="J53" i="14"/>
  <c r="J55" i="14"/>
  <c r="E43" i="56"/>
  <c r="G11" i="56"/>
  <c r="H11" i="56" s="1"/>
  <c r="AH135" i="56"/>
  <c r="AH141" i="56"/>
  <c r="E40" i="57"/>
  <c r="F40" i="57" s="1"/>
  <c r="G40" i="57" s="1"/>
  <c r="H40" i="57" s="1"/>
  <c r="I40" i="57" s="1"/>
  <c r="J40" i="57" s="1"/>
  <c r="K40" i="57" s="1"/>
  <c r="L40" i="57" s="1"/>
  <c r="M40" i="57" s="1"/>
  <c r="N40" i="57" s="1"/>
  <c r="O40" i="57" s="1"/>
  <c r="P40" i="57" s="1"/>
  <c r="Q40" i="57" s="1"/>
  <c r="R40" i="57" s="1"/>
  <c r="S40" i="57" s="1"/>
  <c r="AH153" i="56"/>
  <c r="L52" i="14"/>
  <c r="D62" i="57"/>
  <c r="E20" i="57"/>
  <c r="D74" i="57"/>
  <c r="E22" i="57"/>
  <c r="D64" i="57"/>
  <c r="D85" i="57"/>
  <c r="E21" i="57"/>
  <c r="K147" i="56"/>
  <c r="Z147" i="56"/>
  <c r="AG147" i="56"/>
  <c r="F141" i="56"/>
  <c r="V141" i="56"/>
  <c r="AG153" i="56"/>
  <c r="E85" i="57"/>
  <c r="O129" i="56"/>
  <c r="I129" i="56"/>
  <c r="Z129" i="56"/>
  <c r="G129" i="56"/>
  <c r="E129" i="56"/>
  <c r="J111" i="57"/>
  <c r="J93" i="57" s="1"/>
  <c r="K111" i="57"/>
  <c r="K93" i="57" s="1"/>
  <c r="J173" i="56"/>
  <c r="J137" i="56" s="1"/>
  <c r="K173" i="56"/>
  <c r="K137" i="56" s="1"/>
  <c r="H75" i="57"/>
  <c r="Z111" i="57"/>
  <c r="Z93" i="57" s="1"/>
  <c r="Z173" i="56"/>
  <c r="Z137" i="56" s="1"/>
  <c r="AE123" i="56"/>
  <c r="AF14" i="25"/>
  <c r="AB99" i="57" s="1"/>
  <c r="AB81" i="57" s="1"/>
  <c r="F79" i="1"/>
  <c r="G80" i="1" s="1"/>
  <c r="AB14" i="1"/>
  <c r="X105" i="57" s="1"/>
  <c r="X87" i="57" s="1"/>
  <c r="F36" i="20"/>
  <c r="K123" i="56"/>
  <c r="F14" i="59"/>
  <c r="E76" i="56"/>
  <c r="F76" i="56" s="1"/>
  <c r="G76" i="56" s="1"/>
  <c r="H76" i="56" s="1"/>
  <c r="I76" i="56" s="1"/>
  <c r="J76" i="56" s="1"/>
  <c r="K76" i="56" s="1"/>
  <c r="L76" i="56" s="1"/>
  <c r="M76" i="56" s="1"/>
  <c r="N76" i="56" s="1"/>
  <c r="O76" i="56" s="1"/>
  <c r="P76" i="56" s="1"/>
  <c r="Q76" i="56" s="1"/>
  <c r="R76" i="56" s="1"/>
  <c r="S76" i="56" s="1"/>
  <c r="T76" i="56" s="1"/>
  <c r="U76" i="56" s="1"/>
  <c r="V76" i="56" s="1"/>
  <c r="W76" i="56" s="1"/>
  <c r="X76" i="56" s="1"/>
  <c r="Y76" i="56" s="1"/>
  <c r="Z76" i="56" s="1"/>
  <c r="AA76" i="56" s="1"/>
  <c r="AB76" i="56" s="1"/>
  <c r="AC76" i="56" s="1"/>
  <c r="AD76" i="56" s="1"/>
  <c r="AE76" i="56" s="1"/>
  <c r="AF76" i="56" s="1"/>
  <c r="AG76" i="56" s="1"/>
  <c r="AH76" i="56" s="1"/>
  <c r="D12" i="24"/>
  <c r="O87" i="56"/>
  <c r="Z87" i="56"/>
  <c r="AD89" i="56"/>
  <c r="AC87" i="56"/>
  <c r="S89" i="56"/>
  <c r="AB89" i="56"/>
  <c r="AF29" i="3"/>
  <c r="AF14" i="3" s="1"/>
  <c r="AB173" i="56" s="1"/>
  <c r="AF10" i="3"/>
  <c r="AB107" i="56" s="1"/>
  <c r="AG29" i="3"/>
  <c r="AG14" i="3" s="1"/>
  <c r="AC111" i="57" s="1"/>
  <c r="AC93" i="57" s="1"/>
  <c r="AG10" i="3"/>
  <c r="AC107" i="56" s="1"/>
  <c r="E166" i="56"/>
  <c r="F166" i="56" s="1"/>
  <c r="U14" i="1"/>
  <c r="Q105" i="57" s="1"/>
  <c r="F128" i="25"/>
  <c r="G129" i="25" s="1"/>
  <c r="AE14" i="1"/>
  <c r="AA167" i="56" s="1"/>
  <c r="X14" i="1"/>
  <c r="T167" i="56" s="1"/>
  <c r="AG167" i="56"/>
  <c r="AG131" i="56" s="1"/>
  <c r="AG105" i="57"/>
  <c r="AG87" i="57" s="1"/>
  <c r="AK12" i="1"/>
  <c r="F72" i="25"/>
  <c r="F111" i="59" s="1"/>
  <c r="G112" i="59" s="1"/>
  <c r="V14" i="1"/>
  <c r="R167" i="56" s="1"/>
  <c r="R131" i="56" s="1"/>
  <c r="V14" i="25"/>
  <c r="R99" i="57" s="1"/>
  <c r="R81" i="57" s="1"/>
  <c r="Y14" i="25"/>
  <c r="U99" i="57" s="1"/>
  <c r="U81" i="57" s="1"/>
  <c r="F53" i="1"/>
  <c r="G54" i="1" s="1"/>
  <c r="AJ14" i="25"/>
  <c r="AJ12" i="25" s="1"/>
  <c r="I14" i="25"/>
  <c r="E161" i="56" s="1"/>
  <c r="D68" i="57"/>
  <c r="F95" i="1"/>
  <c r="H171" i="59" s="1"/>
  <c r="G31" i="20"/>
  <c r="J31" i="20" s="1"/>
  <c r="M31" i="20" s="1"/>
  <c r="U141" i="56"/>
  <c r="D14" i="24"/>
  <c r="C14" i="24"/>
  <c r="AK29" i="3"/>
  <c r="AK14" i="3" s="1"/>
  <c r="AK10" i="3"/>
  <c r="AG107" i="56" s="1"/>
  <c r="AB29" i="3"/>
  <c r="AB14" i="3" s="1"/>
  <c r="X111" i="57" s="1"/>
  <c r="X93" i="57" s="1"/>
  <c r="O14" i="25"/>
  <c r="K99" i="57" s="1"/>
  <c r="K81" i="57" s="1"/>
  <c r="AL14" i="1"/>
  <c r="AL14" i="25"/>
  <c r="AK12" i="25"/>
  <c r="AL10" i="1"/>
  <c r="X10" i="1"/>
  <c r="T101" i="56" s="1"/>
  <c r="AL29" i="3"/>
  <c r="AL14" i="3" s="1"/>
  <c r="AL10" i="3"/>
  <c r="AH107" i="56" s="1"/>
  <c r="AJ29" i="3"/>
  <c r="AJ14" i="3" s="1"/>
  <c r="AJ10" i="3"/>
  <c r="AF107" i="56" s="1"/>
  <c r="AG161" i="56"/>
  <c r="AG125" i="56" s="1"/>
  <c r="H79" i="57"/>
  <c r="AE10" i="1"/>
  <c r="AA101" i="56" s="1"/>
  <c r="G75" i="25"/>
  <c r="P89" i="56"/>
  <c r="AE141" i="56"/>
  <c r="G141" i="25"/>
  <c r="O153" i="56"/>
  <c r="AB153" i="56"/>
  <c r="Z141" i="56"/>
  <c r="R141" i="56"/>
  <c r="R153" i="56"/>
  <c r="AB147" i="56"/>
  <c r="AG135" i="56"/>
  <c r="AG129" i="56"/>
  <c r="AG123" i="56"/>
  <c r="J33" i="20"/>
  <c r="M33" i="20" s="1"/>
  <c r="T153" i="56"/>
  <c r="AE129" i="56"/>
  <c r="W141" i="56"/>
  <c r="G96" i="25"/>
  <c r="Y153" i="56"/>
  <c r="F153" i="56"/>
  <c r="L125" i="56"/>
  <c r="J19" i="20"/>
  <c r="M19" i="20" s="1"/>
  <c r="AF153" i="56"/>
  <c r="AF147" i="56"/>
  <c r="Y147" i="56"/>
  <c r="L147" i="56"/>
  <c r="S147" i="56"/>
  <c r="AD141" i="56"/>
  <c r="AA147" i="56"/>
  <c r="E100" i="56"/>
  <c r="F100" i="56" s="1"/>
  <c r="G100" i="56" s="1"/>
  <c r="H100" i="56" s="1"/>
  <c r="I100" i="56" s="1"/>
  <c r="J100" i="56" s="1"/>
  <c r="K100" i="56" s="1"/>
  <c r="L100" i="56" s="1"/>
  <c r="M100" i="56" s="1"/>
  <c r="N100" i="56" s="1"/>
  <c r="O100" i="56" s="1"/>
  <c r="P100" i="56" s="1"/>
  <c r="Q100" i="56" s="1"/>
  <c r="R100" i="56" s="1"/>
  <c r="S100" i="56" s="1"/>
  <c r="T100" i="56" s="1"/>
  <c r="U100" i="56" s="1"/>
  <c r="V100" i="56" s="1"/>
  <c r="W100" i="56" s="1"/>
  <c r="X100" i="56" s="1"/>
  <c r="Y100" i="56" s="1"/>
  <c r="Z100" i="56" s="1"/>
  <c r="AA100" i="56" s="1"/>
  <c r="AB100" i="56" s="1"/>
  <c r="AC100" i="56" s="1"/>
  <c r="AD100" i="56" s="1"/>
  <c r="AE100" i="56" s="1"/>
  <c r="AF100" i="56" s="1"/>
  <c r="AG100" i="56" s="1"/>
  <c r="AH100" i="56" s="1"/>
  <c r="AE153" i="56"/>
  <c r="F85" i="57"/>
  <c r="E112" i="56"/>
  <c r="F112" i="56" s="1"/>
  <c r="G112" i="56" s="1"/>
  <c r="H112" i="56" s="1"/>
  <c r="I112" i="56" s="1"/>
  <c r="J112" i="56" s="1"/>
  <c r="K112" i="56" s="1"/>
  <c r="L112" i="56" s="1"/>
  <c r="M112" i="56" s="1"/>
  <c r="N112" i="56" s="1"/>
  <c r="O112" i="56" s="1"/>
  <c r="P112" i="56" s="1"/>
  <c r="Q112" i="56" s="1"/>
  <c r="R112" i="56" s="1"/>
  <c r="S112" i="56" s="1"/>
  <c r="T112" i="56" s="1"/>
  <c r="U112" i="56" s="1"/>
  <c r="V112" i="56" s="1"/>
  <c r="W112" i="56" s="1"/>
  <c r="X112" i="56" s="1"/>
  <c r="Y112" i="56" s="1"/>
  <c r="Z112" i="56" s="1"/>
  <c r="AA112" i="56" s="1"/>
  <c r="AB112" i="56" s="1"/>
  <c r="AC112" i="56" s="1"/>
  <c r="AD112" i="56" s="1"/>
  <c r="AE112" i="56" s="1"/>
  <c r="AF112" i="56" s="1"/>
  <c r="AG112" i="56" s="1"/>
  <c r="AH112" i="56" s="1"/>
  <c r="AD111" i="57"/>
  <c r="AD93" i="57" s="1"/>
  <c r="H153" i="56"/>
  <c r="G153" i="56"/>
  <c r="H125" i="56"/>
  <c r="F19" i="20"/>
  <c r="F22" i="20" s="1"/>
  <c r="E22" i="20" s="1"/>
  <c r="AD147" i="56"/>
  <c r="J87" i="56"/>
  <c r="P147" i="56"/>
  <c r="K39" i="20"/>
  <c r="N39" i="20" s="1"/>
  <c r="T147" i="56"/>
  <c r="F147" i="56"/>
  <c r="AA125" i="56"/>
  <c r="AF12" i="25"/>
  <c r="H63" i="57"/>
  <c r="Z125" i="56"/>
  <c r="F155" i="59"/>
  <c r="G156" i="59" s="1"/>
  <c r="S141" i="56"/>
  <c r="AA141" i="56"/>
  <c r="AI12" i="25"/>
  <c r="AD99" i="57"/>
  <c r="AD81" i="57" s="1"/>
  <c r="AD161" i="56"/>
  <c r="AD125" i="56" s="1"/>
  <c r="AH12" i="25"/>
  <c r="F30" i="25"/>
  <c r="F28" i="25" s="1"/>
  <c r="G29" i="25" s="1"/>
  <c r="F37" i="25"/>
  <c r="F31" i="59" s="1"/>
  <c r="G32" i="59" s="1"/>
  <c r="AF14" i="1"/>
  <c r="AB105" i="57" s="1"/>
  <c r="AB87" i="57" s="1"/>
  <c r="F79" i="25"/>
  <c r="G80" i="25" s="1"/>
  <c r="N14" i="25"/>
  <c r="N12" i="25" s="1"/>
  <c r="M14" i="25"/>
  <c r="I99" i="57" s="1"/>
  <c r="I81" i="57" s="1"/>
  <c r="Y14" i="1"/>
  <c r="U167" i="56" s="1"/>
  <c r="S14" i="25"/>
  <c r="O161" i="56" s="1"/>
  <c r="O125" i="56" s="1"/>
  <c r="AJ51" i="1"/>
  <c r="AJ14" i="1" s="1"/>
  <c r="AJ10" i="1"/>
  <c r="AF101" i="56" s="1"/>
  <c r="AE111" i="57"/>
  <c r="AE93" i="57" s="1"/>
  <c r="AE173" i="56"/>
  <c r="AE137" i="56" s="1"/>
  <c r="H85" i="57"/>
  <c r="AD137" i="56"/>
  <c r="J147" i="56"/>
  <c r="H129" i="56"/>
  <c r="Z153" i="56"/>
  <c r="F118" i="56"/>
  <c r="G118" i="56" s="1"/>
  <c r="H118" i="56" s="1"/>
  <c r="I118" i="56" s="1"/>
  <c r="J118" i="56" s="1"/>
  <c r="K118" i="56" s="1"/>
  <c r="L118" i="56" s="1"/>
  <c r="M118" i="56" s="1"/>
  <c r="N118" i="56" s="1"/>
  <c r="O118" i="56" s="1"/>
  <c r="P118" i="56" s="1"/>
  <c r="Q118" i="56" s="1"/>
  <c r="R118" i="56" s="1"/>
  <c r="S118" i="56" s="1"/>
  <c r="T118" i="56" s="1"/>
  <c r="U118" i="56" s="1"/>
  <c r="V118" i="56" s="1"/>
  <c r="W118" i="56" s="1"/>
  <c r="X118" i="56" s="1"/>
  <c r="Y118" i="56" s="1"/>
  <c r="Z118" i="56" s="1"/>
  <c r="AA118" i="56" s="1"/>
  <c r="AB118" i="56" s="1"/>
  <c r="AC118" i="56" s="1"/>
  <c r="AD118" i="56" s="1"/>
  <c r="AE118" i="56" s="1"/>
  <c r="AF118" i="56" s="1"/>
  <c r="AG118" i="56" s="1"/>
  <c r="AH118" i="56" s="1"/>
  <c r="J14" i="25"/>
  <c r="F161" i="56" s="1"/>
  <c r="F125" i="56" s="1"/>
  <c r="F32" i="3"/>
  <c r="G33" i="3" s="1"/>
  <c r="AG14" i="1"/>
  <c r="AG10" i="1"/>
  <c r="AC101" i="56" s="1"/>
  <c r="F51" i="25"/>
  <c r="F49" i="25" s="1"/>
  <c r="F109" i="1"/>
  <c r="H203" i="59" s="1"/>
  <c r="I204" i="59" s="1"/>
  <c r="T14" i="1"/>
  <c r="P105" i="57" s="1"/>
  <c r="P87" i="57" s="1"/>
  <c r="AF12" i="3"/>
  <c r="F74" i="1"/>
  <c r="H123" i="59" s="1"/>
  <c r="J123" i="59" s="1"/>
  <c r="W14" i="25"/>
  <c r="S99" i="57" s="1"/>
  <c r="S81" i="57" s="1"/>
  <c r="F44" i="25"/>
  <c r="F47" i="59" s="1"/>
  <c r="G48" i="59" s="1"/>
  <c r="W153" i="56"/>
  <c r="D148" i="56"/>
  <c r="M141" i="56"/>
  <c r="AA99" i="57"/>
  <c r="AA81" i="57" s="1"/>
  <c r="AE12" i="25"/>
  <c r="AC173" i="56"/>
  <c r="AC137" i="56" s="1"/>
  <c r="P129" i="56"/>
  <c r="P10" i="1"/>
  <c r="L101" i="56" s="1"/>
  <c r="X12" i="25"/>
  <c r="P54" i="14"/>
  <c r="AB161" i="56"/>
  <c r="AB125" i="56" s="1"/>
  <c r="P14" i="1"/>
  <c r="L167" i="56" s="1"/>
  <c r="R10" i="1"/>
  <c r="N101" i="56" s="1"/>
  <c r="AI12" i="3"/>
  <c r="G40" i="25"/>
  <c r="T161" i="56"/>
  <c r="T125" i="56" s="1"/>
  <c r="Y10" i="1"/>
  <c r="U101" i="56" s="1"/>
  <c r="G16" i="20"/>
  <c r="J16" i="20" s="1"/>
  <c r="M16" i="20" s="1"/>
  <c r="D154" i="56"/>
  <c r="AI37" i="1"/>
  <c r="AI14" i="1" s="1"/>
  <c r="AI10" i="1"/>
  <c r="AE101" i="56" s="1"/>
  <c r="AH14" i="1"/>
  <c r="AH12" i="3"/>
  <c r="R14" i="1"/>
  <c r="N167" i="56" s="1"/>
  <c r="AF10" i="1"/>
  <c r="D147" i="56"/>
  <c r="AA14" i="25"/>
  <c r="W99" i="57" s="1"/>
  <c r="W81" i="57" s="1"/>
  <c r="D142" i="56"/>
  <c r="AC14" i="25"/>
  <c r="Y99" i="57" s="1"/>
  <c r="Y81" i="57" s="1"/>
  <c r="I10" i="1"/>
  <c r="E101" i="56" s="1"/>
  <c r="F23" i="25"/>
  <c r="G24" i="25" s="1"/>
  <c r="D5" i="64"/>
  <c r="E5" i="64" s="1"/>
  <c r="F5" i="64" s="1"/>
  <c r="G5" i="64" s="1"/>
  <c r="H5" i="64" s="1"/>
  <c r="I5" i="64" s="1"/>
  <c r="J5" i="64" s="1"/>
  <c r="K5" i="64" s="1"/>
  <c r="L5" i="64" s="1"/>
  <c r="M5" i="64" s="1"/>
  <c r="N5" i="64" s="1"/>
  <c r="O5" i="64" s="1"/>
  <c r="P5" i="64" s="1"/>
  <c r="Q5" i="64" s="1"/>
  <c r="R5" i="64" s="1"/>
  <c r="S5" i="64" s="1"/>
  <c r="T5" i="64" s="1"/>
  <c r="U5" i="64" s="1"/>
  <c r="V5" i="64" s="1"/>
  <c r="W5" i="64" s="1"/>
  <c r="X5" i="64" s="1"/>
  <c r="Y5" i="64" s="1"/>
  <c r="Z5" i="64" s="1"/>
  <c r="AA5" i="64" s="1"/>
  <c r="AB5" i="64" s="1"/>
  <c r="AC5" i="64" s="1"/>
  <c r="AD5" i="64" s="1"/>
  <c r="AE5" i="64" s="1"/>
  <c r="AF5" i="64" s="1"/>
  <c r="AG5" i="64" s="1"/>
  <c r="AG14" i="25"/>
  <c r="F25" i="1"/>
  <c r="G26" i="1" s="1"/>
  <c r="S153" i="56"/>
  <c r="F63" i="57"/>
  <c r="G44" i="59"/>
  <c r="H10" i="1"/>
  <c r="D69" i="57" s="1"/>
  <c r="J10" i="1"/>
  <c r="F101" i="56" s="1"/>
  <c r="D141" i="56"/>
  <c r="U14" i="25"/>
  <c r="U12" i="25" s="1"/>
  <c r="F67" i="1"/>
  <c r="H107" i="59" s="1"/>
  <c r="I108" i="59" s="1"/>
  <c r="AE161" i="56"/>
  <c r="AE125" i="56" s="1"/>
  <c r="AH10" i="1"/>
  <c r="AD101" i="56" s="1"/>
  <c r="AE135" i="56"/>
  <c r="E28" i="56"/>
  <c r="E44" i="56"/>
  <c r="L53" i="14"/>
  <c r="AC141" i="56"/>
  <c r="D37" i="14"/>
  <c r="X141" i="56"/>
  <c r="G141" i="56"/>
  <c r="AD129" i="56"/>
  <c r="AE89" i="56"/>
  <c r="G131" i="25"/>
  <c r="L54" i="14"/>
  <c r="N54" i="14" s="1"/>
  <c r="D30" i="14"/>
  <c r="D13" i="37"/>
  <c r="D18" i="37"/>
  <c r="P53" i="14"/>
  <c r="D153" i="56"/>
  <c r="D33" i="14"/>
  <c r="D38" i="14" s="1"/>
  <c r="P55" i="14"/>
  <c r="AB87" i="56"/>
  <c r="F203" i="59"/>
  <c r="G204" i="59" s="1"/>
  <c r="G36" i="20"/>
  <c r="J36" i="20" s="1"/>
  <c r="M36" i="20" s="1"/>
  <c r="X147" i="56"/>
  <c r="D15" i="37"/>
  <c r="N55" i="14"/>
  <c r="E27" i="56"/>
  <c r="AC123" i="56"/>
  <c r="AB129" i="56"/>
  <c r="AB141" i="56"/>
  <c r="G94" i="59"/>
  <c r="Z99" i="57"/>
  <c r="Z81" i="57" s="1"/>
  <c r="AD12" i="25"/>
  <c r="AA123" i="56"/>
  <c r="F158" i="59"/>
  <c r="AE29" i="3"/>
  <c r="AE14" i="3" s="1"/>
  <c r="AE10" i="3"/>
  <c r="AA107" i="56" s="1"/>
  <c r="W14" i="1"/>
  <c r="S167" i="56" s="1"/>
  <c r="AD14" i="1"/>
  <c r="Z123" i="56"/>
  <c r="P52" i="14"/>
  <c r="N147" i="56"/>
  <c r="X153" i="56"/>
  <c r="F38" i="57"/>
  <c r="G38" i="57" s="1"/>
  <c r="H38" i="57" s="1"/>
  <c r="I38" i="57" s="1"/>
  <c r="J38" i="57" s="1"/>
  <c r="K38" i="57" s="1"/>
  <c r="L38" i="57" s="1"/>
  <c r="M38" i="57" s="1"/>
  <c r="N38" i="57" s="1"/>
  <c r="O38" i="57" s="1"/>
  <c r="P38" i="57" s="1"/>
  <c r="Q38" i="57" s="1"/>
  <c r="R38" i="57" s="1"/>
  <c r="S38" i="57" s="1"/>
  <c r="T38" i="57" s="1"/>
  <c r="U38" i="57" s="1"/>
  <c r="V38" i="57" s="1"/>
  <c r="W38" i="57" s="1"/>
  <c r="X38" i="57" s="1"/>
  <c r="Y38" i="57" s="1"/>
  <c r="Z38" i="57" s="1"/>
  <c r="AA38" i="57" s="1"/>
  <c r="AB38" i="57" s="1"/>
  <c r="AC38" i="57" s="1"/>
  <c r="AD38" i="57" s="1"/>
  <c r="AE38" i="57" s="1"/>
  <c r="AF38" i="57" s="1"/>
  <c r="AG38" i="57" s="1"/>
  <c r="AH38" i="57" s="1"/>
  <c r="Y129" i="56"/>
  <c r="R12" i="25"/>
  <c r="D123" i="56"/>
  <c r="N161" i="56"/>
  <c r="N125" i="56" s="1"/>
  <c r="V12" i="25"/>
  <c r="E98" i="57"/>
  <c r="F98" i="57" s="1"/>
  <c r="E40" i="56"/>
  <c r="G44" i="57"/>
  <c r="H44" i="57" s="1"/>
  <c r="I44" i="57" s="1"/>
  <c r="J44" i="57" s="1"/>
  <c r="K44" i="57" s="1"/>
  <c r="L44" i="57" s="1"/>
  <c r="M44" i="57" s="1"/>
  <c r="N44" i="57" s="1"/>
  <c r="O44" i="57" s="1"/>
  <c r="P44" i="57" s="1"/>
  <c r="Q44" i="57" s="1"/>
  <c r="R44" i="57" s="1"/>
  <c r="S44" i="57" s="1"/>
  <c r="T44" i="57" s="1"/>
  <c r="U44" i="57" s="1"/>
  <c r="V44" i="57" s="1"/>
  <c r="W44" i="57" s="1"/>
  <c r="X44" i="57" s="1"/>
  <c r="Y44" i="57" s="1"/>
  <c r="Z44" i="57" s="1"/>
  <c r="AA44" i="57" s="1"/>
  <c r="AB44" i="57" s="1"/>
  <c r="AC44" i="57" s="1"/>
  <c r="AD44" i="57" s="1"/>
  <c r="AE44" i="57" s="1"/>
  <c r="AF44" i="57" s="1"/>
  <c r="AG44" i="57" s="1"/>
  <c r="AH44" i="57" s="1"/>
  <c r="U89" i="56"/>
  <c r="S87" i="56"/>
  <c r="X87" i="56"/>
  <c r="K49" i="14"/>
  <c r="Y111" i="57"/>
  <c r="Y93" i="57" s="1"/>
  <c r="F46" i="57"/>
  <c r="G46" i="57" s="1"/>
  <c r="H46" i="57" s="1"/>
  <c r="I46" i="57" s="1"/>
  <c r="J46" i="57" s="1"/>
  <c r="K46" i="57" s="1"/>
  <c r="L46" i="57" s="1"/>
  <c r="M46" i="57" s="1"/>
  <c r="N46" i="57" s="1"/>
  <c r="O46" i="57" s="1"/>
  <c r="P46" i="57" s="1"/>
  <c r="Q46" i="57" s="1"/>
  <c r="R46" i="57" s="1"/>
  <c r="S46" i="57" s="1"/>
  <c r="T46" i="57" s="1"/>
  <c r="U46" i="57" s="1"/>
  <c r="V46" i="57" s="1"/>
  <c r="W46" i="57" s="1"/>
  <c r="X46" i="57" s="1"/>
  <c r="Y46" i="57" s="1"/>
  <c r="Z46" i="57" s="1"/>
  <c r="AA46" i="57" s="1"/>
  <c r="AB46" i="57" s="1"/>
  <c r="AC46" i="57" s="1"/>
  <c r="AD46" i="57" s="1"/>
  <c r="AE46" i="57" s="1"/>
  <c r="AF46" i="57" s="1"/>
  <c r="AG46" i="57" s="1"/>
  <c r="AH46" i="57" s="1"/>
  <c r="F126" i="59"/>
  <c r="Y173" i="56"/>
  <c r="Y137" i="56" s="1"/>
  <c r="E79" i="57"/>
  <c r="F143" i="59"/>
  <c r="G144" i="59" s="1"/>
  <c r="D32" i="14"/>
  <c r="E141" i="56"/>
  <c r="G94" i="25"/>
  <c r="G64" i="25"/>
  <c r="Y141" i="56"/>
  <c r="F78" i="56"/>
  <c r="G78" i="56" s="1"/>
  <c r="H78" i="56" s="1"/>
  <c r="I78" i="56" s="1"/>
  <c r="J78" i="56" s="1"/>
  <c r="K78" i="56" s="1"/>
  <c r="L78" i="56" s="1"/>
  <c r="M78" i="56" s="1"/>
  <c r="N78" i="56" s="1"/>
  <c r="O78" i="56" s="1"/>
  <c r="P78" i="56" s="1"/>
  <c r="Q78" i="56" s="1"/>
  <c r="R78" i="56" s="1"/>
  <c r="S78" i="56" s="1"/>
  <c r="T78" i="56" s="1"/>
  <c r="U78" i="56" s="1"/>
  <c r="V78" i="56" s="1"/>
  <c r="W78" i="56" s="1"/>
  <c r="X78" i="56" s="1"/>
  <c r="Y78" i="56" s="1"/>
  <c r="Z78" i="56" s="1"/>
  <c r="AA78" i="56" s="1"/>
  <c r="AB78" i="56" s="1"/>
  <c r="AC78" i="56" s="1"/>
  <c r="AD78" i="56" s="1"/>
  <c r="AE78" i="56" s="1"/>
  <c r="AF78" i="56" s="1"/>
  <c r="AG78" i="56" s="1"/>
  <c r="AH78" i="56" s="1"/>
  <c r="Y12" i="3"/>
  <c r="AB12" i="25"/>
  <c r="F104" i="57"/>
  <c r="G104" i="57" s="1"/>
  <c r="M167" i="56"/>
  <c r="M131" i="56" s="1"/>
  <c r="D35" i="14"/>
  <c r="D80" i="57"/>
  <c r="N89" i="56"/>
  <c r="R123" i="56"/>
  <c r="X173" i="56"/>
  <c r="X137" i="56" s="1"/>
  <c r="D11" i="37"/>
  <c r="E124" i="56"/>
  <c r="V99" i="57"/>
  <c r="V81" i="57" s="1"/>
  <c r="V161" i="56"/>
  <c r="V125" i="56" s="1"/>
  <c r="Z12" i="25"/>
  <c r="AC14" i="1"/>
  <c r="AC10" i="1"/>
  <c r="Y101" i="56" s="1"/>
  <c r="Z29" i="3"/>
  <c r="Z14" i="3" s="1"/>
  <c r="Z10" i="3"/>
  <c r="V107" i="56" s="1"/>
  <c r="W10" i="1"/>
  <c r="S101" i="56" s="1"/>
  <c r="U173" i="56"/>
  <c r="U137" i="56" s="1"/>
  <c r="AA29" i="3"/>
  <c r="AA14" i="3" s="1"/>
  <c r="AA10" i="3"/>
  <c r="W107" i="56" s="1"/>
  <c r="X12" i="3"/>
  <c r="Z10" i="1"/>
  <c r="V101" i="56" s="1"/>
  <c r="X99" i="57"/>
  <c r="X161" i="56"/>
  <c r="X125" i="56" s="1"/>
  <c r="Q12" i="25"/>
  <c r="Z14" i="1"/>
  <c r="V105" i="57" s="1"/>
  <c r="V87" i="57" s="1"/>
  <c r="M99" i="57"/>
  <c r="M81" i="57" s="1"/>
  <c r="T111" i="57"/>
  <c r="T93" i="57" s="1"/>
  <c r="D124" i="56"/>
  <c r="F114" i="25"/>
  <c r="G115" i="25" s="1"/>
  <c r="J14" i="1"/>
  <c r="E12" i="57"/>
  <c r="AA89" i="56"/>
  <c r="Y87" i="56"/>
  <c r="E82" i="56"/>
  <c r="F82" i="56" s="1"/>
  <c r="G82" i="56" s="1"/>
  <c r="H82" i="56" s="1"/>
  <c r="I82" i="56" s="1"/>
  <c r="J82" i="56" s="1"/>
  <c r="K82" i="56" s="1"/>
  <c r="L82" i="56" s="1"/>
  <c r="M82" i="56" s="1"/>
  <c r="N82" i="56" s="1"/>
  <c r="O82" i="56" s="1"/>
  <c r="P82" i="56" s="1"/>
  <c r="Q82" i="56" s="1"/>
  <c r="R82" i="56" s="1"/>
  <c r="S82" i="56" s="1"/>
  <c r="T82" i="56" s="1"/>
  <c r="U82" i="56" s="1"/>
  <c r="V82" i="56" s="1"/>
  <c r="W82" i="56" s="1"/>
  <c r="X82" i="56" s="1"/>
  <c r="Y82" i="56" s="1"/>
  <c r="Z82" i="56" s="1"/>
  <c r="AA82" i="56" s="1"/>
  <c r="AB82" i="56" s="1"/>
  <c r="AC82" i="56" s="1"/>
  <c r="AD82" i="56" s="1"/>
  <c r="AE82" i="56" s="1"/>
  <c r="AF82" i="56" s="1"/>
  <c r="AG82" i="56" s="1"/>
  <c r="AH82" i="56" s="1"/>
  <c r="I20" i="56" s="1"/>
  <c r="P99" i="57"/>
  <c r="P81" i="57" s="1"/>
  <c r="R87" i="56"/>
  <c r="F94" i="56"/>
  <c r="G94" i="56" s="1"/>
  <c r="H94" i="56" s="1"/>
  <c r="F46" i="59"/>
  <c r="I87" i="56"/>
  <c r="G87" i="56"/>
  <c r="V135" i="56"/>
  <c r="F89" i="56"/>
  <c r="F190" i="59"/>
  <c r="U10" i="1"/>
  <c r="Q101" i="56" s="1"/>
  <c r="F100" i="1"/>
  <c r="G101" i="1" s="1"/>
  <c r="AA14" i="1"/>
  <c r="W167" i="56" s="1"/>
  <c r="AA10" i="1"/>
  <c r="W101" i="56" s="1"/>
  <c r="F37" i="1"/>
  <c r="G38" i="1" s="1"/>
  <c r="F107" i="1"/>
  <c r="G108" i="1" s="1"/>
  <c r="L10" i="1"/>
  <c r="H69" i="57" s="1"/>
  <c r="D129" i="56"/>
  <c r="O10" i="1"/>
  <c r="K101" i="56" s="1"/>
  <c r="D130" i="56"/>
  <c r="F88" i="1"/>
  <c r="F46" i="1"/>
  <c r="G47" i="1" s="1"/>
  <c r="F93" i="1"/>
  <c r="G94" i="1" s="1"/>
  <c r="F12" i="57"/>
  <c r="X89" i="56"/>
  <c r="E25" i="56"/>
  <c r="D87" i="56"/>
  <c r="D88" i="56" s="1"/>
  <c r="E88" i="56" s="1"/>
  <c r="F88" i="56" s="1"/>
  <c r="D89" i="56"/>
  <c r="D90" i="56" s="1"/>
  <c r="H89" i="56"/>
  <c r="G28" i="59"/>
  <c r="J14" i="20"/>
  <c r="M14" i="20" s="1"/>
  <c r="H99" i="57"/>
  <c r="E62" i="57"/>
  <c r="F62" i="57" s="1"/>
  <c r="G62" i="57" s="1"/>
  <c r="H62" i="57" s="1"/>
  <c r="G87" i="25"/>
  <c r="W135" i="56"/>
  <c r="E147" i="56"/>
  <c r="E184" i="56"/>
  <c r="E24" i="20"/>
  <c r="F24" i="20" s="1"/>
  <c r="F30" i="20" s="1"/>
  <c r="D24" i="14"/>
  <c r="D79" i="57"/>
  <c r="D40" i="20"/>
  <c r="D41" i="20" s="1"/>
  <c r="J15" i="20"/>
  <c r="M15" i="20" s="1"/>
  <c r="F15" i="20"/>
  <c r="J49" i="14"/>
  <c r="W129" i="56"/>
  <c r="E30" i="57"/>
  <c r="E34" i="20"/>
  <c r="F34" i="20" s="1"/>
  <c r="W87" i="56"/>
  <c r="N52" i="14"/>
  <c r="V123" i="56"/>
  <c r="D21" i="14"/>
  <c r="F20" i="56"/>
  <c r="V89" i="56"/>
  <c r="C10" i="25"/>
  <c r="E10" i="25" s="1"/>
  <c r="F62" i="59"/>
  <c r="E20" i="56"/>
  <c r="G43" i="61"/>
  <c r="U79" i="57"/>
  <c r="E24" i="56"/>
  <c r="F30" i="59"/>
  <c r="D11" i="25"/>
  <c r="F78" i="59"/>
  <c r="G78" i="59" s="1"/>
  <c r="G57" i="25"/>
  <c r="T12" i="25"/>
  <c r="G160" i="59"/>
  <c r="F19" i="56"/>
  <c r="H135" i="56"/>
  <c r="P49" i="14"/>
  <c r="F111" i="57"/>
  <c r="F93" i="57" s="1"/>
  <c r="F11" i="57"/>
  <c r="J32" i="20"/>
  <c r="M32" i="20" s="1"/>
  <c r="L99" i="57"/>
  <c r="L81" i="57" s="1"/>
  <c r="R111" i="57"/>
  <c r="R93" i="57" s="1"/>
  <c r="P12" i="25"/>
  <c r="F142" i="59"/>
  <c r="E32" i="20"/>
  <c r="F32" i="20" s="1"/>
  <c r="L12" i="25"/>
  <c r="F206" i="59"/>
  <c r="E41" i="56"/>
  <c r="F127" i="59"/>
  <c r="G128" i="59" s="1"/>
  <c r="R173" i="56"/>
  <c r="R137" i="56" s="1"/>
  <c r="D20" i="14"/>
  <c r="J11" i="56"/>
  <c r="E11" i="57"/>
  <c r="T69" i="56"/>
  <c r="E26" i="56"/>
  <c r="L51" i="14"/>
  <c r="F126" i="25"/>
  <c r="G124" i="25"/>
  <c r="G37" i="20"/>
  <c r="J37" i="20" s="1"/>
  <c r="M37" i="20" s="1"/>
  <c r="W29" i="3"/>
  <c r="W14" i="3" s="1"/>
  <c r="W10" i="3"/>
  <c r="G24" i="20"/>
  <c r="G68" i="25"/>
  <c r="F107" i="59"/>
  <c r="G108" i="59" s="1"/>
  <c r="F135" i="25"/>
  <c r="M121" i="1"/>
  <c r="F121" i="1" s="1"/>
  <c r="F116" i="1"/>
  <c r="G117" i="1" s="1"/>
  <c r="E13" i="24"/>
  <c r="L39" i="61"/>
  <c r="L42" i="61" s="1"/>
  <c r="L43" i="61" s="1"/>
  <c r="E11" i="24"/>
  <c r="G101" i="25"/>
  <c r="Q111" i="57"/>
  <c r="Q93" i="57" s="1"/>
  <c r="F98" i="25"/>
  <c r="F157" i="59" s="1"/>
  <c r="U12" i="3"/>
  <c r="D11" i="3"/>
  <c r="F63" i="1"/>
  <c r="G64" i="1" s="1"/>
  <c r="N135" i="56"/>
  <c r="L49" i="14"/>
  <c r="E63" i="57"/>
  <c r="H42" i="61"/>
  <c r="H44" i="61" s="1"/>
  <c r="R29" i="3"/>
  <c r="R14" i="3" s="1"/>
  <c r="R12" i="3" s="1"/>
  <c r="T29" i="3"/>
  <c r="T14" i="3" s="1"/>
  <c r="T12" i="3" s="1"/>
  <c r="J135" i="56"/>
  <c r="F175" i="59"/>
  <c r="G176" i="59" s="1"/>
  <c r="G108" i="25"/>
  <c r="F105" i="25"/>
  <c r="G106" i="25" s="1"/>
  <c r="F11" i="59"/>
  <c r="G12" i="59" s="1"/>
  <c r="G19" i="25"/>
  <c r="G11" i="20"/>
  <c r="F36" i="3"/>
  <c r="G37" i="3" s="1"/>
  <c r="K23" i="1"/>
  <c r="F18" i="1"/>
  <c r="G34" i="20"/>
  <c r="F171" i="59"/>
  <c r="G172" i="59" s="1"/>
  <c r="G103" i="25"/>
  <c r="G95" i="56"/>
  <c r="F24" i="56" s="1"/>
  <c r="G63" i="57"/>
  <c r="J51" i="14"/>
  <c r="J12" i="3"/>
  <c r="F32" i="1"/>
  <c r="G52" i="25"/>
  <c r="R135" i="56"/>
  <c r="A3" i="64"/>
  <c r="A5" i="64" s="1"/>
  <c r="A7" i="64" s="1"/>
  <c r="A8" i="64" s="1"/>
  <c r="G137" i="56"/>
  <c r="G82" i="1"/>
  <c r="I44" i="61"/>
  <c r="J45" i="14"/>
  <c r="D27" i="14"/>
  <c r="R91" i="57"/>
  <c r="E32" i="57"/>
  <c r="D91" i="57"/>
  <c r="T135" i="56"/>
  <c r="D110" i="57"/>
  <c r="P135" i="56"/>
  <c r="L135" i="56"/>
  <c r="D135" i="56"/>
  <c r="D29" i="14"/>
  <c r="P51" i="14"/>
  <c r="E190" i="56"/>
  <c r="E154" i="56" s="1"/>
  <c r="K135" i="56"/>
  <c r="E13" i="20"/>
  <c r="F135" i="56"/>
  <c r="F91" i="57"/>
  <c r="F106" i="56"/>
  <c r="G106" i="56" s="1"/>
  <c r="H106" i="56" s="1"/>
  <c r="I106" i="56" s="1"/>
  <c r="J106" i="56" s="1"/>
  <c r="K106" i="56" s="1"/>
  <c r="L106" i="56" s="1"/>
  <c r="M106" i="56" s="1"/>
  <c r="N106" i="56" s="1"/>
  <c r="O106" i="56" s="1"/>
  <c r="P106" i="56" s="1"/>
  <c r="Q106" i="56" s="1"/>
  <c r="R106" i="56" s="1"/>
  <c r="S106" i="56" s="1"/>
  <c r="T106" i="56" s="1"/>
  <c r="U106" i="56" s="1"/>
  <c r="V106" i="56" s="1"/>
  <c r="W106" i="56" s="1"/>
  <c r="X106" i="56" s="1"/>
  <c r="Y106" i="56" s="1"/>
  <c r="Z106" i="56" s="1"/>
  <c r="AA106" i="56" s="1"/>
  <c r="AB106" i="56" s="1"/>
  <c r="AC106" i="56" s="1"/>
  <c r="AD106" i="56" s="1"/>
  <c r="AE106" i="56" s="1"/>
  <c r="AF106" i="56" s="1"/>
  <c r="AG106" i="56" s="1"/>
  <c r="AH106" i="56" s="1"/>
  <c r="L45" i="14"/>
  <c r="L89" i="56"/>
  <c r="P50" i="14"/>
  <c r="C12" i="24"/>
  <c r="E89" i="56"/>
  <c r="E84" i="56"/>
  <c r="F84" i="56" s="1"/>
  <c r="G84" i="56" s="1"/>
  <c r="H84" i="56" s="1"/>
  <c r="I84" i="56" s="1"/>
  <c r="J84" i="56" s="1"/>
  <c r="K84" i="56" s="1"/>
  <c r="L84" i="56" s="1"/>
  <c r="M84" i="56" s="1"/>
  <c r="N84" i="56" s="1"/>
  <c r="O84" i="56" s="1"/>
  <c r="P84" i="56" s="1"/>
  <c r="Q84" i="56" s="1"/>
  <c r="R84" i="56" s="1"/>
  <c r="S84" i="56" s="1"/>
  <c r="T84" i="56" s="1"/>
  <c r="U84" i="56" s="1"/>
  <c r="V84" i="56" s="1"/>
  <c r="W84" i="56" s="1"/>
  <c r="X84" i="56" s="1"/>
  <c r="Y84" i="56" s="1"/>
  <c r="Z84" i="56" s="1"/>
  <c r="AA84" i="56" s="1"/>
  <c r="AB84" i="56" s="1"/>
  <c r="AC84" i="56" s="1"/>
  <c r="AD84" i="56" s="1"/>
  <c r="AE84" i="56" s="1"/>
  <c r="AF84" i="56" s="1"/>
  <c r="AG84" i="56" s="1"/>
  <c r="AH84" i="56" s="1"/>
  <c r="J20" i="56" s="1"/>
  <c r="AH87" i="56"/>
  <c r="E19" i="56"/>
  <c r="E10" i="24"/>
  <c r="T89" i="56"/>
  <c r="J50" i="14"/>
  <c r="R71" i="56"/>
  <c r="F14" i="56"/>
  <c r="Q12" i="1"/>
  <c r="I11" i="56"/>
  <c r="I140" i="59"/>
  <c r="J144" i="59"/>
  <c r="F137" i="56"/>
  <c r="F207" i="59"/>
  <c r="G208" i="59" s="1"/>
  <c r="G122" i="25"/>
  <c r="F119" i="25"/>
  <c r="F178" i="56"/>
  <c r="E75" i="57"/>
  <c r="E107" i="56"/>
  <c r="F30" i="1"/>
  <c r="I14" i="1"/>
  <c r="H31" i="20"/>
  <c r="F125" i="59"/>
  <c r="G85" i="25"/>
  <c r="D23" i="14"/>
  <c r="N14" i="1"/>
  <c r="F58" i="1"/>
  <c r="D99" i="57"/>
  <c r="D161" i="56"/>
  <c r="H12" i="25"/>
  <c r="P12" i="3"/>
  <c r="L111" i="57"/>
  <c r="L93" i="57" s="1"/>
  <c r="L173" i="56"/>
  <c r="L137" i="56" s="1"/>
  <c r="D136" i="56"/>
  <c r="E172" i="56"/>
  <c r="L14" i="1"/>
  <c r="F86" i="1"/>
  <c r="I29" i="3"/>
  <c r="G161" i="56"/>
  <c r="G99" i="57"/>
  <c r="K12" i="25"/>
  <c r="F72" i="1"/>
  <c r="H14" i="1"/>
  <c r="G92" i="25"/>
  <c r="F141" i="59"/>
  <c r="H32" i="20"/>
  <c r="F44" i="3"/>
  <c r="G45" i="3" s="1"/>
  <c r="F42" i="3"/>
  <c r="G43" i="3" s="1"/>
  <c r="O14" i="1"/>
  <c r="F114" i="1"/>
  <c r="D111" i="57"/>
  <c r="H12" i="3"/>
  <c r="D173" i="56"/>
  <c r="L12" i="3"/>
  <c r="H111" i="57"/>
  <c r="H93" i="57" s="1"/>
  <c r="H173" i="56"/>
  <c r="M29" i="3"/>
  <c r="M14" i="3" s="1"/>
  <c r="G101" i="56"/>
  <c r="G69" i="57"/>
  <c r="D75" i="57"/>
  <c r="D107" i="56"/>
  <c r="D108" i="56" s="1"/>
  <c r="G40" i="1"/>
  <c r="H59" i="59"/>
  <c r="I60" i="59" s="1"/>
  <c r="H22" i="37"/>
  <c r="H30" i="37"/>
  <c r="F22" i="3"/>
  <c r="G23" i="3" s="1"/>
  <c r="H187" i="59"/>
  <c r="G103" i="1"/>
  <c r="F44" i="1"/>
  <c r="S14" i="1"/>
  <c r="S29" i="3"/>
  <c r="S14" i="3" s="1"/>
  <c r="J14" i="59"/>
  <c r="H190" i="59"/>
  <c r="D26" i="14"/>
  <c r="F33" i="20"/>
  <c r="E39" i="56"/>
  <c r="E31" i="57"/>
  <c r="Q85" i="57"/>
  <c r="F79" i="57"/>
  <c r="F123" i="56"/>
  <c r="F160" i="56"/>
  <c r="J174" i="59"/>
  <c r="J176" i="59" s="1"/>
  <c r="L69" i="56"/>
  <c r="F58" i="56"/>
  <c r="G58" i="56" s="1"/>
  <c r="H58" i="56" s="1"/>
  <c r="I58" i="56" s="1"/>
  <c r="J58" i="56" s="1"/>
  <c r="K58" i="56" s="1"/>
  <c r="L58" i="56" s="1"/>
  <c r="M58" i="56" s="1"/>
  <c r="N58" i="56" s="1"/>
  <c r="O58" i="56" s="1"/>
  <c r="P58" i="56" s="1"/>
  <c r="Q58" i="56" s="1"/>
  <c r="M71" i="56"/>
  <c r="Q71" i="56"/>
  <c r="J129" i="56"/>
  <c r="J158" i="59"/>
  <c r="J160" i="59" s="1"/>
  <c r="E10" i="43"/>
  <c r="AH129" i="56"/>
  <c r="J85" i="57"/>
  <c r="F96" i="56"/>
  <c r="AM25" i="14"/>
  <c r="L50" i="14" s="1"/>
  <c r="AH101" i="56"/>
  <c r="F60" i="56"/>
  <c r="G60" i="56" s="1"/>
  <c r="H60" i="56" s="1"/>
  <c r="I60" i="56" s="1"/>
  <c r="J60" i="56" s="1"/>
  <c r="K60" i="56" s="1"/>
  <c r="L60" i="56" s="1"/>
  <c r="M60" i="56" s="1"/>
  <c r="N60" i="56" s="1"/>
  <c r="O60" i="56" s="1"/>
  <c r="P60" i="56" s="1"/>
  <c r="Q60" i="56" s="1"/>
  <c r="J71" i="56"/>
  <c r="J46" i="59"/>
  <c r="L71" i="56"/>
  <c r="J69" i="56"/>
  <c r="P69" i="56"/>
  <c r="K69" i="56"/>
  <c r="D11" i="1"/>
  <c r="Q69" i="56"/>
  <c r="E14" i="56"/>
  <c r="M69" i="56"/>
  <c r="N53" i="14" l="1"/>
  <c r="E36" i="56"/>
  <c r="G73" i="25"/>
  <c r="F70" i="25"/>
  <c r="G96" i="1"/>
  <c r="D92" i="57"/>
  <c r="E35" i="56"/>
  <c r="C12" i="25"/>
  <c r="E23" i="14" s="1"/>
  <c r="F23" i="14" s="1"/>
  <c r="G23" i="14" s="1"/>
  <c r="F20" i="57"/>
  <c r="G20" i="57" s="1"/>
  <c r="H20" i="57" s="1"/>
  <c r="E27" i="57"/>
  <c r="I20" i="57"/>
  <c r="E26" i="57"/>
  <c r="E25" i="57"/>
  <c r="F77" i="25"/>
  <c r="H25" i="20" s="1"/>
  <c r="I25" i="20" s="1"/>
  <c r="L25" i="20" s="1"/>
  <c r="O25" i="20" s="1"/>
  <c r="AB12" i="3"/>
  <c r="E74" i="57"/>
  <c r="F74" i="57" s="1"/>
  <c r="G74" i="57" s="1"/>
  <c r="H74" i="57" s="1"/>
  <c r="H91" i="59"/>
  <c r="D76" i="57"/>
  <c r="F22" i="57"/>
  <c r="G22" i="57" s="1"/>
  <c r="H22" i="57" s="1"/>
  <c r="F63" i="59"/>
  <c r="G64" i="59" s="1"/>
  <c r="E64" i="57"/>
  <c r="D70" i="57"/>
  <c r="D86" i="57"/>
  <c r="H127" i="59"/>
  <c r="I128" i="59" s="1"/>
  <c r="V12" i="1"/>
  <c r="R105" i="57"/>
  <c r="R87" i="57" s="1"/>
  <c r="AB111" i="57"/>
  <c r="AB93" i="57" s="1"/>
  <c r="AB12" i="1"/>
  <c r="X167" i="56"/>
  <c r="X131" i="56" s="1"/>
  <c r="T131" i="56"/>
  <c r="AA131" i="56"/>
  <c r="AA105" i="57"/>
  <c r="AA87" i="57" s="1"/>
  <c r="Q167" i="56"/>
  <c r="Q131" i="56" s="1"/>
  <c r="X12" i="1"/>
  <c r="E130" i="56"/>
  <c r="T105" i="57"/>
  <c r="T87" i="57" s="1"/>
  <c r="AF161" i="56"/>
  <c r="AF125" i="56" s="1"/>
  <c r="I12" i="25"/>
  <c r="E99" i="57"/>
  <c r="E81" i="57" s="1"/>
  <c r="AF99" i="57"/>
  <c r="AF81" i="57" s="1"/>
  <c r="J161" i="56"/>
  <c r="J125" i="56" s="1"/>
  <c r="J99" i="57"/>
  <c r="J81" i="57" s="1"/>
  <c r="O99" i="57"/>
  <c r="O81" i="57" s="1"/>
  <c r="K161" i="56"/>
  <c r="K125" i="56" s="1"/>
  <c r="S12" i="25"/>
  <c r="O12" i="25"/>
  <c r="R161" i="56"/>
  <c r="R125" i="56" s="1"/>
  <c r="AG12" i="3"/>
  <c r="AB137" i="56"/>
  <c r="U161" i="56"/>
  <c r="U125" i="56" s="1"/>
  <c r="AE12" i="1"/>
  <c r="Y12" i="25"/>
  <c r="F51" i="1"/>
  <c r="G52" i="1" s="1"/>
  <c r="F35" i="25"/>
  <c r="E68" i="57"/>
  <c r="E86" i="57" s="1"/>
  <c r="G38" i="25"/>
  <c r="H14" i="20"/>
  <c r="K14" i="20" s="1"/>
  <c r="N14" i="20" s="1"/>
  <c r="N105" i="57"/>
  <c r="N87" i="57" s="1"/>
  <c r="G110" i="1"/>
  <c r="D101" i="56"/>
  <c r="D102" i="56" s="1"/>
  <c r="E102" i="56" s="1"/>
  <c r="F102" i="56" s="1"/>
  <c r="G102" i="56" s="1"/>
  <c r="E142" i="56"/>
  <c r="M14" i="1"/>
  <c r="I105" i="57" s="1"/>
  <c r="I87" i="57" s="1"/>
  <c r="AF111" i="57"/>
  <c r="AF93" i="57" s="1"/>
  <c r="AF173" i="56"/>
  <c r="AF137" i="56" s="1"/>
  <c r="AJ12" i="3"/>
  <c r="AH173" i="56"/>
  <c r="AH137" i="56" s="1"/>
  <c r="AH111" i="57"/>
  <c r="AH93" i="57" s="1"/>
  <c r="AL12" i="3"/>
  <c r="AH99" i="57"/>
  <c r="AH81" i="57" s="1"/>
  <c r="AL12" i="25"/>
  <c r="AH161" i="56"/>
  <c r="AH125" i="56" s="1"/>
  <c r="L131" i="56"/>
  <c r="AH105" i="57"/>
  <c r="AH87" i="57" s="1"/>
  <c r="AH167" i="56"/>
  <c r="AH131" i="56" s="1"/>
  <c r="AL12" i="1"/>
  <c r="G31" i="25"/>
  <c r="AG111" i="57"/>
  <c r="AG93" i="57" s="1"/>
  <c r="AG173" i="56"/>
  <c r="AG137" i="56" s="1"/>
  <c r="AK12" i="3"/>
  <c r="F69" i="57"/>
  <c r="G45" i="25"/>
  <c r="J12" i="1"/>
  <c r="F42" i="25"/>
  <c r="F45" i="59" s="1"/>
  <c r="G46" i="59" s="1"/>
  <c r="I161" i="56"/>
  <c r="I125" i="56" s="1"/>
  <c r="M12" i="25"/>
  <c r="G24" i="56"/>
  <c r="H24" i="56" s="1"/>
  <c r="N131" i="56"/>
  <c r="L105" i="57"/>
  <c r="L87" i="57" s="1"/>
  <c r="AB167" i="56"/>
  <c r="P12" i="1"/>
  <c r="W161" i="56"/>
  <c r="W125" i="56" s="1"/>
  <c r="R12" i="1"/>
  <c r="AA12" i="25"/>
  <c r="H81" i="57"/>
  <c r="U105" i="57"/>
  <c r="U87" i="57" s="1"/>
  <c r="E69" i="57"/>
  <c r="F21" i="57" s="1"/>
  <c r="G21" i="57" s="1"/>
  <c r="H21" i="57" s="1"/>
  <c r="S105" i="57"/>
  <c r="S87" i="57" s="1"/>
  <c r="I124" i="59"/>
  <c r="J203" i="59"/>
  <c r="P167" i="56"/>
  <c r="P131" i="56" s="1"/>
  <c r="AC12" i="25"/>
  <c r="AF105" i="57"/>
  <c r="AF87" i="57" s="1"/>
  <c r="AF167" i="56"/>
  <c r="AF131" i="56" s="1"/>
  <c r="AJ12" i="1"/>
  <c r="D36" i="14"/>
  <c r="R54" i="14" s="1"/>
  <c r="T54" i="14" s="1"/>
  <c r="AB101" i="56"/>
  <c r="AF12" i="1"/>
  <c r="F15" i="59"/>
  <c r="G16" i="59" s="1"/>
  <c r="J12" i="25"/>
  <c r="K25" i="20"/>
  <c r="N25" i="20" s="1"/>
  <c r="Y161" i="56"/>
  <c r="Y125" i="56" s="1"/>
  <c r="H27" i="59"/>
  <c r="I28" i="59" s="1"/>
  <c r="F21" i="25"/>
  <c r="G22" i="25" s="1"/>
  <c r="F99" i="57"/>
  <c r="F81" i="57" s="1"/>
  <c r="Q161" i="56"/>
  <c r="Q125" i="56" s="1"/>
  <c r="G18" i="20"/>
  <c r="J18" i="20" s="1"/>
  <c r="M18" i="20" s="1"/>
  <c r="Q99" i="57"/>
  <c r="Q81" i="57" s="1"/>
  <c r="AE105" i="57"/>
  <c r="AE87" i="57" s="1"/>
  <c r="AI12" i="1"/>
  <c r="AE167" i="56"/>
  <c r="AE131" i="56" s="1"/>
  <c r="U131" i="56"/>
  <c r="G75" i="1"/>
  <c r="AG12" i="1"/>
  <c r="AC167" i="56"/>
  <c r="AC131" i="56" s="1"/>
  <c r="AC105" i="57"/>
  <c r="AC87" i="57" s="1"/>
  <c r="Y12" i="1"/>
  <c r="S161" i="56"/>
  <c r="S125" i="56" s="1"/>
  <c r="W12" i="25"/>
  <c r="AD105" i="57"/>
  <c r="AD87" i="57" s="1"/>
  <c r="AD167" i="56"/>
  <c r="AD131" i="56" s="1"/>
  <c r="AH12" i="1"/>
  <c r="T12" i="1"/>
  <c r="AC99" i="57"/>
  <c r="AC81" i="57" s="1"/>
  <c r="AC161" i="56"/>
  <c r="AC125" i="56" s="1"/>
  <c r="AG12" i="25"/>
  <c r="F77" i="1"/>
  <c r="G78" i="1" s="1"/>
  <c r="D31" i="14"/>
  <c r="R52" i="14" s="1"/>
  <c r="T52" i="14" s="1"/>
  <c r="D34" i="14"/>
  <c r="R53" i="14" s="1"/>
  <c r="T53" i="14" s="1"/>
  <c r="E34" i="56"/>
  <c r="I27" i="56"/>
  <c r="G158" i="59"/>
  <c r="E31" i="56"/>
  <c r="AA173" i="56"/>
  <c r="AA137" i="56" s="1"/>
  <c r="AE12" i="3"/>
  <c r="AA111" i="57"/>
  <c r="AA93" i="57" s="1"/>
  <c r="Z105" i="57"/>
  <c r="Z87" i="57" s="1"/>
  <c r="Z167" i="56"/>
  <c r="Z131" i="56" s="1"/>
  <c r="AD12" i="1"/>
  <c r="F167" i="56"/>
  <c r="F131" i="56" s="1"/>
  <c r="F105" i="57"/>
  <c r="G126" i="59"/>
  <c r="H75" i="59"/>
  <c r="I76" i="59" s="1"/>
  <c r="V167" i="56"/>
  <c r="V131" i="56" s="1"/>
  <c r="E90" i="56"/>
  <c r="F90" i="56" s="1"/>
  <c r="G90" i="56" s="1"/>
  <c r="H90" i="56" s="1"/>
  <c r="I90" i="56" s="1"/>
  <c r="J90" i="56" s="1"/>
  <c r="K90" i="56" s="1"/>
  <c r="L90" i="56" s="1"/>
  <c r="M90" i="56" s="1"/>
  <c r="N90" i="56" s="1"/>
  <c r="O90" i="56" s="1"/>
  <c r="P90" i="56" s="1"/>
  <c r="Q90" i="56" s="1"/>
  <c r="R90" i="56" s="1"/>
  <c r="S90" i="56" s="1"/>
  <c r="T90" i="56" s="1"/>
  <c r="U90" i="56" s="1"/>
  <c r="V90" i="56" s="1"/>
  <c r="W90" i="56" s="1"/>
  <c r="X90" i="56" s="1"/>
  <c r="Y90" i="56" s="1"/>
  <c r="Z90" i="56" s="1"/>
  <c r="AA90" i="56" s="1"/>
  <c r="AB90" i="56" s="1"/>
  <c r="AC90" i="56" s="1"/>
  <c r="AD90" i="56" s="1"/>
  <c r="AE90" i="56" s="1"/>
  <c r="AF90" i="56" s="1"/>
  <c r="AG90" i="56" s="1"/>
  <c r="AH90" i="56" s="1"/>
  <c r="G88" i="56"/>
  <c r="H88" i="56" s="1"/>
  <c r="I88" i="56" s="1"/>
  <c r="J88" i="56" s="1"/>
  <c r="K88" i="56" s="1"/>
  <c r="L88" i="56" s="1"/>
  <c r="M88" i="56" s="1"/>
  <c r="N88" i="56" s="1"/>
  <c r="O88" i="56" s="1"/>
  <c r="P88" i="56" s="1"/>
  <c r="Q88" i="56" s="1"/>
  <c r="R88" i="56" s="1"/>
  <c r="S88" i="56" s="1"/>
  <c r="T88" i="56" s="1"/>
  <c r="U88" i="56" s="1"/>
  <c r="V88" i="56" s="1"/>
  <c r="W88" i="56" s="1"/>
  <c r="X88" i="56" s="1"/>
  <c r="Y88" i="56" s="1"/>
  <c r="Z88" i="56" s="1"/>
  <c r="AA88" i="56" s="1"/>
  <c r="AB88" i="56" s="1"/>
  <c r="AC88" i="56" s="1"/>
  <c r="AD88" i="56" s="1"/>
  <c r="AE88" i="56" s="1"/>
  <c r="AF88" i="56" s="1"/>
  <c r="AG88" i="56" s="1"/>
  <c r="AH88" i="56" s="1"/>
  <c r="X81" i="57"/>
  <c r="F191" i="59"/>
  <c r="G192" i="59" s="1"/>
  <c r="F112" i="25"/>
  <c r="H35" i="20" s="1"/>
  <c r="W131" i="56"/>
  <c r="K50" i="14"/>
  <c r="F98" i="1"/>
  <c r="H173" i="59" s="1"/>
  <c r="I174" i="59" s="1"/>
  <c r="F173" i="59"/>
  <c r="G174" i="59" s="1"/>
  <c r="Z12" i="1"/>
  <c r="V173" i="56"/>
  <c r="V137" i="56" s="1"/>
  <c r="V111" i="57"/>
  <c r="V93" i="57" s="1"/>
  <c r="Z12" i="3"/>
  <c r="W111" i="57"/>
  <c r="W93" i="57" s="1"/>
  <c r="W173" i="56"/>
  <c r="W137" i="56" s="1"/>
  <c r="AA12" i="3"/>
  <c r="Y167" i="56"/>
  <c r="Y105" i="57"/>
  <c r="Y87" i="57" s="1"/>
  <c r="AC12" i="1"/>
  <c r="C10" i="3"/>
  <c r="E27" i="14" s="1"/>
  <c r="F27" i="14" s="1"/>
  <c r="G27" i="14" s="1"/>
  <c r="W105" i="57"/>
  <c r="W87" i="57" s="1"/>
  <c r="U12" i="1"/>
  <c r="W12" i="1"/>
  <c r="S131" i="56"/>
  <c r="F23" i="1"/>
  <c r="F21" i="1" s="1"/>
  <c r="H159" i="59"/>
  <c r="I160" i="59" s="1"/>
  <c r="G12" i="57"/>
  <c r="H12" i="57" s="1"/>
  <c r="N111" i="57"/>
  <c r="N93" i="57" s="1"/>
  <c r="N173" i="56"/>
  <c r="N137" i="56" s="1"/>
  <c r="F91" i="1"/>
  <c r="H157" i="59" s="1"/>
  <c r="H101" i="56"/>
  <c r="F105" i="1"/>
  <c r="H189" i="59" s="1"/>
  <c r="I190" i="59" s="1"/>
  <c r="C10" i="1"/>
  <c r="E24" i="14" s="1"/>
  <c r="F24" i="14" s="1"/>
  <c r="G24" i="14" s="1"/>
  <c r="H191" i="59"/>
  <c r="I192" i="59" s="1"/>
  <c r="H175" i="59"/>
  <c r="I176" i="59" s="1"/>
  <c r="E13" i="57"/>
  <c r="H155" i="59"/>
  <c r="I156" i="59" s="1"/>
  <c r="G89" i="1"/>
  <c r="AA12" i="1"/>
  <c r="H47" i="59"/>
  <c r="I48" i="59" s="1"/>
  <c r="F35" i="1"/>
  <c r="G36" i="1" s="1"/>
  <c r="F13" i="57"/>
  <c r="F184" i="56"/>
  <c r="E148" i="56"/>
  <c r="G99" i="25"/>
  <c r="G40" i="20"/>
  <c r="J40" i="20" s="1"/>
  <c r="M40" i="20" s="1"/>
  <c r="E80" i="57"/>
  <c r="G142" i="59"/>
  <c r="F40" i="20"/>
  <c r="E40" i="20" s="1"/>
  <c r="F18" i="20"/>
  <c r="E18" i="20" s="1"/>
  <c r="N49" i="14"/>
  <c r="E32" i="56"/>
  <c r="G11" i="57"/>
  <c r="H11" i="57" s="1"/>
  <c r="Q49" i="14"/>
  <c r="D22" i="14"/>
  <c r="R49" i="14" s="1"/>
  <c r="T49" i="14" s="1"/>
  <c r="E21" i="14"/>
  <c r="F21" i="14" s="1"/>
  <c r="G21" i="14" s="1"/>
  <c r="G20" i="56"/>
  <c r="H20" i="56" s="1"/>
  <c r="F21" i="56"/>
  <c r="E21" i="56"/>
  <c r="H34" i="20"/>
  <c r="I34" i="20" s="1"/>
  <c r="L34" i="20" s="1"/>
  <c r="O34" i="20" s="1"/>
  <c r="F119" i="1"/>
  <c r="G120" i="1" s="1"/>
  <c r="G33" i="1"/>
  <c r="L44" i="61"/>
  <c r="H43" i="61"/>
  <c r="G122" i="1"/>
  <c r="H33" i="20"/>
  <c r="I33" i="20" s="1"/>
  <c r="L33" i="20" s="1"/>
  <c r="O33" i="20" s="1"/>
  <c r="K11" i="56"/>
  <c r="L11" i="56" s="1"/>
  <c r="E33" i="56"/>
  <c r="N51" i="14"/>
  <c r="E14" i="24"/>
  <c r="F133" i="25"/>
  <c r="G136" i="25"/>
  <c r="J24" i="20"/>
  <c r="G30" i="20"/>
  <c r="G127" i="25"/>
  <c r="H37" i="20"/>
  <c r="S107" i="56"/>
  <c r="F26" i="56" s="1"/>
  <c r="G26" i="56" s="1"/>
  <c r="H26" i="56" s="1"/>
  <c r="K51" i="14"/>
  <c r="W12" i="3"/>
  <c r="S111" i="57"/>
  <c r="S173" i="56"/>
  <c r="H43" i="59"/>
  <c r="I44" i="59" s="1"/>
  <c r="P173" i="56"/>
  <c r="P137" i="56" s="1"/>
  <c r="P111" i="57"/>
  <c r="P93" i="57" s="1"/>
  <c r="G125" i="56"/>
  <c r="E110" i="57"/>
  <c r="E92" i="57" s="1"/>
  <c r="J34" i="20"/>
  <c r="M34" i="20" s="1"/>
  <c r="H11" i="59"/>
  <c r="I12" i="59" s="1"/>
  <c r="G19" i="1"/>
  <c r="F61" i="59"/>
  <c r="G62" i="59" s="1"/>
  <c r="G50" i="25"/>
  <c r="H19" i="20"/>
  <c r="G13" i="20"/>
  <c r="J11" i="20"/>
  <c r="M11" i="20" s="1"/>
  <c r="F190" i="56"/>
  <c r="F154" i="56" s="1"/>
  <c r="G81" i="57"/>
  <c r="K14" i="1"/>
  <c r="D28" i="14"/>
  <c r="R51" i="14" s="1"/>
  <c r="T51" i="14" s="1"/>
  <c r="I12" i="57"/>
  <c r="T40" i="57"/>
  <c r="U40" i="57" s="1"/>
  <c r="V40" i="57" s="1"/>
  <c r="W40" i="57" s="1"/>
  <c r="X40" i="57" s="1"/>
  <c r="Y40" i="57" s="1"/>
  <c r="Z40" i="57" s="1"/>
  <c r="AA40" i="57" s="1"/>
  <c r="AB40" i="57" s="1"/>
  <c r="AC40" i="57" s="1"/>
  <c r="AD40" i="57" s="1"/>
  <c r="AE40" i="57" s="1"/>
  <c r="AF40" i="57" s="1"/>
  <c r="AG40" i="57" s="1"/>
  <c r="AH40" i="57" s="1"/>
  <c r="N50" i="14"/>
  <c r="I11" i="57"/>
  <c r="J12" i="57"/>
  <c r="M45" i="14"/>
  <c r="E20" i="14"/>
  <c r="F20" i="14" s="1"/>
  <c r="G20" i="14" s="1"/>
  <c r="G19" i="56"/>
  <c r="H19" i="56" s="1"/>
  <c r="E12" i="24"/>
  <c r="I19" i="56"/>
  <c r="I21" i="56" s="1"/>
  <c r="J190" i="59"/>
  <c r="J192" i="59" s="1"/>
  <c r="I25" i="56"/>
  <c r="I26" i="56"/>
  <c r="I28" i="56"/>
  <c r="J19" i="56"/>
  <c r="J21" i="56" s="1"/>
  <c r="E136" i="56"/>
  <c r="F172" i="56"/>
  <c r="I173" i="56"/>
  <c r="I111" i="57"/>
  <c r="I93" i="57" s="1"/>
  <c r="M12" i="3"/>
  <c r="D174" i="56"/>
  <c r="D138" i="56" s="1"/>
  <c r="D137" i="56"/>
  <c r="H167" i="56"/>
  <c r="L12" i="1"/>
  <c r="H105" i="57"/>
  <c r="H87" i="57" s="1"/>
  <c r="J105" i="57"/>
  <c r="J87" i="57" s="1"/>
  <c r="N12" i="1"/>
  <c r="J167" i="56"/>
  <c r="J131" i="56" s="1"/>
  <c r="E76" i="57"/>
  <c r="F76" i="57" s="1"/>
  <c r="G76" i="57" s="1"/>
  <c r="H76" i="57" s="1"/>
  <c r="F142" i="56"/>
  <c r="G178" i="56"/>
  <c r="H12" i="1"/>
  <c r="D105" i="57"/>
  <c r="D167" i="56"/>
  <c r="K105" i="57"/>
  <c r="K87" i="57" s="1"/>
  <c r="K167" i="56"/>
  <c r="K131" i="56" s="1"/>
  <c r="O12" i="1"/>
  <c r="H111" i="59"/>
  <c r="I112" i="59" s="1"/>
  <c r="F70" i="1"/>
  <c r="G73" i="1"/>
  <c r="J187" i="59"/>
  <c r="I188" i="59"/>
  <c r="D93" i="57"/>
  <c r="D112" i="57"/>
  <c r="O173" i="56"/>
  <c r="O137" i="56" s="1"/>
  <c r="O111" i="57"/>
  <c r="O93" i="57" s="1"/>
  <c r="S12" i="3"/>
  <c r="D100" i="57"/>
  <c r="D82" i="57" s="1"/>
  <c r="D81" i="57"/>
  <c r="G120" i="25"/>
  <c r="F205" i="59"/>
  <c r="G206" i="59" s="1"/>
  <c r="H36" i="20"/>
  <c r="H207" i="59"/>
  <c r="F112" i="1"/>
  <c r="G115" i="1"/>
  <c r="D162" i="56"/>
  <c r="D126" i="56" s="1"/>
  <c r="D125" i="56"/>
  <c r="H15" i="20"/>
  <c r="K15" i="20" s="1"/>
  <c r="N15" i="20" s="1"/>
  <c r="F29" i="59"/>
  <c r="G30" i="59" s="1"/>
  <c r="G36" i="25"/>
  <c r="I31" i="20"/>
  <c r="K31" i="20"/>
  <c r="N31" i="20" s="1"/>
  <c r="I14" i="3"/>
  <c r="F29" i="3"/>
  <c r="H137" i="56"/>
  <c r="I92" i="59"/>
  <c r="H5" i="37"/>
  <c r="H79" i="59"/>
  <c r="I80" i="59" s="1"/>
  <c r="G71" i="25"/>
  <c r="H24" i="20"/>
  <c r="F109" i="59"/>
  <c r="G110" i="59" s="1"/>
  <c r="Q87" i="57"/>
  <c r="I32" i="20"/>
  <c r="L32" i="20" s="1"/>
  <c r="O32" i="20" s="1"/>
  <c r="K32" i="20"/>
  <c r="N32" i="20" s="1"/>
  <c r="S12" i="1"/>
  <c r="O167" i="56"/>
  <c r="O131" i="56" s="1"/>
  <c r="O105" i="57"/>
  <c r="O87" i="57" s="1"/>
  <c r="E125" i="56"/>
  <c r="E105" i="57"/>
  <c r="E167" i="56"/>
  <c r="I12" i="1"/>
  <c r="G45" i="1"/>
  <c r="H63" i="59"/>
  <c r="I64" i="59" s="1"/>
  <c r="F42" i="1"/>
  <c r="J171" i="59"/>
  <c r="I172" i="59"/>
  <c r="G31" i="1"/>
  <c r="F28" i="1"/>
  <c r="H31" i="59"/>
  <c r="I32" i="59" s="1"/>
  <c r="H143" i="59"/>
  <c r="I144" i="59" s="1"/>
  <c r="F84" i="1"/>
  <c r="G87" i="1"/>
  <c r="H95" i="59"/>
  <c r="I96" i="59" s="1"/>
  <c r="F56" i="1"/>
  <c r="G59" i="1"/>
  <c r="E108" i="56"/>
  <c r="F108" i="56" s="1"/>
  <c r="G108" i="56" s="1"/>
  <c r="H108" i="56" s="1"/>
  <c r="I108" i="56" s="1"/>
  <c r="J108" i="56" s="1"/>
  <c r="K108" i="56" s="1"/>
  <c r="L108" i="56" s="1"/>
  <c r="M108" i="56" s="1"/>
  <c r="N108" i="56" s="1"/>
  <c r="O108" i="56" s="1"/>
  <c r="P108" i="56" s="1"/>
  <c r="Q108" i="56" s="1"/>
  <c r="J16" i="59"/>
  <c r="D25" i="14"/>
  <c r="K20" i="56"/>
  <c r="L20" i="56" s="1"/>
  <c r="G98" i="57"/>
  <c r="F80" i="57"/>
  <c r="G160" i="56"/>
  <c r="F124" i="56"/>
  <c r="R60" i="56"/>
  <c r="S60" i="56" s="1"/>
  <c r="T60" i="56" s="1"/>
  <c r="U60" i="56" s="1"/>
  <c r="V60" i="56" s="1"/>
  <c r="W60" i="56" s="1"/>
  <c r="X60" i="56" s="1"/>
  <c r="Y60" i="56" s="1"/>
  <c r="Z60" i="56" s="1"/>
  <c r="AA60" i="56" s="1"/>
  <c r="AB60" i="56" s="1"/>
  <c r="AC60" i="56" s="1"/>
  <c r="AD60" i="56" s="1"/>
  <c r="AE60" i="56" s="1"/>
  <c r="AF60" i="56" s="1"/>
  <c r="AG60" i="56" s="1"/>
  <c r="AH60" i="56" s="1"/>
  <c r="R58" i="56"/>
  <c r="S58" i="56" s="1"/>
  <c r="T58" i="56" s="1"/>
  <c r="U58" i="56" s="1"/>
  <c r="V58" i="56" s="1"/>
  <c r="W58" i="56" s="1"/>
  <c r="X58" i="56" s="1"/>
  <c r="Y58" i="56" s="1"/>
  <c r="Z58" i="56" s="1"/>
  <c r="AA58" i="56" s="1"/>
  <c r="AB58" i="56" s="1"/>
  <c r="AC58" i="56" s="1"/>
  <c r="AD58" i="56" s="1"/>
  <c r="AE58" i="56" s="1"/>
  <c r="AF58" i="56" s="1"/>
  <c r="AG58" i="56" s="1"/>
  <c r="AH58" i="56" s="1"/>
  <c r="G96" i="56"/>
  <c r="I94" i="56"/>
  <c r="H104" i="57"/>
  <c r="E30" i="20"/>
  <c r="R55" i="14"/>
  <c r="T55" i="14" s="1"/>
  <c r="F64" i="57"/>
  <c r="G14" i="56"/>
  <c r="H14" i="56" s="1"/>
  <c r="J47" i="59"/>
  <c r="J48" i="59"/>
  <c r="F130" i="56"/>
  <c r="G166" i="56"/>
  <c r="D94" i="57" l="1"/>
  <c r="F13" i="59"/>
  <c r="G14" i="59" s="1"/>
  <c r="I14" i="20"/>
  <c r="L14" i="20" s="1"/>
  <c r="O14" i="20" s="1"/>
  <c r="G78" i="25"/>
  <c r="M49" i="14"/>
  <c r="O49" i="14" s="1"/>
  <c r="F31" i="56"/>
  <c r="G31" i="56" s="1"/>
  <c r="H31" i="56" s="1"/>
  <c r="J22" i="57"/>
  <c r="I22" i="57"/>
  <c r="E70" i="57"/>
  <c r="F49" i="1"/>
  <c r="F25" i="56"/>
  <c r="G25" i="56" s="1"/>
  <c r="H25" i="56" s="1"/>
  <c r="F68" i="57"/>
  <c r="G68" i="57" s="1"/>
  <c r="H68" i="57" s="1"/>
  <c r="H86" i="57" s="1"/>
  <c r="M12" i="1"/>
  <c r="I167" i="56"/>
  <c r="I131" i="56" s="1"/>
  <c r="C12" i="1"/>
  <c r="E12" i="1" s="1"/>
  <c r="F87" i="57"/>
  <c r="H16" i="20"/>
  <c r="G43" i="25"/>
  <c r="F39" i="56"/>
  <c r="G39" i="56" s="1"/>
  <c r="H39" i="56" s="1"/>
  <c r="E87" i="57"/>
  <c r="F30" i="57"/>
  <c r="G30" i="57" s="1"/>
  <c r="H30" i="57" s="1"/>
  <c r="F25" i="57"/>
  <c r="G25" i="57" s="1"/>
  <c r="H25" i="57" s="1"/>
  <c r="H125" i="59"/>
  <c r="J125" i="59" s="1"/>
  <c r="J127" i="59" s="1"/>
  <c r="E12" i="25"/>
  <c r="AB131" i="56"/>
  <c r="C11" i="25"/>
  <c r="E22" i="14" s="1"/>
  <c r="F22" i="14" s="1"/>
  <c r="G22" i="14" s="1"/>
  <c r="H11" i="20"/>
  <c r="I11" i="20" s="1"/>
  <c r="G106" i="1"/>
  <c r="J155" i="59"/>
  <c r="G99" i="1"/>
  <c r="J173" i="59"/>
  <c r="J175" i="59" s="1"/>
  <c r="G113" i="25"/>
  <c r="F189" i="59"/>
  <c r="G190" i="59" s="1"/>
  <c r="H15" i="59"/>
  <c r="I16" i="59" s="1"/>
  <c r="G24" i="1"/>
  <c r="G92" i="1"/>
  <c r="G13" i="57"/>
  <c r="H13" i="57" s="1"/>
  <c r="Q50" i="14"/>
  <c r="E10" i="1"/>
  <c r="Q51" i="14"/>
  <c r="Y131" i="56"/>
  <c r="E10" i="3"/>
  <c r="H45" i="59"/>
  <c r="J45" i="59" s="1"/>
  <c r="K46" i="59" s="1"/>
  <c r="H102" i="56"/>
  <c r="I102" i="56" s="1"/>
  <c r="J102" i="56" s="1"/>
  <c r="K102" i="56" s="1"/>
  <c r="L102" i="56" s="1"/>
  <c r="M102" i="56" s="1"/>
  <c r="N102" i="56" s="1"/>
  <c r="O102" i="56" s="1"/>
  <c r="P102" i="56" s="1"/>
  <c r="Q102" i="56" s="1"/>
  <c r="R102" i="56" s="1"/>
  <c r="S102" i="56" s="1"/>
  <c r="T102" i="56" s="1"/>
  <c r="U102" i="56" s="1"/>
  <c r="V102" i="56" s="1"/>
  <c r="W102" i="56" s="1"/>
  <c r="X102" i="56" s="1"/>
  <c r="Y102" i="56" s="1"/>
  <c r="Z102" i="56" s="1"/>
  <c r="AA102" i="56" s="1"/>
  <c r="AB102" i="56" s="1"/>
  <c r="AC102" i="56" s="1"/>
  <c r="AD102" i="56" s="1"/>
  <c r="AE102" i="56" s="1"/>
  <c r="AF102" i="56" s="1"/>
  <c r="AG102" i="56" s="1"/>
  <c r="AH102" i="56" s="1"/>
  <c r="J25" i="56" s="1"/>
  <c r="K25" i="56" s="1"/>
  <c r="L25" i="56" s="1"/>
  <c r="J189" i="59"/>
  <c r="J191" i="59" s="1"/>
  <c r="K34" i="20"/>
  <c r="N34" i="20" s="1"/>
  <c r="H131" i="56"/>
  <c r="K33" i="20"/>
  <c r="N33" i="20" s="1"/>
  <c r="G184" i="56"/>
  <c r="F148" i="56"/>
  <c r="G190" i="56"/>
  <c r="H190" i="56" s="1"/>
  <c r="F110" i="57"/>
  <c r="G110" i="57" s="1"/>
  <c r="L31" i="20"/>
  <c r="O31" i="20" s="1"/>
  <c r="F41" i="20"/>
  <c r="E41" i="20" s="1"/>
  <c r="G21" i="56"/>
  <c r="H21" i="56" s="1"/>
  <c r="J11" i="57"/>
  <c r="K11" i="57" s="1"/>
  <c r="L11" i="57" s="1"/>
  <c r="J14" i="56"/>
  <c r="K37" i="20"/>
  <c r="N37" i="20" s="1"/>
  <c r="I37" i="20"/>
  <c r="L37" i="20" s="1"/>
  <c r="O37" i="20" s="1"/>
  <c r="S137" i="56"/>
  <c r="J30" i="20"/>
  <c r="M24" i="20"/>
  <c r="M30" i="20" s="1"/>
  <c r="S93" i="57"/>
  <c r="H38" i="20"/>
  <c r="G134" i="25"/>
  <c r="K12" i="57"/>
  <c r="L12" i="57" s="1"/>
  <c r="I13" i="57"/>
  <c r="I14" i="56"/>
  <c r="J13" i="20"/>
  <c r="M13" i="20" s="1"/>
  <c r="G41" i="20"/>
  <c r="J41" i="20" s="1"/>
  <c r="M41" i="20" s="1"/>
  <c r="I19" i="20"/>
  <c r="K19" i="20"/>
  <c r="N19" i="20" s="1"/>
  <c r="H13" i="59"/>
  <c r="G22" i="1"/>
  <c r="G105" i="57"/>
  <c r="G87" i="57" s="1"/>
  <c r="G167" i="56"/>
  <c r="G131" i="56" s="1"/>
  <c r="K12" i="1"/>
  <c r="M50" i="14" s="1"/>
  <c r="O50" i="14" s="1"/>
  <c r="K19" i="56"/>
  <c r="L19" i="56" s="1"/>
  <c r="E162" i="56"/>
  <c r="F162" i="56" s="1"/>
  <c r="K48" i="59"/>
  <c r="G29" i="1"/>
  <c r="H29" i="59"/>
  <c r="I15" i="20"/>
  <c r="J157" i="59"/>
  <c r="I158" i="59"/>
  <c r="R108" i="56"/>
  <c r="S108" i="56" s="1"/>
  <c r="T108" i="56" s="1"/>
  <c r="U108" i="56" s="1"/>
  <c r="V108" i="56" s="1"/>
  <c r="W108" i="56" s="1"/>
  <c r="X108" i="56" s="1"/>
  <c r="Y108" i="56" s="1"/>
  <c r="Z108" i="56" s="1"/>
  <c r="AA108" i="56" s="1"/>
  <c r="AB108" i="56" s="1"/>
  <c r="AC108" i="56" s="1"/>
  <c r="AD108" i="56" s="1"/>
  <c r="AE108" i="56" s="1"/>
  <c r="AF108" i="56" s="1"/>
  <c r="AG108" i="56" s="1"/>
  <c r="AH108" i="56" s="1"/>
  <c r="H30" i="20"/>
  <c r="I24" i="20"/>
  <c r="K24" i="20"/>
  <c r="G57" i="1"/>
  <c r="H93" i="59"/>
  <c r="D106" i="57"/>
  <c r="D88" i="57" s="1"/>
  <c r="D87" i="57"/>
  <c r="H77" i="59"/>
  <c r="G50" i="1"/>
  <c r="I137" i="56"/>
  <c r="H178" i="56"/>
  <c r="G142" i="56"/>
  <c r="F136" i="56"/>
  <c r="G172" i="56"/>
  <c r="D113" i="56"/>
  <c r="D114" i="56" s="1"/>
  <c r="D119" i="56"/>
  <c r="D120" i="56" s="1"/>
  <c r="H61" i="59"/>
  <c r="G43" i="1"/>
  <c r="H205" i="59"/>
  <c r="J205" i="59" s="1"/>
  <c r="J207" i="59" s="1"/>
  <c r="G113" i="1"/>
  <c r="I207" i="59"/>
  <c r="I208" i="59"/>
  <c r="E100" i="57"/>
  <c r="I16" i="20"/>
  <c r="K16" i="20"/>
  <c r="N16" i="20" s="1"/>
  <c r="E131" i="56"/>
  <c r="G30" i="3"/>
  <c r="F25" i="3"/>
  <c r="G26" i="3" s="1"/>
  <c r="I36" i="20"/>
  <c r="L36" i="20" s="1"/>
  <c r="O36" i="20" s="1"/>
  <c r="K36" i="20"/>
  <c r="N36" i="20" s="1"/>
  <c r="G71" i="1"/>
  <c r="H109" i="59"/>
  <c r="E111" i="57"/>
  <c r="F32" i="57" s="1"/>
  <c r="G32" i="57" s="1"/>
  <c r="H32" i="57" s="1"/>
  <c r="I12" i="3"/>
  <c r="M51" i="14" s="1"/>
  <c r="O51" i="14" s="1"/>
  <c r="E173" i="56"/>
  <c r="F41" i="56" s="1"/>
  <c r="G41" i="56" s="1"/>
  <c r="H41" i="56" s="1"/>
  <c r="C12" i="3"/>
  <c r="D168" i="56"/>
  <c r="D132" i="56" s="1"/>
  <c r="D131" i="56"/>
  <c r="H141" i="59"/>
  <c r="G85" i="1"/>
  <c r="I35" i="20"/>
  <c r="K35" i="20"/>
  <c r="N35" i="20" s="1"/>
  <c r="R50" i="14"/>
  <c r="T50" i="14" s="1"/>
  <c r="K21" i="56"/>
  <c r="L21" i="56" s="1"/>
  <c r="H160" i="56"/>
  <c r="G124" i="56"/>
  <c r="H98" i="57"/>
  <c r="G80" i="57"/>
  <c r="G130" i="56"/>
  <c r="H166" i="56"/>
  <c r="H96" i="56"/>
  <c r="I104" i="57"/>
  <c r="G64" i="57"/>
  <c r="J94" i="56"/>
  <c r="J15" i="59" l="1"/>
  <c r="K16" i="59" s="1"/>
  <c r="I21" i="57"/>
  <c r="F31" i="57"/>
  <c r="G31" i="57" s="1"/>
  <c r="H31" i="57" s="1"/>
  <c r="F40" i="56"/>
  <c r="G40" i="56" s="1"/>
  <c r="H40" i="56" s="1"/>
  <c r="K22" i="57"/>
  <c r="L22" i="57" s="1"/>
  <c r="F26" i="57"/>
  <c r="G26" i="57" s="1"/>
  <c r="H26" i="57" s="1"/>
  <c r="F70" i="57"/>
  <c r="G70" i="57" s="1"/>
  <c r="H70" i="57" s="1"/>
  <c r="F86" i="57"/>
  <c r="C11" i="1"/>
  <c r="E11" i="1" s="1"/>
  <c r="G86" i="57"/>
  <c r="E26" i="14"/>
  <c r="F26" i="14" s="1"/>
  <c r="G26" i="14" s="1"/>
  <c r="F32" i="56"/>
  <c r="G32" i="56" s="1"/>
  <c r="H32" i="56" s="1"/>
  <c r="I126" i="59"/>
  <c r="K11" i="20"/>
  <c r="N11" i="20" s="1"/>
  <c r="E11" i="25"/>
  <c r="S49" i="14"/>
  <c r="U49" i="14" s="1"/>
  <c r="J159" i="59"/>
  <c r="F92" i="57"/>
  <c r="I46" i="59"/>
  <c r="O77" i="59"/>
  <c r="G154" i="56"/>
  <c r="H184" i="56"/>
  <c r="G148" i="56"/>
  <c r="L35" i="20"/>
  <c r="O35" i="20" s="1"/>
  <c r="I18" i="20"/>
  <c r="L15" i="20"/>
  <c r="O15" i="20" s="1"/>
  <c r="J13" i="57"/>
  <c r="K13" i="57" s="1"/>
  <c r="L13" i="57" s="1"/>
  <c r="K14" i="56"/>
  <c r="L14" i="56" s="1"/>
  <c r="J26" i="56"/>
  <c r="K26" i="56" s="1"/>
  <c r="L26" i="56" s="1"/>
  <c r="I38" i="20"/>
  <c r="K38" i="20"/>
  <c r="N38" i="20" s="1"/>
  <c r="E126" i="56"/>
  <c r="J13" i="59"/>
  <c r="K14" i="59" s="1"/>
  <c r="I14" i="59"/>
  <c r="I22" i="20"/>
  <c r="L19" i="20"/>
  <c r="O19" i="20" s="1"/>
  <c r="E106" i="57"/>
  <c r="E88" i="57" s="1"/>
  <c r="H110" i="57"/>
  <c r="G92" i="57"/>
  <c r="J29" i="59"/>
  <c r="K30" i="59" s="1"/>
  <c r="I30" i="59"/>
  <c r="I78" i="59"/>
  <c r="J77" i="59"/>
  <c r="I190" i="56"/>
  <c r="H154" i="56"/>
  <c r="F100" i="57"/>
  <c r="E82" i="57"/>
  <c r="H33" i="37"/>
  <c r="H36" i="37" s="1"/>
  <c r="H25" i="37"/>
  <c r="H28" i="37" s="1"/>
  <c r="H38" i="37"/>
  <c r="H40" i="37" s="1"/>
  <c r="I178" i="56"/>
  <c r="H142" i="56"/>
  <c r="E137" i="56"/>
  <c r="F33" i="56" s="1"/>
  <c r="G33" i="56" s="1"/>
  <c r="H33" i="56" s="1"/>
  <c r="E174" i="56"/>
  <c r="H42" i="37"/>
  <c r="J141" i="59"/>
  <c r="J143" i="59" s="1"/>
  <c r="I142" i="59"/>
  <c r="G136" i="56"/>
  <c r="H172" i="56"/>
  <c r="E93" i="57"/>
  <c r="J27" i="57" s="1"/>
  <c r="E112" i="57"/>
  <c r="I30" i="20"/>
  <c r="L24" i="20"/>
  <c r="E12" i="3"/>
  <c r="E29" i="14"/>
  <c r="F29" i="14" s="1"/>
  <c r="G29" i="14" s="1"/>
  <c r="C11" i="3"/>
  <c r="J61" i="59"/>
  <c r="I62" i="59"/>
  <c r="I94" i="59"/>
  <c r="J93" i="59"/>
  <c r="L16" i="20"/>
  <c r="O16" i="20" s="1"/>
  <c r="G162" i="56"/>
  <c r="F126" i="56"/>
  <c r="N24" i="20"/>
  <c r="N30" i="20" s="1"/>
  <c r="K30" i="20"/>
  <c r="E168" i="56"/>
  <c r="I110" i="59"/>
  <c r="J109" i="59"/>
  <c r="J111" i="59" s="1"/>
  <c r="L11" i="20"/>
  <c r="O11" i="20" s="1"/>
  <c r="I13" i="20"/>
  <c r="I98" i="57"/>
  <c r="H80" i="57"/>
  <c r="I160" i="56"/>
  <c r="H124" i="56"/>
  <c r="K94" i="56"/>
  <c r="I86" i="57"/>
  <c r="J104" i="57"/>
  <c r="H130" i="56"/>
  <c r="I166" i="56"/>
  <c r="I96" i="56"/>
  <c r="H64" i="57"/>
  <c r="J20" i="57" s="1"/>
  <c r="K20" i="57" s="1"/>
  <c r="L20" i="57" s="1"/>
  <c r="E25" i="14" l="1"/>
  <c r="F25" i="14" s="1"/>
  <c r="G25" i="14" s="1"/>
  <c r="S50" i="14"/>
  <c r="U50" i="14" s="1"/>
  <c r="J21" i="57"/>
  <c r="K21" i="57" s="1"/>
  <c r="L21" i="57" s="1"/>
  <c r="F27" i="57"/>
  <c r="G27" i="57" s="1"/>
  <c r="H27" i="57" s="1"/>
  <c r="J33" i="56"/>
  <c r="H148" i="56"/>
  <c r="I184" i="56"/>
  <c r="L38" i="20"/>
  <c r="O38" i="20" s="1"/>
  <c r="I40" i="20"/>
  <c r="H40" i="20" s="1"/>
  <c r="K40" i="20" s="1"/>
  <c r="N40" i="20" s="1"/>
  <c r="H22" i="20"/>
  <c r="K22" i="20" s="1"/>
  <c r="N22" i="20" s="1"/>
  <c r="L22" i="20"/>
  <c r="O22" i="20" s="1"/>
  <c r="F106" i="57"/>
  <c r="G106" i="57" s="1"/>
  <c r="E138" i="56"/>
  <c r="F174" i="56"/>
  <c r="J190" i="56"/>
  <c r="I154" i="56"/>
  <c r="I142" i="56"/>
  <c r="J178" i="56"/>
  <c r="H92" i="57"/>
  <c r="I110" i="57"/>
  <c r="H13" i="20"/>
  <c r="K13" i="20" s="1"/>
  <c r="N13" i="20" s="1"/>
  <c r="L13" i="20"/>
  <c r="O13" i="20" s="1"/>
  <c r="I30" i="37"/>
  <c r="I22" i="37"/>
  <c r="H12" i="37"/>
  <c r="H44" i="37"/>
  <c r="H162" i="56"/>
  <c r="G126" i="56"/>
  <c r="H14" i="37"/>
  <c r="E94" i="57"/>
  <c r="F112" i="57"/>
  <c r="K78" i="59"/>
  <c r="J79" i="59"/>
  <c r="K80" i="59" s="1"/>
  <c r="G100" i="57"/>
  <c r="F82" i="57"/>
  <c r="F168" i="56"/>
  <c r="E132" i="56"/>
  <c r="L18" i="20"/>
  <c r="O18" i="20" s="1"/>
  <c r="H18" i="20"/>
  <c r="K18" i="20" s="1"/>
  <c r="N18" i="20" s="1"/>
  <c r="H136" i="56"/>
  <c r="I172" i="56"/>
  <c r="L30" i="20"/>
  <c r="O24" i="20"/>
  <c r="O30" i="20" s="1"/>
  <c r="J95" i="59"/>
  <c r="K94" i="59"/>
  <c r="K96" i="59" s="1"/>
  <c r="J63" i="59"/>
  <c r="K64" i="59" s="1"/>
  <c r="K62" i="59"/>
  <c r="E11" i="3"/>
  <c r="E28" i="14"/>
  <c r="F28" i="14" s="1"/>
  <c r="G28" i="14" s="1"/>
  <c r="S51" i="14"/>
  <c r="U51" i="14" s="1"/>
  <c r="J160" i="56"/>
  <c r="I124" i="56"/>
  <c r="J98" i="57"/>
  <c r="I80" i="57"/>
  <c r="I130" i="56"/>
  <c r="J166" i="56"/>
  <c r="L94" i="56"/>
  <c r="K104" i="57"/>
  <c r="J86" i="57"/>
  <c r="J96" i="56"/>
  <c r="J184" i="56" l="1"/>
  <c r="I148" i="56"/>
  <c r="I41" i="20"/>
  <c r="L41" i="20" s="1"/>
  <c r="O41" i="20" s="1"/>
  <c r="L40" i="20"/>
  <c r="O40" i="20" s="1"/>
  <c r="F88" i="57"/>
  <c r="D185" i="56"/>
  <c r="D191" i="56"/>
  <c r="D179" i="56"/>
  <c r="H8" i="37"/>
  <c r="I5" i="37"/>
  <c r="J172" i="56"/>
  <c r="I136" i="56"/>
  <c r="J142" i="56"/>
  <c r="K178" i="56"/>
  <c r="F94" i="57"/>
  <c r="G112" i="57"/>
  <c r="F132" i="56"/>
  <c r="G168" i="56"/>
  <c r="J110" i="57"/>
  <c r="I92" i="57"/>
  <c r="I162" i="56"/>
  <c r="H126" i="56"/>
  <c r="G174" i="56"/>
  <c r="F138" i="56"/>
  <c r="H18" i="37"/>
  <c r="H106" i="57"/>
  <c r="G88" i="57"/>
  <c r="K190" i="56"/>
  <c r="J154" i="56"/>
  <c r="H100" i="57"/>
  <c r="G82" i="57"/>
  <c r="K98" i="57"/>
  <c r="J80" i="57"/>
  <c r="K160" i="56"/>
  <c r="J124" i="56"/>
  <c r="J130" i="56"/>
  <c r="K166" i="56"/>
  <c r="M94" i="56"/>
  <c r="K86" i="57"/>
  <c r="L104" i="57"/>
  <c r="K96" i="56"/>
  <c r="H41" i="20" l="1"/>
  <c r="K41" i="20" s="1"/>
  <c r="N41" i="20" s="1"/>
  <c r="K184" i="56"/>
  <c r="J148" i="56"/>
  <c r="L190" i="56"/>
  <c r="K154" i="56"/>
  <c r="E113" i="56"/>
  <c r="E114" i="56" s="1"/>
  <c r="E119" i="56"/>
  <c r="E120" i="56" s="1"/>
  <c r="J92" i="57"/>
  <c r="K110" i="57"/>
  <c r="K142" i="56"/>
  <c r="L178" i="56"/>
  <c r="J162" i="56"/>
  <c r="I126" i="56"/>
  <c r="D186" i="56"/>
  <c r="D150" i="56" s="1"/>
  <c r="D149" i="56"/>
  <c r="I42" i="37"/>
  <c r="D192" i="56"/>
  <c r="D156" i="56" s="1"/>
  <c r="D155" i="56"/>
  <c r="I100" i="57"/>
  <c r="H82" i="57"/>
  <c r="G138" i="56"/>
  <c r="H174" i="56"/>
  <c r="D180" i="56"/>
  <c r="D144" i="56" s="1"/>
  <c r="D143" i="56"/>
  <c r="H168" i="56"/>
  <c r="G132" i="56"/>
  <c r="G94" i="57"/>
  <c r="H112" i="57"/>
  <c r="J30" i="37"/>
  <c r="J22" i="37"/>
  <c r="I106" i="57"/>
  <c r="H88" i="57"/>
  <c r="K172" i="56"/>
  <c r="J136" i="56"/>
  <c r="L160" i="56"/>
  <c r="K124" i="56"/>
  <c r="L98" i="57"/>
  <c r="K80" i="57"/>
  <c r="L166" i="56"/>
  <c r="K130" i="56"/>
  <c r="M104" i="57"/>
  <c r="L86" i="57"/>
  <c r="N94" i="56"/>
  <c r="L96" i="56"/>
  <c r="K148" i="56" l="1"/>
  <c r="L184" i="56"/>
  <c r="K92" i="57"/>
  <c r="L110" i="57"/>
  <c r="L172" i="56"/>
  <c r="K136" i="56"/>
  <c r="I44" i="37"/>
  <c r="I12" i="37"/>
  <c r="I88" i="57"/>
  <c r="J106" i="57"/>
  <c r="H94" i="57"/>
  <c r="I112" i="57"/>
  <c r="J5" i="37"/>
  <c r="L154" i="56"/>
  <c r="M190" i="56"/>
  <c r="K22" i="37"/>
  <c r="K5" i="37" s="1"/>
  <c r="K30" i="37"/>
  <c r="K162" i="56"/>
  <c r="J126" i="56"/>
  <c r="H138" i="56"/>
  <c r="I174" i="56"/>
  <c r="I38" i="37"/>
  <c r="I40" i="37" s="1"/>
  <c r="I25" i="37"/>
  <c r="I28" i="37" s="1"/>
  <c r="I33" i="37"/>
  <c r="I36" i="37" s="1"/>
  <c r="L142" i="56"/>
  <c r="M178" i="56"/>
  <c r="H132" i="56"/>
  <c r="I168" i="56"/>
  <c r="J100" i="57"/>
  <c r="I82" i="57"/>
  <c r="L80" i="57"/>
  <c r="M98" i="57"/>
  <c r="M160" i="56"/>
  <c r="L124" i="56"/>
  <c r="N104" i="57"/>
  <c r="M86" i="57"/>
  <c r="M96" i="56"/>
  <c r="M166" i="56"/>
  <c r="L130" i="56"/>
  <c r="O94" i="56"/>
  <c r="L148" i="56" l="1"/>
  <c r="M184" i="56"/>
  <c r="M154" i="56"/>
  <c r="N190" i="56"/>
  <c r="G119" i="56"/>
  <c r="G113" i="56"/>
  <c r="J42" i="37"/>
  <c r="K106" i="57"/>
  <c r="J88" i="57"/>
  <c r="I94" i="57"/>
  <c r="J112" i="57"/>
  <c r="L92" i="57"/>
  <c r="M110" i="57"/>
  <c r="I18" i="37"/>
  <c r="F119" i="56"/>
  <c r="F120" i="56" s="1"/>
  <c r="F113" i="56"/>
  <c r="F114" i="56" s="1"/>
  <c r="J174" i="56"/>
  <c r="I138" i="56"/>
  <c r="I14" i="37"/>
  <c r="J82" i="57"/>
  <c r="K100" i="57"/>
  <c r="N178" i="56"/>
  <c r="M142" i="56"/>
  <c r="M172" i="56"/>
  <c r="L136" i="56"/>
  <c r="I132" i="56"/>
  <c r="J168" i="56"/>
  <c r="L162" i="56"/>
  <c r="K126" i="56"/>
  <c r="N160" i="56"/>
  <c r="M124" i="56"/>
  <c r="N98" i="57"/>
  <c r="M80" i="57"/>
  <c r="P94" i="56"/>
  <c r="N96" i="56"/>
  <c r="N86" i="57"/>
  <c r="O104" i="57"/>
  <c r="N166" i="56"/>
  <c r="M130" i="56"/>
  <c r="M148" i="56" l="1"/>
  <c r="N184" i="56"/>
  <c r="G114" i="56"/>
  <c r="G120" i="56"/>
  <c r="M92" i="57"/>
  <c r="N110" i="57"/>
  <c r="K112" i="57"/>
  <c r="J94" i="57"/>
  <c r="O178" i="56"/>
  <c r="N142" i="56"/>
  <c r="J132" i="56"/>
  <c r="K168" i="56"/>
  <c r="N172" i="56"/>
  <c r="M136" i="56"/>
  <c r="J33" i="37"/>
  <c r="J36" i="37" s="1"/>
  <c r="J38" i="37"/>
  <c r="J40" i="37" s="1"/>
  <c r="J25" i="37"/>
  <c r="J28" i="37" s="1"/>
  <c r="L22" i="37"/>
  <c r="L30" i="37"/>
  <c r="M162" i="56"/>
  <c r="L126" i="56"/>
  <c r="K88" i="57"/>
  <c r="L106" i="57"/>
  <c r="N154" i="56"/>
  <c r="O190" i="56"/>
  <c r="E179" i="56"/>
  <c r="E185" i="56"/>
  <c r="I8" i="37"/>
  <c r="E191" i="56"/>
  <c r="J138" i="56"/>
  <c r="K174" i="56"/>
  <c r="L100" i="57"/>
  <c r="K82" i="57"/>
  <c r="J12" i="37"/>
  <c r="J44" i="37"/>
  <c r="O98" i="57"/>
  <c r="N80" i="57"/>
  <c r="O160" i="56"/>
  <c r="N124" i="56"/>
  <c r="O166" i="56"/>
  <c r="N130" i="56"/>
  <c r="Q94" i="56"/>
  <c r="O96" i="56"/>
  <c r="O86" i="57"/>
  <c r="P104" i="57"/>
  <c r="O184" i="56" l="1"/>
  <c r="N148" i="56"/>
  <c r="E149" i="56"/>
  <c r="E186" i="56"/>
  <c r="E150" i="56" s="1"/>
  <c r="E180" i="56"/>
  <c r="E144" i="56" s="1"/>
  <c r="E143" i="56"/>
  <c r="N92" i="57"/>
  <c r="O110" i="57"/>
  <c r="J18" i="37"/>
  <c r="L168" i="56"/>
  <c r="K132" i="56"/>
  <c r="N136" i="56"/>
  <c r="O172" i="56"/>
  <c r="M100" i="57"/>
  <c r="L82" i="57"/>
  <c r="L5" i="37"/>
  <c r="J14" i="37"/>
  <c r="L174" i="56"/>
  <c r="K138" i="56"/>
  <c r="O142" i="56"/>
  <c r="P178" i="56"/>
  <c r="P190" i="56"/>
  <c r="O154" i="56"/>
  <c r="M22" i="37"/>
  <c r="M5" i="37" s="1"/>
  <c r="M30" i="37"/>
  <c r="K94" i="57"/>
  <c r="L112" i="57"/>
  <c r="L88" i="57"/>
  <c r="M106" i="57"/>
  <c r="E155" i="56"/>
  <c r="E192" i="56"/>
  <c r="E156" i="56" s="1"/>
  <c r="N162" i="56"/>
  <c r="M126" i="56"/>
  <c r="P160" i="56"/>
  <c r="O124" i="56"/>
  <c r="O80" i="57"/>
  <c r="P98" i="57"/>
  <c r="R94" i="56"/>
  <c r="P166" i="56"/>
  <c r="O130" i="56"/>
  <c r="P86" i="57"/>
  <c r="Q104" i="57"/>
  <c r="P96" i="56"/>
  <c r="O148" i="56" l="1"/>
  <c r="P184" i="56"/>
  <c r="O162" i="56"/>
  <c r="N126" i="56"/>
  <c r="P154" i="56"/>
  <c r="Q190" i="56"/>
  <c r="H113" i="56"/>
  <c r="H119" i="56"/>
  <c r="H120" i="56" s="1"/>
  <c r="L94" i="57"/>
  <c r="M112" i="57"/>
  <c r="K42" i="37"/>
  <c r="O136" i="56"/>
  <c r="P172" i="56"/>
  <c r="F191" i="56"/>
  <c r="F185" i="56"/>
  <c r="F179" i="56"/>
  <c r="J8" i="37"/>
  <c r="P142" i="56"/>
  <c r="Q178" i="56"/>
  <c r="P110" i="57"/>
  <c r="O92" i="57"/>
  <c r="I113" i="56"/>
  <c r="I119" i="56"/>
  <c r="L138" i="56"/>
  <c r="M174" i="56"/>
  <c r="M168" i="56"/>
  <c r="L132" i="56"/>
  <c r="M82" i="57"/>
  <c r="N100" i="57"/>
  <c r="M88" i="57"/>
  <c r="N106" i="57"/>
  <c r="P80" i="57"/>
  <c r="Q98" i="57"/>
  <c r="Q160" i="56"/>
  <c r="P124" i="56"/>
  <c r="Q96" i="56"/>
  <c r="P130" i="56"/>
  <c r="Q166" i="56"/>
  <c r="R104" i="57"/>
  <c r="Q86" i="57"/>
  <c r="S94" i="56"/>
  <c r="Q184" i="56" l="1"/>
  <c r="P148" i="56"/>
  <c r="Q154" i="56"/>
  <c r="R190" i="56"/>
  <c r="F186" i="56"/>
  <c r="F150" i="56" s="1"/>
  <c r="F149" i="56"/>
  <c r="M132" i="56"/>
  <c r="N168" i="56"/>
  <c r="Q110" i="57"/>
  <c r="P92" i="57"/>
  <c r="H114" i="56"/>
  <c r="I114" i="56" s="1"/>
  <c r="M138" i="56"/>
  <c r="N174" i="56"/>
  <c r="N82" i="57"/>
  <c r="O100" i="57"/>
  <c r="P162" i="56"/>
  <c r="O126" i="56"/>
  <c r="F155" i="56"/>
  <c r="F192" i="56"/>
  <c r="F156" i="56" s="1"/>
  <c r="N22" i="37"/>
  <c r="N5" i="37" s="1"/>
  <c r="N30" i="37"/>
  <c r="O106" i="57"/>
  <c r="N88" i="57"/>
  <c r="Q172" i="56"/>
  <c r="P136" i="56"/>
  <c r="F180" i="56"/>
  <c r="F144" i="56" s="1"/>
  <c r="F143" i="56"/>
  <c r="I120" i="56"/>
  <c r="N112" i="57"/>
  <c r="M94" i="57"/>
  <c r="K12" i="37"/>
  <c r="K44" i="37"/>
  <c r="R178" i="56"/>
  <c r="Q142" i="56"/>
  <c r="K25" i="37"/>
  <c r="K28" i="37" s="1"/>
  <c r="K38" i="37"/>
  <c r="K40" i="37" s="1"/>
  <c r="K33" i="37"/>
  <c r="K36" i="37" s="1"/>
  <c r="R160" i="56"/>
  <c r="Q124" i="56"/>
  <c r="Q80" i="57"/>
  <c r="R98" i="57"/>
  <c r="T94" i="56"/>
  <c r="R166" i="56"/>
  <c r="Q130" i="56"/>
  <c r="S104" i="57"/>
  <c r="R86" i="57"/>
  <c r="R96" i="56"/>
  <c r="R184" i="56" l="1"/>
  <c r="Q148" i="56"/>
  <c r="Q162" i="56"/>
  <c r="P126" i="56"/>
  <c r="R110" i="57"/>
  <c r="Q92" i="57"/>
  <c r="R154" i="56"/>
  <c r="S190" i="56"/>
  <c r="N132" i="56"/>
  <c r="O168" i="56"/>
  <c r="J113" i="56"/>
  <c r="J114" i="56" s="1"/>
  <c r="J119" i="56"/>
  <c r="J120" i="56" s="1"/>
  <c r="N94" i="57"/>
  <c r="O112" i="57"/>
  <c r="P100" i="57"/>
  <c r="O82" i="57"/>
  <c r="P106" i="57"/>
  <c r="O88" i="57"/>
  <c r="K14" i="37"/>
  <c r="Q136" i="56"/>
  <c r="R172" i="56"/>
  <c r="O174" i="56"/>
  <c r="N138" i="56"/>
  <c r="S178" i="56"/>
  <c r="R142" i="56"/>
  <c r="K18" i="37"/>
  <c r="R80" i="57"/>
  <c r="S98" i="57"/>
  <c r="S160" i="56"/>
  <c r="R124" i="56"/>
  <c r="S96" i="56"/>
  <c r="R130" i="56"/>
  <c r="S166" i="56"/>
  <c r="S86" i="57"/>
  <c r="T104" i="57"/>
  <c r="U94" i="56"/>
  <c r="S184" i="56" l="1"/>
  <c r="R148" i="56"/>
  <c r="P82" i="57"/>
  <c r="Q100" i="57"/>
  <c r="G179" i="56"/>
  <c r="G191" i="56"/>
  <c r="K8" i="37"/>
  <c r="G185" i="56"/>
  <c r="R162" i="56"/>
  <c r="Q126" i="56"/>
  <c r="Q106" i="57"/>
  <c r="P88" i="57"/>
  <c r="P174" i="56"/>
  <c r="O138" i="56"/>
  <c r="S172" i="56"/>
  <c r="R136" i="56"/>
  <c r="O94" i="57"/>
  <c r="P112" i="57"/>
  <c r="T190" i="56"/>
  <c r="S154" i="56"/>
  <c r="T178" i="56"/>
  <c r="S142" i="56"/>
  <c r="P168" i="56"/>
  <c r="O132" i="56"/>
  <c r="S110" i="57"/>
  <c r="R92" i="57"/>
  <c r="T160" i="56"/>
  <c r="S124" i="56"/>
  <c r="T98" i="57"/>
  <c r="S80" i="57"/>
  <c r="T96" i="56"/>
  <c r="T86" i="57"/>
  <c r="U104" i="57"/>
  <c r="V94" i="56"/>
  <c r="T166" i="56"/>
  <c r="S130" i="56"/>
  <c r="T184" i="56" l="1"/>
  <c r="S148" i="56"/>
  <c r="L38" i="37"/>
  <c r="L40" i="37" s="1"/>
  <c r="L33" i="37"/>
  <c r="L36" i="37" s="1"/>
  <c r="L25" i="37"/>
  <c r="L28" i="37" s="1"/>
  <c r="P94" i="57"/>
  <c r="Q112" i="57"/>
  <c r="G186" i="56"/>
  <c r="G150" i="56" s="1"/>
  <c r="G149" i="56"/>
  <c r="P132" i="56"/>
  <c r="Q168" i="56"/>
  <c r="S162" i="56"/>
  <c r="R126" i="56"/>
  <c r="G155" i="56"/>
  <c r="G192" i="56"/>
  <c r="G156" i="56" s="1"/>
  <c r="O30" i="37"/>
  <c r="O22" i="37"/>
  <c r="O5" i="37" s="1"/>
  <c r="U178" i="56"/>
  <c r="T142" i="56"/>
  <c r="T172" i="56"/>
  <c r="S136" i="56"/>
  <c r="G180" i="56"/>
  <c r="G144" i="56" s="1"/>
  <c r="G143" i="56"/>
  <c r="P138" i="56"/>
  <c r="Q174" i="56"/>
  <c r="Q82" i="57"/>
  <c r="R100" i="57"/>
  <c r="U190" i="56"/>
  <c r="T154" i="56"/>
  <c r="Q88" i="57"/>
  <c r="R106" i="57"/>
  <c r="L42" i="37"/>
  <c r="T110" i="57"/>
  <c r="S92" i="57"/>
  <c r="T80" i="57"/>
  <c r="U98" i="57"/>
  <c r="U160" i="56"/>
  <c r="T124" i="56"/>
  <c r="T130" i="56"/>
  <c r="U166" i="56"/>
  <c r="W94" i="56"/>
  <c r="U96" i="56"/>
  <c r="V104" i="57"/>
  <c r="U86" i="57"/>
  <c r="U184" i="56" l="1"/>
  <c r="T148" i="56"/>
  <c r="L14" i="37"/>
  <c r="T162" i="56"/>
  <c r="S126" i="56"/>
  <c r="T92" i="57"/>
  <c r="U110" i="57"/>
  <c r="Q94" i="57"/>
  <c r="R112" i="57"/>
  <c r="R168" i="56"/>
  <c r="Q132" i="56"/>
  <c r="U172" i="56"/>
  <c r="T136" i="56"/>
  <c r="S106" i="57"/>
  <c r="R88" i="57"/>
  <c r="L44" i="37"/>
  <c r="L12" i="37"/>
  <c r="U142" i="56"/>
  <c r="V178" i="56"/>
  <c r="Q138" i="56"/>
  <c r="R174" i="56"/>
  <c r="U154" i="56"/>
  <c r="V190" i="56"/>
  <c r="K119" i="56"/>
  <c r="K120" i="56" s="1"/>
  <c r="K113" i="56"/>
  <c r="K114" i="56" s="1"/>
  <c r="R82" i="57"/>
  <c r="S100" i="57"/>
  <c r="V160" i="56"/>
  <c r="U124" i="56"/>
  <c r="V98" i="57"/>
  <c r="U80" i="57"/>
  <c r="W104" i="57"/>
  <c r="V86" i="57"/>
  <c r="V96" i="56"/>
  <c r="V166" i="56"/>
  <c r="U130" i="56"/>
  <c r="X94" i="56"/>
  <c r="U148" i="56" l="1"/>
  <c r="V184" i="56"/>
  <c r="M25" i="37"/>
  <c r="M28" i="37" s="1"/>
  <c r="M14" i="37" s="1"/>
  <c r="M33" i="37"/>
  <c r="M36" i="37" s="1"/>
  <c r="M38" i="37"/>
  <c r="M40" i="37" s="1"/>
  <c r="H179" i="56"/>
  <c r="L8" i="37"/>
  <c r="H185" i="56"/>
  <c r="H191" i="56"/>
  <c r="S112" i="57"/>
  <c r="R94" i="57"/>
  <c r="S88" i="57"/>
  <c r="T106" i="57"/>
  <c r="U136" i="56"/>
  <c r="V172" i="56"/>
  <c r="V110" i="57"/>
  <c r="U92" i="57"/>
  <c r="V142" i="56"/>
  <c r="W178" i="56"/>
  <c r="P30" i="37"/>
  <c r="P22" i="37"/>
  <c r="P5" i="37" s="1"/>
  <c r="V154" i="56"/>
  <c r="W190" i="56"/>
  <c r="R132" i="56"/>
  <c r="S168" i="56"/>
  <c r="L18" i="37"/>
  <c r="T100" i="57"/>
  <c r="S82" i="57"/>
  <c r="S174" i="56"/>
  <c r="R138" i="56"/>
  <c r="U162" i="56"/>
  <c r="T126" i="56"/>
  <c r="M42" i="37"/>
  <c r="V80" i="57"/>
  <c r="W98" i="57"/>
  <c r="W160" i="56"/>
  <c r="V124" i="56"/>
  <c r="X104" i="57"/>
  <c r="W86" i="57"/>
  <c r="W96" i="56"/>
  <c r="V130" i="56"/>
  <c r="W166" i="56"/>
  <c r="Y94" i="56"/>
  <c r="V148" i="56" l="1"/>
  <c r="W184" i="56"/>
  <c r="W172" i="56"/>
  <c r="V136" i="56"/>
  <c r="T88" i="57"/>
  <c r="U106" i="57"/>
  <c r="I179" i="56"/>
  <c r="I143" i="56" s="1"/>
  <c r="I191" i="56"/>
  <c r="I185" i="56"/>
  <c r="M8" i="37"/>
  <c r="T112" i="57"/>
  <c r="S94" i="57"/>
  <c r="X178" i="56"/>
  <c r="W142" i="56"/>
  <c r="U100" i="57"/>
  <c r="T82" i="57"/>
  <c r="H155" i="56"/>
  <c r="H192" i="56"/>
  <c r="H156" i="56" s="1"/>
  <c r="H149" i="56"/>
  <c r="H186" i="56"/>
  <c r="H150" i="56" s="1"/>
  <c r="T174" i="56"/>
  <c r="S138" i="56"/>
  <c r="T168" i="56"/>
  <c r="S132" i="56"/>
  <c r="W110" i="57"/>
  <c r="V92" i="57"/>
  <c r="H180" i="56"/>
  <c r="H143" i="56"/>
  <c r="Q30" i="37"/>
  <c r="Q5" i="37"/>
  <c r="W154" i="56"/>
  <c r="X190" i="56"/>
  <c r="M44" i="37"/>
  <c r="M18" i="37" s="1"/>
  <c r="M12" i="37"/>
  <c r="V162" i="56"/>
  <c r="U126" i="56"/>
  <c r="L119" i="56"/>
  <c r="L120" i="56" s="1"/>
  <c r="L113" i="56"/>
  <c r="L114" i="56" s="1"/>
  <c r="X160" i="56"/>
  <c r="W124" i="56"/>
  <c r="W80" i="57"/>
  <c r="X98" i="57"/>
  <c r="X166" i="56"/>
  <c r="W130" i="56"/>
  <c r="X86" i="57"/>
  <c r="Y104" i="57"/>
  <c r="X96" i="56"/>
  <c r="Z94" i="56"/>
  <c r="W148" i="56" l="1"/>
  <c r="X184" i="56"/>
  <c r="N42" i="37"/>
  <c r="U88" i="57"/>
  <c r="V106" i="57"/>
  <c r="I180" i="56"/>
  <c r="I144" i="56" s="1"/>
  <c r="H144" i="56"/>
  <c r="W92" i="57"/>
  <c r="X110" i="57"/>
  <c r="X172" i="56"/>
  <c r="W136" i="56"/>
  <c r="Y190" i="56"/>
  <c r="X154" i="56"/>
  <c r="T94" i="57"/>
  <c r="U112" i="57"/>
  <c r="I149" i="56"/>
  <c r="I186" i="56"/>
  <c r="I150" i="56" s="1"/>
  <c r="I155" i="56"/>
  <c r="I192" i="56"/>
  <c r="I156" i="56" s="1"/>
  <c r="W162" i="56"/>
  <c r="V126" i="56"/>
  <c r="T138" i="56"/>
  <c r="U174" i="56"/>
  <c r="X142" i="56"/>
  <c r="Y178" i="56"/>
  <c r="U168" i="56"/>
  <c r="T132" i="56"/>
  <c r="U82" i="57"/>
  <c r="V100" i="57"/>
  <c r="M119" i="56"/>
  <c r="M120" i="56" s="1"/>
  <c r="M113" i="56"/>
  <c r="M114" i="56" s="1"/>
  <c r="X80" i="57"/>
  <c r="Y98" i="57"/>
  <c r="Y160" i="56"/>
  <c r="X124" i="56"/>
  <c r="AA94" i="56"/>
  <c r="Z104" i="57"/>
  <c r="Y86" i="57"/>
  <c r="X130" i="56"/>
  <c r="Y166" i="56"/>
  <c r="Y96" i="56"/>
  <c r="X148" i="56" l="1"/>
  <c r="Y184" i="56"/>
  <c r="X162" i="56"/>
  <c r="W126" i="56"/>
  <c r="V88" i="57"/>
  <c r="W106" i="57"/>
  <c r="V112" i="57"/>
  <c r="U94" i="57"/>
  <c r="N25" i="37"/>
  <c r="N28" i="37" s="1"/>
  <c r="N14" i="37" s="1"/>
  <c r="N38" i="37"/>
  <c r="N40" i="37" s="1"/>
  <c r="N33" i="37"/>
  <c r="N36" i="37" s="1"/>
  <c r="X92" i="57"/>
  <c r="Y110" i="57"/>
  <c r="W100" i="57"/>
  <c r="V82" i="57"/>
  <c r="R30" i="37"/>
  <c r="R22" i="37"/>
  <c r="R5" i="37" s="1"/>
  <c r="N12" i="37"/>
  <c r="N44" i="37"/>
  <c r="N18" i="37" s="1"/>
  <c r="Y142" i="56"/>
  <c r="Z178" i="56"/>
  <c r="V174" i="56"/>
  <c r="U138" i="56"/>
  <c r="Z190" i="56"/>
  <c r="Y154" i="56"/>
  <c r="U132" i="56"/>
  <c r="V168" i="56"/>
  <c r="X136" i="56"/>
  <c r="Y172" i="56"/>
  <c r="Z160" i="56"/>
  <c r="Y124" i="56"/>
  <c r="Z98" i="57"/>
  <c r="Y80" i="57"/>
  <c r="Y130" i="56"/>
  <c r="Z166" i="56"/>
  <c r="Z96" i="56"/>
  <c r="Z86" i="57"/>
  <c r="AA104" i="57"/>
  <c r="AB94" i="56"/>
  <c r="Z184" i="56" l="1"/>
  <c r="Y148" i="56"/>
  <c r="Z154" i="56"/>
  <c r="AA190" i="56"/>
  <c r="V94" i="57"/>
  <c r="W112" i="57"/>
  <c r="Z172" i="56"/>
  <c r="Y136" i="56"/>
  <c r="V138" i="56"/>
  <c r="W174" i="56"/>
  <c r="W82" i="57"/>
  <c r="X100" i="57"/>
  <c r="AA178" i="56"/>
  <c r="Z142" i="56"/>
  <c r="W88" i="57"/>
  <c r="X106" i="57"/>
  <c r="Y92" i="57"/>
  <c r="Z110" i="57"/>
  <c r="W168" i="56"/>
  <c r="V132" i="56"/>
  <c r="N113" i="56"/>
  <c r="N114" i="56" s="1"/>
  <c r="N119" i="56"/>
  <c r="N120" i="56" s="1"/>
  <c r="J191" i="56"/>
  <c r="N8" i="37"/>
  <c r="J185" i="56"/>
  <c r="J179" i="56"/>
  <c r="Y162" i="56"/>
  <c r="X126" i="56"/>
  <c r="AA98" i="57"/>
  <c r="Z80" i="57"/>
  <c r="AA160" i="56"/>
  <c r="Z124" i="56"/>
  <c r="Z130" i="56"/>
  <c r="AA166" i="56"/>
  <c r="AC94" i="56"/>
  <c r="AA86" i="57"/>
  <c r="AB104" i="57"/>
  <c r="AA96" i="56"/>
  <c r="Z148" i="56" l="1"/>
  <c r="AA184" i="56"/>
  <c r="AB190" i="56"/>
  <c r="AA154" i="56"/>
  <c r="J149" i="56"/>
  <c r="J186" i="56"/>
  <c r="J150" i="56" s="1"/>
  <c r="O42" i="37"/>
  <c r="S30" i="37"/>
  <c r="S22" i="37"/>
  <c r="S5" i="37" s="1"/>
  <c r="Z136" i="56"/>
  <c r="AA172" i="56"/>
  <c r="X168" i="56"/>
  <c r="W132" i="56"/>
  <c r="X88" i="57"/>
  <c r="Y106" i="57"/>
  <c r="Z162" i="56"/>
  <c r="Y126" i="56"/>
  <c r="AA110" i="57"/>
  <c r="Z92" i="57"/>
  <c r="X174" i="56"/>
  <c r="W138" i="56"/>
  <c r="Y100" i="57"/>
  <c r="X82" i="57"/>
  <c r="AA142" i="56"/>
  <c r="AB178" i="56"/>
  <c r="J155" i="56"/>
  <c r="J192" i="56"/>
  <c r="J156" i="56" s="1"/>
  <c r="J143" i="56"/>
  <c r="J180" i="56"/>
  <c r="J144" i="56" s="1"/>
  <c r="W94" i="57"/>
  <c r="X112" i="57"/>
  <c r="AB160" i="56"/>
  <c r="AA124" i="56"/>
  <c r="AB98" i="57"/>
  <c r="AA80" i="57"/>
  <c r="AD94" i="56"/>
  <c r="AA130" i="56"/>
  <c r="AB166" i="56"/>
  <c r="AC104" i="57"/>
  <c r="AB86" i="57"/>
  <c r="AB96" i="56"/>
  <c r="AB184" i="56" l="1"/>
  <c r="AA148" i="56"/>
  <c r="O44" i="37"/>
  <c r="O18" i="37" s="1"/>
  <c r="O12" i="37"/>
  <c r="Z106" i="57"/>
  <c r="Y88" i="57"/>
  <c r="Y112" i="57"/>
  <c r="X94" i="57"/>
  <c r="AB172" i="56"/>
  <c r="AA136" i="56"/>
  <c r="X138" i="56"/>
  <c r="Y174" i="56"/>
  <c r="AC190" i="56"/>
  <c r="AB154" i="56"/>
  <c r="Z100" i="57"/>
  <c r="Y82" i="57"/>
  <c r="X132" i="56"/>
  <c r="Y168" i="56"/>
  <c r="O113" i="56"/>
  <c r="O114" i="56" s="1"/>
  <c r="O119" i="56"/>
  <c r="O120" i="56" s="1"/>
  <c r="AA92" i="57"/>
  <c r="AB110" i="57"/>
  <c r="T30" i="37"/>
  <c r="T22" i="37"/>
  <c r="T5" i="37" s="1"/>
  <c r="AA162" i="56"/>
  <c r="Z126" i="56"/>
  <c r="AB142" i="56"/>
  <c r="AC178" i="56"/>
  <c r="O25" i="37"/>
  <c r="O28" i="37" s="1"/>
  <c r="O14" i="37" s="1"/>
  <c r="O38" i="37"/>
  <c r="O40" i="37" s="1"/>
  <c r="O33" i="37"/>
  <c r="O36" i="37" s="1"/>
  <c r="AC98" i="57"/>
  <c r="AB80" i="57"/>
  <c r="AC160" i="56"/>
  <c r="AB124" i="56"/>
  <c r="AC96" i="56"/>
  <c r="AB130" i="56"/>
  <c r="AC166" i="56"/>
  <c r="AC86" i="57"/>
  <c r="AD104" i="57"/>
  <c r="AE94" i="56"/>
  <c r="AC184" i="56" l="1"/>
  <c r="AB148" i="56"/>
  <c r="U22" i="37"/>
  <c r="U5" i="37" s="1"/>
  <c r="U30" i="37"/>
  <c r="Y132" i="56"/>
  <c r="Z168" i="56"/>
  <c r="AB162" i="56"/>
  <c r="AA126" i="56"/>
  <c r="P113" i="56"/>
  <c r="P114" i="56" s="1"/>
  <c r="P119" i="56"/>
  <c r="P120" i="56" s="1"/>
  <c r="AA106" i="57"/>
  <c r="Z88" i="57"/>
  <c r="AB92" i="57"/>
  <c r="AC110" i="57"/>
  <c r="AB136" i="56"/>
  <c r="AC172" i="56"/>
  <c r="AC154" i="56"/>
  <c r="AD190" i="56"/>
  <c r="AD178" i="56"/>
  <c r="AC142" i="56"/>
  <c r="V30" i="37"/>
  <c r="V22" i="37"/>
  <c r="V5" i="37" s="1"/>
  <c r="K185" i="56"/>
  <c r="O8" i="37"/>
  <c r="K179" i="56"/>
  <c r="K191" i="56"/>
  <c r="AA100" i="57"/>
  <c r="Z82" i="57"/>
  <c r="Y94" i="57"/>
  <c r="Z112" i="57"/>
  <c r="Y138" i="56"/>
  <c r="Z174" i="56"/>
  <c r="AD160" i="56"/>
  <c r="AC124" i="56"/>
  <c r="AC80" i="57"/>
  <c r="AD98" i="57"/>
  <c r="AF94" i="56"/>
  <c r="AD166" i="56"/>
  <c r="AC130" i="56"/>
  <c r="AD86" i="57"/>
  <c r="AE104" i="57"/>
  <c r="AD96" i="56"/>
  <c r="AC148" i="56" l="1"/>
  <c r="AD184" i="56"/>
  <c r="R113" i="56"/>
  <c r="R119" i="56"/>
  <c r="AB106" i="57"/>
  <c r="AA88" i="57"/>
  <c r="AC162" i="56"/>
  <c r="AB126" i="56"/>
  <c r="AD172" i="56"/>
  <c r="AC136" i="56"/>
  <c r="AE178" i="56"/>
  <c r="AD142" i="56"/>
  <c r="AA112" i="57"/>
  <c r="Z94" i="57"/>
  <c r="Q119" i="56"/>
  <c r="Q113" i="56"/>
  <c r="K155" i="56"/>
  <c r="K192" i="56"/>
  <c r="K156" i="56" s="1"/>
  <c r="AA174" i="56"/>
  <c r="Z138" i="56"/>
  <c r="AB100" i="57"/>
  <c r="AA82" i="57"/>
  <c r="K143" i="56"/>
  <c r="K180" i="56"/>
  <c r="K144" i="56" s="1"/>
  <c r="AD110" i="57"/>
  <c r="AC92" i="57"/>
  <c r="K149" i="56"/>
  <c r="K186" i="56"/>
  <c r="K150" i="56" s="1"/>
  <c r="Z132" i="56"/>
  <c r="AA168" i="56"/>
  <c r="AD154" i="56"/>
  <c r="AE190" i="56"/>
  <c r="AE98" i="57"/>
  <c r="AD80" i="57"/>
  <c r="AE160" i="56"/>
  <c r="AD124" i="56"/>
  <c r="AE166" i="56"/>
  <c r="AD130" i="56"/>
  <c r="AE86" i="57"/>
  <c r="AF104" i="57"/>
  <c r="AG94" i="56"/>
  <c r="AE96" i="56"/>
  <c r="AD148" i="56" l="1"/>
  <c r="AE184" i="56"/>
  <c r="AE154" i="56"/>
  <c r="AF190" i="56"/>
  <c r="AC106" i="57"/>
  <c r="AB88" i="57"/>
  <c r="P25" i="37"/>
  <c r="P28" i="37" s="1"/>
  <c r="P14" i="37" s="1"/>
  <c r="P33" i="37"/>
  <c r="P36" i="37" s="1"/>
  <c r="P38" i="37"/>
  <c r="P40" i="37" s="1"/>
  <c r="AA94" i="57"/>
  <c r="AB112" i="57"/>
  <c r="AD162" i="56"/>
  <c r="AC126" i="56"/>
  <c r="Q114" i="56"/>
  <c r="Q120" i="56"/>
  <c r="AA138" i="56"/>
  <c r="AB174" i="56"/>
  <c r="AB168" i="56"/>
  <c r="AA132" i="56"/>
  <c r="AB82" i="57"/>
  <c r="AC100" i="57"/>
  <c r="AF178" i="56"/>
  <c r="AE142" i="56"/>
  <c r="AD136" i="56"/>
  <c r="AE172" i="56"/>
  <c r="P42" i="37"/>
  <c r="AD92" i="57"/>
  <c r="AE110" i="57"/>
  <c r="AF160" i="56"/>
  <c r="AE124" i="56"/>
  <c r="AF98" i="57"/>
  <c r="AE80" i="57"/>
  <c r="AH94" i="56"/>
  <c r="I24" i="56" s="1"/>
  <c r="AF86" i="57"/>
  <c r="AG104" i="57"/>
  <c r="AE130" i="56"/>
  <c r="AF166" i="56"/>
  <c r="AF96" i="56"/>
  <c r="AE148" i="56" l="1"/>
  <c r="AF184" i="56"/>
  <c r="AE92" i="57"/>
  <c r="AF110" i="57"/>
  <c r="AF172" i="56"/>
  <c r="AE136" i="56"/>
  <c r="R120" i="56"/>
  <c r="AG190" i="56"/>
  <c r="AF154" i="56"/>
  <c r="W22" i="37"/>
  <c r="W5" i="37" s="1"/>
  <c r="W30" i="37"/>
  <c r="AG178" i="56"/>
  <c r="AF142" i="56"/>
  <c r="AC174" i="56"/>
  <c r="AB138" i="56"/>
  <c r="AD100" i="57"/>
  <c r="AC82" i="57"/>
  <c r="R114" i="56"/>
  <c r="AB94" i="57"/>
  <c r="AC112" i="57"/>
  <c r="AE162" i="56"/>
  <c r="AD126" i="56"/>
  <c r="L179" i="56"/>
  <c r="L185" i="56"/>
  <c r="P8" i="37"/>
  <c r="L191" i="56"/>
  <c r="AC88" i="57"/>
  <c r="AD106" i="57"/>
  <c r="P12" i="37"/>
  <c r="P44" i="37"/>
  <c r="P18" i="37" s="1"/>
  <c r="AC168" i="56"/>
  <c r="AB132" i="56"/>
  <c r="AF80" i="57"/>
  <c r="AG98" i="57"/>
  <c r="AG160" i="56"/>
  <c r="AF124" i="56"/>
  <c r="AG96" i="56"/>
  <c r="AF130" i="56"/>
  <c r="AG166" i="56"/>
  <c r="AG86" i="57"/>
  <c r="AH104" i="57"/>
  <c r="AG184" i="56" l="1"/>
  <c r="AF148" i="56"/>
  <c r="S119" i="56"/>
  <c r="S113" i="56"/>
  <c r="AH86" i="57"/>
  <c r="I26" i="57" s="1"/>
  <c r="I31" i="57"/>
  <c r="AD174" i="56"/>
  <c r="AC138" i="56"/>
  <c r="AG142" i="56"/>
  <c r="AH178" i="56"/>
  <c r="L149" i="56"/>
  <c r="L186" i="56"/>
  <c r="L150" i="56" s="1"/>
  <c r="AF162" i="56"/>
  <c r="AE126" i="56"/>
  <c r="Q42" i="37"/>
  <c r="L143" i="56"/>
  <c r="L180" i="56"/>
  <c r="L144" i="56" s="1"/>
  <c r="AD168" i="56"/>
  <c r="AC132" i="56"/>
  <c r="L155" i="56"/>
  <c r="L192" i="56"/>
  <c r="L156" i="56" s="1"/>
  <c r="AD88" i="57"/>
  <c r="AE106" i="57"/>
  <c r="AC94" i="57"/>
  <c r="AD112" i="57"/>
  <c r="AH190" i="56"/>
  <c r="AG154" i="56"/>
  <c r="AF136" i="56"/>
  <c r="AG172" i="56"/>
  <c r="AE100" i="57"/>
  <c r="AD82" i="57"/>
  <c r="AF92" i="57"/>
  <c r="AG110" i="57"/>
  <c r="AH160" i="56"/>
  <c r="AG124" i="56"/>
  <c r="AH98" i="57"/>
  <c r="AG80" i="57"/>
  <c r="AG130" i="56"/>
  <c r="AH166" i="56"/>
  <c r="AH96" i="56"/>
  <c r="J24" i="56" s="1"/>
  <c r="K24" i="56" s="1"/>
  <c r="L24" i="56" s="1"/>
  <c r="AH184" i="56" l="1"/>
  <c r="AG148" i="56"/>
  <c r="S120" i="56"/>
  <c r="S114" i="56"/>
  <c r="AH142" i="56"/>
  <c r="I34" i="56" s="1"/>
  <c r="I42" i="56"/>
  <c r="AH154" i="56"/>
  <c r="I36" i="56" s="1"/>
  <c r="I44" i="56"/>
  <c r="AH130" i="56"/>
  <c r="I32" i="56" s="1"/>
  <c r="I40" i="56"/>
  <c r="AH80" i="57"/>
  <c r="I25" i="57" s="1"/>
  <c r="I30" i="57"/>
  <c r="AH124" i="56"/>
  <c r="I31" i="56" s="1"/>
  <c r="I39" i="56"/>
  <c r="Q12" i="37"/>
  <c r="Q44" i="37"/>
  <c r="Q18" i="37" s="1"/>
  <c r="X22" i="37"/>
  <c r="X5" i="37" s="1"/>
  <c r="X30" i="37"/>
  <c r="AD94" i="57"/>
  <c r="AE112" i="57"/>
  <c r="AE174" i="56"/>
  <c r="AD138" i="56"/>
  <c r="AH110" i="57"/>
  <c r="AG92" i="57"/>
  <c r="AE168" i="56"/>
  <c r="AD132" i="56"/>
  <c r="AG162" i="56"/>
  <c r="AF126" i="56"/>
  <c r="AE82" i="57"/>
  <c r="AF100" i="57"/>
  <c r="AE88" i="57"/>
  <c r="AF106" i="57"/>
  <c r="AG136" i="56"/>
  <c r="AH172" i="56"/>
  <c r="Q38" i="37"/>
  <c r="Q40" i="37" s="1"/>
  <c r="Q33" i="37"/>
  <c r="Q36" i="37" s="1"/>
  <c r="Q25" i="37"/>
  <c r="Q28" i="37" s="1"/>
  <c r="Q14" i="37" s="1"/>
  <c r="AH148" i="56" l="1"/>
  <c r="I43" i="56"/>
  <c r="I35" i="56"/>
  <c r="T113" i="56"/>
  <c r="T119" i="56"/>
  <c r="T120" i="56" s="1"/>
  <c r="AH136" i="56"/>
  <c r="I33" i="56" s="1"/>
  <c r="K33" i="56" s="1"/>
  <c r="L33" i="56" s="1"/>
  <c r="I41" i="56"/>
  <c r="AH92" i="57"/>
  <c r="I27" i="57" s="1"/>
  <c r="K27" i="57" s="1"/>
  <c r="L27" i="57" s="1"/>
  <c r="I32" i="57"/>
  <c r="AF88" i="57"/>
  <c r="AG106" i="57"/>
  <c r="Y30" i="37"/>
  <c r="Y22" i="37"/>
  <c r="Y5" i="37" s="1"/>
  <c r="AH162" i="56"/>
  <c r="AG126" i="56"/>
  <c r="AE138" i="56"/>
  <c r="AF174" i="56"/>
  <c r="AG100" i="57"/>
  <c r="AF82" i="57"/>
  <c r="M191" i="56"/>
  <c r="Q8" i="37"/>
  <c r="M185" i="56"/>
  <c r="M179" i="56"/>
  <c r="AF168" i="56"/>
  <c r="AE132" i="56"/>
  <c r="AE94" i="57"/>
  <c r="AF112" i="57"/>
  <c r="U113" i="56" l="1"/>
  <c r="U119" i="56"/>
  <c r="U120" i="56" s="1"/>
  <c r="T114" i="56"/>
  <c r="U114" i="56" s="1"/>
  <c r="AH126" i="56"/>
  <c r="J31" i="56" s="1"/>
  <c r="K31" i="56" s="1"/>
  <c r="L31" i="56" s="1"/>
  <c r="J39" i="56"/>
  <c r="K39" i="56" s="1"/>
  <c r="L39" i="56" s="1"/>
  <c r="AH106" i="57"/>
  <c r="AG88" i="57"/>
  <c r="AG174" i="56"/>
  <c r="AF138" i="56"/>
  <c r="AH100" i="57"/>
  <c r="AG82" i="57"/>
  <c r="AG112" i="57"/>
  <c r="AF94" i="57"/>
  <c r="M149" i="56"/>
  <c r="M186" i="56"/>
  <c r="M150" i="56" s="1"/>
  <c r="AF132" i="56"/>
  <c r="AG168" i="56"/>
  <c r="M143" i="56"/>
  <c r="M180" i="56"/>
  <c r="M144" i="56" s="1"/>
  <c r="M155" i="56"/>
  <c r="M192" i="56"/>
  <c r="M156" i="56" s="1"/>
  <c r="AH88" i="57" l="1"/>
  <c r="J26" i="57" s="1"/>
  <c r="K26" i="57" s="1"/>
  <c r="L26" i="57" s="1"/>
  <c r="J31" i="57"/>
  <c r="K31" i="57" s="1"/>
  <c r="L31" i="57" s="1"/>
  <c r="AH82" i="57"/>
  <c r="J25" i="57" s="1"/>
  <c r="K25" i="57" s="1"/>
  <c r="L25" i="57" s="1"/>
  <c r="J30" i="57"/>
  <c r="K30" i="57" s="1"/>
  <c r="L30" i="57" s="1"/>
  <c r="R38" i="37"/>
  <c r="R40" i="37" s="1"/>
  <c r="R33" i="37"/>
  <c r="R36" i="37" s="1"/>
  <c r="R25" i="37"/>
  <c r="R28" i="37" s="1"/>
  <c r="R14" i="37" s="1"/>
  <c r="Z30" i="37"/>
  <c r="Z22" i="37"/>
  <c r="Z5" i="37" s="1"/>
  <c r="R42" i="37"/>
  <c r="AH112" i="57"/>
  <c r="AG94" i="57"/>
  <c r="AH168" i="56"/>
  <c r="AG132" i="56"/>
  <c r="AG138" i="56"/>
  <c r="AH174" i="56"/>
  <c r="V113" i="56" l="1"/>
  <c r="V114" i="56" s="1"/>
  <c r="V119" i="56"/>
  <c r="AH132" i="56"/>
  <c r="J32" i="56" s="1"/>
  <c r="K32" i="56" s="1"/>
  <c r="L32" i="56" s="1"/>
  <c r="J40" i="56"/>
  <c r="K40" i="56" s="1"/>
  <c r="L40" i="56" s="1"/>
  <c r="AH94" i="57"/>
  <c r="J32" i="57"/>
  <c r="K32" i="57" s="1"/>
  <c r="L32" i="57" s="1"/>
  <c r="AH138" i="56"/>
  <c r="J41" i="56"/>
  <c r="K41" i="56" s="1"/>
  <c r="L41" i="56" s="1"/>
  <c r="AA30" i="37"/>
  <c r="AA22" i="37"/>
  <c r="AA5" i="37" s="1"/>
  <c r="R12" i="37"/>
  <c r="R44" i="37"/>
  <c r="R18" i="37" s="1"/>
  <c r="R8" i="37"/>
  <c r="N179" i="56"/>
  <c r="N191" i="56"/>
  <c r="N185" i="56"/>
  <c r="W119" i="56" l="1"/>
  <c r="W113" i="56"/>
  <c r="W114" i="56" s="1"/>
  <c r="V120" i="56"/>
  <c r="N149" i="56"/>
  <c r="N186" i="56"/>
  <c r="N150" i="56" s="1"/>
  <c r="N155" i="56"/>
  <c r="N192" i="56"/>
  <c r="N156" i="56" s="1"/>
  <c r="N143" i="56"/>
  <c r="N180" i="56"/>
  <c r="N144" i="56" s="1"/>
  <c r="AB30" i="37"/>
  <c r="AB22" i="37"/>
  <c r="AB5" i="37" s="1"/>
  <c r="S42" i="37"/>
  <c r="W120" i="56" l="1"/>
  <c r="X119" i="56"/>
  <c r="X113" i="56"/>
  <c r="X114" i="56" s="1"/>
  <c r="S44" i="37"/>
  <c r="S18" i="37" s="1"/>
  <c r="S12" i="37"/>
  <c r="S25" i="37"/>
  <c r="S28" i="37" s="1"/>
  <c r="S14" i="37" s="1"/>
  <c r="S33" i="37"/>
  <c r="S36" i="37" s="1"/>
  <c r="S38" i="37"/>
  <c r="S40" i="37" s="1"/>
  <c r="X120" i="56" l="1"/>
  <c r="AC22" i="37"/>
  <c r="AC5" i="37" s="1"/>
  <c r="AC30" i="37"/>
  <c r="O191" i="56"/>
  <c r="S8" i="37"/>
  <c r="O185" i="56"/>
  <c r="O179" i="56"/>
  <c r="Y113" i="56" l="1"/>
  <c r="Y119" i="56"/>
  <c r="T42" i="37"/>
  <c r="AD30" i="37"/>
  <c r="AD22" i="37"/>
  <c r="AD5" i="37" s="1"/>
  <c r="O149" i="56"/>
  <c r="O186" i="56"/>
  <c r="O150" i="56" s="1"/>
  <c r="O143" i="56"/>
  <c r="O180" i="56"/>
  <c r="O144" i="56" s="1"/>
  <c r="O155" i="56"/>
  <c r="O192" i="56"/>
  <c r="O156" i="56" s="1"/>
  <c r="Z113" i="56" l="1"/>
  <c r="Z119" i="56"/>
  <c r="Y120" i="56"/>
  <c r="Y114" i="56"/>
  <c r="T44" i="37"/>
  <c r="T18" i="37" s="1"/>
  <c r="T12" i="37"/>
  <c r="T33" i="37"/>
  <c r="T36" i="37" s="1"/>
  <c r="T38" i="37"/>
  <c r="T40" i="37" s="1"/>
  <c r="T25" i="37"/>
  <c r="T28" i="37" s="1"/>
  <c r="T14" i="37" s="1"/>
  <c r="Z120" i="56" l="1"/>
  <c r="Z114" i="56"/>
  <c r="P179" i="56"/>
  <c r="P185" i="56"/>
  <c r="P191" i="56"/>
  <c r="T8" i="37"/>
  <c r="AE30" i="37"/>
  <c r="AE22" i="37"/>
  <c r="AE5" i="37" s="1"/>
  <c r="AA113" i="56" l="1"/>
  <c r="AA114" i="56" s="1"/>
  <c r="AA119" i="56"/>
  <c r="AA120" i="56" s="1"/>
  <c r="P143" i="56"/>
  <c r="P180" i="56"/>
  <c r="P144" i="56" s="1"/>
  <c r="P149" i="56"/>
  <c r="P186" i="56"/>
  <c r="P150" i="56" s="1"/>
  <c r="P155" i="56"/>
  <c r="P192" i="56"/>
  <c r="P156" i="56" s="1"/>
  <c r="U42" i="37"/>
  <c r="U38" i="37" l="1"/>
  <c r="U40" i="37" s="1"/>
  <c r="U25" i="37"/>
  <c r="U28" i="37" s="1"/>
  <c r="U14" i="37" s="1"/>
  <c r="U33" i="37"/>
  <c r="U36" i="37" s="1"/>
  <c r="AF30" i="37"/>
  <c r="AF22" i="37"/>
  <c r="AF5" i="37" s="1"/>
  <c r="U12" i="37"/>
  <c r="U44" i="37"/>
  <c r="U18" i="37" s="1"/>
  <c r="AB113" i="56" l="1"/>
  <c r="AB114" i="56" s="1"/>
  <c r="AB119" i="56"/>
  <c r="AB120" i="56" s="1"/>
  <c r="Q185" i="56"/>
  <c r="Q179" i="56"/>
  <c r="U8" i="37"/>
  <c r="Q191" i="56"/>
  <c r="AG22" i="37" l="1"/>
  <c r="AG5" i="37" s="1"/>
  <c r="AG30" i="37"/>
  <c r="Q155" i="56"/>
  <c r="Q192" i="56"/>
  <c r="Q143" i="56"/>
  <c r="Q180" i="56"/>
  <c r="Q149" i="56"/>
  <c r="Q186" i="56"/>
  <c r="AC113" i="56" l="1"/>
  <c r="AC114" i="56" s="1"/>
  <c r="AC119" i="56"/>
  <c r="AC120" i="56" s="1"/>
  <c r="Q144" i="56"/>
  <c r="V38" i="37"/>
  <c r="V40" i="37" s="1"/>
  <c r="V33" i="37"/>
  <c r="V36" i="37" s="1"/>
  <c r="V25" i="37"/>
  <c r="V28" i="37" s="1"/>
  <c r="V14" i="37" s="1"/>
  <c r="Q156" i="56"/>
  <c r="Q150" i="56"/>
  <c r="V42" i="37"/>
  <c r="R185" i="56" l="1"/>
  <c r="R179" i="56"/>
  <c r="R191" i="56"/>
  <c r="V8" i="37"/>
  <c r="V44" i="37"/>
  <c r="V18" i="37" s="1"/>
  <c r="V12" i="37"/>
  <c r="AH22" i="37"/>
  <c r="AH5" i="37" s="1"/>
  <c r="AH30" i="37"/>
  <c r="AD119" i="56" l="1"/>
  <c r="AD120" i="56" s="1"/>
  <c r="AD113" i="56"/>
  <c r="R155" i="56"/>
  <c r="R192" i="56"/>
  <c r="R143" i="56"/>
  <c r="R180" i="56"/>
  <c r="R149" i="56"/>
  <c r="R186" i="56"/>
  <c r="W42" i="37"/>
  <c r="AD114" i="56" l="1"/>
  <c r="W44" i="37"/>
  <c r="W18" i="37" s="1"/>
  <c r="W12" i="37"/>
  <c r="R144" i="56"/>
  <c r="R156" i="56"/>
  <c r="R150" i="56"/>
  <c r="W33" i="37"/>
  <c r="W36" i="37" s="1"/>
  <c r="W38" i="37"/>
  <c r="W40" i="37" s="1"/>
  <c r="W25" i="37"/>
  <c r="W28" i="37" s="1"/>
  <c r="W14" i="37" s="1"/>
  <c r="AI22" i="37"/>
  <c r="AI5" i="37" s="1"/>
  <c r="AI30" i="37"/>
  <c r="AE113" i="56" l="1"/>
  <c r="AE119" i="56"/>
  <c r="S185" i="56"/>
  <c r="S179" i="56"/>
  <c r="W8" i="37"/>
  <c r="S191" i="56"/>
  <c r="AE114" i="56" l="1"/>
  <c r="AE120" i="56"/>
  <c r="S155" i="56"/>
  <c r="S192" i="56"/>
  <c r="S143" i="56"/>
  <c r="S180" i="56"/>
  <c r="S149" i="56"/>
  <c r="S186" i="56"/>
  <c r="AJ22" i="37"/>
  <c r="AJ5" i="37" s="1"/>
  <c r="AJ30" i="37"/>
  <c r="AF119" i="56" l="1"/>
  <c r="AF120" i="56" s="1"/>
  <c r="AF113" i="56"/>
  <c r="AF114" i="56" s="1"/>
  <c r="S156" i="56"/>
  <c r="S144" i="56"/>
  <c r="S150" i="56"/>
  <c r="X33" i="37"/>
  <c r="X36" i="37" s="1"/>
  <c r="X38" i="37"/>
  <c r="X40" i="37" s="1"/>
  <c r="X25" i="37"/>
  <c r="X28" i="37" s="1"/>
  <c r="X14" i="37" s="1"/>
  <c r="X42" i="37"/>
  <c r="X44" i="37" l="1"/>
  <c r="X18" i="37" s="1"/>
  <c r="X12" i="37"/>
  <c r="T191" i="56"/>
  <c r="X8" i="37"/>
  <c r="T185" i="56"/>
  <c r="T179" i="56"/>
  <c r="AK22" i="37"/>
  <c r="AK5" i="37" s="1"/>
  <c r="AK30" i="37"/>
  <c r="AG119" i="56" l="1"/>
  <c r="AG120" i="56" s="1"/>
  <c r="AG113" i="56"/>
  <c r="AG114" i="56" s="1"/>
  <c r="T143" i="56"/>
  <c r="T180" i="56"/>
  <c r="T144" i="56" s="1"/>
  <c r="T155" i="56"/>
  <c r="T192" i="56"/>
  <c r="T156" i="56" s="1"/>
  <c r="T149" i="56"/>
  <c r="T186" i="56"/>
  <c r="T150" i="56" s="1"/>
  <c r="Y42" i="37"/>
  <c r="Y44" i="37" l="1"/>
  <c r="Y18" i="37" s="1"/>
  <c r="Y12" i="37"/>
  <c r="AL30" i="37"/>
  <c r="F30" i="37" s="1"/>
  <c r="G31" i="37" s="1"/>
  <c r="AL22" i="37"/>
  <c r="Y33" i="37"/>
  <c r="Y36" i="37" s="1"/>
  <c r="Y25" i="37"/>
  <c r="Y28" i="37" s="1"/>
  <c r="Y14" i="37" s="1"/>
  <c r="Y38" i="37"/>
  <c r="Y40" i="37" s="1"/>
  <c r="F22" i="37" l="1"/>
  <c r="G23" i="37" s="1"/>
  <c r="AL5" i="37"/>
  <c r="U191" i="56"/>
  <c r="Y8" i="37"/>
  <c r="U185" i="56"/>
  <c r="U179" i="56"/>
  <c r="AH119" i="56" l="1"/>
  <c r="AH113" i="56"/>
  <c r="K54" i="14"/>
  <c r="K52" i="14"/>
  <c r="K55" i="14"/>
  <c r="K53" i="14"/>
  <c r="C10" i="37"/>
  <c r="U149" i="56"/>
  <c r="U186" i="56"/>
  <c r="U150" i="56" s="1"/>
  <c r="U143" i="56"/>
  <c r="U180" i="56"/>
  <c r="U144" i="56" s="1"/>
  <c r="U155" i="56"/>
  <c r="U192" i="56"/>
  <c r="U156" i="56" s="1"/>
  <c r="Z42" i="37"/>
  <c r="Q52" i="14" l="1"/>
  <c r="Q53" i="14"/>
  <c r="C14" i="37"/>
  <c r="Q55" i="14"/>
  <c r="E30" i="14"/>
  <c r="Q54" i="14"/>
  <c r="C12" i="37"/>
  <c r="F27" i="56"/>
  <c r="G27" i="56" s="1"/>
  <c r="H27" i="56" s="1"/>
  <c r="AH114" i="56"/>
  <c r="J27" i="56" s="1"/>
  <c r="K27" i="56" s="1"/>
  <c r="L27" i="56" s="1"/>
  <c r="F28" i="56"/>
  <c r="G28" i="56" s="1"/>
  <c r="H28" i="56" s="1"/>
  <c r="AH120" i="56"/>
  <c r="J28" i="56" s="1"/>
  <c r="K28" i="56" s="1"/>
  <c r="L28" i="56" s="1"/>
  <c r="Z44" i="37"/>
  <c r="Z18" i="37" s="1"/>
  <c r="Z12" i="37"/>
  <c r="Z33" i="37"/>
  <c r="Z36" i="37" s="1"/>
  <c r="Z25" i="37"/>
  <c r="Z28" i="37" s="1"/>
  <c r="Z14" i="37" s="1"/>
  <c r="Z38" i="37"/>
  <c r="Z40" i="37" s="1"/>
  <c r="E33" i="14" l="1"/>
  <c r="F33" i="14" s="1"/>
  <c r="G33" i="14" s="1"/>
  <c r="F30" i="14"/>
  <c r="G30" i="14" s="1"/>
  <c r="V191" i="56"/>
  <c r="V179" i="56"/>
  <c r="V185" i="56"/>
  <c r="Z8" i="37"/>
  <c r="V143" i="56" l="1"/>
  <c r="V180" i="56"/>
  <c r="V144" i="56" s="1"/>
  <c r="V149" i="56"/>
  <c r="V186" i="56"/>
  <c r="V150" i="56" s="1"/>
  <c r="V155" i="56"/>
  <c r="V192" i="56"/>
  <c r="V156" i="56" s="1"/>
  <c r="AA42" i="37"/>
  <c r="AA44" i="37" l="1"/>
  <c r="AA18" i="37" s="1"/>
  <c r="AA12" i="37"/>
  <c r="AA33" i="37"/>
  <c r="AA36" i="37" s="1"/>
  <c r="AA25" i="37"/>
  <c r="AA28" i="37" s="1"/>
  <c r="AA14" i="37" s="1"/>
  <c r="AA38" i="37"/>
  <c r="AA40" i="37" s="1"/>
  <c r="W179" i="56" l="1"/>
  <c r="AA8" i="37"/>
  <c r="W185" i="56"/>
  <c r="W191" i="56"/>
  <c r="W155" i="56" l="1"/>
  <c r="W192" i="56"/>
  <c r="W156" i="56" s="1"/>
  <c r="W149" i="56"/>
  <c r="W186" i="56"/>
  <c r="W150" i="56" s="1"/>
  <c r="W143" i="56"/>
  <c r="W180" i="56"/>
  <c r="W144" i="56" s="1"/>
  <c r="AB42" i="37"/>
  <c r="AB44" i="37" l="1"/>
  <c r="AB18" i="37" s="1"/>
  <c r="AB12" i="37"/>
  <c r="AB38" i="37"/>
  <c r="AB40" i="37" s="1"/>
  <c r="AB25" i="37"/>
  <c r="AB28" i="37" s="1"/>
  <c r="AB14" i="37" s="1"/>
  <c r="AB33" i="37"/>
  <c r="AB36" i="37" s="1"/>
  <c r="X179" i="56" l="1"/>
  <c r="AB8" i="37"/>
  <c r="X191" i="56"/>
  <c r="X185" i="56"/>
  <c r="X149" i="56" l="1"/>
  <c r="X186" i="56"/>
  <c r="X150" i="56" s="1"/>
  <c r="X155" i="56"/>
  <c r="X192" i="56"/>
  <c r="X156" i="56" s="1"/>
  <c r="X143" i="56"/>
  <c r="X180" i="56"/>
  <c r="X144" i="56" s="1"/>
  <c r="AC42" i="37"/>
  <c r="AC44" i="37" l="1"/>
  <c r="AC18" i="37" s="1"/>
  <c r="AC12" i="37"/>
  <c r="AC33" i="37"/>
  <c r="AC36" i="37" s="1"/>
  <c r="AC25" i="37"/>
  <c r="AC28" i="37" s="1"/>
  <c r="AC14" i="37" s="1"/>
  <c r="AC38" i="37"/>
  <c r="AC40" i="37" s="1"/>
  <c r="Y179" i="56" l="1"/>
  <c r="Y191" i="56"/>
  <c r="AC8" i="37"/>
  <c r="Y185" i="56"/>
  <c r="Y155" i="56" l="1"/>
  <c r="Y192" i="56"/>
  <c r="Y149" i="56"/>
  <c r="Y186" i="56"/>
  <c r="Y143" i="56"/>
  <c r="Y180" i="56"/>
  <c r="AD42" i="37"/>
  <c r="AD44" i="37" l="1"/>
  <c r="AD18" i="37" s="1"/>
  <c r="AD12" i="37"/>
  <c r="Y150" i="56"/>
  <c r="Y144" i="56"/>
  <c r="Y156" i="56"/>
  <c r="AD25" i="37"/>
  <c r="AD28" i="37" s="1"/>
  <c r="AD14" i="37" s="1"/>
  <c r="AD38" i="37"/>
  <c r="AD40" i="37" s="1"/>
  <c r="AD33" i="37"/>
  <c r="AD36" i="37" s="1"/>
  <c r="Z185" i="56" l="1"/>
  <c r="AD8" i="37"/>
  <c r="Z191" i="56"/>
  <c r="Z179" i="56"/>
  <c r="Z155" i="56" l="1"/>
  <c r="Z192" i="56"/>
  <c r="Z156" i="56" s="1"/>
  <c r="Z143" i="56"/>
  <c r="Z180" i="56"/>
  <c r="Z144" i="56" s="1"/>
  <c r="Z149" i="56"/>
  <c r="Z186" i="56"/>
  <c r="Z150" i="56" s="1"/>
  <c r="AE42" i="37"/>
  <c r="AE44" i="37" l="1"/>
  <c r="AE18" i="37" s="1"/>
  <c r="AE12" i="37"/>
  <c r="AE33" i="37"/>
  <c r="AE36" i="37" s="1"/>
  <c r="AE25" i="37"/>
  <c r="AE28" i="37" s="1"/>
  <c r="AE14" i="37" s="1"/>
  <c r="AE38" i="37"/>
  <c r="AE40" i="37" s="1"/>
  <c r="AA191" i="56" l="1"/>
  <c r="AA185" i="56"/>
  <c r="AA179" i="56"/>
  <c r="AE8" i="37"/>
  <c r="AA143" i="56" l="1"/>
  <c r="AA180" i="56"/>
  <c r="AA144" i="56" s="1"/>
  <c r="AA149" i="56"/>
  <c r="AA186" i="56"/>
  <c r="AA150" i="56" s="1"/>
  <c r="AA155" i="56"/>
  <c r="AA192" i="56"/>
  <c r="AA156" i="56" s="1"/>
  <c r="AF38" i="37" l="1"/>
  <c r="AF40" i="37" s="1"/>
  <c r="AF33" i="37"/>
  <c r="AF36" i="37" s="1"/>
  <c r="AF25" i="37"/>
  <c r="AF28" i="37" s="1"/>
  <c r="AF14" i="37" s="1"/>
  <c r="AF42" i="37"/>
  <c r="AF44" i="37" l="1"/>
  <c r="AF18" i="37" s="1"/>
  <c r="AF12" i="37"/>
  <c r="AB179" i="56"/>
  <c r="AB185" i="56"/>
  <c r="AB191" i="56"/>
  <c r="AF8" i="37"/>
  <c r="AB149" i="56" l="1"/>
  <c r="AB186" i="56"/>
  <c r="AB150" i="56" s="1"/>
  <c r="AB155" i="56"/>
  <c r="AB192" i="56"/>
  <c r="AB156" i="56" s="1"/>
  <c r="AB143" i="56"/>
  <c r="AB180" i="56"/>
  <c r="AB144" i="56" s="1"/>
  <c r="AG42" i="37"/>
  <c r="AG44" i="37" l="1"/>
  <c r="AG18" i="37" s="1"/>
  <c r="AG12" i="37"/>
  <c r="AG25" i="37"/>
  <c r="AG28" i="37" s="1"/>
  <c r="AG14" i="37" s="1"/>
  <c r="AG33" i="37"/>
  <c r="AG36" i="37" s="1"/>
  <c r="AG38" i="37"/>
  <c r="AG40" i="37" s="1"/>
  <c r="AC179" i="56" l="1"/>
  <c r="AC191" i="56"/>
  <c r="AC185" i="56"/>
  <c r="AG8" i="37"/>
  <c r="AC149" i="56" l="1"/>
  <c r="AC186" i="56"/>
  <c r="AC150" i="56" s="1"/>
  <c r="AC155" i="56"/>
  <c r="AC192" i="56"/>
  <c r="AC156" i="56" s="1"/>
  <c r="AC143" i="56"/>
  <c r="AC180" i="56"/>
  <c r="AC144" i="56" s="1"/>
  <c r="AH42" i="37"/>
  <c r="AH44" i="37" l="1"/>
  <c r="AH18" i="37" s="1"/>
  <c r="AH12" i="37"/>
  <c r="AH38" i="37"/>
  <c r="AH40" i="37" s="1"/>
  <c r="AH25" i="37"/>
  <c r="AH28" i="37" s="1"/>
  <c r="AH14" i="37" s="1"/>
  <c r="AH33" i="37"/>
  <c r="AH36" i="37" s="1"/>
  <c r="AD185" i="56" l="1"/>
  <c r="AD179" i="56"/>
  <c r="AD191" i="56"/>
  <c r="AH8" i="37"/>
  <c r="AD155" i="56" l="1"/>
  <c r="AD192" i="56"/>
  <c r="AD156" i="56" s="1"/>
  <c r="AD143" i="56"/>
  <c r="AD180" i="56"/>
  <c r="AD144" i="56" s="1"/>
  <c r="AD149" i="56"/>
  <c r="AD186" i="56"/>
  <c r="AD150" i="56" s="1"/>
  <c r="AI42" i="37"/>
  <c r="AI44" i="37" l="1"/>
  <c r="AI18" i="37" s="1"/>
  <c r="AI12" i="37"/>
  <c r="AI33" i="37"/>
  <c r="AI36" i="37" s="1"/>
  <c r="AI38" i="37"/>
  <c r="AI40" i="37" s="1"/>
  <c r="AI25" i="37"/>
  <c r="AI28" i="37" s="1"/>
  <c r="AI14" i="37" s="1"/>
  <c r="AE185" i="56" l="1"/>
  <c r="AI8" i="37"/>
  <c r="AE191" i="56"/>
  <c r="AE179" i="56"/>
  <c r="AE143" i="56" l="1"/>
  <c r="AE180" i="56"/>
  <c r="AE155" i="56"/>
  <c r="AE192" i="56"/>
  <c r="AE149" i="56"/>
  <c r="AE186" i="56"/>
  <c r="AJ42" i="37"/>
  <c r="AJ44" i="37" l="1"/>
  <c r="AJ18" i="37" s="1"/>
  <c r="AJ12" i="37"/>
  <c r="AE144" i="56"/>
  <c r="AE150" i="56"/>
  <c r="AE156" i="56"/>
  <c r="AJ33" i="37"/>
  <c r="AJ36" i="37" s="1"/>
  <c r="AJ38" i="37"/>
  <c r="AJ40" i="37" s="1"/>
  <c r="AJ25" i="37"/>
  <c r="AJ28" i="37" s="1"/>
  <c r="AJ14" i="37" s="1"/>
  <c r="AF191" i="56" l="1"/>
  <c r="AJ8" i="37"/>
  <c r="AF185" i="56"/>
  <c r="AF179" i="56"/>
  <c r="AF143" i="56" l="1"/>
  <c r="AF180" i="56"/>
  <c r="AF144" i="56" s="1"/>
  <c r="AF149" i="56"/>
  <c r="AF186" i="56"/>
  <c r="AF150" i="56" s="1"/>
  <c r="AF155" i="56"/>
  <c r="AF192" i="56"/>
  <c r="AF156" i="56" s="1"/>
  <c r="AK42" i="37"/>
  <c r="AK44" i="37" l="1"/>
  <c r="AK18" i="37" s="1"/>
  <c r="AK12" i="37"/>
  <c r="AK38" i="37"/>
  <c r="AK40" i="37" s="1"/>
  <c r="AK25" i="37"/>
  <c r="AK28" i="37" s="1"/>
  <c r="AK14" i="37" s="1"/>
  <c r="AK33" i="37"/>
  <c r="AK36" i="37" s="1"/>
  <c r="AG185" i="56" l="1"/>
  <c r="AG179" i="56"/>
  <c r="AK8" i="37"/>
  <c r="AG191" i="56"/>
  <c r="AG155" i="56" l="1"/>
  <c r="AG192" i="56"/>
  <c r="AG156" i="56" s="1"/>
  <c r="AG143" i="56"/>
  <c r="AG180" i="56"/>
  <c r="AG144" i="56" s="1"/>
  <c r="AG149" i="56"/>
  <c r="AG186" i="56"/>
  <c r="AG150" i="56" s="1"/>
  <c r="AL42" i="37" l="1"/>
  <c r="AL44" i="37" l="1"/>
  <c r="AL12" i="37"/>
  <c r="M55" i="14" s="1"/>
  <c r="O55" i="14" s="1"/>
  <c r="AL33" i="37"/>
  <c r="AL36" i="37" s="1"/>
  <c r="F36" i="37" s="1"/>
  <c r="AL38" i="37"/>
  <c r="AL40" i="37" s="1"/>
  <c r="F40" i="37" s="1"/>
  <c r="AL25" i="37"/>
  <c r="AL28" i="37" s="1"/>
  <c r="F28" i="37" l="1"/>
  <c r="F25" i="37" s="1"/>
  <c r="G26" i="37" s="1"/>
  <c r="AL14" i="37"/>
  <c r="F44" i="37"/>
  <c r="AL18" i="37"/>
  <c r="E17" i="37" s="1"/>
  <c r="F38" i="37"/>
  <c r="G39" i="37" s="1"/>
  <c r="G41" i="37"/>
  <c r="F33" i="37"/>
  <c r="G34" i="37" s="1"/>
  <c r="G37" i="37"/>
  <c r="G29" i="37" l="1"/>
  <c r="E19" i="37"/>
  <c r="E39" i="14"/>
  <c r="F39" i="14" s="1"/>
  <c r="G39" i="14" s="1"/>
  <c r="D17" i="37"/>
  <c r="F42" i="37"/>
  <c r="G43" i="37" s="1"/>
  <c r="G45" i="37"/>
  <c r="AL8" i="37"/>
  <c r="AH179" i="56"/>
  <c r="AH185" i="56"/>
  <c r="AH191" i="56"/>
  <c r="E10" i="37"/>
  <c r="D10" i="37" l="1"/>
  <c r="E16" i="37"/>
  <c r="E32" i="14"/>
  <c r="E14" i="37"/>
  <c r="E12" i="37"/>
  <c r="AH155" i="56"/>
  <c r="F36" i="56" s="1"/>
  <c r="G36" i="56" s="1"/>
  <c r="H36" i="56" s="1"/>
  <c r="F44" i="56"/>
  <c r="G44" i="56" s="1"/>
  <c r="H44" i="56" s="1"/>
  <c r="AH192" i="56"/>
  <c r="AH149" i="56"/>
  <c r="F35" i="56" s="1"/>
  <c r="G35" i="56" s="1"/>
  <c r="H35" i="56" s="1"/>
  <c r="F43" i="56"/>
  <c r="G43" i="56" s="1"/>
  <c r="H43" i="56" s="1"/>
  <c r="AH186" i="56"/>
  <c r="AH143" i="56"/>
  <c r="F34" i="56" s="1"/>
  <c r="G34" i="56" s="1"/>
  <c r="H34" i="56" s="1"/>
  <c r="F42" i="56"/>
  <c r="G42" i="56" s="1"/>
  <c r="H42" i="56" s="1"/>
  <c r="AH180" i="56"/>
  <c r="M54" i="14"/>
  <c r="O54" i="14" s="1"/>
  <c r="M53" i="14"/>
  <c r="O53" i="14" s="1"/>
  <c r="M52" i="14"/>
  <c r="O52" i="14" s="1"/>
  <c r="S55" i="14"/>
  <c r="U55" i="14" s="1"/>
  <c r="E38" i="14"/>
  <c r="F38" i="14" s="1"/>
  <c r="G38" i="14" s="1"/>
  <c r="D19" i="37"/>
  <c r="AH144" i="56" l="1"/>
  <c r="J34" i="56" s="1"/>
  <c r="K34" i="56" s="1"/>
  <c r="L34" i="56" s="1"/>
  <c r="J42" i="56"/>
  <c r="K42" i="56" s="1"/>
  <c r="L42" i="56" s="1"/>
  <c r="AH150" i="56"/>
  <c r="J35" i="56" s="1"/>
  <c r="K35" i="56" s="1"/>
  <c r="L35" i="56" s="1"/>
  <c r="J43" i="56"/>
  <c r="K43" i="56" s="1"/>
  <c r="L43" i="56" s="1"/>
  <c r="AH156" i="56"/>
  <c r="J36" i="56" s="1"/>
  <c r="K36" i="56" s="1"/>
  <c r="L36" i="56" s="1"/>
  <c r="J44" i="56"/>
  <c r="K44" i="56" s="1"/>
  <c r="L44" i="56" s="1"/>
  <c r="E35" i="14"/>
  <c r="F32" i="14"/>
  <c r="G32" i="14" s="1"/>
  <c r="S53" i="14"/>
  <c r="U53" i="14" s="1"/>
  <c r="S54" i="14"/>
  <c r="U54" i="14" s="1"/>
  <c r="D16" i="37"/>
  <c r="D14" i="37"/>
  <c r="D12" i="37"/>
  <c r="S52" i="14"/>
  <c r="U52" i="14" s="1"/>
  <c r="E31" i="14"/>
  <c r="F31" i="14" l="1"/>
  <c r="G31" i="14" s="1"/>
  <c r="E34" i="14"/>
  <c r="F35" i="14"/>
  <c r="G35" i="14" s="1"/>
  <c r="E37" i="14"/>
  <c r="F37" i="14" s="1"/>
  <c r="G37" i="14" s="1"/>
  <c r="E36" i="14" l="1"/>
  <c r="F36" i="14" s="1"/>
  <c r="G36" i="14" s="1"/>
  <c r="F34" i="14"/>
  <c r="G34" i="14" s="1"/>
  <c r="J49" i="43"/>
  <c r="K40" i="43"/>
  <c r="I40" i="43"/>
  <c r="F40" i="43" l="1"/>
  <c r="AI39" i="43" l="1"/>
  <c r="AJ39" i="43"/>
  <c r="AK39" i="43"/>
  <c r="AL39" i="43"/>
  <c r="AH39" i="43"/>
  <c r="AB39" i="43"/>
  <c r="AC39" i="43"/>
  <c r="AD39" i="43"/>
  <c r="AE39" i="43"/>
  <c r="AF39" i="43"/>
  <c r="AG39" i="43"/>
  <c r="AA39" i="43"/>
  <c r="V39" i="43"/>
  <c r="W39" i="43"/>
  <c r="X39" i="43"/>
  <c r="Y39" i="43"/>
  <c r="Z39" i="43"/>
  <c r="U39" i="43"/>
  <c r="N39" i="43"/>
  <c r="O39" i="43"/>
  <c r="P39" i="43"/>
  <c r="Q39" i="43"/>
  <c r="R39" i="43"/>
  <c r="S39" i="43"/>
  <c r="T39" i="43"/>
  <c r="M39" i="43"/>
  <c r="I39" i="43"/>
  <c r="J39" i="43"/>
  <c r="L39" i="43"/>
  <c r="H39" i="43" l="1"/>
  <c r="K39" i="43"/>
  <c r="F39" i="43" l="1"/>
  <c r="G40" i="43" s="1"/>
  <c r="Z48" i="43" l="1"/>
  <c r="Y48" i="43"/>
  <c r="AG36" i="43"/>
  <c r="AF36" i="43"/>
  <c r="P36" i="43"/>
  <c r="V51" i="43" l="1"/>
  <c r="K33" i="43"/>
  <c r="AJ33" i="43"/>
  <c r="O51" i="43"/>
  <c r="W51" i="43"/>
  <c r="AE51" i="43"/>
  <c r="L33" i="43"/>
  <c r="T33" i="43"/>
  <c r="AC33" i="43"/>
  <c r="AK33" i="43"/>
  <c r="P51" i="43"/>
  <c r="X51" i="43"/>
  <c r="AF51" i="43"/>
  <c r="N51" i="43"/>
  <c r="S33" i="43"/>
  <c r="U33" i="43"/>
  <c r="I48" i="43"/>
  <c r="AG51" i="43"/>
  <c r="J48" i="43"/>
  <c r="R48" i="43"/>
  <c r="AH48" i="43"/>
  <c r="J51" i="43"/>
  <c r="R51" i="43"/>
  <c r="Z51" i="43"/>
  <c r="AH51" i="43"/>
  <c r="AD51" i="43"/>
  <c r="Q51" i="43"/>
  <c r="K48" i="43"/>
  <c r="S48" i="43"/>
  <c r="AA48" i="43"/>
  <c r="AI48" i="43"/>
  <c r="K51" i="43"/>
  <c r="S51" i="43"/>
  <c r="AA51" i="43"/>
  <c r="AI51" i="43"/>
  <c r="AL51" i="43"/>
  <c r="AB33" i="43"/>
  <c r="AG48" i="43"/>
  <c r="Y51" i="43"/>
  <c r="L48" i="43"/>
  <c r="T48" i="43"/>
  <c r="AB48" i="43"/>
  <c r="AJ48" i="43"/>
  <c r="L51" i="43"/>
  <c r="AJ51" i="43"/>
  <c r="M33" i="43"/>
  <c r="AL33" i="43"/>
  <c r="Q48" i="43"/>
  <c r="I51" i="43"/>
  <c r="U48" i="43"/>
  <c r="AC48" i="43"/>
  <c r="M51" i="43"/>
  <c r="U51" i="43"/>
  <c r="AK51" i="43"/>
  <c r="AK48" i="43"/>
  <c r="AL48" i="43"/>
  <c r="M48" i="43"/>
  <c r="J36" i="43"/>
  <c r="J45" i="43" s="1"/>
  <c r="AH36" i="43"/>
  <c r="W36" i="43"/>
  <c r="W45" i="43" s="1"/>
  <c r="R36" i="43"/>
  <c r="R45" i="43" s="1"/>
  <c r="Z36" i="43"/>
  <c r="Q36" i="43"/>
  <c r="Q45" i="43" s="1"/>
  <c r="Y36" i="43"/>
  <c r="Y45" i="43" s="1"/>
  <c r="AB36" i="43"/>
  <c r="O36" i="43"/>
  <c r="O45" i="43" s="1"/>
  <c r="AE36" i="43"/>
  <c r="AE45" i="43" s="1"/>
  <c r="N36" i="43"/>
  <c r="N45" i="43" s="1"/>
  <c r="V36" i="43"/>
  <c r="V45" i="43" s="1"/>
  <c r="AD36" i="43"/>
  <c r="AA33" i="43"/>
  <c r="X36" i="43"/>
  <c r="AI33" i="43"/>
  <c r="I36" i="43"/>
  <c r="I54" i="43"/>
  <c r="I57" i="43" s="1"/>
  <c r="Y54" i="43"/>
  <c r="Y57" i="43" s="1"/>
  <c r="AG54" i="43"/>
  <c r="AG57" i="43" s="1"/>
  <c r="O48" i="43"/>
  <c r="W48" i="43"/>
  <c r="AE48" i="43"/>
  <c r="J54" i="43"/>
  <c r="Z54" i="43"/>
  <c r="Z57" i="43" s="1"/>
  <c r="P48" i="43"/>
  <c r="X48" i="43"/>
  <c r="AF48" i="43"/>
  <c r="K54" i="43"/>
  <c r="AA54" i="43"/>
  <c r="AA57" i="43" s="1"/>
  <c r="AI54" i="43"/>
  <c r="K36" i="43"/>
  <c r="T54" i="43"/>
  <c r="AB54" i="43"/>
  <c r="AB57" i="43" s="1"/>
  <c r="AJ54" i="43"/>
  <c r="L36" i="43"/>
  <c r="L45" i="43" s="1"/>
  <c r="T36" i="43"/>
  <c r="T45" i="43" s="1"/>
  <c r="AJ36" i="43"/>
  <c r="O33" i="43"/>
  <c r="W33" i="43"/>
  <c r="AE33" i="43"/>
  <c r="U54" i="43"/>
  <c r="AC54" i="43"/>
  <c r="AC57" i="43" s="1"/>
  <c r="AK54" i="43"/>
  <c r="AK57" i="43" s="1"/>
  <c r="M36" i="43"/>
  <c r="M45" i="43" s="1"/>
  <c r="U36" i="43"/>
  <c r="U45" i="43" s="1"/>
  <c r="AC36" i="43"/>
  <c r="AC45" i="43" s="1"/>
  <c r="AK36" i="43"/>
  <c r="P33" i="43"/>
  <c r="P45" i="43" s="1"/>
  <c r="AF33" i="43"/>
  <c r="AF45" i="43" s="1"/>
  <c r="V54" i="43"/>
  <c r="V57" i="43" s="1"/>
  <c r="AL54" i="43"/>
  <c r="AL57" i="43" s="1"/>
  <c r="AL36" i="43"/>
  <c r="I33" i="43"/>
  <c r="I12" i="43" s="1"/>
  <c r="Q33" i="43"/>
  <c r="Y33" i="43"/>
  <c r="AG33" i="43"/>
  <c r="AG45" i="43" s="1"/>
  <c r="O54" i="43"/>
  <c r="W54" i="43"/>
  <c r="AE54" i="43"/>
  <c r="AE57" i="43" s="1"/>
  <c r="N48" i="43"/>
  <c r="V48" i="43"/>
  <c r="AD48" i="43"/>
  <c r="AC51" i="43"/>
  <c r="Q54" i="43"/>
  <c r="R54" i="43"/>
  <c r="AH54" i="43"/>
  <c r="S54" i="43"/>
  <c r="S57" i="43" s="1"/>
  <c r="S36" i="43"/>
  <c r="AA36" i="43"/>
  <c r="AA45" i="43" s="1"/>
  <c r="AI36" i="43"/>
  <c r="AI45" i="43" s="1"/>
  <c r="N33" i="43"/>
  <c r="V33" i="43"/>
  <c r="AD33" i="43"/>
  <c r="L54" i="43"/>
  <c r="L57" i="43" s="1"/>
  <c r="M54" i="43"/>
  <c r="M57" i="43" s="1"/>
  <c r="X33" i="43"/>
  <c r="N54" i="43"/>
  <c r="N57" i="43" s="1"/>
  <c r="AD54" i="43"/>
  <c r="J33" i="43"/>
  <c r="R33" i="43"/>
  <c r="Z33" i="43"/>
  <c r="AH33" i="43"/>
  <c r="T51" i="43"/>
  <c r="AB51" i="43"/>
  <c r="P54" i="43"/>
  <c r="X54" i="43"/>
  <c r="AF54" i="43"/>
  <c r="O57" i="43" l="1"/>
  <c r="K12" i="43"/>
  <c r="AF57" i="43"/>
  <c r="AK45" i="43"/>
  <c r="K45" i="43"/>
  <c r="J57" i="43"/>
  <c r="AB45" i="43"/>
  <c r="AH57" i="43"/>
  <c r="AJ57" i="43"/>
  <c r="U57" i="43"/>
  <c r="AH45" i="43"/>
  <c r="Q57" i="43"/>
  <c r="T57" i="43"/>
  <c r="I45" i="43"/>
  <c r="X57" i="43"/>
  <c r="AD57" i="43"/>
  <c r="AI57" i="43"/>
  <c r="X45" i="43"/>
  <c r="AJ45" i="43"/>
  <c r="L12" i="43"/>
  <c r="W57" i="43"/>
  <c r="R57" i="43"/>
  <c r="P57" i="43"/>
  <c r="S45" i="43"/>
  <c r="AL45" i="43"/>
  <c r="K57" i="43"/>
  <c r="AD45" i="43"/>
  <c r="Z45" i="43"/>
  <c r="H54" i="43"/>
  <c r="H57" i="43" s="1"/>
  <c r="H33" i="43"/>
  <c r="I14" i="43"/>
  <c r="E65" i="56"/>
  <c r="J12" i="43"/>
  <c r="H51" i="43"/>
  <c r="F51" i="43" s="1"/>
  <c r="H48" i="43"/>
  <c r="F48" i="43" s="1"/>
  <c r="H36" i="43"/>
  <c r="L14" i="43" l="1"/>
  <c r="H65" i="56"/>
  <c r="H71" i="56" s="1"/>
  <c r="H45" i="43"/>
  <c r="E71" i="56"/>
  <c r="K14" i="43"/>
  <c r="G65" i="56"/>
  <c r="F36" i="43"/>
  <c r="F45" i="43"/>
  <c r="F33" i="43"/>
  <c r="H12" i="43"/>
  <c r="J14" i="43"/>
  <c r="F65" i="56"/>
  <c r="F71" i="56" s="1"/>
  <c r="F57" i="43"/>
  <c r="F54" i="43"/>
  <c r="H14" i="43" l="1"/>
  <c r="D65" i="56"/>
  <c r="C11" i="43"/>
  <c r="C12" i="43" s="1"/>
  <c r="G71" i="56"/>
  <c r="F15" i="56"/>
  <c r="F16" i="56" s="1"/>
  <c r="M49" i="43"/>
  <c r="N49" i="43"/>
  <c r="O49" i="43"/>
  <c r="P49" i="43"/>
  <c r="Q49" i="43"/>
  <c r="R49" i="43"/>
  <c r="S49" i="43"/>
  <c r="T49" i="43"/>
  <c r="U49" i="43"/>
  <c r="V49" i="43"/>
  <c r="W49" i="43"/>
  <c r="X49" i="43"/>
  <c r="Y49" i="43"/>
  <c r="Z49" i="43"/>
  <c r="AA49" i="43"/>
  <c r="AB49" i="43"/>
  <c r="AC49" i="43"/>
  <c r="AD49" i="43"/>
  <c r="AE49" i="43"/>
  <c r="AF49" i="43"/>
  <c r="AG49" i="43"/>
  <c r="AH49" i="43"/>
  <c r="AI49" i="43"/>
  <c r="AJ49" i="43"/>
  <c r="AK49" i="43"/>
  <c r="AL49" i="43"/>
  <c r="L49" i="43"/>
  <c r="K49" i="43"/>
  <c r="I49" i="43"/>
  <c r="K52" i="43"/>
  <c r="E19" i="14" l="1"/>
  <c r="M44" i="14"/>
  <c r="D66" i="56"/>
  <c r="E66" i="56" s="1"/>
  <c r="F66" i="56" s="1"/>
  <c r="G66" i="56" s="1"/>
  <c r="D71" i="56"/>
  <c r="D72" i="56" s="1"/>
  <c r="E72" i="56" s="1"/>
  <c r="F72" i="56" s="1"/>
  <c r="G72" i="56" s="1"/>
  <c r="H72" i="56" s="1"/>
  <c r="I72" i="56" s="1"/>
  <c r="J72" i="56" s="1"/>
  <c r="K72" i="56" s="1"/>
  <c r="L72" i="56" s="1"/>
  <c r="M72" i="56" s="1"/>
  <c r="N72" i="56" s="1"/>
  <c r="O72" i="56" s="1"/>
  <c r="P72" i="56" s="1"/>
  <c r="Q72" i="56" s="1"/>
  <c r="R72" i="56" s="1"/>
  <c r="S72" i="56" s="1"/>
  <c r="T72" i="56" s="1"/>
  <c r="U72" i="56" s="1"/>
  <c r="V72" i="56" s="1"/>
  <c r="W72" i="56" s="1"/>
  <c r="X72" i="56" s="1"/>
  <c r="Y72" i="56" s="1"/>
  <c r="Z72" i="56" s="1"/>
  <c r="AA72" i="56" s="1"/>
  <c r="AB72" i="56" s="1"/>
  <c r="AC72" i="56" s="1"/>
  <c r="AD72" i="56" s="1"/>
  <c r="AE72" i="56" s="1"/>
  <c r="AF72" i="56" s="1"/>
  <c r="AG72" i="56" s="1"/>
  <c r="AH72" i="56" s="1"/>
  <c r="H66" i="56" l="1"/>
  <c r="I66" i="56" s="1"/>
  <c r="J66" i="56" s="1"/>
  <c r="K66" i="56" s="1"/>
  <c r="L66" i="56" s="1"/>
  <c r="M66" i="56" s="1"/>
  <c r="N66" i="56" s="1"/>
  <c r="O66" i="56" s="1"/>
  <c r="P66" i="56" s="1"/>
  <c r="Q66" i="56" s="1"/>
  <c r="R66" i="56" s="1"/>
  <c r="S66" i="56" s="1"/>
  <c r="T66" i="56" s="1"/>
  <c r="U66" i="56" s="1"/>
  <c r="V66" i="56" s="1"/>
  <c r="W66" i="56" s="1"/>
  <c r="X66" i="56" s="1"/>
  <c r="Y66" i="56" s="1"/>
  <c r="Z66" i="56" s="1"/>
  <c r="AA66" i="56" s="1"/>
  <c r="AB66" i="56" s="1"/>
  <c r="AC66" i="56" s="1"/>
  <c r="AD66" i="56" s="1"/>
  <c r="AE66" i="56" s="1"/>
  <c r="AF66" i="56" s="1"/>
  <c r="AG66" i="56" s="1"/>
  <c r="AH66" i="56" s="1"/>
  <c r="J37" i="43"/>
  <c r="K34" i="43"/>
  <c r="J15" i="56" l="1"/>
  <c r="J16" i="56" s="1"/>
  <c r="H37" i="43"/>
  <c r="AB37" i="43" l="1"/>
  <c r="T34" i="43" l="1"/>
  <c r="L55" i="43" l="1"/>
  <c r="AG52" i="43"/>
  <c r="AG37" i="43"/>
  <c r="AC52" i="43" l="1"/>
  <c r="S52" i="43" l="1"/>
  <c r="AL55" i="43"/>
  <c r="AK55" i="43"/>
  <c r="AJ55" i="43"/>
  <c r="AI55" i="43"/>
  <c r="AH55" i="43"/>
  <c r="AG55" i="43"/>
  <c r="AG58" i="43" s="1"/>
  <c r="AF55" i="43"/>
  <c r="AE55" i="43"/>
  <c r="AD55" i="43"/>
  <c r="AC55" i="43"/>
  <c r="AC58" i="43" s="1"/>
  <c r="AB55" i="43"/>
  <c r="AA55" i="43"/>
  <c r="Z55" i="43"/>
  <c r="Y55" i="43"/>
  <c r="X55" i="43"/>
  <c r="W55" i="43"/>
  <c r="V55" i="43"/>
  <c r="U55" i="43"/>
  <c r="T55" i="43"/>
  <c r="S55" i="43"/>
  <c r="S58" i="43" s="1"/>
  <c r="R55" i="43"/>
  <c r="Q55" i="43"/>
  <c r="P55" i="43"/>
  <c r="O55" i="43"/>
  <c r="N55" i="43"/>
  <c r="M55" i="43"/>
  <c r="K55" i="43"/>
  <c r="K58" i="43" s="1"/>
  <c r="J55" i="43"/>
  <c r="I55" i="43"/>
  <c r="H55" i="43"/>
  <c r="F55" i="43" l="1"/>
  <c r="G55" i="43" s="1"/>
  <c r="AD52" i="43" l="1"/>
  <c r="AD58" i="43" s="1"/>
  <c r="AE34" i="43"/>
  <c r="AD34" i="43"/>
  <c r="AE37" i="43"/>
  <c r="AE46" i="43" s="1"/>
  <c r="AD37" i="43"/>
  <c r="AD46" i="43" s="1"/>
  <c r="I37" i="43" l="1"/>
  <c r="I52" i="43" l="1"/>
  <c r="I58" i="43" s="1"/>
  <c r="J52" i="43"/>
  <c r="J58" i="43" s="1"/>
  <c r="I34" i="43"/>
  <c r="I46" i="43" s="1"/>
  <c r="J34" i="43"/>
  <c r="J46" i="43" s="1"/>
  <c r="J13" i="43" l="1"/>
  <c r="I13" i="43"/>
  <c r="I15" i="43" l="1"/>
  <c r="J19" i="14" s="1"/>
  <c r="E63" i="56"/>
  <c r="J15" i="43"/>
  <c r="K19" i="14" s="1"/>
  <c r="F63" i="56"/>
  <c r="F69" i="56" s="1"/>
  <c r="E69" i="56" l="1"/>
  <c r="L37" i="43"/>
  <c r="M37" i="43"/>
  <c r="N37" i="43"/>
  <c r="O37" i="43"/>
  <c r="P37" i="43"/>
  <c r="Q37" i="43"/>
  <c r="R37" i="43"/>
  <c r="S37" i="43"/>
  <c r="T37" i="43"/>
  <c r="T46" i="43" s="1"/>
  <c r="U37" i="43"/>
  <c r="K37" i="43" l="1"/>
  <c r="AA52" i="43"/>
  <c r="AA58" i="43" s="1"/>
  <c r="AA34" i="43"/>
  <c r="AA37" i="43"/>
  <c r="AA46" i="43" s="1"/>
  <c r="K46" i="43" l="1"/>
  <c r="K13" i="43"/>
  <c r="F37" i="43"/>
  <c r="G37" i="43" s="1"/>
  <c r="K15" i="43" l="1"/>
  <c r="L19" i="14" s="1"/>
  <c r="G63" i="56"/>
  <c r="AL52" i="43"/>
  <c r="AL58" i="43" s="1"/>
  <c r="L52" i="43"/>
  <c r="L58" i="43" s="1"/>
  <c r="M52" i="43"/>
  <c r="M58" i="43" s="1"/>
  <c r="N52" i="43"/>
  <c r="N58" i="43" s="1"/>
  <c r="O52" i="43"/>
  <c r="O58" i="43" s="1"/>
  <c r="Q52" i="43"/>
  <c r="Q58" i="43" s="1"/>
  <c r="R52" i="43"/>
  <c r="R58" i="43" s="1"/>
  <c r="U52" i="43"/>
  <c r="U58" i="43" s="1"/>
  <c r="V52" i="43"/>
  <c r="V58" i="43" s="1"/>
  <c r="W52" i="43"/>
  <c r="W58" i="43" s="1"/>
  <c r="X52" i="43"/>
  <c r="X58" i="43" s="1"/>
  <c r="Y52" i="43"/>
  <c r="Y58" i="43" s="1"/>
  <c r="Z52" i="43"/>
  <c r="Z58" i="43" s="1"/>
  <c r="AB52" i="43"/>
  <c r="AB58" i="43" s="1"/>
  <c r="AE52" i="43"/>
  <c r="AE58" i="43" s="1"/>
  <c r="AF52" i="43"/>
  <c r="AF58" i="43" s="1"/>
  <c r="AH52" i="43"/>
  <c r="AH58" i="43" s="1"/>
  <c r="AI52" i="43"/>
  <c r="AI58" i="43" s="1"/>
  <c r="AJ52" i="43"/>
  <c r="AJ58" i="43" s="1"/>
  <c r="AK52" i="43"/>
  <c r="AK58" i="43" s="1"/>
  <c r="AL34" i="43"/>
  <c r="L34" i="43"/>
  <c r="M34" i="43"/>
  <c r="M46" i="43" s="1"/>
  <c r="N34" i="43"/>
  <c r="N46" i="43" s="1"/>
  <c r="O34" i="43"/>
  <c r="O46" i="43" s="1"/>
  <c r="P34" i="43"/>
  <c r="P46" i="43" s="1"/>
  <c r="Q34" i="43"/>
  <c r="Q46" i="43" s="1"/>
  <c r="R34" i="43"/>
  <c r="R46" i="43" s="1"/>
  <c r="U34" i="43"/>
  <c r="U46" i="43" s="1"/>
  <c r="V34" i="43"/>
  <c r="W34" i="43"/>
  <c r="X34" i="43"/>
  <c r="Y34" i="43"/>
  <c r="Z34" i="43"/>
  <c r="AB34" i="43"/>
  <c r="AB46" i="43" s="1"/>
  <c r="AF34" i="43"/>
  <c r="AG34" i="43"/>
  <c r="AG46" i="43" s="1"/>
  <c r="AH34" i="43"/>
  <c r="AI34" i="43"/>
  <c r="AJ34" i="43"/>
  <c r="AK34" i="43"/>
  <c r="AL37" i="43"/>
  <c r="V37" i="43"/>
  <c r="W37" i="43"/>
  <c r="W46" i="43" s="1"/>
  <c r="X37" i="43"/>
  <c r="X46" i="43" s="1"/>
  <c r="Y37" i="43"/>
  <c r="Y46" i="43" s="1"/>
  <c r="Z37" i="43"/>
  <c r="Z46" i="43" s="1"/>
  <c r="AC37" i="43"/>
  <c r="AF37" i="43"/>
  <c r="AH37" i="43"/>
  <c r="AI37" i="43"/>
  <c r="AI46" i="43" s="1"/>
  <c r="AJ37" i="43"/>
  <c r="AJ46" i="43" s="1"/>
  <c r="AK37" i="43"/>
  <c r="AK46" i="43" s="1"/>
  <c r="L13" i="43" l="1"/>
  <c r="L46" i="43"/>
  <c r="V46" i="43"/>
  <c r="AH46" i="43"/>
  <c r="AF46" i="43"/>
  <c r="AL46" i="43"/>
  <c r="P52" i="43"/>
  <c r="P58" i="43" s="1"/>
  <c r="H34" i="43"/>
  <c r="H46" i="43" s="1"/>
  <c r="H49" i="43"/>
  <c r="F49" i="43" s="1"/>
  <c r="G49" i="43" s="1"/>
  <c r="S34" i="43"/>
  <c r="S46" i="43" s="1"/>
  <c r="H52" i="43"/>
  <c r="H58" i="43" s="1"/>
  <c r="T52" i="43"/>
  <c r="T58" i="43" s="1"/>
  <c r="AC34" i="43"/>
  <c r="AC46" i="43" s="1"/>
  <c r="G69" i="56"/>
  <c r="L15" i="43" l="1"/>
  <c r="M19" i="14" s="1"/>
  <c r="J44" i="14" s="1"/>
  <c r="H63" i="56"/>
  <c r="F52" i="43"/>
  <c r="G52" i="43" s="1"/>
  <c r="F58" i="43"/>
  <c r="G58" i="43" s="1"/>
  <c r="H13" i="43"/>
  <c r="F34" i="43"/>
  <c r="G34" i="43" s="1"/>
  <c r="F46" i="43"/>
  <c r="G46" i="43" s="1"/>
  <c r="H69" i="56" l="1"/>
  <c r="E15" i="56"/>
  <c r="H15" i="43"/>
  <c r="I19" i="14" s="1"/>
  <c r="D63" i="56"/>
  <c r="D11" i="43"/>
  <c r="E16" i="56" l="1"/>
  <c r="G16" i="56" s="1"/>
  <c r="H16" i="56" s="1"/>
  <c r="G15" i="56"/>
  <c r="H15" i="56" s="1"/>
  <c r="D12" i="43"/>
  <c r="E12" i="43" s="1"/>
  <c r="E11" i="43"/>
  <c r="D64" i="56"/>
  <c r="E64" i="56" s="1"/>
  <c r="F64" i="56" s="1"/>
  <c r="G64" i="56" s="1"/>
  <c r="D69" i="56"/>
  <c r="D70" i="56" s="1"/>
  <c r="E70" i="56" s="1"/>
  <c r="F70" i="56" s="1"/>
  <c r="G70" i="56" s="1"/>
  <c r="H70" i="56" s="1"/>
  <c r="I70" i="56" s="1"/>
  <c r="J70" i="56" s="1"/>
  <c r="K70" i="56" s="1"/>
  <c r="L70" i="56" s="1"/>
  <c r="M70" i="56" s="1"/>
  <c r="N70" i="56" s="1"/>
  <c r="O70" i="56" s="1"/>
  <c r="P70" i="56" s="1"/>
  <c r="Q70" i="56" s="1"/>
  <c r="R70" i="56" s="1"/>
  <c r="S70" i="56" s="1"/>
  <c r="T70" i="56" s="1"/>
  <c r="U70" i="56" s="1"/>
  <c r="V70" i="56" s="1"/>
  <c r="W70" i="56" s="1"/>
  <c r="X70" i="56" s="1"/>
  <c r="Y70" i="56" s="1"/>
  <c r="Z70" i="56" s="1"/>
  <c r="AA70" i="56" s="1"/>
  <c r="AB70" i="56" s="1"/>
  <c r="AC70" i="56" s="1"/>
  <c r="AD70" i="56" s="1"/>
  <c r="AE70" i="56" s="1"/>
  <c r="AF70" i="56" s="1"/>
  <c r="AG70" i="56" s="1"/>
  <c r="AH70" i="56" s="1"/>
  <c r="D19" i="14"/>
  <c r="F19" i="14" s="1"/>
  <c r="G19" i="14" s="1"/>
  <c r="L44" i="14"/>
  <c r="H64" i="56" l="1"/>
  <c r="I64" i="56" s="1"/>
  <c r="J64" i="56" s="1"/>
  <c r="K64" i="56" s="1"/>
  <c r="L64" i="56" s="1"/>
  <c r="M64" i="56" s="1"/>
  <c r="N64" i="56" s="1"/>
  <c r="O64" i="56" s="1"/>
  <c r="P64" i="56" s="1"/>
  <c r="Q64" i="56" s="1"/>
  <c r="R64" i="56" s="1"/>
  <c r="S64" i="56" s="1"/>
  <c r="T64" i="56" s="1"/>
  <c r="U64" i="56" s="1"/>
  <c r="V64" i="56" s="1"/>
  <c r="W64" i="56" s="1"/>
  <c r="X64" i="56" s="1"/>
  <c r="Y64" i="56" s="1"/>
  <c r="Z64" i="56" s="1"/>
  <c r="AA64" i="56" s="1"/>
  <c r="AB64" i="56" s="1"/>
  <c r="AC64" i="56" s="1"/>
  <c r="AD64" i="56" s="1"/>
  <c r="AE64" i="56" s="1"/>
  <c r="AF64" i="56" s="1"/>
  <c r="AG64" i="56" s="1"/>
  <c r="AH64" i="56" s="1"/>
  <c r="I15" i="56" l="1"/>
  <c r="I16" i="56" s="1"/>
  <c r="K16" i="56" s="1"/>
  <c r="L16" i="56" s="1"/>
  <c r="K15" i="56" l="1"/>
  <c r="L15" i="56" s="1"/>
  <c r="E39" i="50" l="1"/>
  <c r="E32"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tc={277317FE-38F2-4A31-84E3-6550992E4D98}</author>
    <author>tc={776457F0-66B4-4B41-8857-2F22A7349EA0}</author>
    <author>tc={91E514F3-295F-4A36-921C-C2ECB4EC2F08}</author>
    <author>tc={6D1DD3FB-AC6B-49FB-BDC7-EB6A5DC542A9}</author>
    <author>tc={6D45BEA1-8941-46EC-BE91-3D6FFD7AA275}</author>
    <author>tc={4AFE89E5-AF1E-4788-9E09-4E39401E4A76}</author>
    <author>tc={4358153F-1A91-443E-83C0-76CEE33EF98B}</author>
    <author>tc={2CDE0367-DCB6-4645-881F-79EB2AAC1542}</author>
    <author>tc={81AADD37-FF67-433F-9A37-56E86DF7BD91}</author>
  </authors>
  <commentList>
    <comment ref="J34" authorId="0" shapeId="0" xr:uid="{277317FE-38F2-4A31-84E3-6550992E4D98}">
      <text>
        <t xml:space="preserve">[Threaded comment]
Your version of Excel allows you to read this threaded comment; however, any edits to it will get removed if the file is opened in a newer version of Excel. Learn more: https://go.microsoft.com/fwlink/?linkid=870924
Comment:
    Drilling fractured rock formation. 
</t>
      </text>
    </comment>
    <comment ref="J37" authorId="1" shapeId="0" xr:uid="{776457F0-66B4-4B41-8857-2F22A7349EA0}">
      <text>
        <t xml:space="preserve">[Threaded comment]
Your version of Excel allows you to read this threaded comment; however, any edits to it will get removed if the file is opened in a newer version of Excel. Learn more: https://go.microsoft.com/fwlink/?linkid=870924
Comment:
    No water for 2 hours  (fixing stuffing box and burst water hose). </t>
      </text>
    </comment>
    <comment ref="K37" authorId="2" shapeId="0" xr:uid="{91E514F3-295F-4A36-921C-C2ECB4EC2F08}">
      <text>
        <t xml:space="preserve">[Threaded comment]
Your version of Excel allows you to read this threaded comment; however, any edits to it will get removed if the file is opened in a newer version of Excel. Learn more: https://go.microsoft.com/fwlink/?linkid=870924
Comment:
    Drilling in fractured rock formation. </t>
      </text>
    </comment>
    <comment ref="L37" authorId="3" shapeId="0" xr:uid="{6D1DD3FB-AC6B-49FB-BDC7-EB6A5DC542A9}">
      <text>
        <t xml:space="preserve">[Threaded comment]
Your version of Excel allows you to read this threaded comment; however, any edits to it will get removed if the file is opened in a newer version of Excel. Learn more: https://go.microsoft.com/fwlink/?linkid=870924
Comment:
    Stuck rods (drilling in fractured rock formation). </t>
      </text>
    </comment>
    <comment ref="L40" authorId="4" shapeId="0" xr:uid="{6D45BEA1-8941-46EC-BE91-3D6FFD7AA275}">
      <text>
        <t xml:space="preserve">[Threaded comment]
Your version of Excel allows you to read this threaded comment; however, any edits to it will get removed if the file is opened in a newer version of Excel. Learn more: https://go.microsoft.com/fwlink/?linkid=870924
Comment:
    No water for 5 hours and low compressed air for 1 hour. </t>
      </text>
    </comment>
    <comment ref="L43" authorId="5" shapeId="0" xr:uid="{4AFE89E5-AF1E-4788-9E09-4E39401E4A76}">
      <text>
        <t>[Threaded comment]
Your version of Excel allows you to read this threaded comment; however, any edits to it will get removed if the file is opened in a newer version of Excel. Learn more: https://go.microsoft.com/fwlink/?linkid=870924
Comment:
    Site not ready.</t>
      </text>
    </comment>
    <comment ref="J52" authorId="6" shapeId="0" xr:uid="{4358153F-1A91-443E-83C0-76CEE33EF98B}">
      <text>
        <t xml:space="preserve">[Threaded comment]
Your version of Excel allows you to read this threaded comment; however, any edits to it will get removed if the file is opened in a newer version of Excel. Learn more: https://go.microsoft.com/fwlink/?linkid=870924
Comment:
    The rig was under maintenance (rubber buffer breakdown). </t>
      </text>
    </comment>
    <comment ref="K52" authorId="7" shapeId="0" xr:uid="{2CDE0367-DCB6-4645-881F-79EB2AAC1542}">
      <text>
        <t xml:space="preserve">[Threaded comment]
Your version of Excel allows you to read this threaded comment; however, any edits to it will get removed if the file is opened in a newer version of Excel. Learn more: https://go.microsoft.com/fwlink/?linkid=870924
Comment:
    Drilling in hard and fractured rock formation. </t>
      </text>
    </comment>
    <comment ref="L52" authorId="8" shapeId="0" xr:uid="{81AADD37-FF67-433F-9A37-56E86DF7BD91}">
      <text>
        <t>[Threaded comment]
Your version of Excel allows you to read this threaded comment; however, any edits to it will get removed if the file is opened in a newer version of Excel. Learn more: https://go.microsoft.com/fwlink/?linkid=870924
Comment:
    Drilling in hard and fractured rock formation.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tc={C88E6E28-8257-448E-91C0-E8654CD19873}</author>
    <author>tc={4955241F-5F80-4F1E-8423-0430ACF2EC74}</author>
    <author>tc={A6002D47-4215-474F-A604-61903D25C39A}</author>
    <author>tc={83114423-CB27-47BA-9472-1DE5DE0C2BA5}</author>
    <author>tc={6656E06B-F8D2-45C8-901D-03AD434DDF76}</author>
    <author>tc={B8433549-2312-416E-AA5C-6153580DCF14}</author>
    <author>tc={C624C1C6-836C-4721-B02E-4C951F514460}</author>
    <author>tc={88401318-DCCA-4C78-9CD1-A02AF7CDAC41}</author>
    <author>tc={84640331-75C8-452D-A2C9-8EBAF373BCC4}</author>
    <author>tc={233ECAD5-2EB2-4B6F-8FD6-600EEDFB4844}</author>
    <author>tc={7D9B3AE3-01DB-456C-AF86-0D64D562DE37}</author>
    <author>tc={C3C8D090-5EFB-484A-A4BF-B3CCFD757576}</author>
    <author>tc={DE7DE402-A5E8-4E93-A03F-36E01E11396E}</author>
    <author>tc={F1E195DD-12AD-40B8-B9A1-71E16C29C5A0}</author>
    <author>tc={BD8A07F0-4E06-4655-AB42-385016EAA0B5}</author>
    <author>tc={FF77138A-56CD-4F23-BA47-FF8D856ED67D}</author>
    <author>tc={4F1F4F53-1462-4976-9A15-1F5164F2FAFF}</author>
    <author>tc={35CE8B3C-1FCB-4A97-9E92-578BC87F8A17}</author>
    <author>tc={24F12222-E87F-4017-B4BC-AB1BE7EF7166}</author>
    <author>tc={C01599F7-19EA-4D74-A108-FCE5B4CE18CE}</author>
    <author>tc={5F2CC612-2C9E-4584-9E39-D4AA54411273}</author>
    <author>tc={A848F754-68B2-4CB0-990C-160BDB595D3B}</author>
    <author>tc={5DDC2121-9678-4BEE-BECE-C25E36AAF662}</author>
    <author>tc={FE3E9282-48EF-4A79-9D93-2E4ADCBC35B3}</author>
    <author>tc={CD8D81D9-4C56-4B97-9484-4E38C8CE5C67}</author>
    <author>tc={19A3BD9E-8AB6-444F-82AF-C3986CB689B1}</author>
    <author>tc={B307B32B-7521-4B7B-9CDA-8010A385FEC6}</author>
    <author>tc={FC69C668-2301-4B49-B940-23C11444B748}</author>
    <author>tc={B7331482-59E0-4204-A93D-997FE4F6DF1E}</author>
    <author>tc={F74116EC-4A0B-411F-8A3F-96DFEB94D55D}</author>
    <author>tc={2E8C5666-77EC-4940-9CF4-4F45A32C96C5}</author>
    <author>tc={D86EB0D4-B95C-4F53-8E6C-3503221B5055}</author>
  </authors>
  <commentList>
    <comment ref="K32" authorId="0" shapeId="0" xr:uid="{C88E6E28-8257-448E-91C0-E8654CD19873}">
      <text>
        <t>[Threaded comment]
Your version of Excel allows you to read this threaded comment; however, any edits to it will get removed if the file is opened in a newer version of Excel. Learn more: https://go.microsoft.com/fwlink/?linkid=870924
Comment:
    Incomplete drilling due to SHEQ incident.</t>
      </text>
    </comment>
    <comment ref="L35" authorId="1" shapeId="0" xr:uid="{4955241F-5F80-4F1E-8423-0430ACF2EC74}">
      <text>
        <t>[Threaded comment]
Your version of Excel allows you to read this threaded comment; however, any edits to it will get removed if the file is opened in a newer version of Excel. Learn more: https://go.microsoft.com/fwlink/?linkid=870924
Comment:
    Replaced with 5L W13B Box raise which has a higher priority</t>
      </text>
    </comment>
    <comment ref="K41" authorId="2" shapeId="0" xr:uid="{A6002D47-4215-474F-A604-61903D25C39A}">
      <text>
        <t>[Threaded comment]
Your version of Excel allows you to read this threaded comment; however, any edits to it will get removed if the file is opened in a newer version of Excel. Learn more: https://go.microsoft.com/fwlink/?linkid=870924
Comment:
    Moved the machine to 5L W13B Box Raise</t>
      </text>
    </comment>
    <comment ref="L41" authorId="3" shapeId="0" xr:uid="{83114423-CB27-47BA-9472-1DE5DE0C2BA5}">
      <text>
        <t>[Threaded comment]
Your version of Excel allows you to read this threaded comment; however, any edits to it will get removed if the file is opened in a newer version of Excel. Learn more: https://go.microsoft.com/fwlink/?linkid=870924
Comment:
    Drilled and blasted 6LA W14 DD cubby</t>
      </text>
    </comment>
    <comment ref="K47" authorId="4" shapeId="0" xr:uid="{6656E06B-F8D2-45C8-901D-03AD434DDF76}">
      <text>
        <t>[Threaded comment]
Your version of Excel allows you to read this threaded comment; however, any edits to it will get removed if the file is opened in a newer version of Excel. Learn more: https://go.microsoft.com/fwlink/?linkid=870924
Comment:
    Short length drilled, end is turning to change direction.</t>
      </text>
    </comment>
    <comment ref="H56" authorId="5" shapeId="0" xr:uid="{B8433549-2312-416E-AA5C-6153580DCF14}">
      <text>
        <t>[Threaded comment]
Your version of Excel allows you to read this threaded comment; however, any edits to it will get removed if the file is opened in a newer version of Excel. Learn more: https://go.microsoft.com/fwlink/?linkid=870924
Comment:
    5L W13 SL2 North</t>
      </text>
    </comment>
    <comment ref="L56" authorId="6" shapeId="0" xr:uid="{C624C1C6-836C-4721-B02E-4C951F514460}">
      <text>
        <t>[Threaded comment]
Your version of Excel allows you to read this threaded comment; however, any edits to it will get removed if the file is opened in a newer version of Excel. Learn more: https://go.microsoft.com/fwlink/?linkid=870924
Comment:
    Mined Hoist Chamber Crosscut</t>
      </text>
    </comment>
    <comment ref="H65" authorId="7" shapeId="0" xr:uid="{88401318-DCCA-4C78-9CD1-A02AF7CDAC41}">
      <text>
        <t>[Threaded comment]
Your version of Excel allows you to read this threaded comment; however, any edits to it will get removed if the file is opened in a newer version of Excel. Learn more: https://go.microsoft.com/fwlink/?linkid=870924
Comment:
    Mined 5L W13 Box Raise</t>
      </text>
    </comment>
    <comment ref="I65" authorId="8" shapeId="0" xr:uid="{84640331-75C8-452D-A2C9-8EBAF373BCC4}">
      <text>
        <t>[Threaded comment]
Your version of Excel allows you to read this threaded comment; however, any edits to it will get removed if the file is opened in a newer version of Excel. Learn more: https://go.microsoft.com/fwlink/?linkid=870924
Comment:
    Drilling DD Cubbies</t>
      </text>
    </comment>
    <comment ref="K65" authorId="9" shapeId="0" xr:uid="{233ECAD5-2EB2-4B6F-8FD6-600EEDFB4844}">
      <text>
        <t>[Threaded comment]
Your version of Excel allows you to read this threaded comment; however, any edits to it will get removed if the file is opened in a newer version of Excel. Learn more: https://go.microsoft.com/fwlink/?linkid=870924
Comment:
    Drilling DD Cubbies</t>
      </text>
    </comment>
    <comment ref="L65" authorId="10" shapeId="0" xr:uid="{7D9B3AE3-01DB-456C-AF86-0D64D562DE37}">
      <text>
        <t>[Threaded comment]
Your version of Excel allows you to read this threaded comment; however, any edits to it will get removed if the file is opened in a newer version of Excel. Learn more: https://go.microsoft.com/fwlink/?linkid=870924
Comment:
    Drilling DD Cubbies</t>
      </text>
    </comment>
    <comment ref="H68" authorId="11" shapeId="0" xr:uid="{C3C8D090-5EFB-484A-A4BF-B3CCFD757576}">
      <text>
        <t>[Threaded comment]
Your version of Excel allows you to read this threaded comment; however, any edits to it will get removed if the file is opened in a newer version of Excel. Learn more: https://go.microsoft.com/fwlink/?linkid=870924
Comment:
    6LA W14 DD slyp</t>
      </text>
    </comment>
    <comment ref="L71" authorId="12" shapeId="0" xr:uid="{DE7DE402-A5E8-4E93-A03F-36E01E11396E}">
      <text>
        <t xml:space="preserve">[Threaded comment]
Your version of Excel allows you to read this threaded comment; however, any edits to it will get removed if the file is opened in a newer version of Excel. Learn more: https://go.microsoft.com/fwlink/?linkid=870924
Comment:
    Poor advance </t>
      </text>
    </comment>
    <comment ref="M71" authorId="13" shapeId="0" xr:uid="{F1E195DD-12AD-40B8-B9A1-71E16C29C5A0}">
      <text>
        <t xml:space="preserve">[Threaded comment]
Your version of Excel allows you to read this threaded comment; however, any edits to it will get removed if the file is opened in a newer version of Excel. Learn more: https://go.microsoft.com/fwlink/?linkid=870924
Comment:
    Drilled a 1.5m hole depth due to water challenges </t>
      </text>
    </comment>
    <comment ref="I80" authorId="14" shapeId="0" xr:uid="{BD8A07F0-4E06-4655-AB42-385016EAA0B5}">
      <text>
        <t>[Threaded comment]
Your version of Excel allows you to read this threaded comment; however, any edits to it will get removed if the file is opened in a newer version of Excel. Learn more: https://go.microsoft.com/fwlink/?linkid=870924
Comment:
    Mined 7L E1 condrive west</t>
      </text>
    </comment>
    <comment ref="M80" authorId="15" shapeId="0" xr:uid="{FF77138A-56CD-4F23-BA47-FF8D856ED67D}">
      <text>
        <t xml:space="preserve">[Threaded comment]
Your version of Excel allows you to read this threaded comment; however, any edits to it will get removed if the file is opened in a newer version of Excel. Learn more: https://go.microsoft.com/fwlink/?linkid=870924
Comment:
    Mined 7L E1 con drive  </t>
      </text>
    </comment>
    <comment ref="M83" authorId="16" shapeId="0" xr:uid="{4F1F4F53-1462-4976-9A15-1F5164F2FAFF}">
      <text>
        <t xml:space="preserve">[Threaded comment]
Your version of Excel allows you to read this threaded comment; however, any edits to it will get removed if the file is opened in a newer version of Excel. Learn more: https://go.microsoft.com/fwlink/?linkid=870924
Comment:
    Poor advance </t>
      </text>
    </comment>
    <comment ref="H86" authorId="17" shapeId="0" xr:uid="{35CE8B3C-1FCB-4A97-9E92-578BC87F8A17}">
      <text>
        <t>[Threaded comment]
Your version of Excel allows you to read this threaded comment; however, any edits to it will get removed if the file is opened in a newer version of Excel. Learn more: https://go.microsoft.com/fwlink/?linkid=870924
Comment:
    DD cubby Slyping 8L W 17 SL2</t>
      </text>
    </comment>
    <comment ref="L86" authorId="18" shapeId="0" xr:uid="{24F12222-E87F-4017-B4BC-AB1BE7EF7166}">
      <text>
        <t>[Threaded comment]
Your version of Excel allows you to read this threaded comment; however, any edits to it will get removed if the file is opened in a newer version of Excel. Learn more: https://go.microsoft.com/fwlink/?linkid=870924
Comment:
    Mined 8L W 16 DD Cubby SL2</t>
      </text>
    </comment>
    <comment ref="M86" authorId="19" shapeId="0" xr:uid="{C01599F7-19EA-4D74-A108-FCE5B4CE18CE}">
      <text>
        <t xml:space="preserve">[Threaded comment]
Your version of Excel allows you to read this threaded comment; however, any edits to it will get removed if the file is opened in a newer version of Excel. Learn more: https://go.microsoft.com/fwlink/?linkid=870924
Comment:
    Poor advance </t>
      </text>
    </comment>
    <comment ref="K89" authorId="20" shapeId="0" xr:uid="{5F2CC612-2C9E-4584-9E39-D4AA54411273}">
      <text>
        <t>[Threaded comment]
Your version of Excel allows you to read this threaded comment; however, any edits to it will get removed if the file is opened in a newer version of Excel. Learn more: https://go.microsoft.com/fwlink/?linkid=870924
Comment:
    Mined 8L W SL4 DW</t>
      </text>
    </comment>
    <comment ref="L89" authorId="21" shapeId="0" xr:uid="{A848F754-68B2-4CB0-990C-160BDB595D3B}">
      <text>
        <t>[Threaded comment]
Your version of Excel allows you to read this threaded comment; however, any edits to it will get removed if the file is opened in a newer version of Excel. Learn more: https://go.microsoft.com/fwlink/?linkid=870924
Comment:
    Mined 8L W SL4 DW</t>
      </text>
    </comment>
    <comment ref="M89" authorId="22" shapeId="0" xr:uid="{5DDC2121-9678-4BEE-BECE-C25E36AAF662}">
      <text>
        <t>[Threaded comment]
Your version of Excel allows you to read this threaded comment; however, any edits to it will get removed if the file is opened in a newer version of Excel. Learn more: https://go.microsoft.com/fwlink/?linkid=870924
Comment:
    Mined 8L W SL4 DW</t>
      </text>
    </comment>
    <comment ref="M92" authorId="23" shapeId="0" xr:uid="{FE3E9282-48EF-4A79-9D93-2E4ADCBC35B3}">
      <text>
        <t>[Threaded comment]
Your version of Excel allows you to read this threaded comment; however, any edits to it will get removed if the file is opened in a newer version of Excel. Learn more: https://go.microsoft.com/fwlink/?linkid=870924
Comment:
    Poor advance</t>
      </text>
    </comment>
    <comment ref="K107" authorId="24" shapeId="0" xr:uid="{CD8D81D9-4C56-4B97-9484-4E38C8CE5C67}">
      <text>
        <t>[Threaded comment]
Your version of Excel allows you to read this threaded comment; however, any edits to it will get removed if the file is opened in a newer version of Excel. Learn more: https://go.microsoft.com/fwlink/?linkid=870924
Comment:
    Box construction in progress. Replaced the end with 8L W17 SL1 West.</t>
      </text>
    </comment>
    <comment ref="L107" authorId="25" shapeId="0" xr:uid="{19A3BD9E-8AB6-444F-82AF-C3986CB689B1}">
      <text>
        <t>[Threaded comment]
Your version of Excel allows you to read this threaded comment; however, any edits to it will get removed if the file is opened in a newer version of Excel. Learn more: https://go.microsoft.com/fwlink/?linkid=870924
Comment:
    Box construction in progress. Replaced the end with 8L W17 SL1 West.</t>
      </text>
    </comment>
    <comment ref="L113" authorId="26" shapeId="0" xr:uid="{B307B32B-7521-4B7B-9CDA-8010A385FEC6}">
      <text>
        <t>[Threaded comment]
Your version of Excel allows you to read this threaded comment; however, any edits to it will get removed if the file is opened in a newer version of Excel. Learn more: https://go.microsoft.com/fwlink/?linkid=870924
Comment:
    Mined 10L W 7B Raise</t>
      </text>
    </comment>
    <comment ref="M113" authorId="27" shapeId="0" xr:uid="{FC69C668-2301-4B49-B940-23C11444B748}">
      <text>
        <t>[Threaded comment]
Your version of Excel allows you to read this threaded comment; however, any edits to it will get removed if the file is opened in a newer version of Excel. Learn more: https://go.microsoft.com/fwlink/?linkid=870924
Comment:
    Machined slyped 10L W 4 DD Cubby</t>
      </text>
    </comment>
    <comment ref="L119" authorId="28" shapeId="0" xr:uid="{B7331482-59E0-4204-A93D-997FE4F6DF1E}">
      <text>
        <t>[Threaded comment]
Your version of Excel allows you to read this threaded comment; however, any edits to it will get removed if the file is opened in a newer version of Excel. Learn more: https://go.microsoft.com/fwlink/?linkid=870924
Comment:
    Incomplete drilling because of water challenges due to pipe burst in the Venning shaft</t>
      </text>
    </comment>
    <comment ref="M119" authorId="29" shapeId="0" xr:uid="{F74116EC-4A0B-411F-8A3F-96DFEB94D55D}">
      <text>
        <t>[Threaded comment]
Your version of Excel allows you to read this threaded comment; however, any edits to it will get removed if the file is opened in a newer version of Excel. Learn more: https://go.microsoft.com/fwlink/?linkid=870924
Comment:
    Mined 10L E 2 C-drive east</t>
      </text>
    </comment>
    <comment ref="K216" authorId="30" shapeId="0" xr:uid="{2E8C5666-77EC-4940-9CF4-4F45A32C96C5}">
      <text>
        <t>[Threaded comment]
Your version of Excel allows you to read this threaded comment; however, any edits to it will get removed if the file is opened in a newer version of Excel. Learn more: https://go.microsoft.com/fwlink/?linkid=870924
Comment:
    Second lashing shift.</t>
      </text>
    </comment>
    <comment ref="M216" authorId="31" shapeId="0" xr:uid="{D86EB0D4-B95C-4F53-8E6C-3503221B5055}">
      <text>
        <t>[Threaded comment]
Your version of Excel allows you to read this threaded comment; however, any edits to it will get removed if the file is opened in a newer version of Excel. Learn more: https://go.microsoft.com/fwlink/?linkid=870924
Comment:
    To be confirmed. Lashing still in progress.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tc={2BFB7073-A944-48AA-A85A-7F332ACF2DAE}</author>
    <author>tc={282BD265-4B54-4F69-BBB8-93B159B43377}</author>
    <author>tc={49AB0B33-1182-4144-97C3-E7A12CED9384}</author>
    <author>tc={595DC59C-4C7A-4D44-AD44-A89A6B0BAF95}</author>
    <author>tc={C61999D4-D275-4114-B068-A29821D2DF76}</author>
    <author>tc={03FD66D2-B122-432D-AF09-2F3418336BA1}</author>
    <author>tc={321B43EC-B5A6-4133-B8D6-C38FBB124ECD}</author>
    <author>tc={A164F202-CE51-4813-9EC3-5E144297CE35}</author>
    <author>tc={CDD96264-1009-4772-A05C-D67AD8A43100}</author>
    <author>tc={00DF5721-104F-481E-A487-A6A606436FE9}</author>
    <author>tc={6E4021FF-B362-4E4E-A3F9-117E9A6B3B3C}</author>
    <author>tc={1B72A82A-6814-4C79-A738-6479E7899007}</author>
    <author>tc={DD134DC2-5784-44FD-BF62-F381566D626B}</author>
    <author>tc={F9F712B8-ECEE-4DC0-AA7B-071212EC6B20}</author>
    <author>tc={4EFCC283-9E21-44BA-9F3C-3AF19813352C}</author>
    <author>tc={B341E048-9511-4BF2-B16B-312464CAA06D}</author>
    <author>tc={B630A59C-04DD-4516-9285-F0B85684136C}</author>
    <author>tc={D7D7503B-E777-4AE9-99E4-AA82B7D9F16C}</author>
    <author>tc={4F7C24BD-CC90-4B03-BC18-29CD6138CD94}</author>
    <author>tc={769157BE-CC75-4D5C-B0AF-4F9E6DAEF2E1}</author>
    <author>tc={B255A588-BFD7-4432-9147-EE362F3CE202}</author>
    <author>tc={0743D3B7-C636-4E51-A8CC-E859C2AA5C19}</author>
    <author>tc={2AE6AC67-D67A-4B14-AC88-CC123F8901CC}</author>
    <author>tc={C53F84A2-B4C8-4376-A477-DC4257FC22C2}</author>
    <author>tc={354F833D-C342-47B1-BD0C-7277B6EE7574}</author>
    <author>tc={A00043FD-F4E5-4916-9345-CC05DD5B7607}</author>
    <author>tc={657E9187-3850-43D4-88D2-7C7757C0B368}</author>
    <author>tc={A458F4BA-9978-47AE-B0F3-CBEEDD97A31C}</author>
    <author>tc={53682421-82B9-46E6-8C56-7E89D8B4B78B}</author>
    <author>tc={11EF4720-59F6-4CFC-8D61-C3DAB2CBB386}</author>
  </authors>
  <commentList>
    <comment ref="H29" authorId="0" shapeId="0" xr:uid="{2BFB7073-A944-48AA-A85A-7F332ACF2DAE}">
      <text>
        <t>[Threaded comment]
Your version of Excel allows you to read this threaded comment; however, any edits to it will get removed if the file is opened in a newer version of Excel. Learn more: https://go.microsoft.com/fwlink/?linkid=870924
Comment:
    Mining to pay zone after the collapse</t>
      </text>
    </comment>
    <comment ref="I29" authorId="1" shapeId="0" xr:uid="{282BD265-4B54-4F69-BBB8-93B159B43377}">
      <text>
        <t>[Threaded comment]
Your version of Excel allows you to read this threaded comment; however, any edits to it will get removed if the file is opened in a newer version of Excel. Learn more: https://go.microsoft.com/fwlink/?linkid=870924
Comment:
    Grade improving</t>
      </text>
    </comment>
    <comment ref="K29" authorId="2" shapeId="0" xr:uid="{49AB0B33-1182-4144-97C3-E7A12CED9384}">
      <text>
        <t>[Threaded comment]
Your version of Excel allows you to read this threaded comment; however, any edits to it will get removed if the file is opened in a newer version of Excel. Learn more: https://go.microsoft.com/fwlink/?linkid=870924
Comment:
    Low grade patch</t>
      </text>
    </comment>
    <comment ref="I36" authorId="3" shapeId="0" xr:uid="{595DC59C-4C7A-4D44-AD44-A89A6B0BAF95}">
      <text>
        <t>[Threaded comment]
Your version of Excel allows you to read this threaded comment; however, any edits to it will get removed if the file is opened in a newer version of Excel. Learn more: https://go.microsoft.com/fwlink/?linkid=870924
Comment:
    Low grade patch but grade to improve</t>
      </text>
    </comment>
    <comment ref="H71" authorId="4" shapeId="0" xr:uid="{C61999D4-D275-4114-B068-A29821D2DF76}">
      <text>
        <t>[Threaded comment]
Your version of Excel allows you to read this threaded comment; however, any edits to it will get removed if the file is opened in a newer version of Excel. Learn more: https://go.microsoft.com/fwlink/?linkid=870924
Comment:
    Grade improving as we shape the cone</t>
      </text>
    </comment>
    <comment ref="L76" authorId="5" shapeId="0" xr:uid="{03FD66D2-B122-432D-AF09-2F3418336BA1}">
      <text>
        <t>[Threaded comment]
Your version of Excel allows you to read this threaded comment; however, any edits to it will get removed if the file is opened in a newer version of Excel. Learn more: https://go.microsoft.com/fwlink/?linkid=870924
Comment:
    Reduced bench area after first cut holed</t>
      </text>
    </comment>
    <comment ref="K78" authorId="6" shapeId="0" xr:uid="{321B43EC-B5A6-4133-B8D6-C38FBB124ECD}">
      <text>
        <t>[Threaded comment]
Your version of Excel allows you to read this threaded comment; however, any edits to it will get removed if the file is opened in a newer version of Excel. Learn more: https://go.microsoft.com/fwlink/?linkid=870924
Comment:
    Waste inclusion of chlorite schist on the bench</t>
      </text>
    </comment>
    <comment ref="J83" authorId="7" shapeId="0" xr:uid="{A164F202-CE51-4813-9EC3-5E144297CE35}">
      <text>
        <t>[Threaded comment]
Your version of Excel allows you to read this threaded comment; however, any edits to it will get removed if the file is opened in a newer version of Excel. Learn more: https://go.microsoft.com/fwlink/?linkid=870924
Comment:
    Predrilled incomplete due to drilling water pipe</t>
      </text>
    </comment>
    <comment ref="H85" authorId="8" shapeId="0" xr:uid="{CDD96264-1009-4772-A05C-D67AD8A43100}">
      <text>
        <t>[Threaded comment]
Your version of Excel allows you to read this threaded comment; however, any edits to it will get removed if the file is opened in a newer version of Excel. Learn more: https://go.microsoft.com/fwlink/?linkid=870924
Comment:
    Grade affected by the sericite schist being mined to avoid ground collapses</t>
      </text>
    </comment>
    <comment ref="L85" authorId="9" shapeId="0" xr:uid="{00DF5721-104F-481E-A487-A6A606436FE9}">
      <text>
        <t>[Threaded comment]
Your version of Excel allows you to read this threaded comment; however, any edits to it will get removed if the file is opened in a newer version of Excel. Learn more: https://go.microsoft.com/fwlink/?linkid=870924
Comment:
    Passing a lowly paying zone, grade to improve</t>
      </text>
    </comment>
    <comment ref="L99" authorId="10" shapeId="0" xr:uid="{6E4021FF-B362-4E4E-A3F9-117E9A6B3B3C}">
      <text>
        <t>[Threaded comment]
Your version of Excel allows you to read this threaded comment; however, any edits to it will get removed if the file is opened in a newer version of Excel. Learn more: https://go.microsoft.com/fwlink/?linkid=870924
Comment:
     lowly mineralised zone, grade to improve going down</t>
      </text>
    </comment>
    <comment ref="K104" authorId="11" shapeId="0" xr:uid="{1B72A82A-6814-4C79-A738-6479E7899007}">
      <text>
        <t xml:space="preserve">[Threaded comment]
Your version of Excel allows you to read this threaded comment; however, any edits to it will get removed if the file is opened in a newer version of Excel. Learn more: https://go.microsoft.com/fwlink/?linkid=870924
Comment:
    reduced bench area due to reef pinching </t>
      </text>
    </comment>
    <comment ref="L104" authorId="12" shapeId="0" xr:uid="{DD134DC2-5784-44FD-BF62-F381566D626B}">
      <text>
        <t>[Threaded comment]
Your version of Excel allows you to read this threaded comment; however, any edits to it will get removed if the file is opened in a newer version of Excel. Learn more: https://go.microsoft.com/fwlink/?linkid=870924
Comment:
    Reduced bench area, reef pinching</t>
      </text>
    </comment>
    <comment ref="I118" authorId="13" shapeId="0" xr:uid="{F9F712B8-ECEE-4DC0-AA7B-071212EC6B20}">
      <text>
        <t>[Threaded comment]
Your version of Excel allows you to read this threaded comment; however, any edits to it will get removed if the file is opened in a newer version of Excel. Learn more: https://go.microsoft.com/fwlink/?linkid=870924
Comment:
    Drilled incomplete due to drilling water pipe breakdown at 1155</t>
      </text>
    </comment>
    <comment ref="K118" authorId="14" shapeId="0" xr:uid="{4EFCC283-9E21-44BA-9F3C-3AF19813352C}">
      <text>
        <t>[Threaded comment]
Your version of Excel allows you to read this threaded comment; however, any edits to it will get removed if the file is opened in a newer version of Excel. Learn more: https://go.microsoft.com/fwlink/?linkid=870924
Comment:
    Machine moved to W13 due to grade complications, current mineralization not paying well</t>
      </text>
    </comment>
    <comment ref="L118" authorId="15" shapeId="0" xr:uid="{B341E048-9511-4BF2-B16B-312464CAA06D}">
      <text>
        <t>[Threaded comment]
Your version of Excel allows you to read this threaded comment; however, any edits to it will get removed if the file is opened in a newer version of Excel. Learn more: https://go.microsoft.com/fwlink/?linkid=870924
Comment:
    Mineralized zone pinching, reduced number of machines</t>
      </text>
    </comment>
    <comment ref="I120" authorId="16" shapeId="0" xr:uid="{B630A59C-04DD-4516-9285-F0B85684136C}">
      <text>
        <t>[Threaded comment]
Your version of Excel allows you to read this threaded comment; however, any edits to it will get removed if the file is opened in a newer version of Excel. Learn more: https://go.microsoft.com/fwlink/?linkid=870924
Comment:
    Low grade portion of the northern contact, grade to improve.</t>
      </text>
    </comment>
    <comment ref="K120" authorId="17" shapeId="0" xr:uid="{D7D7503B-E777-4AE9-99E4-AA82B7D9F16C}">
      <text>
        <t>[Threaded comment]
Your version of Excel allows you to read this threaded comment; however, any edits to it will get removed if the file is opened in a newer version of Excel. Learn more: https://go.microsoft.com/fwlink/?linkid=870924
Comment:
    Inclusion of chlorite schist middling</t>
      </text>
    </comment>
    <comment ref="L120" authorId="18" shapeId="0" xr:uid="{4F7C24BD-CC90-4B03-BC18-29CD6138CD94}">
      <text>
        <t>[Threaded comment]
Your version of Excel allows you to read this threaded comment; however, any edits to it will get removed if the file is opened in a newer version of Excel. Learn more: https://go.microsoft.com/fwlink/?linkid=870924
Comment:
    Slipping have reached pay limit</t>
      </text>
    </comment>
    <comment ref="J125" authorId="19" shapeId="0" xr:uid="{769157BE-CC75-4D5C-B0AF-4F9E6DAEF2E1}">
      <text>
        <t>[Threaded comment]
Your version of Excel allows you to read this threaded comment; however, any edits to it will get removed if the file is opened in a newer version of Excel. Learn more: https://go.microsoft.com/fwlink/?linkid=870924
Comment:
    Cone drive slyping starting on 04/08/25</t>
      </text>
    </comment>
    <comment ref="K127" authorId="20" shapeId="0" xr:uid="{B255A588-BFD7-4432-9147-EE362F3CE202}">
      <text>
        <t>[Threaded comment]
Your version of Excel allows you to read this threaded comment; however, any edits to it will get removed if the file is opened in a newer version of Excel. Learn more: https://go.microsoft.com/fwlink/?linkid=870924
Comment:
    was sampled on the 17th of July and not drilled for blasting, the grade was 7g/t</t>
      </text>
    </comment>
    <comment ref="L127" authorId="21" shapeId="0" xr:uid="{0743D3B7-C636-4E51-A8CC-E859C2AA5C19}">
      <text>
        <t>[Threaded comment]
Your version of Excel allows you to read this threaded comment; however, any edits to it will get removed if the file is opened in a newer version of Excel. Learn more: https://go.microsoft.com/fwlink/?linkid=870924
Comment:
    Slipping catwalk to open up west bench before commencing eastern bench</t>
      </text>
    </comment>
    <comment ref="K132" authorId="22" shapeId="0" xr:uid="{2AE6AC67-D67A-4B14-AC88-CC123F8901CC}">
      <text>
        <t>[Threaded comment]
Your version of Excel allows you to read this threaded comment; however, any edits to it will get removed if the file is opened in a newer version of Excel. Learn more: https://go.microsoft.com/fwlink/?linkid=870924
Comment:
    6LW15 sub2 stopped due to sour grades, only one machine working in sub1 which is paying</t>
      </text>
    </comment>
    <comment ref="L132" authorId="23" shapeId="0" xr:uid="{C53F84A2-B4C8-4376-A477-DC4257FC22C2}">
      <text>
        <t>[Threaded comment]
Your version of Excel allows you to read this threaded comment; however, any edits to it will get removed if the file is opened in a newer version of Excel. Learn more: https://go.microsoft.com/fwlink/?linkid=870924
Comment:
    Sub2 stopped, poorly mineralized; only sub1 being worked</t>
      </text>
    </comment>
    <comment ref="H134" authorId="24" shapeId="0" xr:uid="{354F833D-C342-47B1-BD0C-7277B6EE7574}">
      <text>
        <t xml:space="preserve">[Threaded comment]
Your version of Excel allows you to read this threaded comment; however, any edits to it will get removed if the file is opened in a newer version of Excel. Learn more: https://go.microsoft.com/fwlink/?linkid=870924
Comment:
    Opening a new bench cut by slyping to well mineralised zone </t>
      </text>
    </comment>
    <comment ref="I134" authorId="25" shapeId="0" xr:uid="{A00043FD-F4E5-4916-9345-CC05DD5B7607}">
      <text>
        <t>[Threaded comment]
Your version of Excel allows you to read this threaded comment; however, any edits to it will get removed if the file is opened in a newer version of Excel. Learn more: https://go.microsoft.com/fwlink/?linkid=870924
Comment:
    To stop mining sublevel 2 and continue with sublevel 1</t>
      </text>
    </comment>
    <comment ref="L134" authorId="26" shapeId="0" xr:uid="{657E9187-3850-43D4-88D2-7C7757C0B368}">
      <text>
        <t>[Threaded comment]
Your version of Excel allows you to read this threaded comment; however, any edits to it will get removed if the file is opened in a newer version of Excel. Learn more: https://go.microsoft.com/fwlink/?linkid=870924
Comment:
    Passing poorly mineralised zone</t>
      </text>
    </comment>
    <comment ref="H141" authorId="27" shapeId="0" xr:uid="{A458F4BA-9978-47AE-B0F3-CBEEDD97A31C}">
      <text>
        <t>[Threaded comment]
Your version of Excel allows you to read this threaded comment; however, any edits to it will get removed if the file is opened in a newer version of Excel. Learn more: https://go.microsoft.com/fwlink/?linkid=870924
Comment:
    Mining to pay zone as we shape the cone</t>
      </text>
    </comment>
    <comment ref="I141" authorId="28" shapeId="0" xr:uid="{53682421-82B9-46E6-8C56-7E89D8B4B78B}">
      <text>
        <t>[Threaded comment]
Your version of Excel allows you to read this threaded comment; however, any edits to it will get removed if the file is opened in a newer version of Excel. Learn more: https://go.microsoft.com/fwlink/?linkid=870924
Comment:
    Samples on repeat</t>
      </text>
    </comment>
    <comment ref="L141" authorId="29" shapeId="0" xr:uid="{11EF4720-59F6-4CFC-8D61-C3DAB2CBB386}">
      <text>
        <t>[Threaded comment]
Your version of Excel allows you to read this threaded comment; however, any edits to it will get removed if the file is opened in a newer version of Excel. Learn more: https://go.microsoft.com/fwlink/?linkid=870924
Comment:
    Slipping stopped have reached pay limit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tc={32D4BA1B-79B4-402F-948D-A8BD701D23C5}</author>
  </authors>
  <commentList>
    <comment ref="K40" authorId="0" shapeId="0" xr:uid="{32D4BA1B-79B4-402F-948D-A8BD701D23C5}">
      <text>
        <t>[Threaded comment]
Your version of Excel allows you to read this threaded comment; however, any edits to it will get removed if the file is opened in a newer version of Excel. Learn more: https://go.microsoft.com/fwlink/?linkid=870924
Comment:
    Lobe shaft top radial door cylinder failure 2326-0305 (3.5hrs)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tc={6A3FDBA3-2329-4186-855D-0B7CE9905F40}</author>
    <author>tc={229B5B4C-7945-4870-B9AA-F2E30A2A9383}</author>
    <author>tc={6AC99D9D-8891-42A2-9B68-209FFC4AE695}</author>
    <author>tc={559EC35A-B53E-4DE5-A6FD-60B16D303DEA}</author>
    <author>tc={69BBB88C-195E-4A62-A950-A84A640D3A0B}</author>
    <author>tc={456981BF-482F-4B86-947E-7D4F910C175A}</author>
    <author>tc={24483724-6264-423D-99F2-3F4A65BB5D4B}</author>
    <author>tc={3D1C0239-16FD-4C5D-BE02-0C721250EDDC}</author>
    <author>tc={ADCE398F-35F6-4D92-A139-FF66D053C216}</author>
    <author>tc={CDE9CEF3-2885-4C98-97E4-09435FD883CC}</author>
    <author>tc={B0732860-912F-423B-B4E3-E0AC1C6C3CF7}</author>
    <author>tc={14D78940-C189-4F63-B95A-8F3E760760C3}</author>
    <author>tc={41685B1B-282A-4F0E-9FD8-D301F29634F5}</author>
    <author>tc={5A5D48EF-13FD-4B4A-A1C2-112122456AC6}</author>
    <author>tc={39BBA1D2-4C64-48E8-A07A-75C31C1CDAE9}</author>
    <author>tc={D5BDC4B9-A6FF-41E4-9E5F-88ADB969F1B8}</author>
    <author>tc={8523D681-D090-43C3-96DA-BA6A1EAD2138}</author>
  </authors>
  <commentList>
    <comment ref="H19" authorId="0" shapeId="0" xr:uid="{6A3FDBA3-2329-4186-855D-0B7CE9905F40}">
      <text>
        <t>[Threaded comment]
Your version of Excel allows you to read this threaded comment; however, any edits to it will get removed if the file is opened in a newer version of Excel. Learn more: https://go.microsoft.com/fwlink/?linkid=870924
Comment:
    Blasted constriction above 10L, made safe and supported</t>
      </text>
    </comment>
    <comment ref="I19" authorId="1" shapeId="0" xr:uid="{229B5B4C-7945-4870-B9AA-F2E30A2A9383}">
      <text>
        <t>[Threaded comment]
Your version of Excel allows you to read this threaded comment; however, any edits to it will get removed if the file is opened in a newer version of Excel. Learn more: https://go.microsoft.com/fwlink/?linkid=870924
Comment:
    Installed support and lashed material on 10L deck 100% complete.</t>
      </text>
    </comment>
    <comment ref="J19" authorId="2" shapeId="0" xr:uid="{6AC99D9D-8891-42A2-9B68-209FFC4AE695}">
      <text>
        <t>[Threaded comment]
Your version of Excel allows you to read this threaded comment; however, any edits to it will get removed if the file is opened in a newer version of Excel. Learn more: https://go.microsoft.com/fwlink/?linkid=870924
Comment:
    Completed support above 10L and removed the deck</t>
      </text>
    </comment>
    <comment ref="K19" authorId="3" shapeId="0" xr:uid="{559EC35A-B53E-4DE5-A6FD-60B16D303DEA}">
      <text>
        <t>[Threaded comment]
Your version of Excel allows you to read this threaded comment; however, any edits to it will get removed if the file is opened in a newer version of Excel. Learn more: https://go.microsoft.com/fwlink/?linkid=870924
Comment:
    Shaft plumbing and installation of the deck at 10.5L 100% complete.</t>
      </text>
    </comment>
    <comment ref="L19" authorId="4" shapeId="0" xr:uid="{69BBB88C-195E-4A62-A950-A84A640D3A0B}">
      <text>
        <t>[Threaded comment]
Your version of Excel allows you to read this threaded comment; however, any edits to it will get removed if the file is opened in a newer version of Excel. Learn more: https://go.microsoft.com/fwlink/?linkid=870924
Comment:
    Shaft plumbing was done from 10L to 10.5L 100% complete
Drilled and blasted constriction at 10L collar 50% complete</t>
      </text>
    </comment>
    <comment ref="M19" authorId="5" shapeId="0" xr:uid="{456981BF-482F-4B86-947E-7D4F910C175A}">
      <text>
        <t>[Threaded comment]
Your version of Excel allows you to read this threaded comment; however, any edits to it will get removed if the file is opened in a newer version of Excel. Learn more: https://go.microsoft.com/fwlink/?linkid=870924
Comment:
    Drilled &amp; blasted constriction at the shaft collar and slyped 1m below 10L</t>
      </text>
    </comment>
    <comment ref="H38" authorId="6" shapeId="0" xr:uid="{24483724-6264-423D-99F2-3F4A65BB5D4B}">
      <text>
        <t>[Threaded comment]
Your version of Excel allows you to read this threaded comment; however, any edits to it will get removed if the file is opened in a newer version of Excel. Learn more: https://go.microsoft.com/fwlink/?linkid=870924
Comment:
    Floor screeding 40% complete</t>
      </text>
    </comment>
    <comment ref="I38" authorId="7" shapeId="0" xr:uid="{3D1C0239-16FD-4C5D-BE02-0C721250EDDC}">
      <text>
        <t>[Threaded comment]
Your version of Excel allows you to read this threaded comment; however, any edits to it will get removed if the file is opened in a newer version of Excel. Learn more: https://go.microsoft.com/fwlink/?linkid=870924
Comment:
    Transported all double door panels,
 driver's desk and cables to site.</t>
      </text>
    </comment>
    <comment ref="J38" authorId="8" shapeId="0" xr:uid="{ADCE398F-35F6-4D92-A139-FF66D053C216}">
      <text>
        <t>[Threaded comment]
Your version of Excel allows you to read this threaded comment; however, any edits to it will get removed if the file is opened in a newer version of Excel. Learn more: https://go.microsoft.com/fwlink/?linkid=870924
Comment:
    Electrical installations 60% &amp; winder primary alignment 50% complete.</t>
      </text>
    </comment>
    <comment ref="K38" authorId="9" shapeId="0" xr:uid="{CDE9CEF3-2885-4C98-97E4-09435FD883CC}">
      <text>
        <t>[Threaded comment]
Your version of Excel allows you to read this threaded comment; however, any edits to it will get removed if the file is opened in a newer version of Excel. Learn more: https://go.microsoft.com/fwlink/?linkid=870924
Comment:
    Primary alignment and installation of depth indicator 100% complete</t>
      </text>
    </comment>
    <comment ref="L38" authorId="10" shapeId="0" xr:uid="{B0732860-912F-423B-B4E3-E0AC1C6C3CF7}">
      <text>
        <t>[Threaded comment]
Your version of Excel allows you to read this threaded comment; however, any edits to it will get removed if the file is opened in a newer version of Excel. Learn more: https://go.microsoft.com/fwlink/?linkid=870924
Comment:
    Hoist electrical installations and lighting 100% complete</t>
      </text>
    </comment>
    <comment ref="M38" authorId="11" shapeId="0" xr:uid="{14D78940-C189-4F63-B95A-8F3E760760C3}">
      <text>
        <t>[Threaded comment]
Your version of Excel allows you to read this threaded comment; however, any edits to it will get removed if the file is opened in a newer version of Excel. Learn more: https://go.microsoft.com/fwlink/?linkid=870924
Comment:
    Fixed the deadman switch and completed earthing.</t>
      </text>
    </comment>
    <comment ref="H40" authorId="12" shapeId="0" xr:uid="{41685B1B-282A-4F0E-9FD8-D301F29634F5}">
      <text>
        <t>[Threaded comment]
Your version of Excel allows you to read this threaded comment; however, any edits to it will get removed if the file is opened in a newer version of Excel. Learn more: https://go.microsoft.com/fwlink/?linkid=870924
Comment:
    Removed the second 45kw pump and installed support</t>
      </text>
    </comment>
    <comment ref="I40" authorId="13" shapeId="0" xr:uid="{5A5D48EF-13FD-4B4A-A1C2-112122456AC6}">
      <text>
        <t>[Threaded comment]
Your version of Excel allows you to read this threaded comment; however, any edits to it will get removed if the file is opened in a newer version of Excel. Learn more: https://go.microsoft.com/fwlink/?linkid=870924
Comment:
    Lowered the second 45kw pump and switched to 525V supply. Pump running.</t>
      </text>
    </comment>
    <comment ref="K40" authorId="14" shapeId="0" xr:uid="{39BBA1D2-4C64-48E8-A07A-75C31C1CDAE9}">
      <text>
        <t>[Threaded comment]
Your version of Excel allows you to read this threaded comment; however, any edits to it will get removed if the file is opened in a newer version of Excel. Learn more: https://go.microsoft.com/fwlink/?linkid=870924
Comment:
    Installed a platform for ladders.</t>
      </text>
    </comment>
    <comment ref="L40" authorId="15" shapeId="0" xr:uid="{D5BDC4B9-A6FF-41E4-9E5F-88ADB969F1B8}">
      <text>
        <t>[Threaded comment]
Your version of Excel allows you to read this threaded comment; however, any edits to it will get removed if the file is opened in a newer version of Excel. Learn more: https://go.microsoft.com/fwlink/?linkid=870924
Comment:
    Installed the third ladder</t>
      </text>
    </comment>
    <comment ref="J42" authorId="16" shapeId="0" xr:uid="{8523D681-D090-43C3-96DA-BA6A1EAD2138}">
      <text>
        <t>[Threaded comment]
Your version of Excel allows you to read this threaded comment; however, any edits to it will get removed if the file is opened in a newer version of Excel. Learn more: https://go.microsoft.com/fwlink/?linkid=870924
Comment:
    No activity, off day.</t>
      </text>
    </comment>
  </commentList>
</comments>
</file>

<file path=xl/sharedStrings.xml><?xml version="1.0" encoding="utf-8"?>
<sst xmlns="http://schemas.openxmlformats.org/spreadsheetml/2006/main" count="6228" uniqueCount="1923">
  <si>
    <t>BRECKRIDGE INVESTMENTS</t>
  </si>
  <si>
    <t>Pickstone Peerless Mine</t>
  </si>
  <si>
    <t>Daily Production Summary</t>
  </si>
  <si>
    <t>Month:</t>
  </si>
  <si>
    <t>Day:</t>
  </si>
  <si>
    <t>GRADE LEGEND</t>
  </si>
  <si>
    <t>KEY</t>
  </si>
  <si>
    <t>&lt; 0.60 Waste</t>
  </si>
  <si>
    <t>Above Budget</t>
  </si>
  <si>
    <t xml:space="preserve"> 0.60 - 1.60 Low Grade</t>
  </si>
  <si>
    <t>Below Budget</t>
  </si>
  <si>
    <t>1.60 - 2.00 Medium Grade</t>
  </si>
  <si>
    <t>&gt; 2.00 High Grade</t>
  </si>
  <si>
    <t>Shifts</t>
  </si>
  <si>
    <t>MTD</t>
  </si>
  <si>
    <t>DATE</t>
  </si>
  <si>
    <t>Actual</t>
  </si>
  <si>
    <t>Plan</t>
  </si>
  <si>
    <t>Var.</t>
  </si>
  <si>
    <t>% Var.</t>
  </si>
  <si>
    <t>Projects</t>
  </si>
  <si>
    <t>Dewatering (m)</t>
  </si>
  <si>
    <t>SW Stripping (m)</t>
  </si>
  <si>
    <t>Meters</t>
  </si>
  <si>
    <t>D. Drilling (m)</t>
  </si>
  <si>
    <t>Development (m)</t>
  </si>
  <si>
    <t>Benching</t>
  </si>
  <si>
    <t>Tonnes (t)</t>
  </si>
  <si>
    <t>Grade (g/t)</t>
  </si>
  <si>
    <t>Gold (kg)</t>
  </si>
  <si>
    <t>Tramming</t>
  </si>
  <si>
    <t>Hoisting</t>
  </si>
  <si>
    <t>Crushing</t>
  </si>
  <si>
    <t>Milling</t>
  </si>
  <si>
    <t>CIL Feed</t>
  </si>
  <si>
    <t>Tails</t>
  </si>
  <si>
    <t>Actual - Daily</t>
  </si>
  <si>
    <t>Plan - Daily</t>
  </si>
  <si>
    <t>Actual - MTD</t>
  </si>
  <si>
    <t>Plan - MTD</t>
  </si>
  <si>
    <t>Diamond Drilling</t>
  </si>
  <si>
    <t>Development</t>
  </si>
  <si>
    <t>TONNES (t)</t>
  </si>
  <si>
    <t>GRADE (g/t)</t>
  </si>
  <si>
    <t>GOLD (kg)</t>
  </si>
  <si>
    <t>PROD</t>
  </si>
  <si>
    <t>Broken</t>
  </si>
  <si>
    <t>Trammed</t>
  </si>
  <si>
    <t>Hoisted</t>
  </si>
  <si>
    <t>Crushed</t>
  </si>
  <si>
    <t>Milled</t>
  </si>
  <si>
    <t>CIL Head</t>
  </si>
  <si>
    <t>Pickstone Underground Mine</t>
  </si>
  <si>
    <t>Daily KPIs</t>
  </si>
  <si>
    <t>Daily</t>
  </si>
  <si>
    <t>Equiping</t>
  </si>
  <si>
    <t>UoM</t>
  </si>
  <si>
    <t>Var</t>
  </si>
  <si>
    <t>Var %</t>
  </si>
  <si>
    <t>Southwell Shaft</t>
  </si>
  <si>
    <t>m</t>
  </si>
  <si>
    <t>Surface</t>
  </si>
  <si>
    <t>Underground</t>
  </si>
  <si>
    <t>Total</t>
  </si>
  <si>
    <t>CAPEX</t>
  </si>
  <si>
    <t>ROM</t>
  </si>
  <si>
    <t>Tonnes</t>
  </si>
  <si>
    <t>t</t>
  </si>
  <si>
    <t>Grade</t>
  </si>
  <si>
    <t>g/t</t>
  </si>
  <si>
    <t>Gold</t>
  </si>
  <si>
    <t>kg</t>
  </si>
  <si>
    <t>Cum. Actual</t>
  </si>
  <si>
    <t>Cum. Plan</t>
  </si>
  <si>
    <t>Actions</t>
  </si>
  <si>
    <t>Total Actions</t>
  </si>
  <si>
    <t>Daily Action Tracker</t>
  </si>
  <si>
    <t>Completed</t>
  </si>
  <si>
    <t>Open</t>
  </si>
  <si>
    <t>Overdue</t>
  </si>
  <si>
    <t>Action No</t>
  </si>
  <si>
    <t>Agreed Action</t>
  </si>
  <si>
    <t>Responsible Person</t>
  </si>
  <si>
    <t>Date Raised</t>
  </si>
  <si>
    <t>Due Date</t>
  </si>
  <si>
    <t>Revised Date</t>
  </si>
  <si>
    <t>Days (Age)</t>
  </si>
  <si>
    <t>Date Closed</t>
  </si>
  <si>
    <t>Status</t>
  </si>
  <si>
    <t>Memo/Notes</t>
  </si>
  <si>
    <t>Transportation of loader at 7 level through subvertical shaft.</t>
  </si>
  <si>
    <t>M.Dicha</t>
  </si>
  <si>
    <t>K</t>
  </si>
  <si>
    <t>Awaiting bigger winch procurement.</t>
  </si>
  <si>
    <t>Reducing the number of cables in the shaft and introducing a ring feed for power isolation in case of breakdowns.</t>
  </si>
  <si>
    <t>A. Bimha</t>
  </si>
  <si>
    <t>Southwell &amp; Burnett Shaft redundant cables identified &amp; reclammation is in progress. Ring Network Installation &amp; commissioning to be completed by 30th of August 2025.</t>
  </si>
  <si>
    <t>Installation of a Weightometer on the Southwell Conveyor Belt</t>
  </si>
  <si>
    <t>E. Mavhondo</t>
  </si>
  <si>
    <t>PO250425. Weightometer asssembly/wiring in progress. Waiting for delivey of PLC Cooling Fan. Installation expected in the week ending 30th of August 2025.</t>
  </si>
  <si>
    <t>Retrain people on isolation procedure</t>
  </si>
  <si>
    <t>N.Dondo</t>
  </si>
  <si>
    <t>Closed</t>
  </si>
  <si>
    <t>Come up with a system to eliminate misfires</t>
  </si>
  <si>
    <t>V.Tsoriyo</t>
  </si>
  <si>
    <t>Install Subvertical Shaft Signals</t>
  </si>
  <si>
    <t>Daily Activity Log Sheet</t>
  </si>
  <si>
    <t>Day</t>
  </si>
  <si>
    <t xml:space="preserve">Number of Machines </t>
  </si>
  <si>
    <t>Priority</t>
  </si>
  <si>
    <t>Stope / End Name</t>
  </si>
  <si>
    <t>Activity</t>
  </si>
  <si>
    <t>1L_W28_STOPE</t>
  </si>
  <si>
    <t>Lashed</t>
  </si>
  <si>
    <t>Sampled</t>
  </si>
  <si>
    <t>Reef Marked</t>
  </si>
  <si>
    <t># of Machines - Actual</t>
  </si>
  <si>
    <t># of Machines - Plan</t>
  </si>
  <si>
    <t>Comments</t>
  </si>
  <si>
    <t>2L_W23_STOPE</t>
  </si>
  <si>
    <t>yes</t>
  </si>
  <si>
    <t>benching</t>
  </si>
  <si>
    <t>3L_W23_STOPE</t>
  </si>
  <si>
    <t>no</t>
  </si>
  <si>
    <t>slyping</t>
  </si>
  <si>
    <t xml:space="preserve">no activity </t>
  </si>
  <si>
    <t>3L_W24_STOPE</t>
  </si>
  <si>
    <t>4L_W25_STOPE</t>
  </si>
  <si>
    <t>5L_W8_STOPE</t>
  </si>
  <si>
    <t>5W11_Conning</t>
  </si>
  <si>
    <t>conning</t>
  </si>
  <si>
    <t>6L_E1_STOPE</t>
  </si>
  <si>
    <t>6L_W1_STOPE</t>
  </si>
  <si>
    <t>6L_W2_STOPE</t>
  </si>
  <si>
    <t>benching, support</t>
  </si>
  <si>
    <t>6L_W3_STOPE</t>
  </si>
  <si>
    <t>6L_W4_STOPE</t>
  </si>
  <si>
    <t>6L_W8_STOPE</t>
  </si>
  <si>
    <t>misfire</t>
  </si>
  <si>
    <t>6L_W14_STOPE</t>
  </si>
  <si>
    <t>6L_W15_STOPE</t>
  </si>
  <si>
    <t>slyping, benching</t>
  </si>
  <si>
    <t>slyping, support</t>
  </si>
  <si>
    <t>6L_W18_STOPE</t>
  </si>
  <si>
    <t>Underground Mining Ore Accounting Action List</t>
  </si>
  <si>
    <t>Issue</t>
  </si>
  <si>
    <t>Action</t>
  </si>
  <si>
    <t>Category</t>
  </si>
  <si>
    <t>Memo/ Notes</t>
  </si>
  <si>
    <t>Lack of visibility of trucks</t>
  </si>
  <si>
    <t>Install cameras at strategic points to cover PUG gate, Gate 2 and ROMPAD</t>
  </si>
  <si>
    <t>Stephen</t>
  </si>
  <si>
    <t>In progress: Mufaro and Courage have been tasked to look into the issue. Feedback expected 25/07</t>
  </si>
  <si>
    <t>Lack of accuracy on crushing weightometer</t>
  </si>
  <si>
    <t xml:space="preserve">Increase calibration frequency  for the crushing weightometer </t>
  </si>
  <si>
    <t>Fidelis</t>
  </si>
  <si>
    <t>J</t>
  </si>
  <si>
    <t>Monitorring and callibration being done if there's a +/-3% callibration.</t>
  </si>
  <si>
    <t>Improved accuracy of hoisted tonnes</t>
  </si>
  <si>
    <t>Assess loading flask instrumentation- (load cells, flopper gate)</t>
  </si>
  <si>
    <t>Deon</t>
  </si>
  <si>
    <t>System is water tight. Callibration of load cells to be done every month.</t>
  </si>
  <si>
    <t>In progress</t>
  </si>
  <si>
    <t>Review methods of automating measurement of hoisted tonnes using rope tension</t>
  </si>
  <si>
    <t>Awaiting quote</t>
  </si>
  <si>
    <t>Improve accuracy on accounting of tonnage</t>
  </si>
  <si>
    <t>Survey to conduct weekly measurements of mined stopes</t>
  </si>
  <si>
    <t>Vincent</t>
  </si>
  <si>
    <t>Survey should start weekly reconciliations on areas they can, to start mine wide recon on 1 Aug</t>
  </si>
  <si>
    <t>Not yet due</t>
  </si>
  <si>
    <t>Lack of accuracy on trammed tonnes</t>
  </si>
  <si>
    <t>Review Smartrail technology for measurement of trammed tonnes</t>
  </si>
  <si>
    <t>Revisit and document decision on Smartrail</t>
  </si>
  <si>
    <t>Inconsistencies between trammed and hoisted tonnage</t>
  </si>
  <si>
    <t>Introduce a system of accounting for number of cocopans correctly</t>
  </si>
  <si>
    <t>Cocopan factor revised to 1.2 and trammed tonnage now being reconciled with hoisted tonnage. Variance of 511t as of 21/07 and this is attributed to Lobe Shaft spillage.</t>
  </si>
  <si>
    <t>Verify cocopan fill factor</t>
  </si>
  <si>
    <t>Cocopan fill factor revised to 1.2</t>
  </si>
  <si>
    <t>Lack of accuracy on hoisted tonnes</t>
  </si>
  <si>
    <t>Install underground surface conveyor weightometer</t>
  </si>
  <si>
    <t>Artwell</t>
  </si>
  <si>
    <t>Lack of accuracy on delivered tonnes</t>
  </si>
  <si>
    <t>Survey to conduct measurements of stockpiles</t>
  </si>
  <si>
    <t>Stockpile measurements are being done and updated weekly (Every Friday).</t>
  </si>
  <si>
    <t>Lack of accuracy on reported figures</t>
  </si>
  <si>
    <t>To make people aware that accuracy is non-negotiable</t>
  </si>
  <si>
    <t xml:space="preserve">Trainnings conducted </t>
  </si>
  <si>
    <t>Verifying skip factor and truck fill factor</t>
  </si>
  <si>
    <t xml:space="preserve">Trucks being sent to the weigh bridge for verification. (Average of 31t per load) </t>
  </si>
  <si>
    <t>Inconsistencies of truck counts-(Mining, Geology, Security)</t>
  </si>
  <si>
    <t>Conduct daily reconciliation of trucks</t>
  </si>
  <si>
    <t>Survey is now responsible for dailly recons starting 7 July. Ticketing system has been introduced for trucks ex-Southwell.</t>
  </si>
  <si>
    <t>Inconsistencies between broken and hoisted tonnes</t>
  </si>
  <si>
    <t>Introduce a system of accounting broken tonnage correctly</t>
  </si>
  <si>
    <t xml:space="preserve">Bench measurements are ongoing daily, survey now confirming measurements on a weekly bases </t>
  </si>
  <si>
    <t xml:space="preserve"> </t>
  </si>
  <si>
    <t>Confirm project start date</t>
  </si>
  <si>
    <t>Obed</t>
  </si>
  <si>
    <t>Start date will be 1st of March 2021</t>
  </si>
  <si>
    <t>Reason if Actual is RED</t>
  </si>
  <si>
    <r>
      <t xml:space="preserve">Planned Maintenance - </t>
    </r>
    <r>
      <rPr>
        <b/>
        <sz val="10"/>
        <color theme="1"/>
        <rFont val="Aptos"/>
        <family val="2"/>
      </rPr>
      <t>PM</t>
    </r>
  </si>
  <si>
    <t>DIAMOND DRILLING DAILY CONTROL SHEET</t>
  </si>
  <si>
    <r>
      <t xml:space="preserve">Breakdown - </t>
    </r>
    <r>
      <rPr>
        <b/>
        <sz val="10"/>
        <color theme="1"/>
        <rFont val="Aptos"/>
        <family val="2"/>
      </rPr>
      <t>BD</t>
    </r>
    <r>
      <rPr>
        <sz val="10"/>
        <color theme="1"/>
        <rFont val="Aptos"/>
        <family val="2"/>
      </rPr>
      <t xml:space="preserve">; Flooding - </t>
    </r>
    <r>
      <rPr>
        <b/>
        <sz val="10"/>
        <color theme="1"/>
        <rFont val="Aptos"/>
        <family val="2"/>
      </rPr>
      <t>FLD</t>
    </r>
  </si>
  <si>
    <r>
      <t xml:space="preserve">No Electricity / Water / comp. Air - </t>
    </r>
    <r>
      <rPr>
        <b/>
        <sz val="10"/>
        <color theme="1"/>
        <rFont val="Aptos"/>
        <family val="2"/>
      </rPr>
      <t>NE / NW / NCA</t>
    </r>
  </si>
  <si>
    <r>
      <t xml:space="preserve">Standby - </t>
    </r>
    <r>
      <rPr>
        <b/>
        <sz val="10"/>
        <color theme="1"/>
        <rFont val="Aptos"/>
        <family val="2"/>
      </rPr>
      <t>SB</t>
    </r>
    <r>
      <rPr>
        <sz val="10"/>
        <color theme="1"/>
        <rFont val="Aptos"/>
        <family val="2"/>
      </rPr>
      <t xml:space="preserve">; Off Duty - </t>
    </r>
    <r>
      <rPr>
        <b/>
        <sz val="10"/>
        <color theme="1"/>
        <rFont val="Aptos"/>
        <family val="2"/>
      </rPr>
      <t>OD</t>
    </r>
  </si>
  <si>
    <r>
      <t xml:space="preserve">Hard / Broken Formation - </t>
    </r>
    <r>
      <rPr>
        <b/>
        <sz val="10"/>
        <color theme="1"/>
        <rFont val="Aptos"/>
        <family val="2"/>
      </rPr>
      <t xml:space="preserve">HF / BF </t>
    </r>
  </si>
  <si>
    <t>Budget</t>
  </si>
  <si>
    <t>Variance</t>
  </si>
  <si>
    <t>Surface (m)</t>
  </si>
  <si>
    <t>Surface Budget (m)</t>
  </si>
  <si>
    <t>Underground (m)</t>
  </si>
  <si>
    <t>Surface Actual (m)</t>
  </si>
  <si>
    <t>TOTAL METERS (m)</t>
  </si>
  <si>
    <t>UG Budget (m)</t>
  </si>
  <si>
    <t>UG Actual (m)</t>
  </si>
  <si>
    <t>Budget Meters (m)</t>
  </si>
  <si>
    <t>Actual Meters (m)</t>
  </si>
  <si>
    <t>LOCATION</t>
  </si>
  <si>
    <t>OPERATOR</t>
  </si>
  <si>
    <t>RIG #</t>
  </si>
  <si>
    <t>MTD Var</t>
  </si>
  <si>
    <t>SURFACE</t>
  </si>
  <si>
    <t>Tandamanzi</t>
  </si>
  <si>
    <t>Budget (m)</t>
  </si>
  <si>
    <t>Actual (m)</t>
  </si>
  <si>
    <t>TMD 13</t>
  </si>
  <si>
    <t>TOTAL - TMD</t>
  </si>
  <si>
    <t>TMD - Budget (m)</t>
  </si>
  <si>
    <t>TMD - Actual (m)</t>
  </si>
  <si>
    <t>UNDERGROUND</t>
  </si>
  <si>
    <t>Breckridge</t>
  </si>
  <si>
    <t>BDU 400</t>
  </si>
  <si>
    <t>U2-AW</t>
  </si>
  <si>
    <t>U3-9BQ</t>
  </si>
  <si>
    <t>U3-9BQ2</t>
  </si>
  <si>
    <t>U3-9BQ3</t>
  </si>
  <si>
    <t>TOTAL - BRK</t>
  </si>
  <si>
    <t>BRK - Budget (m)</t>
  </si>
  <si>
    <t>BRK - Actual (m)</t>
  </si>
  <si>
    <t>HBF</t>
  </si>
  <si>
    <t>JBC</t>
  </si>
  <si>
    <t>JBC 01</t>
  </si>
  <si>
    <t>NCA</t>
  </si>
  <si>
    <t>JBC 02</t>
  </si>
  <si>
    <t>JBC 03</t>
  </si>
  <si>
    <t>TOTAL - JBC</t>
  </si>
  <si>
    <t>JBC - Budget (m)</t>
  </si>
  <si>
    <t>JBC - Actual (m)</t>
  </si>
  <si>
    <r>
      <t xml:space="preserve">Post a </t>
    </r>
    <r>
      <rPr>
        <b/>
        <sz val="10"/>
        <color theme="1"/>
        <rFont val="Aptos"/>
        <family val="2"/>
      </rPr>
      <t>COMMENT</t>
    </r>
    <r>
      <rPr>
        <sz val="10"/>
        <color theme="1"/>
        <rFont val="Aptos"/>
        <family val="2"/>
      </rPr>
      <t xml:space="preserve"> with </t>
    </r>
    <r>
      <rPr>
        <b/>
        <sz val="10"/>
        <color theme="1"/>
        <rFont val="Aptos"/>
        <family val="2"/>
      </rPr>
      <t>REASON</t>
    </r>
    <r>
      <rPr>
        <sz val="10"/>
        <color theme="1"/>
        <rFont val="Aptos"/>
        <family val="2"/>
      </rPr>
      <t xml:space="preserve"> if Actual is </t>
    </r>
    <r>
      <rPr>
        <b/>
        <sz val="10"/>
        <color theme="1"/>
        <rFont val="Aptos"/>
        <family val="2"/>
      </rPr>
      <t>RED</t>
    </r>
  </si>
  <si>
    <t>Budget ROM Meters (m)</t>
  </si>
  <si>
    <t>Actual ROM Meters (m)</t>
  </si>
  <si>
    <t>Budget CAPEX Meters (m)</t>
  </si>
  <si>
    <t>ROM Metres (m)</t>
  </si>
  <si>
    <t>Actual CAPEX Meters (m)</t>
  </si>
  <si>
    <t>CAPEX Meters (m)</t>
  </si>
  <si>
    <t>Number of Blasts</t>
  </si>
  <si>
    <t>Budget # of Blasts</t>
  </si>
  <si>
    <t>Advance per Blast (m)</t>
  </si>
  <si>
    <t>Actual # of Blasts</t>
  </si>
  <si>
    <t>Budget Advance (m/blst)</t>
  </si>
  <si>
    <t>Ave. Advance (m/blst)</t>
  </si>
  <si>
    <t>PRIORITY</t>
  </si>
  <si>
    <t>Development_ends</t>
  </si>
  <si>
    <t>METERS</t>
  </si>
  <si>
    <t>Variance (%)</t>
  </si>
  <si>
    <t>`</t>
  </si>
  <si>
    <t xml:space="preserve">       </t>
  </si>
  <si>
    <t>4L_W7 WASTE PASS ACCESS</t>
  </si>
  <si>
    <t>10L_W7B_BOX RSE</t>
  </si>
  <si>
    <t xml:space="preserve"> 8L_W17_SL_1_WEST 	
	</t>
  </si>
  <si>
    <t>Whaleside</t>
  </si>
  <si>
    <t>Ore Generation</t>
  </si>
  <si>
    <t>BROKEN - MTD</t>
  </si>
  <si>
    <t>% Variance to Plan</t>
  </si>
  <si>
    <t>Level</t>
  </si>
  <si>
    <t>Stope ID</t>
  </si>
  <si>
    <t>Tonnes(t)</t>
  </si>
  <si>
    <t>Gold (Kg)</t>
  </si>
  <si>
    <t>Total Section</t>
  </si>
  <si>
    <t>Grand Total</t>
  </si>
  <si>
    <r>
      <t xml:space="preserve">Misfire - </t>
    </r>
    <r>
      <rPr>
        <b/>
        <sz val="10"/>
        <color theme="1"/>
        <rFont val="Aptos"/>
        <family val="2"/>
      </rPr>
      <t>MF</t>
    </r>
  </si>
  <si>
    <t>Stoping</t>
  </si>
  <si>
    <r>
      <t>Internal Waste -</t>
    </r>
    <r>
      <rPr>
        <b/>
        <sz val="10"/>
        <color theme="1"/>
        <rFont val="Aptos"/>
        <family val="2"/>
      </rPr>
      <t xml:space="preserve"> IW</t>
    </r>
  </si>
  <si>
    <r>
      <t xml:space="preserve">Instope Scaling - </t>
    </r>
    <r>
      <rPr>
        <b/>
        <sz val="10"/>
        <color theme="1"/>
        <rFont val="Aptos"/>
        <family val="2"/>
      </rPr>
      <t>IS</t>
    </r>
  </si>
  <si>
    <r>
      <t xml:space="preserve">Reef Pinched - </t>
    </r>
    <r>
      <rPr>
        <b/>
        <sz val="10"/>
        <color theme="1"/>
        <rFont val="Aptos"/>
        <family val="2"/>
      </rPr>
      <t>RP</t>
    </r>
  </si>
  <si>
    <r>
      <t xml:space="preserve">Barren BIF - </t>
    </r>
    <r>
      <rPr>
        <b/>
        <sz val="10"/>
        <color theme="1"/>
        <rFont val="Aptos"/>
        <family val="2"/>
      </rPr>
      <t>BB</t>
    </r>
  </si>
  <si>
    <t>Tonnes Blasted</t>
  </si>
  <si>
    <t>Daily Budget (t)</t>
  </si>
  <si>
    <t>Daily Actual (t)</t>
  </si>
  <si>
    <t>Daily Budget (g/t)</t>
  </si>
  <si>
    <t>Daily Actual (g/t)</t>
  </si>
  <si>
    <t>Daily Budget (kg)</t>
  </si>
  <si>
    <t>Daily Actual (kg)</t>
  </si>
  <si>
    <t>Stopes</t>
  </si>
  <si>
    <t>Budget (t)</t>
  </si>
  <si>
    <t>Actual (t)</t>
  </si>
  <si>
    <t>Budget (g/t)</t>
  </si>
  <si>
    <t>Actual (g/t)</t>
  </si>
  <si>
    <t>Budget (kg)</t>
  </si>
  <si>
    <t>Actual (kg)</t>
  </si>
  <si>
    <r>
      <t xml:space="preserve">Loco Breakdown - </t>
    </r>
    <r>
      <rPr>
        <b/>
        <sz val="10"/>
        <color theme="1"/>
        <rFont val="Aptos"/>
        <family val="2"/>
      </rPr>
      <t>LcBD</t>
    </r>
  </si>
  <si>
    <r>
      <t xml:space="preserve">Flooding - </t>
    </r>
    <r>
      <rPr>
        <b/>
        <sz val="10"/>
        <color theme="1"/>
        <rFont val="Aptos"/>
        <family val="2"/>
      </rPr>
      <t>FLD</t>
    </r>
  </si>
  <si>
    <r>
      <t xml:space="preserve">Awaiting Assay Results - </t>
    </r>
    <r>
      <rPr>
        <b/>
        <sz val="10"/>
        <color theme="1"/>
        <rFont val="Aptos"/>
        <family val="2"/>
      </rPr>
      <t>AAR</t>
    </r>
  </si>
  <si>
    <r>
      <t xml:space="preserve">No Sample - </t>
    </r>
    <r>
      <rPr>
        <b/>
        <sz val="10"/>
        <color theme="1"/>
        <rFont val="Aptos"/>
        <family val="2"/>
      </rPr>
      <t>NS</t>
    </r>
  </si>
  <si>
    <r>
      <t xml:space="preserve">Reduced Draw - </t>
    </r>
    <r>
      <rPr>
        <b/>
        <sz val="10"/>
        <rFont val="Aptos"/>
        <family val="2"/>
      </rPr>
      <t>RD</t>
    </r>
    <r>
      <rPr>
        <sz val="10"/>
        <rFont val="Aptos"/>
        <family val="2"/>
      </rPr>
      <t xml:space="preserve">; Blockages - </t>
    </r>
    <r>
      <rPr>
        <b/>
        <sz val="10"/>
        <rFont val="Aptos"/>
        <family val="2"/>
      </rPr>
      <t>BLKG</t>
    </r>
  </si>
  <si>
    <t>Trammed (t)</t>
  </si>
  <si>
    <t>BOX ID</t>
  </si>
  <si>
    <t>COMMENTS</t>
  </si>
  <si>
    <t xml:space="preserve">  </t>
  </si>
  <si>
    <t xml:space="preserve">                                   </t>
  </si>
  <si>
    <t>.</t>
  </si>
  <si>
    <t>SG</t>
  </si>
  <si>
    <r>
      <t xml:space="preserve">Reduced Draw - </t>
    </r>
    <r>
      <rPr>
        <b/>
        <sz val="10"/>
        <rFont val="Aptos"/>
        <family val="2"/>
      </rPr>
      <t>RD</t>
    </r>
  </si>
  <si>
    <t>Hoisted (t)</t>
  </si>
  <si>
    <t>Source</t>
  </si>
  <si>
    <t>Trucking (HOWO)</t>
  </si>
  <si>
    <t># of Loads</t>
  </si>
  <si>
    <t>Southwell</t>
  </si>
  <si>
    <t>Concession</t>
  </si>
  <si>
    <t>Volume (LCM)</t>
  </si>
  <si>
    <t>Delivered Tonnes</t>
  </si>
  <si>
    <t>Delivered Grade</t>
  </si>
  <si>
    <t>Delivered Gold</t>
  </si>
  <si>
    <t>Concession Adit</t>
  </si>
  <si>
    <t>Tonnage Delivered</t>
  </si>
  <si>
    <t>Lobe Shaft</t>
  </si>
  <si>
    <t>Skips Hoisted</t>
  </si>
  <si>
    <t>Budget Skips</t>
  </si>
  <si>
    <t>Actual Skips</t>
  </si>
  <si>
    <t>Tonnage Hoisted</t>
  </si>
  <si>
    <t>Effective Skip Factor</t>
  </si>
  <si>
    <t>Tonnage Reconciliation</t>
  </si>
  <si>
    <t>Delivered vs Hoisted</t>
  </si>
  <si>
    <t>METERS BELOW 10L</t>
  </si>
  <si>
    <t>@Start of Month</t>
  </si>
  <si>
    <t>PROJECTS DAILY CONTROL SHEET</t>
  </si>
  <si>
    <t>Water Level (m)</t>
  </si>
  <si>
    <t>Year</t>
  </si>
  <si>
    <t>Subvert Lashing (m)</t>
  </si>
  <si>
    <t>July</t>
  </si>
  <si>
    <t>Hoist Chamber % Completion</t>
  </si>
  <si>
    <t>PUG 3 COMMISSIONING DATE</t>
  </si>
  <si>
    <t>Subvert</t>
  </si>
  <si>
    <t>Forecast</t>
  </si>
  <si>
    <t>Variance (days)</t>
  </si>
  <si>
    <t>Venning</t>
  </si>
  <si>
    <t>Burnett</t>
  </si>
  <si>
    <t>DEWATERING TO 10.5L</t>
  </si>
  <si>
    <t>Target (m)</t>
  </si>
  <si>
    <t>Required Rate (m/day)</t>
  </si>
  <si>
    <t>ACTIVITY</t>
  </si>
  <si>
    <t>SOUTHWELL</t>
  </si>
  <si>
    <t>Slype and Support from 10L to 10.5L</t>
  </si>
  <si>
    <t>Budget % Progress</t>
  </si>
  <si>
    <t>Actual % Progress</t>
  </si>
  <si>
    <t>Installation of 10.5L Loading station.</t>
  </si>
  <si>
    <t>DEWATERING</t>
  </si>
  <si>
    <t>Meters below 10L</t>
  </si>
  <si>
    <t>Dewatering Advance</t>
  </si>
  <si>
    <t>Volumes</t>
  </si>
  <si>
    <r>
      <t>Venning Pump to 6L (m</t>
    </r>
    <r>
      <rPr>
        <vertAlign val="superscript"/>
        <sz val="10"/>
        <color theme="1"/>
        <rFont val="Aptos"/>
        <family val="2"/>
      </rPr>
      <t>3</t>
    </r>
    <r>
      <rPr>
        <sz val="10"/>
        <color theme="1"/>
        <rFont val="Aptos"/>
        <family val="2"/>
      </rPr>
      <t>)</t>
    </r>
  </si>
  <si>
    <r>
      <t>1st 147kW to Surface (m</t>
    </r>
    <r>
      <rPr>
        <vertAlign val="superscript"/>
        <sz val="10"/>
        <color theme="1"/>
        <rFont val="Aptos"/>
        <family val="2"/>
      </rPr>
      <t>3</t>
    </r>
    <r>
      <rPr>
        <sz val="10"/>
        <color theme="1"/>
        <rFont val="Aptos"/>
        <family val="2"/>
      </rPr>
      <t>)</t>
    </r>
  </si>
  <si>
    <r>
      <rPr>
        <b/>
        <sz val="10"/>
        <color rgb="FF000000"/>
        <rFont val="Aptos"/>
        <family val="2"/>
      </rPr>
      <t>185kW to Surface (m</t>
    </r>
    <r>
      <rPr>
        <b/>
        <vertAlign val="superscript"/>
        <sz val="10"/>
        <color rgb="FF000000"/>
        <rFont val="Aptos"/>
        <family val="2"/>
      </rPr>
      <t>3</t>
    </r>
    <r>
      <rPr>
        <b/>
        <sz val="10"/>
        <color rgb="FF000000"/>
        <rFont val="Aptos"/>
        <family val="2"/>
      </rPr>
      <t>)</t>
    </r>
  </si>
  <si>
    <r>
      <t>2L Cascade to Surface (m</t>
    </r>
    <r>
      <rPr>
        <b/>
        <vertAlign val="superscript"/>
        <sz val="10"/>
        <color theme="1"/>
        <rFont val="Aptos"/>
        <family val="2"/>
      </rPr>
      <t>3</t>
    </r>
    <r>
      <rPr>
        <b/>
        <sz val="10"/>
        <color theme="1"/>
        <rFont val="Aptos"/>
        <family val="2"/>
      </rPr>
      <t>)</t>
    </r>
  </si>
  <si>
    <r>
      <t>Total Discharge To Surface (m</t>
    </r>
    <r>
      <rPr>
        <b/>
        <vertAlign val="superscript"/>
        <sz val="10"/>
        <color theme="1"/>
        <rFont val="Aptos"/>
        <family val="2"/>
      </rPr>
      <t>3</t>
    </r>
    <r>
      <rPr>
        <b/>
        <sz val="10"/>
        <color theme="1"/>
        <rFont val="Aptos"/>
        <family val="2"/>
      </rPr>
      <t>)</t>
    </r>
  </si>
  <si>
    <r>
      <t>Drilling Water into the Mine (m</t>
    </r>
    <r>
      <rPr>
        <b/>
        <vertAlign val="superscript"/>
        <sz val="10"/>
        <color theme="1"/>
        <rFont val="Aptos"/>
        <family val="2"/>
      </rPr>
      <t>3</t>
    </r>
    <r>
      <rPr>
        <b/>
        <sz val="10"/>
        <color theme="1"/>
        <rFont val="Aptos"/>
        <family val="2"/>
      </rPr>
      <t>)</t>
    </r>
  </si>
  <si>
    <r>
      <t>Net Volume Pumped (m</t>
    </r>
    <r>
      <rPr>
        <b/>
        <strike/>
        <vertAlign val="superscript"/>
        <sz val="10"/>
        <color theme="1"/>
        <rFont val="Aptos"/>
        <family val="2"/>
      </rPr>
      <t>3</t>
    </r>
    <r>
      <rPr>
        <b/>
        <sz val="10"/>
        <color theme="1"/>
        <rFont val="Aptos"/>
        <family val="2"/>
      </rPr>
      <t>)</t>
    </r>
  </si>
  <si>
    <t>Running Hours</t>
  </si>
  <si>
    <t>Venning Pump Hours</t>
  </si>
  <si>
    <t>1st 147kw Pump Hours</t>
  </si>
  <si>
    <t>2nd 147kw Pump Hours</t>
  </si>
  <si>
    <t>2L Cascade Pump Hours</t>
  </si>
  <si>
    <t>VENNING</t>
  </si>
  <si>
    <t>Hoist Installation &amp; Commissioning</t>
  </si>
  <si>
    <t>Budget % Complete</t>
  </si>
  <si>
    <t>VENNING EXTENSION</t>
  </si>
  <si>
    <t>Installation of ladders</t>
  </si>
  <si>
    <t xml:space="preserve">10L Haulage </t>
  </si>
  <si>
    <t>Installation of rails</t>
  </si>
  <si>
    <t>Installation of pipes</t>
  </si>
  <si>
    <t>Processing Plant</t>
  </si>
  <si>
    <t>Budget Tonnes (t)</t>
  </si>
  <si>
    <t>Daily Crushed (t)</t>
  </si>
  <si>
    <t>Daily Milled (t)</t>
  </si>
  <si>
    <t>Budget Grade (g/t)</t>
  </si>
  <si>
    <t>Daily Crushed (g/t)</t>
  </si>
  <si>
    <t>Daily Milled (g/t)</t>
  </si>
  <si>
    <t>Daily CIL (g/t)</t>
  </si>
  <si>
    <t>Budget Tails (g/t)</t>
  </si>
  <si>
    <t>Mill Feed</t>
  </si>
  <si>
    <t>Daily Tails (g/t)</t>
  </si>
  <si>
    <t>Budget Gold (kg)</t>
  </si>
  <si>
    <t>Daily Crushed (kg)</t>
  </si>
  <si>
    <t>Daily Milled (kg)</t>
  </si>
  <si>
    <t>Budget Tails</t>
  </si>
  <si>
    <t>Daily CIL (kg)</t>
  </si>
  <si>
    <t>Actual Tails</t>
  </si>
  <si>
    <t>Budget Tails (kg)</t>
  </si>
  <si>
    <t>Daily Tails (kg)</t>
  </si>
  <si>
    <t>Tonnage</t>
  </si>
  <si>
    <t>1.75 - Ore depletion</t>
  </si>
  <si>
    <t>Crushed (t)</t>
  </si>
  <si>
    <t>Crushed (g/t)</t>
  </si>
  <si>
    <t>Crushed (kg)</t>
  </si>
  <si>
    <t xml:space="preserve">3.03 - Ore depletion </t>
  </si>
  <si>
    <t>Milled (t)</t>
  </si>
  <si>
    <t>1.93 - Tunnel vibro-feeder blockage</t>
  </si>
  <si>
    <t>1.32 - Surge bin clearing</t>
  </si>
  <si>
    <t>Milled (g/t)</t>
  </si>
  <si>
    <t>Milled (kg)</t>
  </si>
  <si>
    <t>CIL</t>
  </si>
  <si>
    <t>CIL (g/t)</t>
  </si>
  <si>
    <t>CIL (kg)</t>
  </si>
  <si>
    <t>Tails (g/t)</t>
  </si>
  <si>
    <t>Tails (kg)</t>
  </si>
  <si>
    <t>Wekly Tonnage Reconciliation</t>
  </si>
  <si>
    <t>Week:</t>
  </si>
  <si>
    <t>PERIOD ENDING</t>
  </si>
  <si>
    <t>INVENTORY AT CLOSE OF PERIOD</t>
  </si>
  <si>
    <t>Fine Ore Stockpiles</t>
  </si>
  <si>
    <t>Mill Spillages</t>
  </si>
  <si>
    <t>Mill Scats</t>
  </si>
  <si>
    <t>Fine Ore (Live)</t>
  </si>
  <si>
    <t>Crusher Spillage</t>
  </si>
  <si>
    <t xml:space="preserve"> Fine Ore Purchases</t>
  </si>
  <si>
    <t>Total Fine Ore Inventory</t>
  </si>
  <si>
    <t>Uncrushed Ore Stockpiles</t>
  </si>
  <si>
    <t>ROM Pad (Ex PUG)</t>
  </si>
  <si>
    <t>ROM Pad (Ex Pit&amp;SP)</t>
  </si>
  <si>
    <t>ROM Pad (Ex Ore Purchases)</t>
  </si>
  <si>
    <t>Total Uncrushed Ore Inventory</t>
  </si>
  <si>
    <t>CHANGE IN INVENTORY</t>
  </si>
  <si>
    <t>Fine Ore (Ex Sands Purchases)</t>
  </si>
  <si>
    <t>Total Change in Fine Ore Inventory</t>
  </si>
  <si>
    <t>Uncrushed Stockpiles</t>
  </si>
  <si>
    <t>Total Change in Uncrushed Ore Stockpiles</t>
  </si>
  <si>
    <t>REPORTED ORE VALUES</t>
  </si>
  <si>
    <r>
      <t xml:space="preserve">Reported Fine Ore Crushed </t>
    </r>
    <r>
      <rPr>
        <sz val="10"/>
        <color rgb="FFFF0000"/>
        <rFont val="Aptos"/>
        <family val="2"/>
      </rPr>
      <t>(Weightometer)</t>
    </r>
  </si>
  <si>
    <r>
      <t xml:space="preserve">Milled Ore </t>
    </r>
    <r>
      <rPr>
        <sz val="10"/>
        <color rgb="FFFF0000"/>
        <rFont val="Aptos"/>
        <family val="2"/>
      </rPr>
      <t>(Weightometer)</t>
    </r>
  </si>
  <si>
    <r>
      <t xml:space="preserve">Ore Deliveries </t>
    </r>
    <r>
      <rPr>
        <sz val="10"/>
        <color rgb="FFFF0000"/>
        <rFont val="Aptos"/>
        <family val="2"/>
      </rPr>
      <t>(Mining)</t>
    </r>
  </si>
  <si>
    <t>RECONCILED ORE VALUES</t>
  </si>
  <si>
    <t>Calculated Fine Ore Available for Milling</t>
  </si>
  <si>
    <t xml:space="preserve">Calculated Fine Ore Crushed </t>
  </si>
  <si>
    <t>Calculated Fine Ore Variance</t>
  </si>
  <si>
    <t>Crusher Weightometer Variance</t>
  </si>
  <si>
    <t>%</t>
  </si>
  <si>
    <t>Lobe</t>
  </si>
  <si>
    <t>Cum Budget (t)</t>
  </si>
  <si>
    <t>Cum Actual (t)</t>
  </si>
  <si>
    <t>LEVEL</t>
  </si>
  <si>
    <t>W23</t>
  </si>
  <si>
    <t>HLGE</t>
  </si>
  <si>
    <t>RCH</t>
  </si>
  <si>
    <t>DISTANCE FROM PEG(m)</t>
  </si>
  <si>
    <t>DIRECTION</t>
  </si>
  <si>
    <t>PEG ID</t>
  </si>
  <si>
    <t>FROM (m)</t>
  </si>
  <si>
    <t>TO (m)</t>
  </si>
  <si>
    <t>SAMPLE WIDTH (m)</t>
  </si>
  <si>
    <t>SAMPLEID</t>
  </si>
  <si>
    <t>AU</t>
  </si>
  <si>
    <t>FACE Average Grade (g/t)</t>
  </si>
  <si>
    <t>SAMPLER</t>
  </si>
  <si>
    <t>GEOTECH</t>
  </si>
  <si>
    <t>RCH NUMBER</t>
  </si>
  <si>
    <t>LITHOLOGY</t>
  </si>
  <si>
    <t>6L</t>
  </si>
  <si>
    <t>W2</t>
  </si>
  <si>
    <t>SBL1</t>
  </si>
  <si>
    <t>FCH</t>
  </si>
  <si>
    <t>East</t>
  </si>
  <si>
    <t>P01123</t>
  </si>
  <si>
    <t>MM964265</t>
  </si>
  <si>
    <t>MM964266</t>
  </si>
  <si>
    <t>West</t>
  </si>
  <si>
    <t>P01120</t>
  </si>
  <si>
    <t>MM964267</t>
  </si>
  <si>
    <t>MM964268</t>
  </si>
  <si>
    <t>MM964269</t>
  </si>
  <si>
    <t>5L</t>
  </si>
  <si>
    <t>W12</t>
  </si>
  <si>
    <t>CON-DRV</t>
  </si>
  <si>
    <t>SLG</t>
  </si>
  <si>
    <t>W12_RSE</t>
  </si>
  <si>
    <t>MM964275</t>
  </si>
  <si>
    <t>MM964276</t>
  </si>
  <si>
    <t>MM964277</t>
  </si>
  <si>
    <t>MM964278</t>
  </si>
  <si>
    <t>MM964279</t>
  </si>
  <si>
    <t>MM964280</t>
  </si>
  <si>
    <t>P0927</t>
  </si>
  <si>
    <t>MM964281</t>
  </si>
  <si>
    <t>MM964282</t>
  </si>
  <si>
    <t>MM964283</t>
  </si>
  <si>
    <t>MM964284</t>
  </si>
  <si>
    <t>MM964285</t>
  </si>
  <si>
    <t>MM964286</t>
  </si>
  <si>
    <t>MM964287</t>
  </si>
  <si>
    <t>MM964288</t>
  </si>
  <si>
    <t>7L</t>
  </si>
  <si>
    <t>W14</t>
  </si>
  <si>
    <t>P1087</t>
  </si>
  <si>
    <t>MM966279</t>
  </si>
  <si>
    <t>MM966280</t>
  </si>
  <si>
    <t>W14A_RSE</t>
  </si>
  <si>
    <t>MM966281</t>
  </si>
  <si>
    <t>MM966282</t>
  </si>
  <si>
    <t>MM966283</t>
  </si>
  <si>
    <t>MM966284</t>
  </si>
  <si>
    <t>8L</t>
  </si>
  <si>
    <t>W16</t>
  </si>
  <si>
    <t>SBL2</t>
  </si>
  <si>
    <t>P1088</t>
  </si>
  <si>
    <t>MM966285</t>
  </si>
  <si>
    <t>MM966286</t>
  </si>
  <si>
    <t>MM966287</t>
  </si>
  <si>
    <t>W15</t>
  </si>
  <si>
    <t>RSE</t>
  </si>
  <si>
    <t>Up</t>
  </si>
  <si>
    <t>W15A_RSE</t>
  </si>
  <si>
    <t>MM966288</t>
  </si>
  <si>
    <t>MM966289</t>
  </si>
  <si>
    <t>W16A_RSE</t>
  </si>
  <si>
    <t>MM966290</t>
  </si>
  <si>
    <t>MM966291</t>
  </si>
  <si>
    <t>P1086</t>
  </si>
  <si>
    <t>MM966267</t>
  </si>
  <si>
    <t>MM966268</t>
  </si>
  <si>
    <t>MM966269</t>
  </si>
  <si>
    <t>BLANK</t>
  </si>
  <si>
    <t>MM966270</t>
  </si>
  <si>
    <t>MM966271</t>
  </si>
  <si>
    <t>MM966272</t>
  </si>
  <si>
    <t>MM966273</t>
  </si>
  <si>
    <t>MM966274</t>
  </si>
  <si>
    <t>STD 0660 3.160g/t</t>
  </si>
  <si>
    <t>MM966275</t>
  </si>
  <si>
    <t>MM966276</t>
  </si>
  <si>
    <t>MM966277</t>
  </si>
  <si>
    <t>MM966278</t>
  </si>
  <si>
    <t>W13</t>
  </si>
  <si>
    <t>x/cS</t>
  </si>
  <si>
    <t>W13_OP</t>
  </si>
  <si>
    <t>MM907011</t>
  </si>
  <si>
    <t>MM907012</t>
  </si>
  <si>
    <t>x/cN</t>
  </si>
  <si>
    <t>MM907013</t>
  </si>
  <si>
    <t>MM907014</t>
  </si>
  <si>
    <t>W13B_OP</t>
  </si>
  <si>
    <t>MM907015</t>
  </si>
  <si>
    <t>MM907016</t>
  </si>
  <si>
    <t>MM907017</t>
  </si>
  <si>
    <t>SBL3</t>
  </si>
  <si>
    <t>P1105</t>
  </si>
  <si>
    <t>MM907018</t>
  </si>
  <si>
    <t>MM907019</t>
  </si>
  <si>
    <t>P1120</t>
  </si>
  <si>
    <t>MM907020</t>
  </si>
  <si>
    <t>MM907021</t>
  </si>
  <si>
    <t>SDC</t>
  </si>
  <si>
    <t>W13_RSE</t>
  </si>
  <si>
    <t>MM907034</t>
  </si>
  <si>
    <t>MM907035</t>
  </si>
  <si>
    <t>MM907036</t>
  </si>
  <si>
    <t>MM907037</t>
  </si>
  <si>
    <t>P1124</t>
  </si>
  <si>
    <t>MM907038</t>
  </si>
  <si>
    <t>MM907039</t>
  </si>
  <si>
    <t>MM907040</t>
  </si>
  <si>
    <t>W13B_RSE</t>
  </si>
  <si>
    <t>MM907041</t>
  </si>
  <si>
    <t>MM907042</t>
  </si>
  <si>
    <t>W14_DRW</t>
  </si>
  <si>
    <t>MM907043</t>
  </si>
  <si>
    <t>EAST</t>
  </si>
  <si>
    <t>MM907044</t>
  </si>
  <si>
    <t>WEST</t>
  </si>
  <si>
    <t>3L</t>
  </si>
  <si>
    <t>P0533</t>
  </si>
  <si>
    <t>MM905386</t>
  </si>
  <si>
    <t>MM905387</t>
  </si>
  <si>
    <t>MM905388</t>
  </si>
  <si>
    <t>MM905389</t>
  </si>
  <si>
    <t>MM905390</t>
  </si>
  <si>
    <t>MM905391</t>
  </si>
  <si>
    <t>MM905392</t>
  </si>
  <si>
    <t>MM905393</t>
  </si>
  <si>
    <t>MM905394</t>
  </si>
  <si>
    <t>MM905395</t>
  </si>
  <si>
    <t>MM905396</t>
  </si>
  <si>
    <t>MM905397</t>
  </si>
  <si>
    <t>MM905398</t>
  </si>
  <si>
    <t>MM905399</t>
  </si>
  <si>
    <t>MM905400</t>
  </si>
  <si>
    <t>MM905601</t>
  </si>
  <si>
    <t>MM905602</t>
  </si>
  <si>
    <t>MM905603</t>
  </si>
  <si>
    <t>MM905604</t>
  </si>
  <si>
    <t>MM905605</t>
  </si>
  <si>
    <t>MM905606</t>
  </si>
  <si>
    <t>STD UGGS012493</t>
  </si>
  <si>
    <t>MM907515</t>
  </si>
  <si>
    <t>W15_OP</t>
  </si>
  <si>
    <t>MM907516</t>
  </si>
  <si>
    <t>MM907517</t>
  </si>
  <si>
    <t>MM907518</t>
  </si>
  <si>
    <t>MM907519</t>
  </si>
  <si>
    <t>P1111</t>
  </si>
  <si>
    <t>MM907520</t>
  </si>
  <si>
    <t>MM907521</t>
  </si>
  <si>
    <t>MM907522</t>
  </si>
  <si>
    <t>MM907523</t>
  </si>
  <si>
    <t>MM907524</t>
  </si>
  <si>
    <t>MM907525</t>
  </si>
  <si>
    <t>MM907526</t>
  </si>
  <si>
    <t>MM907527</t>
  </si>
  <si>
    <t>MM907528</t>
  </si>
  <si>
    <t>MM907529</t>
  </si>
  <si>
    <t>FDUP</t>
  </si>
  <si>
    <t>MM907530</t>
  </si>
  <si>
    <t>MM946317</t>
  </si>
  <si>
    <t>MM946318</t>
  </si>
  <si>
    <t>MM946319</t>
  </si>
  <si>
    <t>MM946320</t>
  </si>
  <si>
    <t>MM946321</t>
  </si>
  <si>
    <t>MM946322</t>
  </si>
  <si>
    <t>MM946323</t>
  </si>
  <si>
    <t>MM946324</t>
  </si>
  <si>
    <t>MM946325</t>
  </si>
  <si>
    <t>MM946326</t>
  </si>
  <si>
    <t>MM946327</t>
  </si>
  <si>
    <t>MM946328</t>
  </si>
  <si>
    <t>W16B_RSE</t>
  </si>
  <si>
    <t>MM946329</t>
  </si>
  <si>
    <t>MM946330</t>
  </si>
  <si>
    <t>MM946331</t>
  </si>
  <si>
    <t>MM946332</t>
  </si>
  <si>
    <t>MM946333</t>
  </si>
  <si>
    <t>MM946334</t>
  </si>
  <si>
    <t>MM946335</t>
  </si>
  <si>
    <t>MM946336</t>
  </si>
  <si>
    <t>MM946337</t>
  </si>
  <si>
    <t>MM946338</t>
  </si>
  <si>
    <t>MM946339</t>
  </si>
  <si>
    <t>P1102</t>
  </si>
  <si>
    <t>MM907046</t>
  </si>
  <si>
    <t>MM907047</t>
  </si>
  <si>
    <t>MM907048</t>
  </si>
  <si>
    <t>MM907049</t>
  </si>
  <si>
    <t>MM907050</t>
  </si>
  <si>
    <t>MM907051</t>
  </si>
  <si>
    <t>MM907052</t>
  </si>
  <si>
    <t>MM907053</t>
  </si>
  <si>
    <t>MM907054</t>
  </si>
  <si>
    <t>P0409</t>
  </si>
  <si>
    <t>MM905638</t>
  </si>
  <si>
    <t>MM905639</t>
  </si>
  <si>
    <t>MM905640</t>
  </si>
  <si>
    <t>MM905641</t>
  </si>
  <si>
    <t>MM905642</t>
  </si>
  <si>
    <t>MM905643</t>
  </si>
  <si>
    <t>MM905644</t>
  </si>
  <si>
    <t>MM905645</t>
  </si>
  <si>
    <t>MM905646</t>
  </si>
  <si>
    <t>MM964340</t>
  </si>
  <si>
    <t>MM964341</t>
  </si>
  <si>
    <t>MM964342</t>
  </si>
  <si>
    <t>MM964343</t>
  </si>
  <si>
    <t>MM964344</t>
  </si>
  <si>
    <t>MM964345</t>
  </si>
  <si>
    <t>MM964346</t>
  </si>
  <si>
    <t>MM964347</t>
  </si>
  <si>
    <t>MM964348</t>
  </si>
  <si>
    <t>MM964349</t>
  </si>
  <si>
    <t>MM964350</t>
  </si>
  <si>
    <t>MM964351</t>
  </si>
  <si>
    <t>MM964352</t>
  </si>
  <si>
    <t>MM964353</t>
  </si>
  <si>
    <t>MM964354</t>
  </si>
  <si>
    <t>MM964355</t>
  </si>
  <si>
    <t>MM964356</t>
  </si>
  <si>
    <t>MM964357</t>
  </si>
  <si>
    <t>MM964358</t>
  </si>
  <si>
    <t>MM964359</t>
  </si>
  <si>
    <t>MM964360</t>
  </si>
  <si>
    <t>MM964361</t>
  </si>
  <si>
    <t>MM964362</t>
  </si>
  <si>
    <t>2L</t>
  </si>
  <si>
    <t>W29</t>
  </si>
  <si>
    <t>W29_RSE</t>
  </si>
  <si>
    <t>MM905683</t>
  </si>
  <si>
    <t>MM905684</t>
  </si>
  <si>
    <t>10L</t>
  </si>
  <si>
    <t>W7</t>
  </si>
  <si>
    <t>P0850</t>
  </si>
  <si>
    <t>MM905701</t>
  </si>
  <si>
    <t>MM905702</t>
  </si>
  <si>
    <t>W7B_RSE</t>
  </si>
  <si>
    <t>MM905703</t>
  </si>
  <si>
    <t>MM905704</t>
  </si>
  <si>
    <t>MM905705</t>
  </si>
  <si>
    <t>W7C_RSE</t>
  </si>
  <si>
    <t>MM905706</t>
  </si>
  <si>
    <t>MM905707</t>
  </si>
  <si>
    <t>E3</t>
  </si>
  <si>
    <t>E3C_RSE</t>
  </si>
  <si>
    <t>MM905708</t>
  </si>
  <si>
    <t>MM905709</t>
  </si>
  <si>
    <t>E3A_RSE</t>
  </si>
  <si>
    <t>MM905710</t>
  </si>
  <si>
    <t>MM905711</t>
  </si>
  <si>
    <t>MM905712</t>
  </si>
  <si>
    <t>MM907061</t>
  </si>
  <si>
    <t>MM907062</t>
  </si>
  <si>
    <t>MM907063</t>
  </si>
  <si>
    <t>MM907064</t>
  </si>
  <si>
    <t>MM907065</t>
  </si>
  <si>
    <t>W13C_RSE</t>
  </si>
  <si>
    <t>MM907066</t>
  </si>
  <si>
    <t>MM907067</t>
  </si>
  <si>
    <t>W11</t>
  </si>
  <si>
    <t>W11_OP</t>
  </si>
  <si>
    <t>MM907068</t>
  </si>
  <si>
    <t>MM907069</t>
  </si>
  <si>
    <t>MM964363</t>
  </si>
  <si>
    <t>MM964364</t>
  </si>
  <si>
    <t>MM964365</t>
  </si>
  <si>
    <t>MM964366</t>
  </si>
  <si>
    <t>MM964367</t>
  </si>
  <si>
    <t>MM964368</t>
  </si>
  <si>
    <t>MM964369</t>
  </si>
  <si>
    <t>MM964370</t>
  </si>
  <si>
    <t>MM964371</t>
  </si>
  <si>
    <t>MM964372</t>
  </si>
  <si>
    <t>MM964373</t>
  </si>
  <si>
    <t>MM964374</t>
  </si>
  <si>
    <t>MM964375</t>
  </si>
  <si>
    <t>MM964376</t>
  </si>
  <si>
    <t>MM964377</t>
  </si>
  <si>
    <t>MM964378</t>
  </si>
  <si>
    <t>MM964379</t>
  </si>
  <si>
    <t>MM964380</t>
  </si>
  <si>
    <t>MM964381</t>
  </si>
  <si>
    <t>MM964382</t>
  </si>
  <si>
    <t>MM964383</t>
  </si>
  <si>
    <t>MM964384</t>
  </si>
  <si>
    <t>MM964385</t>
  </si>
  <si>
    <t>MM964386</t>
  </si>
  <si>
    <t>MM964387</t>
  </si>
  <si>
    <t>MM964388</t>
  </si>
  <si>
    <t>MM964389</t>
  </si>
  <si>
    <t>MM964390</t>
  </si>
  <si>
    <t>MM964391</t>
  </si>
  <si>
    <t>MM964392</t>
  </si>
  <si>
    <t>MM964393</t>
  </si>
  <si>
    <t>MM964394</t>
  </si>
  <si>
    <t>MM964395</t>
  </si>
  <si>
    <t>MM964396</t>
  </si>
  <si>
    <t>MM964397</t>
  </si>
  <si>
    <t>MM964398</t>
  </si>
  <si>
    <t>MM964399</t>
  </si>
  <si>
    <t>MM904142</t>
  </si>
  <si>
    <t>SW</t>
  </si>
  <si>
    <t>NW</t>
  </si>
  <si>
    <t>SECTION</t>
  </si>
  <si>
    <t>SAMPLE TYPE</t>
  </si>
  <si>
    <t>DEPTH (m)</t>
  </si>
  <si>
    <t>FROM</t>
  </si>
  <si>
    <t>TO</t>
  </si>
  <si>
    <t>SAMPLE WIDTH</t>
  </si>
  <si>
    <t>SAMPLE ID</t>
  </si>
  <si>
    <t>STOPE .AV</t>
  </si>
  <si>
    <t>FLCH</t>
  </si>
  <si>
    <t>W23_OP</t>
  </si>
  <si>
    <t>MM905313</t>
  </si>
  <si>
    <t>MM905314</t>
  </si>
  <si>
    <t>STD 0925  1.04g/t</t>
  </si>
  <si>
    <t>MM905315</t>
  </si>
  <si>
    <t>MM905316</t>
  </si>
  <si>
    <t>MM905317</t>
  </si>
  <si>
    <t>MM905318</t>
  </si>
  <si>
    <t>MM905319</t>
  </si>
  <si>
    <t>MM905320</t>
  </si>
  <si>
    <t>MM905321</t>
  </si>
  <si>
    <t>MM905322</t>
  </si>
  <si>
    <t>SCH</t>
  </si>
  <si>
    <t>South</t>
  </si>
  <si>
    <t>MM905323</t>
  </si>
  <si>
    <t>MM905324</t>
  </si>
  <si>
    <t>MM905325</t>
  </si>
  <si>
    <t>MM905326</t>
  </si>
  <si>
    <t>MM905327</t>
  </si>
  <si>
    <t>MM905328</t>
  </si>
  <si>
    <t>W8</t>
  </si>
  <si>
    <t>W8_OP</t>
  </si>
  <si>
    <t>MM905329</t>
  </si>
  <si>
    <t>MM905330</t>
  </si>
  <si>
    <t>MM905331</t>
  </si>
  <si>
    <t>MM905332</t>
  </si>
  <si>
    <t>MM905333</t>
  </si>
  <si>
    <t>MM905334</t>
  </si>
  <si>
    <t>MM905335</t>
  </si>
  <si>
    <t>MM905336</t>
  </si>
  <si>
    <t>MM905337</t>
  </si>
  <si>
    <t>MM905338</t>
  </si>
  <si>
    <t>MM905339</t>
  </si>
  <si>
    <t>4L</t>
  </si>
  <si>
    <t>W25</t>
  </si>
  <si>
    <t>North</t>
  </si>
  <si>
    <t>W25_OP</t>
  </si>
  <si>
    <t>MM905340</t>
  </si>
  <si>
    <t>MM905341</t>
  </si>
  <si>
    <t>MM905342</t>
  </si>
  <si>
    <t>MM905343</t>
  </si>
  <si>
    <t>MM905344</t>
  </si>
  <si>
    <t>MM905345</t>
  </si>
  <si>
    <t>MM905346</t>
  </si>
  <si>
    <t>A</t>
  </si>
  <si>
    <t>W12A_OP</t>
  </si>
  <si>
    <t>MM964270</t>
  </si>
  <si>
    <t>MM964271</t>
  </si>
  <si>
    <t>MM964272</t>
  </si>
  <si>
    <t>MM964273</t>
  </si>
  <si>
    <t>MM964274</t>
  </si>
  <si>
    <t>W18</t>
  </si>
  <si>
    <t>B</t>
  </si>
  <si>
    <t>W18B_OP</t>
  </si>
  <si>
    <t>MM905226</t>
  </si>
  <si>
    <t>MM905227</t>
  </si>
  <si>
    <t>MM905228</t>
  </si>
  <si>
    <t>W15A_OP</t>
  </si>
  <si>
    <t>MM905229</t>
  </si>
  <si>
    <t>MM905230</t>
  </si>
  <si>
    <t>MM905231</t>
  </si>
  <si>
    <t>MM905232</t>
  </si>
  <si>
    <t>MM905233</t>
  </si>
  <si>
    <t>MM905234</t>
  </si>
  <si>
    <t>MM905235</t>
  </si>
  <si>
    <t>MM905236</t>
  </si>
  <si>
    <t>MM905237</t>
  </si>
  <si>
    <t>C</t>
  </si>
  <si>
    <t>W8C_OP</t>
  </si>
  <si>
    <t>MM905238</t>
  </si>
  <si>
    <t>MM905239</t>
  </si>
  <si>
    <t>MM905240</t>
  </si>
  <si>
    <t>MM905241</t>
  </si>
  <si>
    <t>W4</t>
  </si>
  <si>
    <t>W4_OP</t>
  </si>
  <si>
    <t>MM905242</t>
  </si>
  <si>
    <t>MM905243</t>
  </si>
  <si>
    <t>MM905244</t>
  </si>
  <si>
    <t>STD 0660 3.16g/t</t>
  </si>
  <si>
    <t>MM905245</t>
  </si>
  <si>
    <t>MM905246</t>
  </si>
  <si>
    <t>MM905247</t>
  </si>
  <si>
    <t>MM905248</t>
  </si>
  <si>
    <t>MM905249</t>
  </si>
  <si>
    <t>MM905250</t>
  </si>
  <si>
    <t>MM905251</t>
  </si>
  <si>
    <t>W2_OP</t>
  </si>
  <si>
    <t>MM905252</t>
  </si>
  <si>
    <t>MM905253</t>
  </si>
  <si>
    <t>MM905254</t>
  </si>
  <si>
    <t>MM905255</t>
  </si>
  <si>
    <t>MM905256</t>
  </si>
  <si>
    <t>MM905257</t>
  </si>
  <si>
    <t>MM905258</t>
  </si>
  <si>
    <t>E1</t>
  </si>
  <si>
    <t>E1_OP</t>
  </si>
  <si>
    <t>MM905259</t>
  </si>
  <si>
    <t>MM905260</t>
  </si>
  <si>
    <t>W12_OP</t>
  </si>
  <si>
    <t>MM907001</t>
  </si>
  <si>
    <t>MM907002</t>
  </si>
  <si>
    <t>MM907003</t>
  </si>
  <si>
    <t>MM907004</t>
  </si>
  <si>
    <t>MM907005</t>
  </si>
  <si>
    <t>MM907006</t>
  </si>
  <si>
    <t>MM907007</t>
  </si>
  <si>
    <t>MM907008</t>
  </si>
  <si>
    <t>MM907009</t>
  </si>
  <si>
    <t>MM907010</t>
  </si>
  <si>
    <t>W8-OP</t>
  </si>
  <si>
    <t>MM905347</t>
  </si>
  <si>
    <t>MM905348</t>
  </si>
  <si>
    <t>MM905349</t>
  </si>
  <si>
    <t>MM905350</t>
  </si>
  <si>
    <t>MM905351</t>
  </si>
  <si>
    <t>MM905352</t>
  </si>
  <si>
    <t>MM905353</t>
  </si>
  <si>
    <t>MM905354</t>
  </si>
  <si>
    <t>MM905355</t>
  </si>
  <si>
    <t>MM905356</t>
  </si>
  <si>
    <t>MM905357</t>
  </si>
  <si>
    <t>MM905358</t>
  </si>
  <si>
    <t>MM905359</t>
  </si>
  <si>
    <t>MM905360</t>
  </si>
  <si>
    <t>MM905361</t>
  </si>
  <si>
    <t>MM905362</t>
  </si>
  <si>
    <t>MM905363</t>
  </si>
  <si>
    <t>MM905364</t>
  </si>
  <si>
    <t>STD UGHLG 004851</t>
  </si>
  <si>
    <t>MM905365</t>
  </si>
  <si>
    <t>MM905366</t>
  </si>
  <si>
    <t>MM905367</t>
  </si>
  <si>
    <t>MM905368</t>
  </si>
  <si>
    <t>MM905369</t>
  </si>
  <si>
    <t>MM905370</t>
  </si>
  <si>
    <t>MM905371</t>
  </si>
  <si>
    <t>MM905372</t>
  </si>
  <si>
    <t>MM905373</t>
  </si>
  <si>
    <t>MM905374</t>
  </si>
  <si>
    <t>MM905375</t>
  </si>
  <si>
    <t>MM905376</t>
  </si>
  <si>
    <t>MM905261</t>
  </si>
  <si>
    <t>MM905262</t>
  </si>
  <si>
    <t>MM905263</t>
  </si>
  <si>
    <t>MM905264</t>
  </si>
  <si>
    <t>MM905265</t>
  </si>
  <si>
    <t>MM905266</t>
  </si>
  <si>
    <t>MM905267</t>
  </si>
  <si>
    <t>MM905268</t>
  </si>
  <si>
    <t>MM905269</t>
  </si>
  <si>
    <t>MM905270</t>
  </si>
  <si>
    <t>MM905271</t>
  </si>
  <si>
    <t>MM905272</t>
  </si>
  <si>
    <t>MM905273</t>
  </si>
  <si>
    <t>MM905274</t>
  </si>
  <si>
    <t>MM905275</t>
  </si>
  <si>
    <t>MM905276</t>
  </si>
  <si>
    <t>MM905277</t>
  </si>
  <si>
    <t>MM905278</t>
  </si>
  <si>
    <t>MM905279</t>
  </si>
  <si>
    <t>MM905280</t>
  </si>
  <si>
    <t>MM905281</t>
  </si>
  <si>
    <t>MM905282</t>
  </si>
  <si>
    <t>MM905283</t>
  </si>
  <si>
    <t>MM905284</t>
  </si>
  <si>
    <t>STD 0925</t>
  </si>
  <si>
    <t>MM905285</t>
  </si>
  <si>
    <t>MM905286</t>
  </si>
  <si>
    <t>MM905287</t>
  </si>
  <si>
    <t>MM905288</t>
  </si>
  <si>
    <t>MM905289</t>
  </si>
  <si>
    <t>MM905290</t>
  </si>
  <si>
    <t>MM905291</t>
  </si>
  <si>
    <t>MM905292</t>
  </si>
  <si>
    <t>MM967188</t>
  </si>
  <si>
    <t>MM967189</t>
  </si>
  <si>
    <t>MM967190</t>
  </si>
  <si>
    <t>MM967191</t>
  </si>
  <si>
    <t>MM967192</t>
  </si>
  <si>
    <t>MM967193</t>
  </si>
  <si>
    <t>MM967194</t>
  </si>
  <si>
    <t>STD 0925 1.04g/t</t>
  </si>
  <si>
    <t>MM967195</t>
  </si>
  <si>
    <t>MM967196</t>
  </si>
  <si>
    <t>MM967197</t>
  </si>
  <si>
    <t>GRABS</t>
  </si>
  <si>
    <t>MM905293</t>
  </si>
  <si>
    <t>MM905294</t>
  </si>
  <si>
    <t>BLANK UGHLG004857</t>
  </si>
  <si>
    <t>MM905295</t>
  </si>
  <si>
    <t>MM905296</t>
  </si>
  <si>
    <t>MM905297</t>
  </si>
  <si>
    <t>MM905298</t>
  </si>
  <si>
    <t>SLGE</t>
  </si>
  <si>
    <t>MM905299</t>
  </si>
  <si>
    <t>MM905300</t>
  </si>
  <si>
    <t>MM967701</t>
  </si>
  <si>
    <t>MM967702</t>
  </si>
  <si>
    <t>MM967703</t>
  </si>
  <si>
    <t>MM967704</t>
  </si>
  <si>
    <t>MM967705</t>
  </si>
  <si>
    <t>MM967706</t>
  </si>
  <si>
    <t>MM967707</t>
  </si>
  <si>
    <t>MM967708</t>
  </si>
  <si>
    <t>MM967709</t>
  </si>
  <si>
    <t>MM967710</t>
  </si>
  <si>
    <t>MM967711</t>
  </si>
  <si>
    <t>MM967712</t>
  </si>
  <si>
    <t>MM967713</t>
  </si>
  <si>
    <t>MM967714</t>
  </si>
  <si>
    <t>BLANK UGHLG004759</t>
  </si>
  <si>
    <t>MM967715</t>
  </si>
  <si>
    <t>MM967716</t>
  </si>
  <si>
    <t>MM967717</t>
  </si>
  <si>
    <t>MM967718</t>
  </si>
  <si>
    <t>MM967719</t>
  </si>
  <si>
    <t>MM967720</t>
  </si>
  <si>
    <t>MM967722</t>
  </si>
  <si>
    <t>MM967723</t>
  </si>
  <si>
    <t>MM907022</t>
  </si>
  <si>
    <t>MM907023</t>
  </si>
  <si>
    <t>MM907024</t>
  </si>
  <si>
    <t>MM907025</t>
  </si>
  <si>
    <t>MM907026</t>
  </si>
  <si>
    <t>MM907027</t>
  </si>
  <si>
    <t>MM907028</t>
  </si>
  <si>
    <t>MM907029</t>
  </si>
  <si>
    <t>MM907030</t>
  </si>
  <si>
    <t>MM907031</t>
  </si>
  <si>
    <t>NS</t>
  </si>
  <si>
    <t>MM907032</t>
  </si>
  <si>
    <t>MM907033</t>
  </si>
  <si>
    <t>MM905377</t>
  </si>
  <si>
    <t>MM905378</t>
  </si>
  <si>
    <t>MM905379</t>
  </si>
  <si>
    <t>MM905380</t>
  </si>
  <si>
    <t>MM905381</t>
  </si>
  <si>
    <t>MM905382</t>
  </si>
  <si>
    <t>MM905383</t>
  </si>
  <si>
    <t>MM905384</t>
  </si>
  <si>
    <t>MM905607</t>
  </si>
  <si>
    <t>MM905608</t>
  </si>
  <si>
    <t>MM905609</t>
  </si>
  <si>
    <t>MM905610</t>
  </si>
  <si>
    <t>MM905611</t>
  </si>
  <si>
    <t>MM905612</t>
  </si>
  <si>
    <t>MM905613</t>
  </si>
  <si>
    <t>MM905614</t>
  </si>
  <si>
    <t>MM905615</t>
  </si>
  <si>
    <t>MM905616</t>
  </si>
  <si>
    <t>MM905617</t>
  </si>
  <si>
    <t>MM905618</t>
  </si>
  <si>
    <t>MM905619</t>
  </si>
  <si>
    <t>MM905620</t>
  </si>
  <si>
    <t>MM905621</t>
  </si>
  <si>
    <t>MM905622</t>
  </si>
  <si>
    <t>MM905623</t>
  </si>
  <si>
    <t>MM905624</t>
  </si>
  <si>
    <t>MM905625</t>
  </si>
  <si>
    <t>MM905626</t>
  </si>
  <si>
    <t>MM967724</t>
  </si>
  <si>
    <t>MM967725</t>
  </si>
  <si>
    <t>MM967726</t>
  </si>
  <si>
    <t>MM967727</t>
  </si>
  <si>
    <t>MM967728</t>
  </si>
  <si>
    <t>MM967729</t>
  </si>
  <si>
    <t>MM967730</t>
  </si>
  <si>
    <t>MM967731</t>
  </si>
  <si>
    <t>MM967732</t>
  </si>
  <si>
    <t>MM967733</t>
  </si>
  <si>
    <t>MM967734</t>
  </si>
  <si>
    <t>MM967735</t>
  </si>
  <si>
    <t>MM967736</t>
  </si>
  <si>
    <t>MM967737</t>
  </si>
  <si>
    <t>MM967738</t>
  </si>
  <si>
    <t>MM967739</t>
  </si>
  <si>
    <t>MM967740</t>
  </si>
  <si>
    <t>MM967741</t>
  </si>
  <si>
    <t>MM967742</t>
  </si>
  <si>
    <t>MM967743</t>
  </si>
  <si>
    <t>MM967744</t>
  </si>
  <si>
    <t>MM967745</t>
  </si>
  <si>
    <t>MM967746</t>
  </si>
  <si>
    <t>MM967747</t>
  </si>
  <si>
    <t>E1B_OP</t>
  </si>
  <si>
    <t>MM967748</t>
  </si>
  <si>
    <t>MM967749</t>
  </si>
  <si>
    <t>MM967750</t>
  </si>
  <si>
    <t>MM967751</t>
  </si>
  <si>
    <t>MM967752</t>
  </si>
  <si>
    <t>MM967753</t>
  </si>
  <si>
    <t>MM907501</t>
  </si>
  <si>
    <t>MM907502</t>
  </si>
  <si>
    <t>MM907503</t>
  </si>
  <si>
    <t>MM907504</t>
  </si>
  <si>
    <t>MM907505</t>
  </si>
  <si>
    <t>MM907506</t>
  </si>
  <si>
    <t>MM907507</t>
  </si>
  <si>
    <t>MM907508</t>
  </si>
  <si>
    <t>MM907509</t>
  </si>
  <si>
    <t>MM907510</t>
  </si>
  <si>
    <t>MM907511</t>
  </si>
  <si>
    <t>MM907512</t>
  </si>
  <si>
    <t>MM907513</t>
  </si>
  <si>
    <t>MM907514</t>
  </si>
  <si>
    <t>MM907055</t>
  </si>
  <si>
    <t>MM907056</t>
  </si>
  <si>
    <t>MM907057</t>
  </si>
  <si>
    <t>MM907058</t>
  </si>
  <si>
    <t>MM907059</t>
  </si>
  <si>
    <t>MM907060</t>
  </si>
  <si>
    <t>MM905627</t>
  </si>
  <si>
    <t>MM905628</t>
  </si>
  <si>
    <t>MM905629</t>
  </si>
  <si>
    <t>STD</t>
  </si>
  <si>
    <t>MM905630</t>
  </si>
  <si>
    <t>MM905631</t>
  </si>
  <si>
    <t>MM905632</t>
  </si>
  <si>
    <t>MM905633</t>
  </si>
  <si>
    <t>MM905634</t>
  </si>
  <si>
    <t>MM905635</t>
  </si>
  <si>
    <t>MM905636</t>
  </si>
  <si>
    <t>MM905637</t>
  </si>
  <si>
    <t>MM905647</t>
  </si>
  <si>
    <t>MM905648</t>
  </si>
  <si>
    <t>MM905649</t>
  </si>
  <si>
    <t>MM905650</t>
  </si>
  <si>
    <t>MM905651</t>
  </si>
  <si>
    <t>MM905652</t>
  </si>
  <si>
    <t>MM905653</t>
  </si>
  <si>
    <t>MM905654</t>
  </si>
  <si>
    <t>MM905655</t>
  </si>
  <si>
    <t>MM905656</t>
  </si>
  <si>
    <t>MM905657</t>
  </si>
  <si>
    <t>W27</t>
  </si>
  <si>
    <t>P1140</t>
  </si>
  <si>
    <t>MM905658</t>
  </si>
  <si>
    <t>MM905659</t>
  </si>
  <si>
    <t>MM905660</t>
  </si>
  <si>
    <t>W14_OP</t>
  </si>
  <si>
    <t>MM967754</t>
  </si>
  <si>
    <t>MM967755</t>
  </si>
  <si>
    <t>MM967756</t>
  </si>
  <si>
    <t>W14A_OP</t>
  </si>
  <si>
    <t>MM967757</t>
  </si>
  <si>
    <t>MM967758</t>
  </si>
  <si>
    <t>MM967759</t>
  </si>
  <si>
    <t>MM967760</t>
  </si>
  <si>
    <t>MM967761</t>
  </si>
  <si>
    <t>MM967762</t>
  </si>
  <si>
    <t>MM967763</t>
  </si>
  <si>
    <t>MM967764</t>
  </si>
  <si>
    <t>MM967765</t>
  </si>
  <si>
    <t>MM967766</t>
  </si>
  <si>
    <t>MM967767</t>
  </si>
  <si>
    <t>MM967768</t>
  </si>
  <si>
    <t>MM967769</t>
  </si>
  <si>
    <t>MM967770</t>
  </si>
  <si>
    <t>MM967771</t>
  </si>
  <si>
    <t>MM967772</t>
  </si>
  <si>
    <t>W18_OP</t>
  </si>
  <si>
    <t>MM967773</t>
  </si>
  <si>
    <t>MM967774</t>
  </si>
  <si>
    <t>MM967775</t>
  </si>
  <si>
    <t>MM967776</t>
  </si>
  <si>
    <t>MM967777</t>
  </si>
  <si>
    <t>W4A_OP</t>
  </si>
  <si>
    <t>MM967778</t>
  </si>
  <si>
    <t>MM967779</t>
  </si>
  <si>
    <t>MM967780</t>
  </si>
  <si>
    <t>W3</t>
  </si>
  <si>
    <t>MM967781</t>
  </si>
  <si>
    <t>MM967782</t>
  </si>
  <si>
    <t>MM967783</t>
  </si>
  <si>
    <t>MM967784</t>
  </si>
  <si>
    <t>MM967785</t>
  </si>
  <si>
    <t>MM967786</t>
  </si>
  <si>
    <t>MM967787</t>
  </si>
  <si>
    <t>MM967788</t>
  </si>
  <si>
    <t>MM967789</t>
  </si>
  <si>
    <t>MM967790</t>
  </si>
  <si>
    <t>MM967791</t>
  </si>
  <si>
    <t>MM967792</t>
  </si>
  <si>
    <t>MM967793</t>
  </si>
  <si>
    <t>MM967794</t>
  </si>
  <si>
    <t>MM967795</t>
  </si>
  <si>
    <t>MM967796</t>
  </si>
  <si>
    <t>MM967797</t>
  </si>
  <si>
    <t>MM967798</t>
  </si>
  <si>
    <t>MM967799</t>
  </si>
  <si>
    <t>MM967800</t>
  </si>
  <si>
    <t>-</t>
  </si>
  <si>
    <t>MM905661</t>
  </si>
  <si>
    <t>MM905662</t>
  </si>
  <si>
    <t>MM905663</t>
  </si>
  <si>
    <t>MM905664</t>
  </si>
  <si>
    <t>MM905665</t>
  </si>
  <si>
    <t>MM905666</t>
  </si>
  <si>
    <t>MM905667</t>
  </si>
  <si>
    <t>MM905668</t>
  </si>
  <si>
    <t>MM905669</t>
  </si>
  <si>
    <t>MM905670</t>
  </si>
  <si>
    <t>MM905671</t>
  </si>
  <si>
    <t>MM905672</t>
  </si>
  <si>
    <t>W25-OP</t>
  </si>
  <si>
    <t>MM905673</t>
  </si>
  <si>
    <t>MM905674</t>
  </si>
  <si>
    <t>MM905675</t>
  </si>
  <si>
    <t>MM905676</t>
  </si>
  <si>
    <t>MM905677</t>
  </si>
  <si>
    <t>MM905678</t>
  </si>
  <si>
    <t>MM905679</t>
  </si>
  <si>
    <t>MM905680</t>
  </si>
  <si>
    <t>MM905681</t>
  </si>
  <si>
    <t>MM905682</t>
  </si>
  <si>
    <t>W12_BENCH</t>
  </si>
  <si>
    <t>MM907070</t>
  </si>
  <si>
    <t>MM907071</t>
  </si>
  <si>
    <t>MM907072</t>
  </si>
  <si>
    <t>MM907073</t>
  </si>
  <si>
    <t>MM907074</t>
  </si>
  <si>
    <t>MM907075</t>
  </si>
  <si>
    <t>MM907076</t>
  </si>
  <si>
    <t>MM907077</t>
  </si>
  <si>
    <t>MM907078</t>
  </si>
  <si>
    <t>MM907079</t>
  </si>
  <si>
    <t>MM904101</t>
  </si>
  <si>
    <t>MM904102</t>
  </si>
  <si>
    <t>MM904103</t>
  </si>
  <si>
    <t>MM904104</t>
  </si>
  <si>
    <t>MM904105</t>
  </si>
  <si>
    <t>MM904143</t>
  </si>
  <si>
    <t>MM904106</t>
  </si>
  <si>
    <t>MM904107</t>
  </si>
  <si>
    <t>MM904108</t>
  </si>
  <si>
    <t>MM904109</t>
  </si>
  <si>
    <t>MM904110</t>
  </si>
  <si>
    <t>MM904111</t>
  </si>
  <si>
    <t>MM904112</t>
  </si>
  <si>
    <t>MM904113</t>
  </si>
  <si>
    <t>MM904114</t>
  </si>
  <si>
    <t>MM904115</t>
  </si>
  <si>
    <t>MM904116</t>
  </si>
  <si>
    <t>MM904117</t>
  </si>
  <si>
    <t>MM904118</t>
  </si>
  <si>
    <t>MM904119</t>
  </si>
  <si>
    <t>MM904120</t>
  </si>
  <si>
    <t>MM904121</t>
  </si>
  <si>
    <t>MM904122</t>
  </si>
  <si>
    <t>MM904123</t>
  </si>
  <si>
    <t>MM904124</t>
  </si>
  <si>
    <t>MM904125</t>
  </si>
  <si>
    <t>MM904126</t>
  </si>
  <si>
    <t>MM904127</t>
  </si>
  <si>
    <t>MM904128</t>
  </si>
  <si>
    <t>MM904129</t>
  </si>
  <si>
    <t>MM904130</t>
  </si>
  <si>
    <t>MM904131</t>
  </si>
  <si>
    <t>MM904132</t>
  </si>
  <si>
    <t>MM904133</t>
  </si>
  <si>
    <t>MM904134</t>
  </si>
  <si>
    <t>MM904135</t>
  </si>
  <si>
    <t>MM904136</t>
  </si>
  <si>
    <t>MM904137</t>
  </si>
  <si>
    <t>MM904138</t>
  </si>
  <si>
    <t>MM904139</t>
  </si>
  <si>
    <t>MM904140</t>
  </si>
  <si>
    <t>MM904141</t>
  </si>
  <si>
    <t>PASS</t>
  </si>
  <si>
    <t xml:space="preserve">DISPATCH DATE </t>
  </si>
  <si>
    <t>ORIGINAL SAMPLE ID</t>
  </si>
  <si>
    <t>NEW SAMPLE ID</t>
  </si>
  <si>
    <t>AVERAGE PER BOX ( g/t )</t>
  </si>
  <si>
    <t xml:space="preserve">DATE SAMPLED </t>
  </si>
  <si>
    <t>6L_W2B_BOX_N/S</t>
  </si>
  <si>
    <t>UGGS012579</t>
  </si>
  <si>
    <t>6L_W3_SCRAPPING_N/S</t>
  </si>
  <si>
    <t>UGGS012580</t>
  </si>
  <si>
    <t>6L_W4A-BOX_N/S</t>
  </si>
  <si>
    <t>UGGS012581</t>
  </si>
  <si>
    <t>6L_W15B_BOX_N/S</t>
  </si>
  <si>
    <t>UGGS012582</t>
  </si>
  <si>
    <t>6L_E1C-BOX_N/S</t>
  </si>
  <si>
    <t>UGGS012583</t>
  </si>
  <si>
    <t>UGGS012502 2.12g/t</t>
  </si>
  <si>
    <t>UGGS012584</t>
  </si>
  <si>
    <t>BLANK UGGS012506 0.00g/t</t>
  </si>
  <si>
    <t>UGGS012585</t>
  </si>
  <si>
    <t>STD 0660  3.16g/t</t>
  </si>
  <si>
    <t>UGGS012586</t>
  </si>
  <si>
    <t>fail</t>
  </si>
  <si>
    <t>4L_W23C_BOX_N/S</t>
  </si>
  <si>
    <t>UGGS012587</t>
  </si>
  <si>
    <t>pass</t>
  </si>
  <si>
    <t>4L_W23B_BOX_N/S</t>
  </si>
  <si>
    <t>UGGS012588</t>
  </si>
  <si>
    <t>5L_W8A_BOX_N/S</t>
  </si>
  <si>
    <t>UGGS012589</t>
  </si>
  <si>
    <t>6L_W18B_BOX_DS</t>
  </si>
  <si>
    <t>UGGS012590</t>
  </si>
  <si>
    <t>6L_W4A_BOX_DS</t>
  </si>
  <si>
    <t>UGGS012591</t>
  </si>
  <si>
    <t>6L_W15B_BOX_DS</t>
  </si>
  <si>
    <t>UGGS012592</t>
  </si>
  <si>
    <t>6L_W3_SCRAPPING_DS</t>
  </si>
  <si>
    <t>UGGS012593</t>
  </si>
  <si>
    <t>6L_W19A_BOX_DS</t>
  </si>
  <si>
    <t>UGGS012594</t>
  </si>
  <si>
    <t>UGGS012439 1.32g/t</t>
  </si>
  <si>
    <t>UGGS012595</t>
  </si>
  <si>
    <t>UGGS012596</t>
  </si>
  <si>
    <t xml:space="preserve">BLANK </t>
  </si>
  <si>
    <t>UGGS012597</t>
  </si>
  <si>
    <t>4L_W23B_BOX_D/S</t>
  </si>
  <si>
    <t>UGGS012598</t>
  </si>
  <si>
    <t>4L_W23C_BOX_D/S</t>
  </si>
  <si>
    <t>UGGS012599</t>
  </si>
  <si>
    <t>5L_W8A_BOX_D/S</t>
  </si>
  <si>
    <t>UGGS012600</t>
  </si>
  <si>
    <t>6L_W15B_BOX_NS</t>
  </si>
  <si>
    <t>UGGS012601</t>
  </si>
  <si>
    <t>6L_W2_BOX_NS</t>
  </si>
  <si>
    <t>UGGS012602</t>
  </si>
  <si>
    <t>6L_W3_SCRAPPING_NS</t>
  </si>
  <si>
    <t>UGGS012603</t>
  </si>
  <si>
    <t>6L-W4A_BOX_N/S</t>
  </si>
  <si>
    <t>UGGS012604</t>
  </si>
  <si>
    <t>6L-W8B_BOX_N/S</t>
  </si>
  <si>
    <t>UGGS012605</t>
  </si>
  <si>
    <t>5L_W12A_BOX_N/S</t>
  </si>
  <si>
    <t>UGGS012606</t>
  </si>
  <si>
    <t>4L_W25A_BOX_N/S</t>
  </si>
  <si>
    <t>UGGS012607</t>
  </si>
  <si>
    <t>UGGS012608</t>
  </si>
  <si>
    <t>UGGS012609</t>
  </si>
  <si>
    <t>UGGS012610</t>
  </si>
  <si>
    <t>UGGS012492 4.59g/t</t>
  </si>
  <si>
    <t>UGGS012611</t>
  </si>
  <si>
    <t>UGGS012612</t>
  </si>
  <si>
    <t>UGGS012613</t>
  </si>
  <si>
    <t>5L_W12A_BOX_D/S</t>
  </si>
  <si>
    <t>UGGS012614</t>
  </si>
  <si>
    <t>UGGS012615</t>
  </si>
  <si>
    <t>UGHLG004855 3.65g/t</t>
  </si>
  <si>
    <t>UGGS012616</t>
  </si>
  <si>
    <t>UGGS012617</t>
  </si>
  <si>
    <t>6L-W4A_BOX_D/S</t>
  </si>
  <si>
    <t>UGGS012618</t>
  </si>
  <si>
    <t>6L-E1B_BOX_D/S</t>
  </si>
  <si>
    <t>UGGS012619</t>
  </si>
  <si>
    <t>6L-E1C_BOX_D/S</t>
  </si>
  <si>
    <t>UGGS012620</t>
  </si>
  <si>
    <t>UGGS012621</t>
  </si>
  <si>
    <t>UGGS012622</t>
  </si>
  <si>
    <t>6L_W2B_BOX_DS</t>
  </si>
  <si>
    <t>UGGS012623</t>
  </si>
  <si>
    <t>UGGS012624</t>
  </si>
  <si>
    <t>UGGS012642</t>
  </si>
  <si>
    <t>UGGS012631</t>
  </si>
  <si>
    <t>UGGS012635</t>
  </si>
  <si>
    <t>UGGS012632</t>
  </si>
  <si>
    <t>UGGS012636</t>
  </si>
  <si>
    <t>UGGS012634</t>
  </si>
  <si>
    <t>UGGS012637</t>
  </si>
  <si>
    <t>UGGS012633</t>
  </si>
  <si>
    <t>UGGS012645</t>
  </si>
  <si>
    <t>UGGS012626</t>
  </si>
  <si>
    <t>UGGS012643</t>
  </si>
  <si>
    <t>6L_W18B_BOX_NS</t>
  </si>
  <si>
    <t>UGGS012627</t>
  </si>
  <si>
    <t>6L_W3_SCRAPING_DS</t>
  </si>
  <si>
    <t>UGGS012647</t>
  </si>
  <si>
    <t>UGGS012641</t>
  </si>
  <si>
    <t>UGGS012644</t>
  </si>
  <si>
    <t>UGGS012646</t>
  </si>
  <si>
    <t>UGGS012625</t>
  </si>
  <si>
    <t>UGGS012630</t>
  </si>
  <si>
    <t>UGGS012638</t>
  </si>
  <si>
    <t>UGGS012639</t>
  </si>
  <si>
    <t>UGGS012629</t>
  </si>
  <si>
    <t>UGGS012491 1.67g/t</t>
  </si>
  <si>
    <t>UGGS012640</t>
  </si>
  <si>
    <t>UGHLG004761 1.42g/t</t>
  </si>
  <si>
    <t>UGGS012628</t>
  </si>
  <si>
    <t>UGGS012656</t>
  </si>
  <si>
    <t>UGGS012660</t>
  </si>
  <si>
    <t>UGGS012657</t>
  </si>
  <si>
    <t>5L_W12B_BOX_NS</t>
  </si>
  <si>
    <t>UGGS012659</t>
  </si>
  <si>
    <t>5L_W8B_BOX_DS</t>
  </si>
  <si>
    <t>UGGS012661</t>
  </si>
  <si>
    <t>5L_W8B_BOX_NS</t>
  </si>
  <si>
    <t>UGGS012658</t>
  </si>
  <si>
    <t>6L_E1B_BOX_DS</t>
  </si>
  <si>
    <t>UGGS012664</t>
  </si>
  <si>
    <t>6L_E1C-BOX_D/S</t>
  </si>
  <si>
    <t>UGGS012667</t>
  </si>
  <si>
    <t>UGGS012670</t>
  </si>
  <si>
    <t>UGGS012652</t>
  </si>
  <si>
    <t>UGGS012671</t>
  </si>
  <si>
    <t>UGGS012650</t>
  </si>
  <si>
    <t>UGGS012668</t>
  </si>
  <si>
    <t>6L_W2B_BOX_NS</t>
  </si>
  <si>
    <t>UGGS012651</t>
  </si>
  <si>
    <t>UGGS012648</t>
  </si>
  <si>
    <t>UGGS012666</t>
  </si>
  <si>
    <t>6L_W8C_BOX_DS</t>
  </si>
  <si>
    <t>UGGS012669</t>
  </si>
  <si>
    <t>UGGS012665</t>
  </si>
  <si>
    <t>UGGS012649</t>
  </si>
  <si>
    <t>UGGS012653</t>
  </si>
  <si>
    <t>UGGS012662</t>
  </si>
  <si>
    <t>CHECK</t>
  </si>
  <si>
    <t>UGGS012654</t>
  </si>
  <si>
    <t>UGGS012655</t>
  </si>
  <si>
    <t>UGGS012440 0.29g/t</t>
  </si>
  <si>
    <t>UGGS012663</t>
  </si>
  <si>
    <t>UGGS012672</t>
  </si>
  <si>
    <t>UGGS012682</t>
  </si>
  <si>
    <t>UGGS012679</t>
  </si>
  <si>
    <t>4L_W25_BOX_D/S</t>
  </si>
  <si>
    <t>UGGS012683</t>
  </si>
  <si>
    <t>5L_W12B_BOX_DS</t>
  </si>
  <si>
    <t>UGGS012684</t>
  </si>
  <si>
    <t>UGGS012681</t>
  </si>
  <si>
    <t>UGGS012685</t>
  </si>
  <si>
    <t>UGGS012680</t>
  </si>
  <si>
    <t>UGGS012689</t>
  </si>
  <si>
    <t>6L_E1B_BOX_NS</t>
  </si>
  <si>
    <t>UGGS012674</t>
  </si>
  <si>
    <t>6L_E1C_BOX_DS</t>
  </si>
  <si>
    <t>UGGS012690</t>
  </si>
  <si>
    <t>UGGS012693</t>
  </si>
  <si>
    <t>UGGS012677</t>
  </si>
  <si>
    <t>UGGS012687</t>
  </si>
  <si>
    <t>UGGS012676</t>
  </si>
  <si>
    <t>UGGS012686</t>
  </si>
  <si>
    <t>UGGS012675</t>
  </si>
  <si>
    <t>6L_W2B_WINZ_DS</t>
  </si>
  <si>
    <t>UGGS012688</t>
  </si>
  <si>
    <t>UGGS012694</t>
  </si>
  <si>
    <t>UGGS012692</t>
  </si>
  <si>
    <t>6L_W4A_BOX_NS</t>
  </si>
  <si>
    <t>UGGS012673</t>
  </si>
  <si>
    <t>UGGS012691</t>
  </si>
  <si>
    <t>UGGS012697</t>
  </si>
  <si>
    <t>UGGS012696</t>
  </si>
  <si>
    <t>UGGS012304 0.83g/t</t>
  </si>
  <si>
    <t>UGGS012678</t>
  </si>
  <si>
    <t>UGHLG004920 1.77g/t</t>
  </si>
  <si>
    <t>UGGS012695</t>
  </si>
  <si>
    <t>UGGS012698</t>
  </si>
  <si>
    <t>6L_W3_SCRAPPING</t>
  </si>
  <si>
    <t>UGGS012699</t>
  </si>
  <si>
    <t>6L_W13C_BOX_NS</t>
  </si>
  <si>
    <t>UGGS012700</t>
  </si>
  <si>
    <t>6L_W9A_BOX_NS</t>
  </si>
  <si>
    <t>UGGS012701</t>
  </si>
  <si>
    <t>UGGS012702</t>
  </si>
  <si>
    <t>UGGS012703</t>
  </si>
  <si>
    <t>UGHLG004856 1.37g/t</t>
  </si>
  <si>
    <t>UGGS012704</t>
  </si>
  <si>
    <t>UGGS012705</t>
  </si>
  <si>
    <t>UGGS012706</t>
  </si>
  <si>
    <t>UGGS012707</t>
  </si>
  <si>
    <t>UGGS012708</t>
  </si>
  <si>
    <t>UGGS012709</t>
  </si>
  <si>
    <t>UGGS012710</t>
  </si>
  <si>
    <t>6L_W13C_BOX_DS</t>
  </si>
  <si>
    <t>UGGS012711</t>
  </si>
  <si>
    <t>UGGS012712</t>
  </si>
  <si>
    <t>UGGS012713</t>
  </si>
  <si>
    <t>6L_W2_WINZE_DS</t>
  </si>
  <si>
    <t>UGGS012714</t>
  </si>
  <si>
    <t>UGGS012715</t>
  </si>
  <si>
    <t>5L_W8A_BOX_DS</t>
  </si>
  <si>
    <t>UGGS012716</t>
  </si>
  <si>
    <t>5L_W12A_BOX_DS</t>
  </si>
  <si>
    <t>UGGS012717</t>
  </si>
  <si>
    <t>UGGS012718</t>
  </si>
  <si>
    <t>4L_W25A_BOX_D/S</t>
  </si>
  <si>
    <t>UGGS012719</t>
  </si>
  <si>
    <t>UGGS012720</t>
  </si>
  <si>
    <t>UGHLG12652 0.65g/t</t>
  </si>
  <si>
    <t>UGGS012721</t>
  </si>
  <si>
    <t>UGGS012502</t>
  </si>
  <si>
    <t>BLANK UGGS012506</t>
  </si>
  <si>
    <t>Std 0925  1.04g/t</t>
  </si>
  <si>
    <t>UGGS012492</t>
  </si>
  <si>
    <t>AVERAGE ( g/t )</t>
  </si>
  <si>
    <t>E1_BOX_N/S</t>
  </si>
  <si>
    <t>UGHLG004894</t>
  </si>
  <si>
    <t>E2_BOX_N/S</t>
  </si>
  <si>
    <t>UGHLG004895</t>
  </si>
  <si>
    <t>BOX2_NS 1</t>
  </si>
  <si>
    <t>UGHLG004896</t>
  </si>
  <si>
    <t>BOX2_NS 2</t>
  </si>
  <si>
    <t>UGHLG004897</t>
  </si>
  <si>
    <t>UGHLG004898</t>
  </si>
  <si>
    <t>UGHLG004899</t>
  </si>
  <si>
    <t>UGHLG004853 2.49g/t</t>
  </si>
  <si>
    <t>UGHLG004900</t>
  </si>
  <si>
    <t>E1_BOX_D/S</t>
  </si>
  <si>
    <t>UGHLG004901</t>
  </si>
  <si>
    <t>E2_BOX_D/S</t>
  </si>
  <si>
    <t>UGHLG004902</t>
  </si>
  <si>
    <t>UGHLG004903</t>
  </si>
  <si>
    <t>UGHLG004904</t>
  </si>
  <si>
    <t>UGHLG004905</t>
  </si>
  <si>
    <t>UGHLG004906</t>
  </si>
  <si>
    <t>BOX1_DS 1</t>
  </si>
  <si>
    <t>UGHLG004907</t>
  </si>
  <si>
    <t>BOX1_DS 2</t>
  </si>
  <si>
    <t>UGHLG004908</t>
  </si>
  <si>
    <t>BOX1_NS 1</t>
  </si>
  <si>
    <t>UGHLG004909</t>
  </si>
  <si>
    <t>BOX1_NS 2</t>
  </si>
  <si>
    <t>UGHLG004910</t>
  </si>
  <si>
    <t>BOX2_DS 1</t>
  </si>
  <si>
    <t>UGHLG004911</t>
  </si>
  <si>
    <t>BOX2_DS 2</t>
  </si>
  <si>
    <t>UGHLG004912</t>
  </si>
  <si>
    <t>UGHLG004913</t>
  </si>
  <si>
    <t>UGHLG004914</t>
  </si>
  <si>
    <t>UGHLG004915</t>
  </si>
  <si>
    <t>UGHLG004916</t>
  </si>
  <si>
    <t>UGHLG004852 1.59g/t</t>
  </si>
  <si>
    <t>UGHLG004917</t>
  </si>
  <si>
    <t>UGHLG004918</t>
  </si>
  <si>
    <t>UGHLG004919</t>
  </si>
  <si>
    <t>UGHLG004920</t>
  </si>
  <si>
    <t>UGHLG004921</t>
  </si>
  <si>
    <t>UGHLG004922</t>
  </si>
  <si>
    <t>UGHLG004760 1.17g/t</t>
  </si>
  <si>
    <t>UGHLG004923</t>
  </si>
  <si>
    <t>UGHLG004924</t>
  </si>
  <si>
    <t>UGHLG004925</t>
  </si>
  <si>
    <t>UGHLG004926</t>
  </si>
  <si>
    <t>UGHLG004927</t>
  </si>
  <si>
    <t>UGHLG004928</t>
  </si>
  <si>
    <t>UGHLG004929</t>
  </si>
  <si>
    <t>UGHLG004930</t>
  </si>
  <si>
    <t>UGHLG004931</t>
  </si>
  <si>
    <t>UGHLG004932</t>
  </si>
  <si>
    <t>UGGS012443 1.53g/t</t>
  </si>
  <si>
    <t>UGHLG004933</t>
  </si>
  <si>
    <t>UGHLG004934</t>
  </si>
  <si>
    <t>UGHLG004935</t>
  </si>
  <si>
    <t>UGHLG004936</t>
  </si>
  <si>
    <t>UGHLG004937</t>
  </si>
  <si>
    <t>UGHLG004938</t>
  </si>
  <si>
    <t>UGHLG004939</t>
  </si>
  <si>
    <t>UGHLG004940</t>
  </si>
  <si>
    <t>UGGS012437 (1.22g/t)</t>
  </si>
  <si>
    <t>UGHLG004941</t>
  </si>
  <si>
    <t>UGHLG004942</t>
  </si>
  <si>
    <t>UGHLG004943</t>
  </si>
  <si>
    <t>UGHLG004944</t>
  </si>
  <si>
    <t>UGHLG004945</t>
  </si>
  <si>
    <t>UGHLG004946</t>
  </si>
  <si>
    <t>UGHLG004947</t>
  </si>
  <si>
    <t>UGHLG004948</t>
  </si>
  <si>
    <t>UGHLG4919 1.17g/t</t>
  </si>
  <si>
    <t>UGHLG004949</t>
  </si>
  <si>
    <t>3LRCH</t>
  </si>
  <si>
    <t>6LRC</t>
  </si>
  <si>
    <t>AVE</t>
  </si>
  <si>
    <t>CHOCKED</t>
  </si>
  <si>
    <t>CH</t>
  </si>
  <si>
    <t>1L_W26_HLGE_XCN</t>
  </si>
  <si>
    <t>1L_W28_CON-DRV_WEST</t>
  </si>
  <si>
    <t>1L_W28_SBL1_DRV_WEST</t>
  </si>
  <si>
    <t>2L_W28_CON-DRV_WEST</t>
  </si>
  <si>
    <t>2L_W28_HLGE_WEST</t>
  </si>
  <si>
    <t>3L_W29_RSE</t>
  </si>
  <si>
    <t>3L_W29_X/C</t>
  </si>
  <si>
    <t>4L_W29_HLGE_WEST</t>
  </si>
  <si>
    <t>4L_W26_WINZ</t>
  </si>
  <si>
    <t>3L_E9_HLGE_EAST</t>
  </si>
  <si>
    <t>4L_E13_HLGE_EAST</t>
  </si>
  <si>
    <t>5L_W11_SBL1_DRV_WEST</t>
  </si>
  <si>
    <t>5L_W13_ConDRV_WEST</t>
  </si>
  <si>
    <t>5L_W13_HLGE</t>
  </si>
  <si>
    <t>5L_W13_RSE</t>
  </si>
  <si>
    <t>5L_W13_BOX_RSE</t>
  </si>
  <si>
    <t>6A_W2_SBL1_DRV_EAST</t>
  </si>
  <si>
    <t>6A_W2_SBL1_WEST</t>
  </si>
  <si>
    <t>6A_HLGE_W1_DRV_WEST</t>
  </si>
  <si>
    <t>6A_HLGE_W13_DRV_WEST</t>
  </si>
  <si>
    <t>6A_W13_RSE</t>
  </si>
  <si>
    <t>6L_W18_SBL3_EAST</t>
  </si>
  <si>
    <t>6L_W18_SBL3_WEST</t>
  </si>
  <si>
    <t>6L_W19_RSE</t>
  </si>
  <si>
    <t>6L_W19_SBL3_EAST</t>
  </si>
  <si>
    <t>6L_W19_SBL3_WEST</t>
  </si>
  <si>
    <t>6L_W19_SBL3_XCN</t>
  </si>
  <si>
    <t>6L_W2_SBL3_WEST</t>
  </si>
  <si>
    <t>6L_W2_RSE</t>
  </si>
  <si>
    <t>6L_W5_RSE</t>
  </si>
  <si>
    <t>6L_W5_SBL3</t>
  </si>
  <si>
    <t>6L_W5_SBL3_EAST</t>
  </si>
  <si>
    <t>6L_W5_SBL3_WEST</t>
  </si>
  <si>
    <t>6L_W5_SBL4_EAST</t>
  </si>
  <si>
    <t>6L_W6_SBL3_EAST</t>
  </si>
  <si>
    <t>6L_W7_RSE</t>
  </si>
  <si>
    <t>7L_W2_SBL2_EAST</t>
  </si>
  <si>
    <t>7L_W1_SBL2_EAST</t>
  </si>
  <si>
    <t>7L_W2_SBL2_WEST</t>
  </si>
  <si>
    <t>7L_W14B_RSE</t>
  </si>
  <si>
    <t>7L_W14B_SBL1_WEST</t>
  </si>
  <si>
    <t>7L_W14B_SBL1_EAST</t>
  </si>
  <si>
    <t>8L_W14_SBL1_WEST</t>
  </si>
  <si>
    <t>8L_W14_SBL2_EAST</t>
  </si>
  <si>
    <t>8L_W14_SBL2_WEST</t>
  </si>
  <si>
    <t>8L_W15_RSE</t>
  </si>
  <si>
    <t>8L_W15_SBL1_WEST</t>
  </si>
  <si>
    <t>8L_W15_SBL2_EAST</t>
  </si>
  <si>
    <t>8L_W15_SBL2_WEST</t>
  </si>
  <si>
    <t>8L_W16A_RSE</t>
  </si>
  <si>
    <t>8L_W16B_RSE</t>
  </si>
  <si>
    <t>3L_E9_HAULAGE_EAST</t>
  </si>
  <si>
    <t>3L_W28_SL_2_EAST</t>
  </si>
  <si>
    <t>3L_W29_RAISE</t>
  </si>
  <si>
    <t>4L_E13_HAULAGE</t>
  </si>
  <si>
    <t>4L_W29_HAULAGE</t>
  </si>
  <si>
    <t>5L_W11_SL_1_WEST'</t>
  </si>
  <si>
    <t>5L_W13_CROSS_CUT</t>
  </si>
  <si>
    <t>5L_W14_CDRIVE_WEST</t>
  </si>
  <si>
    <t>5L_W14_HAULAGE</t>
  </si>
  <si>
    <t>5L_W2_CROSS_CUT</t>
  </si>
  <si>
    <t>5L_W26_HOISTROOM</t>
  </si>
  <si>
    <t>6LA_W5_DRIVE_EAST</t>
  </si>
  <si>
    <t>6LA_W2_SL1_DRIVE</t>
  </si>
  <si>
    <t>6LA_W4_DRIVE_EAST</t>
  </si>
  <si>
    <t>6LA_W3_RAISE</t>
  </si>
  <si>
    <t>6L__W14_RAISE</t>
  </si>
  <si>
    <t>6LA_W14_DRIVE_WEST</t>
  </si>
  <si>
    <t>6LA_W19_DRIVE_WEST</t>
  </si>
  <si>
    <t>6LW24_BYPASS</t>
  </si>
  <si>
    <t>7L_E1_OREPASS</t>
  </si>
  <si>
    <t>7L_E1_TWAY</t>
  </si>
  <si>
    <t>7L_W2_SL_2_WEST</t>
  </si>
  <si>
    <t>8L_W17_SL_2_WEST</t>
  </si>
  <si>
    <t>8L_W14_TWAY</t>
  </si>
  <si>
    <t>8L_W15_SL_3_WEST</t>
  </si>
  <si>
    <t>8L_W15_SLOT</t>
  </si>
  <si>
    <t>8L_W16_HUALAGE_WEST</t>
  </si>
  <si>
    <t>8L_W16_TWAY</t>
  </si>
  <si>
    <t>8L_W16_SL_3_WEST</t>
  </si>
  <si>
    <t>8L_W16_OREPASS</t>
  </si>
  <si>
    <t>8L_W14_OREPASS</t>
  </si>
  <si>
    <t>10L_E2_RAISE</t>
  </si>
  <si>
    <t>10L_E2_C_DRIVE</t>
  </si>
  <si>
    <t>10L_E1_RAISE</t>
  </si>
  <si>
    <t>10L_W8_RAISE</t>
  </si>
  <si>
    <t>10LW7_BOX_RSE</t>
  </si>
  <si>
    <t>10LW7_CDRIVE_EAST</t>
  </si>
  <si>
    <t>9L_E3_OREPASS</t>
  </si>
  <si>
    <t>9L_E3_WASTEPASS</t>
  </si>
  <si>
    <t>10L_E3_OREPASS</t>
  </si>
  <si>
    <t>10L_E3_WASTEPAS</t>
  </si>
  <si>
    <t>10L_W15_OREPASS</t>
  </si>
  <si>
    <t>10L_W15_WASTEPASS</t>
  </si>
  <si>
    <t>10L_E7_DAM</t>
  </si>
  <si>
    <t>Venning Shaft Overrun</t>
  </si>
  <si>
    <t>TOTAL UNDERGROUND</t>
  </si>
  <si>
    <t>Broken Tonnes</t>
  </si>
  <si>
    <t>Ore Tonnes</t>
  </si>
  <si>
    <t>Au_Dil</t>
  </si>
  <si>
    <t>Broken Tonnes (5L and Above)</t>
  </si>
  <si>
    <t>1L W28 STOPE</t>
  </si>
  <si>
    <t>Stoping Tons</t>
  </si>
  <si>
    <t>1L_TOTAL</t>
  </si>
  <si>
    <t>Total Stoping</t>
  </si>
  <si>
    <t>2L_W4_STOPE</t>
  </si>
  <si>
    <t>3L_W23A STOPE</t>
  </si>
  <si>
    <t>3L_W23B STOPE</t>
  </si>
  <si>
    <t>3L_W24B STOPE</t>
  </si>
  <si>
    <t>3L_TOTAL</t>
  </si>
  <si>
    <t xml:space="preserve"> 4L_W10A STOPE</t>
  </si>
  <si>
    <t>4L_W10A_STOPE</t>
  </si>
  <si>
    <t xml:space="preserve"> 4L_W11B STOPE</t>
  </si>
  <si>
    <t xml:space="preserve"> 4L_W13A STOPE</t>
  </si>
  <si>
    <t>4L_W13A_STOPE</t>
  </si>
  <si>
    <t xml:space="preserve"> 4L_W14C STOPE</t>
  </si>
  <si>
    <t>4L_W14B STOPE</t>
  </si>
  <si>
    <t>4L_W14A_STOPE</t>
  </si>
  <si>
    <t>4L_W15A STOPE</t>
  </si>
  <si>
    <t>4L_W16A_STOPE</t>
  </si>
  <si>
    <t xml:space="preserve"> 4L_W16C STOPE</t>
  </si>
  <si>
    <t xml:space="preserve"> 4L_W16B STOPE</t>
  </si>
  <si>
    <t xml:space="preserve"> 4L_W17A STOPE</t>
  </si>
  <si>
    <t>4L_W23A STOPE</t>
  </si>
  <si>
    <t>4L_W23B_STOPE</t>
  </si>
  <si>
    <t>4L_W5_STOPE</t>
  </si>
  <si>
    <t xml:space="preserve">4L_W26 STOPE </t>
  </si>
  <si>
    <t>4L_TOTAL</t>
  </si>
  <si>
    <t>5L_W4 STOPE</t>
  </si>
  <si>
    <t>5L_W8 STOPE</t>
  </si>
  <si>
    <t>5L_W11 STOPE</t>
  </si>
  <si>
    <t>5L_TOTAL</t>
  </si>
  <si>
    <t>6L_E5 STOPE</t>
  </si>
  <si>
    <t>6L_E1 STOPE</t>
  </si>
  <si>
    <t xml:space="preserve">6L_W1 STOPE </t>
  </si>
  <si>
    <t xml:space="preserve">6L_W2 STOPE </t>
  </si>
  <si>
    <t>6L_W3 STOPE</t>
  </si>
  <si>
    <t>6L_W4 STOPE</t>
  </si>
  <si>
    <t>6L_W8 STOPE</t>
  </si>
  <si>
    <t>6L_W13 STOPE</t>
  </si>
  <si>
    <t>6L_W14 STOPE</t>
  </si>
  <si>
    <t>6L_W19_STOPE</t>
  </si>
  <si>
    <t>6L_TOTAL</t>
  </si>
  <si>
    <t>Total Stoping Tons</t>
  </si>
  <si>
    <t>2L Total</t>
  </si>
  <si>
    <t>Total Tonnes</t>
  </si>
  <si>
    <t>3L Total</t>
  </si>
  <si>
    <t>6L Total</t>
  </si>
  <si>
    <t>4L Total</t>
  </si>
  <si>
    <t>5L Total</t>
  </si>
  <si>
    <t>Dev_Ore_Tonnes</t>
  </si>
  <si>
    <t>Pickstone Peerless Consolidated Mine to Mill Schedule</t>
  </si>
  <si>
    <t>Fri</t>
  </si>
  <si>
    <t>Sat</t>
  </si>
  <si>
    <t>Sun</t>
  </si>
  <si>
    <t>Mon</t>
  </si>
  <si>
    <t>Tue</t>
  </si>
  <si>
    <t>Wed</t>
  </si>
  <si>
    <t>Thu</t>
  </si>
  <si>
    <t>MINING</t>
  </si>
  <si>
    <t>Waste Volume (bcm)</t>
  </si>
  <si>
    <t>Waste SG</t>
  </si>
  <si>
    <t>Waste Tonnes (t)</t>
  </si>
  <si>
    <t>Ore Volume (bcm)</t>
  </si>
  <si>
    <t>Ore SG</t>
  </si>
  <si>
    <t>Ore Tonnes (t)</t>
  </si>
  <si>
    <t>Content (g/t)</t>
  </si>
  <si>
    <t>Strip Ratio</t>
  </si>
  <si>
    <t>PK02</t>
  </si>
  <si>
    <t>PE03</t>
  </si>
  <si>
    <t>Total Mined</t>
  </si>
  <si>
    <t>OP Waste Volume (bcm)</t>
  </si>
  <si>
    <t>OP Waste Tonnes (t)</t>
  </si>
  <si>
    <t>OP Ore Volume (bcm)</t>
  </si>
  <si>
    <t>Total Ore Tonnes (t)</t>
  </si>
  <si>
    <t>Total Mined-OP (bcm)</t>
  </si>
  <si>
    <t>Total Mined-OP (t)</t>
  </si>
  <si>
    <t>Fine Ore Bin</t>
  </si>
  <si>
    <t>Opening</t>
  </si>
  <si>
    <t>Stockpiled Ore Tonnes - Bal. (t)</t>
  </si>
  <si>
    <t xml:space="preserve"> Stockpiled Grade - mcf (g/t) </t>
  </si>
  <si>
    <t>Stockpiled Content - mcf (g)</t>
  </si>
  <si>
    <t>ROMPAD</t>
  </si>
  <si>
    <t>Underground Stockpile</t>
  </si>
  <si>
    <t>Chandelier (Joint Venture)</t>
  </si>
  <si>
    <t>HG Scats</t>
  </si>
  <si>
    <t>Sort Pads</t>
  </si>
  <si>
    <t>Oxides Stockpile</t>
  </si>
  <si>
    <t>Rompad Stockpile</t>
  </si>
  <si>
    <t>PROCESSING</t>
  </si>
  <si>
    <t>Milled Ore Tonnes (t)</t>
  </si>
  <si>
    <t xml:space="preserve"> Milled Ore Grade - (g/t) </t>
  </si>
  <si>
    <t>Milled Ore Content (g)</t>
  </si>
  <si>
    <t xml:space="preserve"> Recovered Grade (g/t) </t>
  </si>
  <si>
    <t>Recovery (%)</t>
  </si>
  <si>
    <t xml:space="preserve"> Recovered Gold (kg) </t>
  </si>
  <si>
    <t>Underground Ore Feed</t>
  </si>
  <si>
    <t xml:space="preserve"> TOTAL MILLED </t>
  </si>
  <si>
    <t>Tails grade (g/t)</t>
  </si>
  <si>
    <t>Plan (kg)</t>
  </si>
  <si>
    <t>Hoisting Capacity</t>
  </si>
  <si>
    <t>Closing Inventory</t>
  </si>
  <si>
    <t>Broken Inventory</t>
  </si>
  <si>
    <t xml:space="preserve"> Broken Inventory (5 and above )</t>
  </si>
  <si>
    <t>LOBE SHAFT</t>
  </si>
  <si>
    <t xml:space="preserve">Target Hoisted Tonnes </t>
  </si>
  <si>
    <t>Hoisted (6 Level )</t>
  </si>
  <si>
    <t>6 Level Broken Inventory</t>
  </si>
  <si>
    <t>DIAMOND DRILLING PLAN</t>
  </si>
  <si>
    <t>UG</t>
  </si>
  <si>
    <t>FY25 Budget</t>
  </si>
  <si>
    <t>Aug Plan</t>
  </si>
  <si>
    <t>Capitalised</t>
  </si>
  <si>
    <t>Exploration</t>
  </si>
  <si>
    <t>Expensed</t>
  </si>
  <si>
    <t>Evaluation</t>
  </si>
  <si>
    <t>TOTAL</t>
  </si>
  <si>
    <t># of Rigs</t>
  </si>
  <si>
    <r>
      <t>BRK</t>
    </r>
    <r>
      <rPr>
        <b/>
        <u/>
        <sz val="11"/>
        <color theme="1"/>
        <rFont val="Calibri"/>
        <family val="2"/>
        <scheme val="minor"/>
      </rPr>
      <t xml:space="preserve"> </t>
    </r>
    <r>
      <rPr>
        <b/>
        <sz val="11"/>
        <color theme="1"/>
        <rFont val="Calibri"/>
        <family val="2"/>
        <scheme val="minor"/>
      </rPr>
      <t>Drilling</t>
    </r>
  </si>
  <si>
    <t>Friday</t>
  </si>
  <si>
    <t>Saturday</t>
  </si>
  <si>
    <t>Sunday</t>
  </si>
  <si>
    <t>Monday</t>
  </si>
  <si>
    <t>Tuesday</t>
  </si>
  <si>
    <t>Wednesday</t>
  </si>
  <si>
    <t>Thursday</t>
  </si>
  <si>
    <t>Rig</t>
  </si>
  <si>
    <t>Cubby</t>
  </si>
  <si>
    <t>Hole ID</t>
  </si>
  <si>
    <t>Days Drilling</t>
  </si>
  <si>
    <t xml:space="preserve">Total </t>
  </si>
  <si>
    <t>BRKU3-9BQ_1</t>
  </si>
  <si>
    <t>6_W21</t>
  </si>
  <si>
    <t>6W21_19</t>
  </si>
  <si>
    <t>6W21_21</t>
  </si>
  <si>
    <t>PM</t>
  </si>
  <si>
    <t>6W23</t>
  </si>
  <si>
    <t>6W23_03</t>
  </si>
  <si>
    <t>Moving</t>
  </si>
  <si>
    <t>Cubby PreP</t>
  </si>
  <si>
    <t>6W23_01</t>
  </si>
  <si>
    <t>BRK U2AW</t>
  </si>
  <si>
    <t>6AW9</t>
  </si>
  <si>
    <t>6AW9_EV_02</t>
  </si>
  <si>
    <t>6AW9_EV_03</t>
  </si>
  <si>
    <t>6AW10</t>
  </si>
  <si>
    <t>6AW10_EV_04</t>
  </si>
  <si>
    <t>8W16</t>
  </si>
  <si>
    <t>8W16_EV_01</t>
  </si>
  <si>
    <t>8W16_EV_02</t>
  </si>
  <si>
    <t>8W16_EV_03</t>
  </si>
  <si>
    <t>8W16_EV_04</t>
  </si>
  <si>
    <t>BRKU3_9BQ_2</t>
  </si>
  <si>
    <t>7_E2</t>
  </si>
  <si>
    <t>7E2_45</t>
  </si>
  <si>
    <t xml:space="preserve">Commisioning </t>
  </si>
  <si>
    <t>7E2_46</t>
  </si>
  <si>
    <t>7E2_47</t>
  </si>
  <si>
    <t>7E2_48</t>
  </si>
  <si>
    <t>7E2_49</t>
  </si>
  <si>
    <t>7E2_50</t>
  </si>
  <si>
    <t>BRKU3_9BQ_3</t>
  </si>
  <si>
    <t>10_W4</t>
  </si>
  <si>
    <t>10W4_01</t>
  </si>
  <si>
    <t>10W4_02</t>
  </si>
  <si>
    <t>10W4_03</t>
  </si>
  <si>
    <t>10W4_04</t>
  </si>
  <si>
    <t>10W4_05</t>
  </si>
  <si>
    <t>10W4_06</t>
  </si>
  <si>
    <t>Cumulative</t>
  </si>
  <si>
    <t>JBC Drilling</t>
  </si>
  <si>
    <t>JBC01</t>
  </si>
  <si>
    <t>1L_W25</t>
  </si>
  <si>
    <t>1L_W25_EV01</t>
  </si>
  <si>
    <t>1L_W25_EV02</t>
  </si>
  <si>
    <t>1L_W25_EV03</t>
  </si>
  <si>
    <t>1L_W25_EV04</t>
  </si>
  <si>
    <t>1L_W25_EV05</t>
  </si>
  <si>
    <t>1L_W25_EV06</t>
  </si>
  <si>
    <t>1L_W25_EV07</t>
  </si>
  <si>
    <t>1L_W25_EV08</t>
  </si>
  <si>
    <t>1L_W25_EV09</t>
  </si>
  <si>
    <t>1L_W25_EV10</t>
  </si>
  <si>
    <t>JBC02</t>
  </si>
  <si>
    <t>4_E15</t>
  </si>
  <si>
    <t>4E_15_5</t>
  </si>
  <si>
    <t>4E_15_7</t>
  </si>
  <si>
    <t>4E_15_6</t>
  </si>
  <si>
    <t>JBC03</t>
  </si>
  <si>
    <t>5W11</t>
  </si>
  <si>
    <t>5W11_35</t>
  </si>
  <si>
    <t>5W12</t>
  </si>
  <si>
    <t>5W12_36</t>
  </si>
  <si>
    <t>5W12_37</t>
  </si>
  <si>
    <t>5W12_38</t>
  </si>
  <si>
    <t>5W13</t>
  </si>
  <si>
    <t>5W13_39</t>
  </si>
  <si>
    <t>5W13_40</t>
  </si>
  <si>
    <t>5W13_41</t>
  </si>
  <si>
    <t>5W14</t>
  </si>
  <si>
    <t>5W14_42</t>
  </si>
  <si>
    <t>5W14_43</t>
  </si>
  <si>
    <t>5W14_44</t>
  </si>
  <si>
    <t>5W18</t>
  </si>
  <si>
    <t>5W18_46</t>
  </si>
  <si>
    <t>Tandamanzi Drilling</t>
  </si>
  <si>
    <t>TMD06</t>
  </si>
  <si>
    <t>TMD07</t>
  </si>
  <si>
    <t>Drilling</t>
  </si>
  <si>
    <t>GRAND TOTAL</t>
  </si>
  <si>
    <t>Weekly Report</t>
  </si>
  <si>
    <t>MTD Blasting</t>
  </si>
  <si>
    <t>MTD Blasting Var</t>
  </si>
  <si>
    <t>MTD Tramming</t>
  </si>
  <si>
    <t>MTD Tramming Var</t>
  </si>
  <si>
    <t>Stope Project to date</t>
  </si>
  <si>
    <t>Stope Project to date Var</t>
  </si>
  <si>
    <t xml:space="preserve">Block Model </t>
  </si>
  <si>
    <t>Block Model Remaining</t>
  </si>
  <si>
    <t>1L W24 STOPE</t>
  </si>
  <si>
    <t xml:space="preserve">Production drilling suspended to allow for development material handling and evaluation drilling to firm up on grade and tonnage  </t>
  </si>
  <si>
    <t xml:space="preserve">Evaluation drilling to firm up on grade </t>
  </si>
  <si>
    <t>Reef Width</t>
  </si>
  <si>
    <t>Length</t>
  </si>
  <si>
    <t>Height</t>
  </si>
  <si>
    <t>Sampling</t>
  </si>
  <si>
    <t>Budget (#)</t>
  </si>
  <si>
    <t>Actual (#)</t>
  </si>
  <si>
    <t>Commercial</t>
  </si>
  <si>
    <t>Budget ($/oz)</t>
  </si>
  <si>
    <t>Actual ($/oz)</t>
  </si>
  <si>
    <t>Trammed tonnage accounted for from stopes below</t>
  </si>
  <si>
    <t>Stope preparation and grade will improve as we open up</t>
  </si>
  <si>
    <t>Some of the slyping hole intersected the chlorite schist</t>
  </si>
  <si>
    <t>Fairly new stope and stoping in the esatern direction to the orepasss</t>
  </si>
  <si>
    <t>5L_W7 STOPE</t>
  </si>
  <si>
    <t>Grade affected by catwalk mined during stope preparation. Future stopes will have two travel ways.</t>
  </si>
  <si>
    <t>Internal waste in the W1 ore shoot</t>
  </si>
  <si>
    <t>Close to plan</t>
  </si>
  <si>
    <t>Reef narrows to the east and shaping cone.</t>
  </si>
  <si>
    <t>6L_W9 STOPE</t>
  </si>
  <si>
    <t>6L_W10_STOPE</t>
  </si>
  <si>
    <t>Moving old muck in the stope to open up for stoping. Suspended traming to allow mining of a raise to isolate the old muck.</t>
  </si>
  <si>
    <t>Block Model</t>
  </si>
  <si>
    <t>Plan MTD</t>
  </si>
  <si>
    <t>Remaining</t>
  </si>
  <si>
    <t>Grade performance</t>
  </si>
  <si>
    <t>STOPE ID</t>
  </si>
  <si>
    <t>Metric</t>
  </si>
  <si>
    <t>UOM</t>
  </si>
  <si>
    <t>LOM Plan</t>
  </si>
  <si>
    <t>ST Plan</t>
  </si>
  <si>
    <t>Mar-25 Plan (MTD)</t>
  </si>
  <si>
    <t>Mar-25 Actual</t>
  </si>
  <si>
    <t>Width (m)</t>
  </si>
  <si>
    <t>(t)</t>
  </si>
  <si>
    <t>(g/t)</t>
  </si>
  <si>
    <t>(kg)</t>
  </si>
  <si>
    <t>1L_W23 STOPE</t>
  </si>
  <si>
    <t>New stope accessed from the Adit.</t>
  </si>
  <si>
    <t xml:space="preserve">3L_W23 STOPE </t>
  </si>
  <si>
    <t>Directly above 4L_W23. Stoping commenced Feb.</t>
  </si>
  <si>
    <t>3L_W24 STOPE</t>
  </si>
  <si>
    <t xml:space="preserve">Wider reef (12m vs 4m planned). Grade performing above LOM plan. </t>
  </si>
  <si>
    <t>4L_W23B STOPE</t>
  </si>
  <si>
    <t>New stope above 4L_W23A.</t>
  </si>
  <si>
    <t>Block evaluation projecting higher grade compared to block model.</t>
  </si>
  <si>
    <t>Stope was not on LOMP. Reef terminated is now out of plan. (8.7kg gained).</t>
  </si>
  <si>
    <t>Block evaluation projecting higher grade compared to block model. Shrinkage stoping.</t>
  </si>
  <si>
    <t xml:space="preserve">Stope is in poor ground. Grade affected by dilution. </t>
  </si>
  <si>
    <t>Wide reef (8m versus th eplanned 3.6m). High grade stope.</t>
  </si>
  <si>
    <t>Stope was not on LOMP. Block evaluation projecting higher grade compared to BM.</t>
  </si>
  <si>
    <t xml:space="preserve">6L_W3 STOPE </t>
  </si>
  <si>
    <t xml:space="preserve">6L_W6 STOPE </t>
  </si>
  <si>
    <t xml:space="preserve">Wider reef (average 4m vs plan on 2m). </t>
  </si>
  <si>
    <t>6L_W10 STOPE</t>
  </si>
  <si>
    <t>Stope was not on LOMP (partially mined out).</t>
  </si>
  <si>
    <t>Equipping</t>
  </si>
  <si>
    <t>Services</t>
  </si>
  <si>
    <t>Generation</t>
  </si>
  <si>
    <t>BOX 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</si>
</sst>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1" formatCode="_-* #,##0_-;\-* #,##0_-;_-* &quot;-&quot;_-;_-@_-"/>
    <numFmt numFmtId="43" formatCode="_-* #,##0.00_-;\-* #,##0.00_-;_-* &quot;-&quot;??_-;_-@_-"/>
    <numFmt numFmtId="164" formatCode="_(* #,##0_);_(* \(#,##0\);_(* &quot;-&quot;_);_(@_)"/>
    <numFmt numFmtId="165" formatCode="_(* #,##0.00_);_(* \(#,##0.00\);_(* &quot;-&quot;??_);_(@_)"/>
    <numFmt numFmtId="166" formatCode="0.0"/>
    <numFmt numFmtId="167" formatCode="[$-3009]dd\-mmm\-yy;@"/>
    <numFmt numFmtId="168" formatCode="_-* #,##0_-;\-* #,##0_-;_-* &quot;-&quot;??_-;_-@_-"/>
    <numFmt numFmtId="169" formatCode="[$-409]dd\-mmm\-yy;@"/>
    <numFmt numFmtId="170" formatCode="[$-409]d\-mmm\-yy;@"/>
    <numFmt numFmtId="171" formatCode="_-* #,##0.0_-;\-* #,##0.0_-;_-* &quot;-&quot;??_-;_-@_-"/>
    <numFmt numFmtId="172" formatCode="[$-409]d\-mmm;@"/>
    <numFmt numFmtId="173" formatCode="0.0%"/>
    <numFmt numFmtId="174" formatCode="[$-409]mmmm\-yy;@"/>
    <numFmt numFmtId="175" formatCode="#,##0_ ;\-#,##0\ "/>
    <numFmt numFmtId="176" formatCode="_(* #,##0.0_);_(* \(#,##0.0\);_(* &quot;-&quot;??_);_(@_)"/>
    <numFmt numFmtId="177" formatCode="_(* #,##0_);_(* \(#,##0\);_(* &quot;-&quot;??_);_(@_)"/>
    <numFmt numFmtId="178" formatCode="[$-409]mmmmm;@"/>
    <numFmt numFmtId="179" formatCode="[$-409]mmm\-yy;@"/>
    <numFmt numFmtId="180" formatCode="_-&quot;£&quot;* #,##0.00_-;\-&quot;£&quot;* #,##0.00_-;_-&quot;£&quot;* &quot;-&quot;??_-;_-@_-"/>
    <numFmt numFmtId="181" formatCode="_ [$€]\ * #,##0.00_ ;_ [$€]\ * \-#,##0.00_ ;_ [$€]\ * &quot;-&quot;??_ ;_ @_ "/>
    <numFmt numFmtId="182" formatCode="d/m;@"/>
    <numFmt numFmtId="183" formatCode="_-&quot;R&quot;* #,##0.00_-;\-&quot;R&quot;* #,##0.00_-;_-&quot;R&quot;* &quot;-&quot;??_-;_-@_-"/>
    <numFmt numFmtId="184" formatCode="_(* #,##0.0_);_(* \(#,##0.0\);_(* &quot;-&quot;?_);_(@_)"/>
    <numFmt numFmtId="185" formatCode="0.000%"/>
    <numFmt numFmtId="186" formatCode=";;;"/>
    <numFmt numFmtId="187" formatCode="[$-409]dd/mmm/yy;@"/>
    <numFmt numFmtId="188" formatCode="[$-409]d/mmm/yy;@"/>
    <numFmt numFmtId="189" formatCode="#,##0.0_);\(#,##0.0\)"/>
  </numFmts>
  <fonts count="18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scheme val="minor"/>
    </font>
    <font>
      <b/>
      <sz val="11"/>
      <color theme="1"/>
      <name val="Calibri"/>
      <family val="2"/>
      <scheme val="minor"/>
    </font>
    <font>
      <b/>
      <sz val="11"/>
      <color rgb="FFFF0000"/>
      <name val="Calibri"/>
      <family val="2"/>
      <scheme val="minor"/>
    </font>
    <font>
      <b/>
      <sz val="11"/>
      <name val="Calibri"/>
      <family val="2"/>
      <scheme val="minor"/>
    </font>
    <font>
      <sz val="11"/>
      <color theme="1"/>
      <name val="Calibri"/>
      <family val="2"/>
      <scheme val="minor"/>
    </font>
    <font>
      <sz val="10"/>
      <name val="Arial"/>
      <family val="2"/>
    </font>
    <font>
      <sz val="11"/>
      <color theme="1"/>
      <name val="Calibri"/>
      <family val="2"/>
      <scheme val="minor"/>
    </font>
    <font>
      <b/>
      <sz val="11"/>
      <color theme="1"/>
      <name val="Calibri"/>
      <family val="2"/>
      <charset val="134"/>
      <scheme val="minor"/>
    </font>
    <font>
      <sz val="12"/>
      <color theme="1"/>
      <name val="Amasis MT Pro"/>
      <family val="1"/>
    </font>
    <font>
      <sz val="8"/>
      <name val="Calibri"/>
      <family val="2"/>
      <scheme val="minor"/>
    </font>
    <font>
      <sz val="11"/>
      <color rgb="FF000000"/>
      <name val="Calibri"/>
      <family val="2"/>
    </font>
    <font>
      <b/>
      <sz val="11"/>
      <name val="Calibri"/>
      <family val="2"/>
    </font>
    <font>
      <b/>
      <sz val="11"/>
      <color rgb="FF002060"/>
      <name val="Calibri"/>
      <family val="2"/>
      <scheme val="minor"/>
    </font>
    <font>
      <sz val="11"/>
      <color theme="1"/>
      <name val="Calibri"/>
      <family val="2"/>
    </font>
    <font>
      <sz val="11"/>
      <color theme="3" tint="0.249977111117893"/>
      <name val="Calibri"/>
      <family val="2"/>
      <scheme val="minor"/>
    </font>
    <font>
      <sz val="11"/>
      <color theme="3" tint="0.249977111117893"/>
      <name val="Calibri"/>
      <family val="2"/>
      <charset val="134"/>
      <scheme val="minor"/>
    </font>
    <font>
      <sz val="11"/>
      <color theme="1"/>
      <name val="Calibri"/>
      <family val="2"/>
      <charset val="134"/>
      <scheme val="minor"/>
    </font>
    <font>
      <sz val="11"/>
      <color rgb="FF657C9C"/>
      <name val="Calibri"/>
      <family val="2"/>
    </font>
    <font>
      <sz val="8"/>
      <name val="Calibri"/>
      <family val="2"/>
      <scheme val="minor"/>
    </font>
    <font>
      <sz val="10"/>
      <color theme="1"/>
      <name val="Aptos"/>
      <family val="2"/>
    </font>
    <font>
      <sz val="11"/>
      <color theme="1"/>
      <name val="Aptos"/>
      <family val="2"/>
    </font>
    <font>
      <b/>
      <sz val="10"/>
      <color theme="1"/>
      <name val="Aptos"/>
      <family val="2"/>
    </font>
    <font>
      <sz val="10"/>
      <name val="Aptos"/>
      <family val="2"/>
    </font>
    <font>
      <b/>
      <sz val="10"/>
      <color rgb="FFFF0000"/>
      <name val="Aptos"/>
      <family val="2"/>
    </font>
    <font>
      <b/>
      <sz val="10"/>
      <name val="Aptos"/>
      <family val="2"/>
    </font>
    <font>
      <sz val="10"/>
      <color indexed="8"/>
      <name val="Aptos"/>
      <family val="2"/>
    </font>
    <font>
      <i/>
      <sz val="10"/>
      <name val="Aptos"/>
      <family val="2"/>
    </font>
    <font>
      <sz val="11"/>
      <color rgb="FF002060"/>
      <name val="Calibri"/>
      <family val="2"/>
      <scheme val="minor"/>
    </font>
    <font>
      <b/>
      <sz val="11"/>
      <color theme="9" tint="-0.499984740745262"/>
      <name val="Calibri"/>
      <family val="2"/>
      <scheme val="minor"/>
    </font>
    <font>
      <b/>
      <sz val="11"/>
      <color rgb="FFFF0000"/>
      <name val="Calibri"/>
      <family val="2"/>
    </font>
    <font>
      <b/>
      <sz val="10"/>
      <color rgb="FF000000"/>
      <name val="Aptos"/>
      <family val="2"/>
    </font>
    <font>
      <b/>
      <u/>
      <sz val="10"/>
      <color theme="1"/>
      <name val="Aptos"/>
      <family val="2"/>
    </font>
    <font>
      <b/>
      <sz val="11"/>
      <name val="Aptos"/>
      <family val="2"/>
    </font>
    <font>
      <sz val="10"/>
      <color rgb="FF000000"/>
      <name val="Aptos"/>
      <family val="2"/>
    </font>
    <font>
      <sz val="10"/>
      <color theme="0"/>
      <name val="Aptos"/>
      <family val="2"/>
    </font>
    <font>
      <sz val="10"/>
      <color rgb="FF0070C0"/>
      <name val="Aptos"/>
      <family val="2"/>
    </font>
    <font>
      <b/>
      <sz val="10"/>
      <color rgb="FF0070C0"/>
      <name val="Aptos"/>
      <family val="2"/>
    </font>
    <font>
      <sz val="8"/>
      <color theme="1"/>
      <name val="Aptos"/>
      <family val="2"/>
    </font>
    <font>
      <b/>
      <sz val="8"/>
      <color theme="1"/>
      <name val="Aptos"/>
      <family val="2"/>
    </font>
    <font>
      <b/>
      <sz val="11"/>
      <color theme="1"/>
      <name val="Aptos"/>
      <family val="2"/>
    </font>
    <font>
      <sz val="11"/>
      <name val="Arial"/>
      <family val="2"/>
    </font>
    <font>
      <sz val="10"/>
      <color rgb="FF9C0006"/>
      <name val="Aptos"/>
      <family val="2"/>
    </font>
    <font>
      <sz val="10"/>
      <color rgb="FF006100"/>
      <name val="Aptos"/>
      <family val="2"/>
    </font>
    <font>
      <b/>
      <sz val="12"/>
      <color theme="1"/>
      <name val="Aptos"/>
      <family val="2"/>
    </font>
    <font>
      <b/>
      <sz val="12"/>
      <color theme="1"/>
      <name val="Aptos Display"/>
      <family val="2"/>
    </font>
    <font>
      <sz val="12"/>
      <color theme="1"/>
      <name val="Aptos"/>
      <family val="2"/>
    </font>
    <font>
      <sz val="12"/>
      <color theme="1"/>
      <name val="Aptos Display"/>
      <family val="2"/>
    </font>
    <font>
      <b/>
      <sz val="10"/>
      <color rgb="FF9C0006"/>
      <name val="Aptos"/>
      <family val="2"/>
    </font>
    <font>
      <b/>
      <sz val="10"/>
      <color rgb="FF006100"/>
      <name val="Aptos"/>
      <family val="2"/>
    </font>
    <font>
      <i/>
      <sz val="10"/>
      <color theme="1"/>
      <name val="Aptos"/>
      <family val="2"/>
    </font>
    <font>
      <b/>
      <sz val="8"/>
      <color theme="0"/>
      <name val="Aptos"/>
      <family val="2"/>
    </font>
    <font>
      <sz val="8"/>
      <color theme="0"/>
      <name val="Aptos"/>
      <family val="2"/>
    </font>
    <font>
      <sz val="11"/>
      <color theme="2" tint="-0.499984740745262"/>
      <name val="Calibri"/>
      <family val="2"/>
      <scheme val="minor"/>
    </font>
    <font>
      <b/>
      <sz val="8"/>
      <name val="Aptos"/>
      <family val="2"/>
    </font>
    <font>
      <b/>
      <sz val="10"/>
      <color theme="0"/>
      <name val="Aptos"/>
      <family val="2"/>
    </font>
    <font>
      <b/>
      <sz val="11"/>
      <color rgb="FF000000"/>
      <name val="Calibri"/>
      <family val="2"/>
    </font>
    <font>
      <b/>
      <sz val="12"/>
      <color theme="1"/>
      <name val="Amasis MT Pro"/>
      <family val="1"/>
    </font>
    <font>
      <b/>
      <sz val="12"/>
      <name val="Amasis MT Pro"/>
      <family val="1"/>
    </font>
    <font>
      <b/>
      <u/>
      <sz val="10"/>
      <name val="Aptos"/>
      <family val="2"/>
    </font>
    <font>
      <b/>
      <sz val="10"/>
      <color rgb="FF333399"/>
      <name val="Aptos"/>
      <family val="2"/>
    </font>
    <font>
      <sz val="10"/>
      <color rgb="FF000000"/>
      <name val="Wingdings"/>
      <charset val="2"/>
    </font>
    <font>
      <sz val="10"/>
      <color theme="1"/>
      <name val="Arial"/>
      <family val="2"/>
    </font>
    <font>
      <sz val="12"/>
      <name val="Amasis MT Pro"/>
      <family val="1"/>
    </font>
    <font>
      <sz val="12"/>
      <name val="Arial"/>
      <family val="2"/>
    </font>
    <font>
      <sz val="10"/>
      <color theme="1"/>
      <name val="Aptos Narrow"/>
      <family val="2"/>
    </font>
    <font>
      <b/>
      <sz val="10"/>
      <color rgb="FF000000"/>
      <name val="Aptos Narrow"/>
      <family val="2"/>
    </font>
    <font>
      <b/>
      <sz val="10"/>
      <color theme="1"/>
      <name val="Aptos Narrow"/>
      <family val="2"/>
    </font>
    <font>
      <b/>
      <i/>
      <sz val="10"/>
      <color rgb="FF000000"/>
      <name val="Aptos Narrow"/>
      <family val="2"/>
    </font>
    <font>
      <sz val="10"/>
      <color theme="1"/>
      <name val="Calibri"/>
      <family val="2"/>
      <scheme val="minor"/>
    </font>
    <font>
      <b/>
      <sz val="10"/>
      <color theme="1"/>
      <name val="Arial"/>
      <family val="2"/>
    </font>
    <font>
      <sz val="10"/>
      <color rgb="FFFF0000"/>
      <name val="Aptos"/>
      <family val="2"/>
    </font>
    <font>
      <sz val="11"/>
      <color indexed="8"/>
      <name val="Tahoma"/>
      <family val="2"/>
    </font>
    <font>
      <sz val="11"/>
      <color indexed="8"/>
      <name val="Calibri"/>
      <family val="2"/>
    </font>
    <font>
      <sz val="11"/>
      <color theme="1"/>
      <name val="Tahoma"/>
      <family val="2"/>
    </font>
    <font>
      <sz val="11"/>
      <color theme="0"/>
      <name val="Tahoma"/>
      <family val="2"/>
    </font>
    <font>
      <sz val="11"/>
      <color rgb="FF9C0006"/>
      <name val="Tahoma"/>
      <family val="2"/>
    </font>
    <font>
      <b/>
      <sz val="11"/>
      <color rgb="FFFA7D00"/>
      <name val="Tahoma"/>
      <family val="2"/>
    </font>
    <font>
      <b/>
      <sz val="11"/>
      <color theme="0"/>
      <name val="Tahoma"/>
      <family val="2"/>
    </font>
    <font>
      <i/>
      <sz val="11"/>
      <color rgb="FF7F7F7F"/>
      <name val="Tahoma"/>
      <family val="2"/>
    </font>
    <font>
      <sz val="11"/>
      <color rgb="FF006100"/>
      <name val="Tahoma"/>
      <family val="2"/>
    </font>
    <font>
      <b/>
      <sz val="15"/>
      <color theme="3"/>
      <name val="Tahoma"/>
      <family val="2"/>
    </font>
    <font>
      <b/>
      <sz val="13"/>
      <color theme="3"/>
      <name val="Tahoma"/>
      <family val="2"/>
    </font>
    <font>
      <b/>
      <sz val="11"/>
      <color theme="3"/>
      <name val="Tahoma"/>
      <family val="2"/>
    </font>
    <font>
      <sz val="11"/>
      <color rgb="FF3F3F76"/>
      <name val="Tahoma"/>
      <family val="2"/>
    </font>
    <font>
      <sz val="11"/>
      <color rgb="FFFA7D00"/>
      <name val="Tahoma"/>
      <family val="2"/>
    </font>
    <font>
      <sz val="11"/>
      <color rgb="FF9C6500"/>
      <name val="Tahoma"/>
      <family val="2"/>
    </font>
    <font>
      <b/>
      <sz val="11"/>
      <color rgb="FF3F3F3F"/>
      <name val="Tahoma"/>
      <family val="2"/>
    </font>
    <font>
      <b/>
      <sz val="11"/>
      <color theme="1"/>
      <name val="Tahoma"/>
      <family val="2"/>
    </font>
    <font>
      <sz val="11"/>
      <color rgb="FFFF0000"/>
      <name val="Tahoma"/>
      <family val="2"/>
    </font>
    <font>
      <sz val="12"/>
      <color theme="1"/>
      <name val="Calibri"/>
      <family val="2"/>
      <charset val="136"/>
      <scheme val="minor"/>
    </font>
    <font>
      <b/>
      <sz val="11"/>
      <color rgb="FF000000"/>
      <name val="Calibri"/>
      <family val="2"/>
      <scheme val="minor"/>
    </font>
    <font>
      <b/>
      <vertAlign val="superscript"/>
      <sz val="10"/>
      <color theme="1"/>
      <name val="Aptos"/>
      <family val="2"/>
    </font>
    <font>
      <vertAlign val="superscript"/>
      <sz val="10"/>
      <color theme="1"/>
      <name val="Aptos"/>
      <family val="2"/>
    </font>
    <font>
      <b/>
      <strike/>
      <vertAlign val="superscript"/>
      <sz val="10"/>
      <color theme="1"/>
      <name val="Aptos"/>
      <family val="2"/>
    </font>
    <font>
      <b/>
      <sz val="14"/>
      <color theme="1"/>
      <name val="Aptos"/>
      <family val="2"/>
    </font>
    <font>
      <sz val="10"/>
      <color rgb="FFFF0000"/>
      <name val="Arial"/>
      <family val="2"/>
    </font>
    <font>
      <sz val="10"/>
      <color rgb="FF00B050"/>
      <name val="Arial"/>
      <family val="2"/>
    </font>
    <font>
      <sz val="11"/>
      <color rgb="FFFF0000"/>
      <name val="Aptos"/>
      <family val="2"/>
    </font>
    <font>
      <sz val="11"/>
      <color rgb="FFFF0000"/>
      <name val="Arial"/>
      <family val="2"/>
    </font>
    <font>
      <sz val="10"/>
      <color rgb="FF000000"/>
      <name val="Arial"/>
      <family val="2"/>
    </font>
    <font>
      <sz val="11"/>
      <color rgb="FF000000"/>
      <name val="Arial"/>
      <family val="2"/>
    </font>
    <font>
      <sz val="11"/>
      <name val="Calibri"/>
      <family val="2"/>
      <charset val="134"/>
      <scheme val="minor"/>
    </font>
    <font>
      <b/>
      <u/>
      <sz val="11"/>
      <color theme="1"/>
      <name val="Calibri"/>
      <family val="2"/>
      <scheme val="minor"/>
    </font>
    <font>
      <b/>
      <u/>
      <sz val="11"/>
      <color theme="1"/>
      <name val="Calibri"/>
      <family val="2"/>
      <charset val="134"/>
      <scheme val="minor"/>
    </font>
    <font>
      <b/>
      <sz val="11"/>
      <color rgb="FFFF0000"/>
      <name val="Calibri"/>
      <family val="2"/>
      <charset val="134"/>
      <scheme val="minor"/>
    </font>
    <font>
      <b/>
      <sz val="10"/>
      <color theme="1"/>
      <name val="Calibri"/>
      <family val="2"/>
      <charset val="134"/>
      <scheme val="minor"/>
    </font>
    <font>
      <sz val="11"/>
      <color rgb="FF000000"/>
      <name val="Calibri"/>
      <family val="2"/>
      <charset val="134"/>
      <scheme val="minor"/>
    </font>
    <font>
      <sz val="11"/>
      <name val="Aptos"/>
      <family val="2"/>
    </font>
    <font>
      <sz val="11"/>
      <color rgb="FFEE0000"/>
      <name val="Aptos"/>
      <family val="2"/>
    </font>
    <font>
      <b/>
      <vertAlign val="superscript"/>
      <sz val="10"/>
      <color rgb="FF000000"/>
      <name val="Aptos"/>
      <family val="2"/>
    </font>
    <font>
      <sz val="10"/>
      <name val="Trebuchet MS"/>
      <family val="2"/>
    </font>
    <font>
      <b/>
      <u/>
      <sz val="11"/>
      <name val="Trebuchet MS"/>
      <family val="2"/>
    </font>
    <font>
      <sz val="12"/>
      <name val="Trebuchet MS"/>
      <family val="2"/>
    </font>
    <font>
      <b/>
      <sz val="10"/>
      <color indexed="8"/>
      <name val="Trebuchet MS"/>
      <family val="2"/>
    </font>
    <font>
      <sz val="10"/>
      <color indexed="8"/>
      <name val="Trebuchet MS"/>
      <family val="2"/>
    </font>
    <font>
      <b/>
      <sz val="10"/>
      <name val="Trebuchet MS"/>
      <family val="2"/>
    </font>
    <font>
      <b/>
      <sz val="16"/>
      <color indexed="62"/>
      <name val="Trebuchet MS"/>
      <family val="2"/>
    </font>
    <font>
      <b/>
      <sz val="11"/>
      <name val="Trebuchet MS"/>
      <family val="2"/>
    </font>
    <font>
      <b/>
      <sz val="11"/>
      <color indexed="8"/>
      <name val="Trebuchet MS"/>
      <family val="2"/>
    </font>
    <font>
      <b/>
      <u/>
      <sz val="10"/>
      <name val="Trebuchet MS"/>
      <family val="2"/>
    </font>
    <font>
      <b/>
      <sz val="9"/>
      <color indexed="8"/>
      <name val="Trebuchet MS"/>
      <family val="2"/>
    </font>
    <font>
      <sz val="9"/>
      <color indexed="8"/>
      <name val="Trebuchet MS"/>
      <family val="2"/>
    </font>
    <font>
      <sz val="9"/>
      <name val="Trebuchet MS"/>
      <family val="2"/>
    </font>
    <font>
      <sz val="11"/>
      <color theme="1"/>
      <name val="Wingdings"/>
      <charset val="2"/>
    </font>
    <font>
      <sz val="11"/>
      <name val="Calibri"/>
      <family val="2"/>
    </font>
    <font>
      <b/>
      <sz val="10"/>
      <name val="Arial"/>
      <family val="2"/>
    </font>
    <font>
      <b/>
      <sz val="12"/>
      <color rgb="FFFF0000"/>
      <name val="Amasis MT Pro"/>
      <family val="1"/>
    </font>
    <font>
      <b/>
      <sz val="12"/>
      <color rgb="FF00B050"/>
      <name val="Amasis MT Pro"/>
      <family val="1"/>
    </font>
    <font>
      <b/>
      <sz val="10"/>
      <color rgb="FFFF0000"/>
      <name val="Arial"/>
      <family val="2"/>
    </font>
    <font>
      <b/>
      <sz val="10"/>
      <color rgb="FFEE0000"/>
      <name val="Arial"/>
      <family val="2"/>
    </font>
    <font>
      <b/>
      <sz val="11"/>
      <color rgb="FF000000"/>
      <name val="Arial"/>
      <family val="2"/>
    </font>
    <font>
      <b/>
      <sz val="10"/>
      <color rgb="FF000000"/>
      <name val="Arial"/>
      <family val="2"/>
    </font>
    <font>
      <sz val="12"/>
      <color rgb="FFFF0000"/>
      <name val="Amasis MT Pro"/>
      <family val="1"/>
    </font>
    <font>
      <b/>
      <sz val="12"/>
      <color rgb="FF000000"/>
      <name val="Arial"/>
      <family val="2"/>
    </font>
    <font>
      <b/>
      <sz val="10"/>
      <color rgb="FF00B050"/>
      <name val="Arial"/>
      <family val="2"/>
    </font>
    <font>
      <sz val="12"/>
      <color rgb="FFFF0000"/>
      <name val="Aptos"/>
      <family val="2"/>
    </font>
    <font>
      <sz val="9"/>
      <color indexed="81"/>
      <name val="Tahoma"/>
      <charset val="1"/>
    </font>
  </fonts>
  <fills count="88">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tint="-0.249977111117893"/>
        <bgColor indexed="64"/>
      </patternFill>
    </fill>
    <fill>
      <patternFill patternType="solid">
        <fgColor rgb="FF00B05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indexed="65"/>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79934080019531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F9E7"/>
        <bgColor indexed="64"/>
      </patternFill>
    </fill>
    <fill>
      <patternFill patternType="solid">
        <fgColor rgb="FFFFF9E7"/>
        <bgColor rgb="FF000000"/>
      </patternFill>
    </fill>
    <fill>
      <patternFill patternType="solid">
        <fgColor theme="2"/>
        <bgColor rgb="FF000000"/>
      </patternFill>
    </fill>
    <fill>
      <patternFill patternType="solid">
        <fgColor rgb="FFFFFFFF"/>
        <bgColor rgb="FF000000"/>
      </patternFill>
    </fill>
    <fill>
      <patternFill patternType="solid">
        <fgColor rgb="FFFFC7CE"/>
        <bgColor indexed="64"/>
      </patternFill>
    </fill>
    <fill>
      <patternFill patternType="solid">
        <fgColor rgb="FFC6EFCE"/>
        <bgColor indexed="64"/>
      </patternFill>
    </fill>
    <fill>
      <patternFill patternType="solid">
        <fgColor theme="0" tint="-0.34998626667073579"/>
        <bgColor indexed="64"/>
      </patternFill>
    </fill>
    <fill>
      <patternFill patternType="solid">
        <fgColor theme="3" tint="0.8999908444471571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BFBFBF"/>
        <bgColor rgb="FF000000"/>
      </patternFill>
    </fill>
    <fill>
      <patternFill patternType="solid">
        <fgColor theme="7" tint="0.79998168889431442"/>
        <bgColor rgb="FF000000"/>
      </patternFill>
    </fill>
    <fill>
      <patternFill patternType="solid">
        <fgColor rgb="FFC0C0C0"/>
        <bgColor rgb="FF000000"/>
      </patternFill>
    </fill>
    <fill>
      <patternFill patternType="solid">
        <fgColor rgb="FF00B050"/>
        <bgColor rgb="FF000000"/>
      </patternFill>
    </fill>
    <fill>
      <patternFill patternType="solid">
        <fgColor rgb="FFFFFF00"/>
        <bgColor rgb="FF000000"/>
      </patternFill>
    </fill>
    <fill>
      <patternFill patternType="solid">
        <fgColor rgb="FFFF0000"/>
        <bgColor rgb="FF000000"/>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7" tint="0.39997558519241921"/>
        <bgColor indexed="64"/>
      </patternFill>
    </fill>
    <fill>
      <patternFill patternType="solid">
        <fgColor indexed="26"/>
      </patternFill>
    </fill>
    <fill>
      <patternFill patternType="solid">
        <fgColor rgb="FFC4D79B"/>
        <bgColor rgb="FF000000"/>
      </patternFill>
    </fill>
    <fill>
      <patternFill patternType="solid">
        <fgColor theme="3"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C6CE"/>
        <bgColor indexed="64"/>
      </patternFill>
    </fill>
    <fill>
      <patternFill patternType="solid">
        <fgColor rgb="FF7030A0"/>
        <bgColor indexed="64"/>
      </patternFill>
    </fill>
    <fill>
      <patternFill patternType="solid">
        <fgColor theme="9"/>
        <bgColor indexed="64"/>
      </patternFill>
    </fill>
    <fill>
      <patternFill patternType="solid">
        <fgColor rgb="FF9C0006"/>
        <bgColor indexed="64"/>
      </patternFill>
    </fill>
    <fill>
      <patternFill patternType="solid">
        <fgColor theme="8" tint="0.39997558519241921"/>
        <bgColor indexed="64"/>
      </patternFill>
    </fill>
    <fill>
      <patternFill patternType="solid">
        <fgColor rgb="FFD8E4BC"/>
        <bgColor rgb="FF000000"/>
      </patternFill>
    </fill>
    <fill>
      <patternFill patternType="solid">
        <fgColor theme="7" tint="0.79998168889431442"/>
        <bgColor indexed="64"/>
      </patternFill>
    </fill>
    <fill>
      <patternFill patternType="solid">
        <fgColor theme="0" tint="-0.249977111117893"/>
        <bgColor indexed="64"/>
      </patternFill>
    </fill>
    <fill>
      <patternFill patternType="solid">
        <fgColor indexed="22"/>
        <bgColor indexed="64"/>
      </patternFill>
    </fill>
    <fill>
      <patternFill patternType="solid">
        <fgColor rgb="FFEE0000"/>
        <bgColor indexed="64"/>
      </patternFill>
    </fill>
  </fills>
  <borders count="281">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style="medium">
        <color auto="1"/>
      </left>
      <right/>
      <top/>
      <bottom/>
      <diagonal/>
    </border>
    <border>
      <left style="medium">
        <color auto="1"/>
      </left>
      <right/>
      <top/>
      <bottom style="thin">
        <color auto="1"/>
      </bottom>
      <diagonal/>
    </border>
    <border>
      <left/>
      <right style="medium">
        <color auto="1"/>
      </right>
      <top/>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right style="thin">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medium">
        <color auto="1"/>
      </right>
      <top/>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indexed="64"/>
      </top>
      <bottom style="medium">
        <color indexed="64"/>
      </bottom>
      <diagonal/>
    </border>
    <border>
      <left style="medium">
        <color auto="1"/>
      </left>
      <right style="medium">
        <color auto="1"/>
      </right>
      <top/>
      <bottom style="medium">
        <color indexed="64"/>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medium">
        <color indexed="64"/>
      </top>
      <bottom style="thin">
        <color auto="1"/>
      </bottom>
      <diagonal/>
    </border>
    <border>
      <left style="medium">
        <color auto="1"/>
      </left>
      <right style="thin">
        <color auto="1"/>
      </right>
      <top/>
      <bottom style="medium">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medium">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style="medium">
        <color theme="0" tint="-0.249977111117893"/>
      </left>
      <right style="thin">
        <color theme="0" tint="-0.249977111117893"/>
      </right>
      <top/>
      <bottom style="double">
        <color theme="0" tint="-0.249977111117893"/>
      </bottom>
      <diagonal/>
    </border>
    <border>
      <left/>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auto="1"/>
      </left>
      <right style="thin">
        <color auto="1"/>
      </right>
      <top/>
      <bottom style="medium">
        <color indexed="64"/>
      </bottom>
      <diagonal/>
    </border>
    <border>
      <left style="thin">
        <color auto="1"/>
      </left>
      <right style="medium">
        <color auto="1"/>
      </right>
      <top/>
      <bottom style="medium">
        <color auto="1"/>
      </bottom>
      <diagonal/>
    </border>
    <border>
      <left/>
      <right style="thin">
        <color auto="1"/>
      </right>
      <top/>
      <bottom style="medium">
        <color auto="1"/>
      </bottom>
      <diagonal/>
    </border>
    <border>
      <left style="medium">
        <color auto="1"/>
      </left>
      <right style="medium">
        <color auto="1"/>
      </right>
      <top/>
      <bottom style="thin">
        <color auto="1"/>
      </bottom>
      <diagonal/>
    </border>
    <border>
      <left style="thin">
        <color theme="2"/>
      </left>
      <right style="thin">
        <color theme="2"/>
      </right>
      <top style="thin">
        <color theme="2"/>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style="thin">
        <color theme="2"/>
      </top>
      <bottom style="thin">
        <color theme="0" tint="-0.249977111117893"/>
      </bottom>
      <diagonal/>
    </border>
    <border>
      <left/>
      <right style="thin">
        <color theme="0" tint="-0.249977111117893"/>
      </right>
      <top/>
      <bottom/>
      <diagonal/>
    </border>
    <border>
      <left style="thin">
        <color theme="2"/>
      </left>
      <right style="thin">
        <color theme="2"/>
      </right>
      <top style="thin">
        <color theme="0" tint="-0.249977111117893"/>
      </top>
      <bottom style="thin">
        <color theme="2"/>
      </bottom>
      <diagonal/>
    </border>
    <border>
      <left/>
      <right style="thin">
        <color theme="0" tint="-0.249977111117893"/>
      </right>
      <top/>
      <bottom style="thin">
        <color theme="0" tint="-0.249977111117893"/>
      </bottom>
      <diagonal/>
    </border>
    <border>
      <left style="thin">
        <color theme="2"/>
      </left>
      <right style="thin">
        <color theme="2"/>
      </right>
      <top/>
      <bottom style="thin">
        <color theme="2"/>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2"/>
      </top>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249977111117893"/>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auto="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249977111117893"/>
      </left>
      <right/>
      <top style="thin">
        <color theme="0" tint="-0.249977111117893"/>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249977111117893"/>
      </right>
      <top style="thin">
        <color theme="0" tint="-0.14999847407452621"/>
      </top>
      <bottom/>
      <diagonal/>
    </border>
    <border>
      <left/>
      <right style="thin">
        <color theme="0" tint="-0.249977111117893"/>
      </right>
      <top/>
      <bottom style="thin">
        <color theme="0" tint="-0.14999847407452621"/>
      </bottom>
      <diagonal/>
    </border>
    <border>
      <left/>
      <right style="medium">
        <color auto="1"/>
      </right>
      <top/>
      <bottom style="thin">
        <color auto="1"/>
      </bottom>
      <diagonal/>
    </border>
    <border>
      <left/>
      <right style="medium">
        <color indexed="64"/>
      </right>
      <top style="medium">
        <color indexed="64"/>
      </top>
      <bottom style="thin">
        <color auto="1"/>
      </bottom>
      <diagonal/>
    </border>
    <border>
      <left style="thin">
        <color auto="1"/>
      </left>
      <right/>
      <top/>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right/>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bottom style="thin">
        <color auto="1"/>
      </bottom>
      <diagonal/>
    </border>
    <border>
      <left style="thin">
        <color auto="1"/>
      </left>
      <right/>
      <top/>
      <bottom style="medium">
        <color indexed="64"/>
      </bottom>
      <diagonal/>
    </border>
    <border>
      <left style="thin">
        <color theme="0" tint="-0.249977111117893"/>
      </left>
      <right style="thin">
        <color theme="0" tint="-0.249977111117893"/>
      </right>
      <top/>
      <bottom/>
      <diagonal/>
    </border>
    <border>
      <left/>
      <right/>
      <top style="medium">
        <color rgb="FF000000"/>
      </top>
      <bottom/>
      <diagonal/>
    </border>
    <border>
      <left style="medium">
        <color rgb="FF000000"/>
      </left>
      <right style="medium">
        <color rgb="FF000000"/>
      </right>
      <top style="medium">
        <color rgb="FF000000"/>
      </top>
      <bottom/>
      <diagonal/>
    </border>
    <border>
      <left style="medium">
        <color auto="1"/>
      </left>
      <right style="medium">
        <color auto="1"/>
      </right>
      <top style="medium">
        <color rgb="FF000000"/>
      </top>
      <bottom/>
      <diagonal/>
    </border>
    <border>
      <left/>
      <right style="medium">
        <color auto="1"/>
      </right>
      <top style="medium">
        <color rgb="FF000000"/>
      </top>
      <bottom/>
      <diagonal/>
    </border>
    <border>
      <left/>
      <right style="medium">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indexed="64"/>
      </right>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medium">
        <color theme="0" tint="-0.249977111117893"/>
      </right>
      <top/>
      <bottom/>
      <diagonal/>
    </border>
    <border>
      <left style="medium">
        <color theme="0" tint="-0.249977111117893"/>
      </left>
      <right style="thin">
        <color theme="0" tint="-0.249977111117893"/>
      </right>
      <top/>
      <bottom/>
      <diagonal/>
    </border>
    <border>
      <left style="thin">
        <color theme="0" tint="-0.249977111117893"/>
      </left>
      <right style="thin">
        <color theme="0" tint="-0.249977111117893"/>
      </right>
      <top/>
      <bottom style="double">
        <color theme="0" tint="-0.249977111117893"/>
      </bottom>
      <diagonal/>
    </border>
    <border>
      <left style="medium">
        <color rgb="FF000000"/>
      </left>
      <right style="thin">
        <color rgb="FF000000"/>
      </right>
      <top style="medium">
        <color rgb="FF000000"/>
      </top>
      <bottom/>
      <diagonal/>
    </border>
    <border>
      <left style="thin">
        <color theme="0" tint="-0.249977111117893"/>
      </left>
      <right/>
      <top/>
      <bottom/>
      <diagonal/>
    </border>
    <border>
      <left style="thin">
        <color theme="0" tint="-0.249977111117893"/>
      </left>
      <right style="medium">
        <color theme="0" tint="-0.249977111117893"/>
      </right>
      <top style="thin">
        <color theme="0" tint="-0.249977111117893"/>
      </top>
      <bottom/>
      <diagonal/>
    </border>
    <border>
      <left style="medium">
        <color auto="1"/>
      </left>
      <right/>
      <top style="hair">
        <color auto="1"/>
      </top>
      <bottom/>
      <diagonal/>
    </border>
    <border>
      <left style="medium">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right style="medium">
        <color auto="1"/>
      </right>
      <top style="hair">
        <color auto="1"/>
      </top>
      <bottom style="hair">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medium">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medium">
        <color rgb="FF000000"/>
      </left>
      <right/>
      <top style="medium">
        <color rgb="FF000000"/>
      </top>
      <bottom style="medium">
        <color auto="1"/>
      </bottom>
      <diagonal/>
    </border>
    <border>
      <left/>
      <right style="medium">
        <color rgb="FF000000"/>
      </right>
      <top/>
      <bottom/>
      <diagonal/>
    </border>
    <border>
      <left style="thin">
        <color indexed="64"/>
      </left>
      <right style="medium">
        <color rgb="FF000000"/>
      </right>
      <top/>
      <bottom style="thin">
        <color indexed="64"/>
      </bottom>
      <diagonal/>
    </border>
    <border>
      <left style="thin">
        <color auto="1"/>
      </left>
      <right style="medium">
        <color rgb="FF000000"/>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indexed="64"/>
      </bottom>
      <diagonal/>
    </border>
    <border>
      <left/>
      <right style="medium">
        <color auto="1"/>
      </right>
      <top style="thin">
        <color auto="1"/>
      </top>
      <bottom style="thin">
        <color auto="1"/>
      </bottom>
      <diagonal/>
    </border>
    <border>
      <left/>
      <right style="medium">
        <color indexed="64"/>
      </right>
      <top style="thin">
        <color auto="1"/>
      </top>
      <bottom style="medium">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medium">
        <color auto="1"/>
      </bottom>
      <diagonal/>
    </border>
    <border>
      <left/>
      <right/>
      <top style="thin">
        <color auto="1"/>
      </top>
      <bottom style="medium">
        <color auto="1"/>
      </bottom>
      <diagonal/>
    </border>
    <border>
      <left/>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thin">
        <color theme="0" tint="-0.14999847407452621"/>
      </left>
      <right style="thin">
        <color theme="0" tint="-0.14999847407452621"/>
      </right>
      <top style="thin">
        <color auto="1"/>
      </top>
      <bottom style="thin">
        <color theme="0" tint="-0.14999847407452621"/>
      </bottom>
      <diagonal/>
    </border>
    <border>
      <left style="thin">
        <color rgb="FF000000"/>
      </left>
      <right style="thin">
        <color rgb="FF000000"/>
      </right>
      <top/>
      <bottom/>
      <diagonal/>
    </border>
    <border>
      <left style="dotted">
        <color rgb="FF000000"/>
      </left>
      <right style="dotted">
        <color rgb="FF000000"/>
      </right>
      <top style="dotted">
        <color rgb="FF000000"/>
      </top>
      <bottom style="dotted">
        <color rgb="FF000000"/>
      </bottom>
      <diagonal/>
    </border>
    <border>
      <left style="thin">
        <color rgb="FF000000"/>
      </left>
      <right/>
      <top style="dotted">
        <color rgb="FF000000"/>
      </top>
      <bottom/>
      <diagonal/>
    </border>
    <border>
      <left style="dotted">
        <color rgb="FF000000"/>
      </left>
      <right/>
      <top style="dotted">
        <color rgb="FF000000"/>
      </top>
      <bottom style="dotted">
        <color rgb="FF000000"/>
      </bottom>
      <diagonal/>
    </border>
    <border>
      <left style="medium">
        <color auto="1"/>
      </left>
      <right/>
      <top style="medium">
        <color rgb="FF000000"/>
      </top>
      <bottom/>
      <diagonal/>
    </border>
    <border>
      <left style="dotted">
        <color rgb="FF000000"/>
      </left>
      <right style="dotted">
        <color rgb="FF000000"/>
      </right>
      <top style="dotted">
        <color rgb="FF000000"/>
      </top>
      <bottom/>
      <diagonal/>
    </border>
    <border>
      <left style="dotted">
        <color rgb="FF000000"/>
      </left>
      <right/>
      <top style="dotted">
        <color rgb="FF000000"/>
      </top>
      <bottom/>
      <diagonal/>
    </border>
    <border>
      <left style="medium">
        <color rgb="FF000000"/>
      </left>
      <right style="medium">
        <color rgb="FF000000"/>
      </right>
      <top/>
      <bottom style="medium">
        <color rgb="FF000000"/>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style="thin">
        <color indexed="64"/>
      </top>
      <bottom/>
      <diagonal/>
    </border>
    <border>
      <left style="thin">
        <color auto="1"/>
      </left>
      <right/>
      <top style="thin">
        <color auto="1"/>
      </top>
      <bottom/>
      <diagonal/>
    </border>
    <border>
      <left/>
      <right style="thin">
        <color auto="1"/>
      </right>
      <top style="medium">
        <color rgb="FF000000"/>
      </top>
      <bottom style="thin">
        <color auto="1"/>
      </bottom>
      <diagonal/>
    </border>
    <border>
      <left style="thin">
        <color auto="1"/>
      </left>
      <right style="thin">
        <color auto="1"/>
      </right>
      <top style="medium">
        <color rgb="FF000000"/>
      </top>
      <bottom style="thin">
        <color auto="1"/>
      </bottom>
      <diagonal/>
    </border>
    <border>
      <left style="thin">
        <color auto="1"/>
      </left>
      <right style="medium">
        <color rgb="FF000000"/>
      </right>
      <top style="medium">
        <color rgb="FF000000"/>
      </top>
      <bottom style="thin">
        <color auto="1"/>
      </bottom>
      <diagonal/>
    </border>
    <border>
      <left style="thin">
        <color auto="1"/>
      </left>
      <right style="medium">
        <color rgb="FF000000"/>
      </right>
      <top style="thin">
        <color auto="1"/>
      </top>
      <bottom/>
      <diagonal/>
    </border>
    <border>
      <left/>
      <right style="thin">
        <color auto="1"/>
      </right>
      <top style="thin">
        <color auto="1"/>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rgb="FF000000"/>
      </left>
      <right style="thin">
        <color auto="1"/>
      </right>
      <top style="medium">
        <color rgb="FF000000"/>
      </top>
      <bottom style="thin">
        <color auto="1"/>
      </bottom>
      <diagonal/>
    </border>
    <border>
      <left style="thin">
        <color auto="1"/>
      </left>
      <right style="thin">
        <color auto="1"/>
      </right>
      <top style="medium">
        <color rgb="FF000000"/>
      </top>
      <bottom/>
      <diagonal/>
    </border>
    <border>
      <left style="medium">
        <color rgb="FF000000"/>
      </left>
      <right style="thin">
        <color auto="1"/>
      </right>
      <top style="thin">
        <color auto="1"/>
      </top>
      <bottom style="thin">
        <color auto="1"/>
      </bottom>
      <diagonal/>
    </border>
    <border>
      <left/>
      <right style="medium">
        <color rgb="FF000000"/>
      </right>
      <top/>
      <bottom style="medium">
        <color rgb="FF000000"/>
      </bottom>
      <diagonal/>
    </border>
    <border>
      <left style="medium">
        <color rgb="FF000000"/>
      </left>
      <right style="medium">
        <color rgb="FF000000"/>
      </right>
      <top/>
      <bottom/>
      <diagonal/>
    </border>
    <border>
      <left style="thin">
        <color auto="1"/>
      </left>
      <right style="thin">
        <color auto="1"/>
      </right>
      <top/>
      <bottom style="medium">
        <color rgb="FF000000"/>
      </bottom>
      <diagonal/>
    </border>
    <border>
      <left style="thin">
        <color rgb="FF000000"/>
      </left>
      <right style="thin">
        <color rgb="FF000000"/>
      </right>
      <top/>
      <bottom style="thin">
        <color rgb="FF000000"/>
      </bottom>
      <diagonal/>
    </border>
    <border>
      <left style="medium">
        <color rgb="FF000000"/>
      </left>
      <right style="thin">
        <color auto="1"/>
      </right>
      <top style="thin">
        <color auto="1"/>
      </top>
      <bottom style="medium">
        <color rgb="FF000000"/>
      </bottom>
      <diagonal/>
    </border>
    <border>
      <left style="medium">
        <color rgb="FF000000"/>
      </left>
      <right style="medium">
        <color rgb="FF000000"/>
      </right>
      <top style="medium">
        <color auto="1"/>
      </top>
      <bottom/>
      <diagonal/>
    </border>
    <border>
      <left style="medium">
        <color rgb="FF000000"/>
      </left>
      <right style="medium">
        <color rgb="FF000000"/>
      </right>
      <top style="medium">
        <color auto="1"/>
      </top>
      <bottom style="medium">
        <color rgb="FF000000"/>
      </bottom>
      <diagonal/>
    </border>
    <border>
      <left style="medium">
        <color rgb="FF000000"/>
      </left>
      <right style="medium">
        <color rgb="FF000000"/>
      </right>
      <top style="medium">
        <color auto="1"/>
      </top>
      <bottom style="medium">
        <color auto="1"/>
      </bottom>
      <diagonal/>
    </border>
    <border>
      <left style="thin">
        <color rgb="FF000000"/>
      </left>
      <right style="thin">
        <color rgb="FF000000"/>
      </right>
      <top style="thin">
        <color rgb="FF000000"/>
      </top>
      <bottom/>
      <diagonal/>
    </border>
    <border>
      <left style="medium">
        <color rgb="FF000000"/>
      </left>
      <right style="thin">
        <color auto="1"/>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auto="1"/>
      </left>
      <right style="thin">
        <color auto="1"/>
      </right>
      <top style="thin">
        <color auto="1"/>
      </top>
      <bottom style="thin">
        <color rgb="FF000000"/>
      </bottom>
      <diagonal/>
    </border>
    <border>
      <left/>
      <right/>
      <top style="dotted">
        <color rgb="FF000000"/>
      </top>
      <bottom/>
      <diagonal/>
    </border>
    <border>
      <left style="thin">
        <color rgb="FF000000"/>
      </left>
      <right style="thin">
        <color rgb="FF000000"/>
      </right>
      <top style="thin">
        <color rgb="FF000000"/>
      </top>
      <bottom style="medium">
        <color rgb="FF000000"/>
      </bottom>
      <diagonal/>
    </border>
    <border>
      <left/>
      <right style="medium">
        <color rgb="FF000000"/>
      </right>
      <top style="medium">
        <color rgb="FF000000"/>
      </top>
      <bottom style="thin">
        <color auto="1"/>
      </bottom>
      <diagonal/>
    </border>
    <border>
      <left style="thin">
        <color auto="1"/>
      </left>
      <right/>
      <top style="thin">
        <color auto="1"/>
      </top>
      <bottom style="medium">
        <color rgb="FF000000"/>
      </bottom>
      <diagonal/>
    </border>
    <border>
      <left style="medium">
        <color rgb="FF000000"/>
      </left>
      <right style="thin">
        <color auto="1"/>
      </right>
      <top style="medium">
        <color auto="1"/>
      </top>
      <bottom style="thin">
        <color auto="1"/>
      </bottom>
      <diagonal/>
    </border>
    <border>
      <left style="thin">
        <color auto="1"/>
      </left>
      <right style="medium">
        <color rgb="FF000000"/>
      </right>
      <top style="medium">
        <color auto="1"/>
      </top>
      <bottom style="thin">
        <color auto="1"/>
      </bottom>
      <diagonal/>
    </border>
    <border>
      <left style="medium">
        <color rgb="FF000000"/>
      </left>
      <right style="thin">
        <color auto="1"/>
      </right>
      <top style="medium">
        <color auto="1"/>
      </top>
      <bottom/>
      <diagonal/>
    </border>
    <border>
      <left style="thin">
        <color auto="1"/>
      </left>
      <right style="medium">
        <color rgb="FF000000"/>
      </right>
      <top style="medium">
        <color auto="1"/>
      </top>
      <bottom/>
      <diagonal/>
    </border>
    <border>
      <left style="thin">
        <color rgb="FF000000"/>
      </left>
      <right style="thin">
        <color indexed="64"/>
      </right>
      <top style="thin">
        <color rgb="FF000000"/>
      </top>
      <bottom style="thin">
        <color indexed="64"/>
      </bottom>
      <diagonal/>
    </border>
    <border>
      <left style="thin">
        <color rgb="FF000000"/>
      </left>
      <right style="thin">
        <color indexed="64"/>
      </right>
      <top style="thin">
        <color rgb="FF000000"/>
      </top>
      <bottom/>
      <diagonal/>
    </border>
    <border>
      <left/>
      <right style="thin">
        <color rgb="FF000000"/>
      </right>
      <top style="thin">
        <color rgb="FF000000"/>
      </top>
      <bottom style="thin">
        <color rgb="FF000000"/>
      </bottom>
      <diagonal/>
    </border>
    <border>
      <left/>
      <right style="hair">
        <color auto="1"/>
      </right>
      <top/>
      <bottom style="hair">
        <color auto="1"/>
      </bottom>
      <diagonal/>
    </border>
    <border>
      <left style="hair">
        <color auto="1"/>
      </left>
      <right/>
      <top style="hair">
        <color auto="1"/>
      </top>
      <bottom style="hair">
        <color auto="1"/>
      </bottom>
      <diagonal/>
    </border>
    <border>
      <left style="medium">
        <color auto="1"/>
      </left>
      <right/>
      <top style="hair">
        <color auto="1"/>
      </top>
      <bottom style="hair">
        <color auto="1"/>
      </bottom>
      <diagonal/>
    </border>
    <border>
      <left/>
      <right/>
      <top style="hair">
        <color auto="1"/>
      </top>
      <bottom style="hair">
        <color auto="1"/>
      </bottom>
      <diagonal/>
    </border>
    <border>
      <left/>
      <right/>
      <top style="hair">
        <color auto="1"/>
      </top>
      <bottom/>
      <diagonal/>
    </border>
    <border>
      <left/>
      <right style="thin">
        <color auto="1"/>
      </right>
      <top style="thin">
        <color auto="1"/>
      </top>
      <bottom style="thin">
        <color rgb="FF000000"/>
      </bottom>
      <diagonal/>
    </border>
    <border>
      <left style="thin">
        <color auto="1"/>
      </left>
      <right style="medium">
        <color rgb="FF000000"/>
      </right>
      <top style="thin">
        <color auto="1"/>
      </top>
      <bottom style="thin">
        <color rgb="FF000000"/>
      </bottom>
      <diagonal/>
    </border>
    <border>
      <left style="medium">
        <color auto="1"/>
      </left>
      <right style="thin">
        <color auto="1"/>
      </right>
      <top style="thin">
        <color rgb="FF000000"/>
      </top>
      <bottom style="thin">
        <color auto="1"/>
      </bottom>
      <diagonal/>
    </border>
    <border>
      <left style="thin">
        <color indexed="64"/>
      </left>
      <right style="thin">
        <color indexed="64"/>
      </right>
      <top style="thin">
        <color rgb="FF000000"/>
      </top>
      <bottom style="thin">
        <color indexed="64"/>
      </bottom>
      <diagonal/>
    </border>
    <border>
      <left style="thin">
        <color auto="1"/>
      </left>
      <right style="thin">
        <color auto="1"/>
      </right>
      <top style="thin">
        <color rgb="FF000000"/>
      </top>
      <bottom/>
      <diagonal/>
    </border>
    <border>
      <left style="thin">
        <color indexed="64"/>
      </left>
      <right style="medium">
        <color indexed="64"/>
      </right>
      <top style="thin">
        <color rgb="FF000000"/>
      </top>
      <bottom style="thin">
        <color indexed="64"/>
      </bottom>
      <diagonal/>
    </border>
    <border>
      <left style="medium">
        <color auto="1"/>
      </left>
      <right style="thin">
        <color auto="1"/>
      </right>
      <top style="thin">
        <color auto="1"/>
      </top>
      <bottom style="medium">
        <color rgb="FF000000"/>
      </bottom>
      <diagonal/>
    </border>
    <border>
      <left style="thin">
        <color auto="1"/>
      </left>
      <right style="medium">
        <color auto="1"/>
      </right>
      <top style="thin">
        <color auto="1"/>
      </top>
      <bottom style="medium">
        <color rgb="FF000000"/>
      </bottom>
      <diagonal/>
    </border>
    <border>
      <left/>
      <right style="thin">
        <color auto="1"/>
      </right>
      <top style="thin">
        <color rgb="FF000000"/>
      </top>
      <bottom style="thin">
        <color auto="1"/>
      </bottom>
      <diagonal/>
    </border>
    <border>
      <left style="medium">
        <color indexed="64"/>
      </left>
      <right style="thin">
        <color rgb="FF000000"/>
      </right>
      <top style="thin">
        <color rgb="FF000000"/>
      </top>
      <bottom style="thin">
        <color rgb="FF000000"/>
      </bottom>
      <diagonal/>
    </border>
    <border>
      <left style="thin">
        <color indexed="64"/>
      </left>
      <right style="medium">
        <color indexed="64"/>
      </right>
      <top style="thin">
        <color indexed="64"/>
      </top>
      <bottom style="thin">
        <color rgb="FF000000"/>
      </bottom>
      <diagonal/>
    </border>
    <border>
      <left style="medium">
        <color rgb="FF000000"/>
      </left>
      <right style="thin">
        <color auto="1"/>
      </right>
      <top style="thin">
        <color auto="1"/>
      </top>
      <bottom/>
      <diagonal/>
    </border>
    <border>
      <left style="thin">
        <color indexed="64"/>
      </left>
      <right/>
      <top style="thin">
        <color rgb="FF000000"/>
      </top>
      <bottom style="thin">
        <color indexed="64"/>
      </bottom>
      <diagonal/>
    </border>
    <border>
      <left style="medium">
        <color indexed="64"/>
      </left>
      <right style="thin">
        <color rgb="FF000000"/>
      </right>
      <top style="thin">
        <color auto="1"/>
      </top>
      <bottom style="thin">
        <color auto="1"/>
      </bottom>
      <diagonal/>
    </border>
    <border>
      <left style="medium">
        <color auto="1"/>
      </left>
      <right style="thin">
        <color rgb="FF000000"/>
      </right>
      <top style="thin">
        <color auto="1"/>
      </top>
      <bottom/>
      <diagonal/>
    </border>
    <border>
      <left style="thin">
        <color rgb="FF000000"/>
      </left>
      <right style="thin">
        <color rgb="FF000000"/>
      </right>
      <top style="medium">
        <color indexed="64"/>
      </top>
      <bottom/>
      <diagonal/>
    </border>
    <border>
      <left style="medium">
        <color rgb="FF000000"/>
      </left>
      <right style="thin">
        <color auto="1"/>
      </right>
      <top style="medium">
        <color rgb="FF000000"/>
      </top>
      <bottom/>
      <diagonal/>
    </border>
    <border>
      <left style="thin">
        <color auto="1"/>
      </left>
      <right style="medium">
        <color rgb="FF000000"/>
      </right>
      <top style="medium">
        <color rgb="FF000000"/>
      </top>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thin">
        <color rgb="FF000000"/>
      </left>
      <right style="medium">
        <color auto="1"/>
      </right>
      <top style="medium">
        <color auto="1"/>
      </top>
      <bottom style="thin">
        <color indexed="64"/>
      </bottom>
      <diagonal/>
    </border>
    <border>
      <left style="dotted">
        <color rgb="FF000000"/>
      </left>
      <right style="dotted">
        <color rgb="FF000000"/>
      </right>
      <top/>
      <bottom/>
      <diagonal/>
    </border>
    <border>
      <left style="dotted">
        <color rgb="FF000000"/>
      </left>
      <right style="thin">
        <color rgb="FF000000"/>
      </right>
      <top/>
      <bottom/>
      <diagonal/>
    </border>
    <border>
      <left style="thin">
        <color rgb="FF000000"/>
      </left>
      <right style="thin">
        <color rgb="FF000000"/>
      </right>
      <top/>
      <bottom style="medium">
        <color rgb="FF000000"/>
      </bottom>
      <diagonal/>
    </border>
    <border>
      <left style="medium">
        <color auto="1"/>
      </left>
      <right style="thin">
        <color rgb="FF000000"/>
      </right>
      <top style="thin">
        <color auto="1"/>
      </top>
      <bottom style="thin">
        <color rgb="FF000000"/>
      </bottom>
      <diagonal/>
    </border>
    <border>
      <left style="medium">
        <color indexed="64"/>
      </left>
      <right style="thin">
        <color rgb="FF000000"/>
      </right>
      <top/>
      <bottom style="thin">
        <color auto="1"/>
      </bottom>
      <diagonal/>
    </border>
    <border>
      <left style="thin">
        <color auto="1"/>
      </left>
      <right style="thin">
        <color auto="1"/>
      </right>
      <top/>
      <bottom style="thin">
        <color rgb="FF000000"/>
      </bottom>
      <diagonal/>
    </border>
    <border>
      <left style="thin">
        <color indexed="64"/>
      </left>
      <right style="medium">
        <color rgb="FF000000"/>
      </right>
      <top style="thin">
        <color rgb="FF000000"/>
      </top>
      <bottom style="thin">
        <color indexed="64"/>
      </bottom>
      <diagonal/>
    </border>
    <border>
      <left style="thin">
        <color rgb="FF000000"/>
      </left>
      <right style="thin">
        <color rgb="FF000000"/>
      </right>
      <top style="thin">
        <color auto="1"/>
      </top>
      <bottom/>
      <diagonal/>
    </border>
    <border>
      <left style="thin">
        <color rgb="FF000000"/>
      </left>
      <right/>
      <top style="thin">
        <color rgb="FF000000"/>
      </top>
      <bottom style="thin">
        <color rgb="FF000000"/>
      </bottom>
      <diagonal/>
    </border>
    <border>
      <left style="thin">
        <color rgb="FF000000"/>
      </left>
      <right style="thin">
        <color auto="1"/>
      </right>
      <top/>
      <bottom style="thin">
        <color auto="1"/>
      </bottom>
      <diagonal/>
    </border>
    <border>
      <left style="thin">
        <color rgb="FF000000"/>
      </left>
      <right style="medium">
        <color indexed="64"/>
      </right>
      <top style="thin">
        <color indexed="64"/>
      </top>
      <bottom style="thin">
        <color indexed="64"/>
      </bottom>
      <diagonal/>
    </border>
    <border>
      <left style="thin">
        <color rgb="FF000000"/>
      </left>
      <right style="medium">
        <color indexed="64"/>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thin">
        <color rgb="FF000000"/>
      </top>
      <bottom style="medium">
        <color indexed="64"/>
      </bottom>
      <diagonal/>
    </border>
    <border>
      <left/>
      <right style="medium">
        <color rgb="FF000000"/>
      </right>
      <top/>
      <bottom style="thin">
        <color auto="1"/>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auto="1"/>
      </right>
      <top style="medium">
        <color indexed="64"/>
      </top>
      <bottom/>
      <diagonal/>
    </border>
    <border>
      <left style="medium">
        <color rgb="FF000000"/>
      </left>
      <right style="medium">
        <color auto="1"/>
      </right>
      <top style="medium">
        <color rgb="FF000000"/>
      </top>
      <bottom/>
      <diagonal/>
    </border>
    <border>
      <left/>
      <right/>
      <top style="medium">
        <color rgb="FF000000"/>
      </top>
      <bottom style="thin">
        <color auto="1"/>
      </bottom>
      <diagonal/>
    </border>
    <border>
      <left style="thin">
        <color auto="1"/>
      </left>
      <right/>
      <top style="medium">
        <color rgb="FF000000"/>
      </top>
      <bottom style="thin">
        <color auto="1"/>
      </bottom>
      <diagonal/>
    </border>
    <border>
      <left style="medium">
        <color auto="1"/>
      </left>
      <right style="thin">
        <color auto="1"/>
      </right>
      <top style="medium">
        <color rgb="FF000000"/>
      </top>
      <bottom style="thin">
        <color auto="1"/>
      </bottom>
      <diagonal/>
    </border>
    <border>
      <left style="medium">
        <color rgb="FF000000"/>
      </left>
      <right style="medium">
        <color auto="1"/>
      </right>
      <top style="medium">
        <color auto="1"/>
      </top>
      <bottom style="medium">
        <color rgb="FF000000"/>
      </bottom>
      <diagonal/>
    </border>
    <border>
      <left style="medium">
        <color auto="1"/>
      </left>
      <right/>
      <top style="thin">
        <color auto="1"/>
      </top>
      <bottom style="medium">
        <color rgb="FF000000"/>
      </bottom>
      <diagonal/>
    </border>
    <border>
      <left/>
      <right/>
      <top style="thin">
        <color indexed="64"/>
      </top>
      <bottom style="medium">
        <color rgb="FF000000"/>
      </bottom>
      <diagonal/>
    </border>
    <border>
      <left style="medium">
        <color auto="1"/>
      </left>
      <right/>
      <top style="medium">
        <color rgb="FF000000"/>
      </top>
      <bottom style="thin">
        <color auto="1"/>
      </bottom>
      <diagonal/>
    </border>
    <border>
      <left style="thin">
        <color auto="1"/>
      </left>
      <right style="medium">
        <color auto="1"/>
      </right>
      <top style="medium">
        <color rgb="FF000000"/>
      </top>
      <bottom style="thin">
        <color auto="1"/>
      </bottom>
      <diagonal/>
    </border>
    <border>
      <left style="medium">
        <color auto="1"/>
      </left>
      <right/>
      <top/>
      <bottom style="medium">
        <color rgb="FF000000"/>
      </bottom>
      <diagonal/>
    </border>
    <border>
      <left/>
      <right/>
      <top/>
      <bottom style="medium">
        <color rgb="FF000000"/>
      </bottom>
      <diagonal/>
    </border>
    <border>
      <left/>
      <right style="thin">
        <color auto="1"/>
      </right>
      <top style="medium">
        <color rgb="FF000000"/>
      </top>
      <bottom/>
      <diagonal/>
    </border>
    <border>
      <left style="thin">
        <color auto="1"/>
      </left>
      <right/>
      <top style="medium">
        <color rgb="FF000000"/>
      </top>
      <bottom/>
      <diagonal/>
    </border>
    <border>
      <left/>
      <right style="medium">
        <color auto="1"/>
      </right>
      <top style="thin">
        <color auto="1"/>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bottom/>
      <diagonal/>
    </border>
    <border>
      <left style="medium">
        <color rgb="FF000000"/>
      </left>
      <right/>
      <top style="medium">
        <color rgb="FF000000"/>
      </top>
      <bottom/>
      <diagonal/>
    </border>
    <border>
      <left style="medium">
        <color rgb="FF000000"/>
      </left>
      <right/>
      <top style="medium">
        <color rgb="FF000000"/>
      </top>
      <bottom style="thin">
        <color auto="1"/>
      </bottom>
      <diagonal/>
    </border>
    <border>
      <left style="thin">
        <color rgb="FF000000"/>
      </left>
      <right style="medium">
        <color auto="1"/>
      </right>
      <top style="medium">
        <color rgb="FF000000"/>
      </top>
      <bottom style="thin">
        <color indexed="64"/>
      </bottom>
      <diagonal/>
    </border>
    <border>
      <left style="thin">
        <color rgb="FF000000"/>
      </left>
      <right style="medium">
        <color rgb="FF000000"/>
      </right>
      <top style="thin">
        <color rgb="FF000000"/>
      </top>
      <bottom style="medium">
        <color rgb="FF000000"/>
      </bottom>
      <diagonal/>
    </border>
  </borders>
  <cellStyleXfs count="1799">
    <xf numFmtId="0" fontId="0" fillId="0" borderId="0"/>
    <xf numFmtId="43" fontId="47" fillId="0" borderId="0" applyFont="0" applyFill="0" applyBorder="0" applyAlignment="0" applyProtection="0"/>
    <xf numFmtId="43" fontId="47" fillId="0" borderId="0" applyFont="0" applyFill="0" applyBorder="0" applyAlignment="0" applyProtection="0"/>
    <xf numFmtId="9" fontId="49" fillId="0" borderId="0" applyFont="0" applyFill="0" applyBorder="0" applyAlignment="0" applyProtection="0"/>
    <xf numFmtId="0" fontId="42" fillId="0" borderId="0"/>
    <xf numFmtId="0" fontId="41" fillId="0" borderId="0"/>
    <xf numFmtId="0" fontId="40" fillId="0" borderId="0"/>
    <xf numFmtId="0" fontId="48" fillId="0" borderId="0"/>
    <xf numFmtId="0" fontId="48"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8" fillId="0" borderId="0"/>
    <xf numFmtId="9" fontId="4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9" fontId="24" fillId="0" borderId="0" applyFont="0" applyFill="0" applyBorder="0" applyAlignment="0" applyProtection="0"/>
    <xf numFmtId="43" fontId="24"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43" fontId="21"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9" fontId="17" fillId="0" borderId="0" applyFont="0" applyFill="0" applyBorder="0" applyAlignment="0" applyProtection="0"/>
    <xf numFmtId="165" fontId="17"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16" fillId="48" borderId="0" applyNumberFormat="0" applyBorder="0" applyAlignment="0" applyProtection="0"/>
    <xf numFmtId="0" fontId="116" fillId="52" borderId="0" applyNumberFormat="0" applyBorder="0" applyAlignment="0" applyProtection="0"/>
    <xf numFmtId="0" fontId="116" fillId="56" borderId="0" applyNumberFormat="0" applyBorder="0" applyAlignment="0" applyProtection="0"/>
    <xf numFmtId="0" fontId="116" fillId="60" borderId="0" applyNumberFormat="0" applyBorder="0" applyAlignment="0" applyProtection="0"/>
    <xf numFmtId="0" fontId="116" fillId="64" borderId="0" applyNumberFormat="0" applyBorder="0" applyAlignment="0" applyProtection="0"/>
    <xf numFmtId="0" fontId="116" fillId="68" borderId="0" applyNumberFormat="0" applyBorder="0" applyAlignment="0" applyProtection="0"/>
    <xf numFmtId="0" fontId="116" fillId="49" borderId="0" applyNumberFormat="0" applyBorder="0" applyAlignment="0" applyProtection="0"/>
    <xf numFmtId="0" fontId="116" fillId="53" borderId="0" applyNumberFormat="0" applyBorder="0" applyAlignment="0" applyProtection="0"/>
    <xf numFmtId="0" fontId="116" fillId="57" borderId="0" applyNumberFormat="0" applyBorder="0" applyAlignment="0" applyProtection="0"/>
    <xf numFmtId="0" fontId="116" fillId="61" borderId="0" applyNumberFormat="0" applyBorder="0" applyAlignment="0" applyProtection="0"/>
    <xf numFmtId="0" fontId="116" fillId="65" borderId="0" applyNumberFormat="0" applyBorder="0" applyAlignment="0" applyProtection="0"/>
    <xf numFmtId="0" fontId="116" fillId="69" borderId="0" applyNumberFormat="0" applyBorder="0" applyAlignment="0" applyProtection="0"/>
    <xf numFmtId="0" fontId="117" fillId="50" borderId="0" applyNumberFormat="0" applyBorder="0" applyAlignment="0" applyProtection="0"/>
    <xf numFmtId="0" fontId="117" fillId="54" borderId="0" applyNumberFormat="0" applyBorder="0" applyAlignment="0" applyProtection="0"/>
    <xf numFmtId="0" fontId="117" fillId="58" borderId="0" applyNumberFormat="0" applyBorder="0" applyAlignment="0" applyProtection="0"/>
    <xf numFmtId="0" fontId="117" fillId="62" borderId="0" applyNumberFormat="0" applyBorder="0" applyAlignment="0" applyProtection="0"/>
    <xf numFmtId="0" fontId="117" fillId="66" borderId="0" applyNumberFormat="0" applyBorder="0" applyAlignment="0" applyProtection="0"/>
    <xf numFmtId="0" fontId="117" fillId="70" borderId="0" applyNumberFormat="0" applyBorder="0" applyAlignment="0" applyProtection="0"/>
    <xf numFmtId="0" fontId="117" fillId="47" borderId="0" applyNumberFormat="0" applyBorder="0" applyAlignment="0" applyProtection="0"/>
    <xf numFmtId="0" fontId="117" fillId="51" borderId="0" applyNumberFormat="0" applyBorder="0" applyAlignment="0" applyProtection="0"/>
    <xf numFmtId="0" fontId="117" fillId="55" borderId="0" applyNumberFormat="0" applyBorder="0" applyAlignment="0" applyProtection="0"/>
    <xf numFmtId="0" fontId="117" fillId="59" borderId="0" applyNumberFormat="0" applyBorder="0" applyAlignment="0" applyProtection="0"/>
    <xf numFmtId="0" fontId="117" fillId="63" borderId="0" applyNumberFormat="0" applyBorder="0" applyAlignment="0" applyProtection="0"/>
    <xf numFmtId="0" fontId="117" fillId="67" borderId="0" applyNumberFormat="0" applyBorder="0" applyAlignment="0" applyProtection="0"/>
    <xf numFmtId="0" fontId="118" fillId="41" borderId="0" applyNumberFormat="0" applyBorder="0" applyAlignment="0" applyProtection="0"/>
    <xf numFmtId="0" fontId="119" fillId="44" borderId="128" applyNumberFormat="0" applyAlignment="0" applyProtection="0"/>
    <xf numFmtId="0" fontId="120" fillId="45" borderId="131" applyNumberFormat="0" applyAlignment="0" applyProtection="0"/>
    <xf numFmtId="165"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80" fontId="48" fillId="0" borderId="0" applyFont="0" applyFill="0" applyBorder="0" applyAlignment="0" applyProtection="0"/>
    <xf numFmtId="180" fontId="48" fillId="0" borderId="0" applyFont="0" applyFill="0" applyBorder="0" applyAlignment="0" applyProtection="0"/>
    <xf numFmtId="180" fontId="48" fillId="0" borderId="0" applyFont="0" applyFill="0" applyBorder="0" applyAlignment="0" applyProtection="0"/>
    <xf numFmtId="0" fontId="121" fillId="0" borderId="0" applyNumberFormat="0" applyFill="0" applyBorder="0" applyAlignment="0" applyProtection="0"/>
    <xf numFmtId="0" fontId="122" fillId="40" borderId="0" applyNumberFormat="0" applyBorder="0" applyAlignment="0" applyProtection="0"/>
    <xf numFmtId="0" fontId="123" fillId="0" borderId="125" applyNumberFormat="0" applyFill="0" applyAlignment="0" applyProtection="0"/>
    <xf numFmtId="0" fontId="124" fillId="0" borderId="126" applyNumberFormat="0" applyFill="0" applyAlignment="0" applyProtection="0"/>
    <xf numFmtId="0" fontId="125" fillId="0" borderId="127" applyNumberFormat="0" applyFill="0" applyAlignment="0" applyProtection="0"/>
    <xf numFmtId="0" fontId="125" fillId="0" borderId="0" applyNumberFormat="0" applyFill="0" applyBorder="0" applyAlignment="0" applyProtection="0"/>
    <xf numFmtId="0" fontId="126" fillId="43" borderId="128" applyNumberFormat="0" applyAlignment="0" applyProtection="0"/>
    <xf numFmtId="0" fontId="127" fillId="0" borderId="130" applyNumberFormat="0" applyFill="0" applyAlignment="0" applyProtection="0"/>
    <xf numFmtId="182"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0" fontId="128" fillId="42" borderId="0" applyNumberFormat="0" applyBorder="0" applyAlignment="0" applyProtection="0"/>
    <xf numFmtId="0" fontId="48" fillId="0" borderId="0"/>
    <xf numFmtId="0" fontId="48" fillId="0" borderId="0"/>
    <xf numFmtId="0" fontId="115" fillId="0" borderId="0"/>
    <xf numFmtId="0" fontId="48" fillId="0" borderId="0"/>
    <xf numFmtId="0" fontId="48" fillId="0" borderId="0"/>
    <xf numFmtId="0" fontId="15" fillId="0" borderId="0"/>
    <xf numFmtId="0" fontId="48" fillId="0" borderId="0"/>
    <xf numFmtId="0" fontId="48" fillId="0" borderId="0"/>
    <xf numFmtId="0" fontId="48" fillId="0" borderId="0"/>
    <xf numFmtId="0" fontId="48" fillId="0" borderId="0"/>
    <xf numFmtId="172" fontId="15" fillId="0" borderId="0"/>
    <xf numFmtId="0" fontId="15" fillId="0" borderId="0"/>
    <xf numFmtId="0" fontId="48" fillId="0" borderId="0"/>
    <xf numFmtId="0" fontId="48" fillId="0" borderId="0"/>
    <xf numFmtId="0" fontId="48" fillId="0" borderId="0"/>
    <xf numFmtId="0" fontId="15" fillId="0" borderId="0"/>
    <xf numFmtId="0" fontId="15" fillId="0" borderId="0"/>
    <xf numFmtId="0" fontId="1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5" fillId="0" borderId="0"/>
    <xf numFmtId="0" fontId="15" fillId="0" borderId="0"/>
    <xf numFmtId="0" fontId="48" fillId="0" borderId="0"/>
    <xf numFmtId="0" fontId="15" fillId="0" borderId="0"/>
    <xf numFmtId="181" fontId="48" fillId="0" borderId="0"/>
    <xf numFmtId="0" fontId="15" fillId="0" borderId="0"/>
    <xf numFmtId="0" fontId="48" fillId="0" borderId="0"/>
    <xf numFmtId="0" fontId="48" fillId="0" borderId="0"/>
    <xf numFmtId="0" fontId="48" fillId="0" borderId="0"/>
    <xf numFmtId="0" fontId="48" fillId="0" borderId="0"/>
    <xf numFmtId="0" fontId="48" fillId="0" borderId="0"/>
    <xf numFmtId="0" fontId="48" fillId="0" borderId="0"/>
    <xf numFmtId="0" fontId="115" fillId="73" borderId="134" applyNumberFormat="0" applyFont="0" applyAlignment="0" applyProtection="0"/>
    <xf numFmtId="0" fontId="115" fillId="46" borderId="132" applyNumberFormat="0" applyFont="0" applyAlignment="0" applyProtection="0"/>
    <xf numFmtId="0" fontId="115" fillId="46" borderId="132"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0" fontId="114" fillId="46" borderId="132" applyNumberFormat="0" applyFont="0" applyAlignment="0" applyProtection="0"/>
    <xf numFmtId="0" fontId="114" fillId="46" borderId="132" applyNumberFormat="0" applyFont="0" applyAlignment="0" applyProtection="0"/>
    <xf numFmtId="0" fontId="129" fillId="44" borderId="129" applyNumberFormat="0" applyAlignment="0" applyProtection="0"/>
    <xf numFmtId="9" fontId="115"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15" fillId="0" borderId="0" applyFont="0" applyFill="0" applyBorder="0" applyAlignment="0" applyProtection="0"/>
    <xf numFmtId="9" fontId="115" fillId="0" borderId="0" applyFont="0" applyFill="0" applyBorder="0" applyAlignment="0" applyProtection="0"/>
    <xf numFmtId="9" fontId="48" fillId="0" borderId="0" applyFont="0" applyFill="0" applyBorder="0" applyAlignment="0" applyProtection="0"/>
    <xf numFmtId="0" fontId="130" fillId="0" borderId="133" applyNumberFormat="0" applyFill="0" applyAlignment="0" applyProtection="0"/>
    <xf numFmtId="0" fontId="131" fillId="0" borderId="0" applyNumberForma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0" fontId="106" fillId="0" borderId="0"/>
    <xf numFmtId="9" fontId="106" fillId="0" borderId="0" applyFont="0" applyFill="0" applyBorder="0" applyAlignment="0" applyProtection="0"/>
    <xf numFmtId="43" fontId="48" fillId="0" borderId="0" applyFont="0" applyFill="0" applyBorder="0" applyAlignment="0" applyProtection="0"/>
    <xf numFmtId="0" fontId="15" fillId="0" borderId="0"/>
    <xf numFmtId="9"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0" fontId="132" fillId="0" borderId="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9" fontId="115"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15" fillId="0" borderId="0" applyFont="0" applyFill="0" applyBorder="0" applyAlignment="0" applyProtection="0"/>
    <xf numFmtId="18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43" fontId="15" fillId="0" borderId="0" applyFont="0" applyFill="0" applyBorder="0" applyAlignment="0" applyProtection="0"/>
    <xf numFmtId="43" fontId="15" fillId="0" borderId="0" applyFont="0" applyFill="0" applyBorder="0" applyAlignment="0" applyProtection="0"/>
    <xf numFmtId="0" fontId="48" fillId="0" borderId="0"/>
    <xf numFmtId="9" fontId="15" fillId="0" borderId="0" applyFont="0" applyFill="0" applyBorder="0" applyAlignment="0" applyProtection="0"/>
    <xf numFmtId="0" fontId="56" fillId="0" borderId="0"/>
    <xf numFmtId="0" fontId="56" fillId="0" borderId="0"/>
    <xf numFmtId="0" fontId="56" fillId="0" borderId="0"/>
    <xf numFmtId="0" fontId="15" fillId="0" borderId="0"/>
    <xf numFmtId="43" fontId="15" fillId="0" borderId="0" applyFont="0" applyFill="0" applyBorder="0" applyAlignment="0" applyProtection="0"/>
    <xf numFmtId="0" fontId="15" fillId="0" borderId="0"/>
    <xf numFmtId="0" fontId="115" fillId="73" borderId="136" applyNumberFormat="0" applyFont="0" applyAlignment="0" applyProtection="0"/>
    <xf numFmtId="0" fontId="15" fillId="0" borderId="0"/>
    <xf numFmtId="0" fontId="115" fillId="73" borderId="135" applyNumberFormat="0" applyFont="0" applyAlignment="0" applyProtection="0"/>
    <xf numFmtId="0" fontId="15" fillId="0" borderId="0"/>
    <xf numFmtId="0" fontId="48" fillId="0" borderId="0"/>
    <xf numFmtId="0" fontId="15" fillId="0" borderId="0"/>
    <xf numFmtId="0" fontId="15" fillId="0" borderId="0"/>
    <xf numFmtId="0" fontId="15" fillId="0" borderId="0"/>
    <xf numFmtId="0" fontId="15" fillId="0" borderId="0"/>
    <xf numFmtId="0" fontId="15" fillId="0" borderId="0"/>
    <xf numFmtId="0" fontId="115" fillId="73" borderId="136" applyNumberFormat="0" applyFont="0" applyAlignment="0" applyProtection="0"/>
    <xf numFmtId="0" fontId="15" fillId="0" borderId="0"/>
    <xf numFmtId="0" fontId="48" fillId="0" borderId="0"/>
    <xf numFmtId="0" fontId="15" fillId="0" borderId="0"/>
    <xf numFmtId="0" fontId="115" fillId="73" borderId="136" applyNumberFormat="0" applyFont="0" applyAlignment="0" applyProtection="0"/>
    <xf numFmtId="0" fontId="115" fillId="73" borderId="135" applyNumberFormat="0" applyFont="0" applyAlignment="0" applyProtection="0"/>
    <xf numFmtId="0" fontId="15" fillId="0" borderId="0"/>
    <xf numFmtId="0" fontId="115" fillId="73" borderId="135" applyNumberFormat="0" applyFont="0" applyAlignment="0" applyProtection="0"/>
    <xf numFmtId="0" fontId="15" fillId="0" borderId="0"/>
    <xf numFmtId="0" fontId="15" fillId="0" borderId="0"/>
    <xf numFmtId="0" fontId="15" fillId="0" borderId="0"/>
    <xf numFmtId="0" fontId="115" fillId="73" borderId="135" applyNumberFormat="0" applyFont="0" applyAlignment="0" applyProtection="0"/>
    <xf numFmtId="0" fontId="15" fillId="0" borderId="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43" fontId="14" fillId="0" borderId="0"/>
    <xf numFmtId="9" fontId="14"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0" fillId="0" borderId="0"/>
    <xf numFmtId="165" fontId="10" fillId="0" borderId="0" applyFont="0" applyFill="0" applyBorder="0" applyAlignment="0" applyProtection="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xf numFmtId="0" fontId="1" fillId="0" borderId="0"/>
  </cellStyleXfs>
  <cellXfs count="3206">
    <xf numFmtId="0" fontId="0" fillId="0" borderId="0" xfId="0"/>
    <xf numFmtId="15" fontId="44" fillId="0" borderId="0" xfId="0" applyNumberFormat="1" applyFont="1" applyAlignment="1">
      <alignment horizontal="center"/>
    </xf>
    <xf numFmtId="15" fontId="0" fillId="0" borderId="0" xfId="0" applyNumberFormat="1" applyAlignment="1">
      <alignment horizontal="center"/>
    </xf>
    <xf numFmtId="15" fontId="44" fillId="0" borderId="44" xfId="0" applyNumberFormat="1" applyFont="1" applyBorder="1" applyAlignment="1">
      <alignment horizontal="center"/>
    </xf>
    <xf numFmtId="0" fontId="44" fillId="10" borderId="46" xfId="0" applyFont="1" applyFill="1" applyBorder="1" applyAlignment="1">
      <alignment horizontal="center"/>
    </xf>
    <xf numFmtId="1" fontId="44" fillId="10" borderId="45" xfId="0" applyNumberFormat="1" applyFont="1" applyFill="1" applyBorder="1" applyAlignment="1">
      <alignment horizontal="center"/>
    </xf>
    <xf numFmtId="0" fontId="44" fillId="10" borderId="49" xfId="0" applyFont="1" applyFill="1" applyBorder="1" applyAlignment="1">
      <alignment horizontal="center"/>
    </xf>
    <xf numFmtId="2" fontId="44" fillId="10" borderId="51" xfId="0" applyNumberFormat="1" applyFont="1" applyFill="1" applyBorder="1" applyAlignment="1">
      <alignment horizontal="center"/>
    </xf>
    <xf numFmtId="0" fontId="44" fillId="4" borderId="52" xfId="0" applyFont="1" applyFill="1" applyBorder="1" applyAlignment="1">
      <alignment horizontal="center" vertical="center"/>
    </xf>
    <xf numFmtId="0" fontId="44" fillId="4" borderId="52" xfId="0" applyFont="1" applyFill="1" applyBorder="1" applyAlignment="1">
      <alignment horizontal="center"/>
    </xf>
    <xf numFmtId="2" fontId="44" fillId="4" borderId="52" xfId="0" applyNumberFormat="1" applyFont="1" applyFill="1" applyBorder="1" applyAlignment="1">
      <alignment horizontal="center"/>
    </xf>
    <xf numFmtId="2" fontId="44" fillId="4" borderId="52" xfId="0" applyNumberFormat="1" applyFont="1" applyFill="1" applyBorder="1" applyAlignment="1">
      <alignment horizontal="center" vertical="center"/>
    </xf>
    <xf numFmtId="0" fontId="44" fillId="4" borderId="53" xfId="0" applyFont="1" applyFill="1" applyBorder="1" applyAlignment="1">
      <alignment horizontal="center"/>
    </xf>
    <xf numFmtId="2" fontId="44" fillId="4" borderId="53" xfId="0" applyNumberFormat="1" applyFont="1" applyFill="1" applyBorder="1" applyAlignment="1">
      <alignment horizontal="center"/>
    </xf>
    <xf numFmtId="2" fontId="44" fillId="4" borderId="53" xfId="0" applyNumberFormat="1" applyFont="1" applyFill="1" applyBorder="1" applyAlignment="1">
      <alignment horizontal="center" vertical="center"/>
    </xf>
    <xf numFmtId="0" fontId="44" fillId="0" borderId="44" xfId="0" applyFont="1" applyBorder="1" applyAlignment="1">
      <alignment horizontal="center" vertical="center"/>
    </xf>
    <xf numFmtId="0" fontId="44" fillId="0" borderId="46" xfId="0" applyFont="1" applyBorder="1" applyAlignment="1">
      <alignment horizontal="center"/>
    </xf>
    <xf numFmtId="0" fontId="0" fillId="0" borderId="46" xfId="0" applyBorder="1" applyAlignment="1">
      <alignment horizontal="center"/>
    </xf>
    <xf numFmtId="0" fontId="0" fillId="0" borderId="46" xfId="0" applyBorder="1" applyAlignment="1">
      <alignment horizontal="center" vertical="center"/>
    </xf>
    <xf numFmtId="0" fontId="0" fillId="0" borderId="0" xfId="0" applyAlignment="1">
      <alignment horizontal="center"/>
    </xf>
    <xf numFmtId="0" fontId="44" fillId="0" borderId="44" xfId="0" applyFont="1" applyBorder="1" applyAlignment="1">
      <alignment horizontal="center"/>
    </xf>
    <xf numFmtId="0" fontId="0" fillId="0" borderId="44" xfId="0" applyBorder="1" applyAlignment="1">
      <alignment horizontal="center"/>
    </xf>
    <xf numFmtId="0" fontId="0" fillId="0" borderId="0" xfId="0" applyAlignment="1">
      <alignment horizontal="center" vertical="center"/>
    </xf>
    <xf numFmtId="0" fontId="0" fillId="0" borderId="44" xfId="0" applyBorder="1" applyAlignment="1">
      <alignment horizontal="center" vertical="center"/>
    </xf>
    <xf numFmtId="0" fontId="44" fillId="10" borderId="44" xfId="0" applyFont="1" applyFill="1" applyBorder="1" applyAlignment="1">
      <alignment horizontal="center"/>
    </xf>
    <xf numFmtId="2" fontId="44" fillId="10" borderId="44" xfId="0" applyNumberFormat="1" applyFont="1" applyFill="1" applyBorder="1" applyAlignment="1">
      <alignment horizontal="center"/>
    </xf>
    <xf numFmtId="1" fontId="44" fillId="0" borderId="44" xfId="0" applyNumberFormat="1" applyFont="1" applyBorder="1" applyAlignment="1">
      <alignment horizontal="center"/>
    </xf>
    <xf numFmtId="1" fontId="0" fillId="0" borderId="44" xfId="0" applyNumberFormat="1" applyBorder="1" applyAlignment="1">
      <alignment horizontal="center"/>
    </xf>
    <xf numFmtId="1" fontId="0" fillId="0" borderId="0" xfId="0" applyNumberFormat="1" applyAlignment="1">
      <alignment horizontal="center"/>
    </xf>
    <xf numFmtId="2" fontId="0" fillId="0" borderId="44" xfId="0" applyNumberFormat="1" applyBorder="1" applyAlignment="1">
      <alignment horizontal="center"/>
    </xf>
    <xf numFmtId="0" fontId="51" fillId="0" borderId="0" xfId="5" applyFont="1" applyAlignment="1">
      <alignment wrapText="1"/>
    </xf>
    <xf numFmtId="0" fontId="51" fillId="0" borderId="0" xfId="5" applyFont="1"/>
    <xf numFmtId="0" fontId="51" fillId="0" borderId="12" xfId="5" applyFont="1" applyBorder="1"/>
    <xf numFmtId="0" fontId="51" fillId="0" borderId="0" xfId="5" applyFont="1" applyProtection="1">
      <protection locked="0"/>
    </xf>
    <xf numFmtId="0" fontId="39" fillId="0" borderId="0" xfId="5" applyFont="1"/>
    <xf numFmtId="2" fontId="39" fillId="0" borderId="0" xfId="5" applyNumberFormat="1" applyFont="1"/>
    <xf numFmtId="0" fontId="39" fillId="4" borderId="0" xfId="5" applyFont="1" applyFill="1"/>
    <xf numFmtId="0" fontId="44" fillId="0" borderId="54" xfId="0" applyFont="1" applyBorder="1" applyAlignment="1">
      <alignment horizontal="center" vertical="center"/>
    </xf>
    <xf numFmtId="0" fontId="44" fillId="4" borderId="44" xfId="0" applyFont="1" applyFill="1" applyBorder="1" applyAlignment="1">
      <alignment horizontal="center"/>
    </xf>
    <xf numFmtId="1" fontId="44" fillId="12" borderId="44" xfId="0" applyNumberFormat="1" applyFont="1" applyFill="1" applyBorder="1" applyAlignment="1">
      <alignment horizontal="center" vertical="center"/>
    </xf>
    <xf numFmtId="2" fontId="44" fillId="12" borderId="44" xfId="0" applyNumberFormat="1" applyFont="1" applyFill="1" applyBorder="1" applyAlignment="1">
      <alignment horizontal="center" vertical="center"/>
    </xf>
    <xf numFmtId="0" fontId="44" fillId="0" borderId="59" xfId="0" applyFont="1" applyBorder="1"/>
    <xf numFmtId="0" fontId="0" fillId="0" borderId="54" xfId="0" applyBorder="1" applyAlignment="1">
      <alignment horizontal="center" vertical="center"/>
    </xf>
    <xf numFmtId="0" fontId="0" fillId="0" borderId="59" xfId="0" applyBorder="1"/>
    <xf numFmtId="0" fontId="0" fillId="0" borderId="59" xfId="0" applyBorder="1" applyAlignment="1">
      <alignment vertical="center"/>
    </xf>
    <xf numFmtId="0" fontId="44" fillId="0" borderId="63" xfId="0" applyFont="1" applyBorder="1" applyAlignment="1">
      <alignment horizontal="center" vertical="center"/>
    </xf>
    <xf numFmtId="2" fontId="44" fillId="12" borderId="46" xfId="0" applyNumberFormat="1" applyFont="1" applyFill="1" applyBorder="1" applyAlignment="1">
      <alignment horizontal="center" vertical="center"/>
    </xf>
    <xf numFmtId="0" fontId="44" fillId="0" borderId="59" xfId="0" applyFont="1" applyBorder="1" applyAlignment="1">
      <alignment horizontal="center" vertical="center"/>
    </xf>
    <xf numFmtId="0" fontId="44" fillId="0" borderId="65" xfId="0" applyFont="1" applyBorder="1" applyAlignment="1">
      <alignment horizontal="center" vertical="center"/>
    </xf>
    <xf numFmtId="0" fontId="44" fillId="0" borderId="67" xfId="0" applyFont="1" applyBorder="1" applyAlignment="1">
      <alignment horizontal="center" vertical="center"/>
    </xf>
    <xf numFmtId="0" fontId="44" fillId="0" borderId="70" xfId="0" applyFont="1" applyBorder="1" applyAlignment="1">
      <alignment horizontal="center" vertical="center"/>
    </xf>
    <xf numFmtId="0" fontId="44" fillId="0" borderId="72" xfId="0" applyFont="1" applyBorder="1" applyAlignment="1">
      <alignment horizontal="center" vertical="center"/>
    </xf>
    <xf numFmtId="0" fontId="44" fillId="0" borderId="74" xfId="0" applyFont="1" applyBorder="1" applyAlignment="1">
      <alignment horizontal="center"/>
    </xf>
    <xf numFmtId="0" fontId="0" fillId="0" borderId="72" xfId="0" applyBorder="1"/>
    <xf numFmtId="0" fontId="0" fillId="0" borderId="72" xfId="0" applyBorder="1" applyAlignment="1">
      <alignment vertical="center"/>
    </xf>
    <xf numFmtId="0" fontId="44" fillId="0" borderId="72" xfId="0" applyFont="1" applyBorder="1"/>
    <xf numFmtId="2" fontId="44" fillId="12" borderId="54" xfId="0" applyNumberFormat="1" applyFont="1" applyFill="1" applyBorder="1" applyAlignment="1">
      <alignment horizontal="center" vertical="center"/>
    </xf>
    <xf numFmtId="43" fontId="44" fillId="4" borderId="52" xfId="0" applyNumberFormat="1" applyFont="1" applyFill="1" applyBorder="1" applyAlignment="1">
      <alignment horizontal="center" vertical="center"/>
    </xf>
    <xf numFmtId="0" fontId="0" fillId="0" borderId="0" xfId="5" applyFont="1"/>
    <xf numFmtId="0" fontId="46" fillId="4" borderId="44" xfId="0" applyFont="1" applyFill="1" applyBorder="1" applyAlignment="1">
      <alignment horizontal="center"/>
    </xf>
    <xf numFmtId="0" fontId="43" fillId="4" borderId="44" xfId="0" applyFont="1" applyFill="1" applyBorder="1" applyAlignment="1">
      <alignment horizontal="center"/>
    </xf>
    <xf numFmtId="2" fontId="43" fillId="4" borderId="44" xfId="0" applyNumberFormat="1" applyFont="1" applyFill="1" applyBorder="1" applyAlignment="1">
      <alignment horizontal="center"/>
    </xf>
    <xf numFmtId="0" fontId="43" fillId="4" borderId="0" xfId="0" applyFont="1" applyFill="1" applyAlignment="1">
      <alignment horizontal="center"/>
    </xf>
    <xf numFmtId="2" fontId="43" fillId="4" borderId="44" xfId="0" applyNumberFormat="1" applyFont="1" applyFill="1" applyBorder="1" applyAlignment="1">
      <alignment horizontal="center" vertical="center"/>
    </xf>
    <xf numFmtId="0" fontId="63" fillId="0" borderId="0" xfId="0" applyFont="1"/>
    <xf numFmtId="0" fontId="65" fillId="0" borderId="0" xfId="0" applyFont="1"/>
    <xf numFmtId="170" fontId="63" fillId="0" borderId="0" xfId="0" applyNumberFormat="1" applyFont="1" applyAlignment="1">
      <alignment horizontal="left"/>
    </xf>
    <xf numFmtId="2" fontId="63" fillId="0" borderId="0" xfId="0" applyNumberFormat="1" applyFont="1" applyAlignment="1">
      <alignment vertical="center"/>
    </xf>
    <xf numFmtId="0" fontId="66" fillId="25" borderId="0" xfId="0" applyFont="1" applyFill="1" applyAlignment="1" applyProtection="1">
      <alignment horizontal="center" vertical="center"/>
      <protection locked="0"/>
    </xf>
    <xf numFmtId="0" fontId="62" fillId="0" borderId="0" xfId="0" applyFont="1" applyProtection="1">
      <protection locked="0"/>
    </xf>
    <xf numFmtId="43" fontId="67" fillId="21" borderId="28" xfId="1" applyFont="1" applyFill="1" applyBorder="1" applyAlignment="1" applyProtection="1">
      <alignment horizontal="left" vertical="center"/>
    </xf>
    <xf numFmtId="168" fontId="67" fillId="21" borderId="29" xfId="1" applyNumberFormat="1" applyFont="1" applyFill="1" applyBorder="1" applyAlignment="1" applyProtection="1">
      <alignment horizontal="center" vertical="center"/>
    </xf>
    <xf numFmtId="43" fontId="67" fillId="21" borderId="35" xfId="1" applyFont="1" applyFill="1" applyBorder="1" applyAlignment="1" applyProtection="1">
      <alignment horizontal="center" vertical="center"/>
    </xf>
    <xf numFmtId="171" fontId="67" fillId="21" borderId="34" xfId="1" applyNumberFormat="1" applyFont="1" applyFill="1" applyBorder="1" applyAlignment="1" applyProtection="1">
      <alignment vertical="center"/>
    </xf>
    <xf numFmtId="0" fontId="62" fillId="0" borderId="0" xfId="0" applyFont="1" applyAlignment="1" applyProtection="1">
      <alignment horizontal="center"/>
      <protection locked="0"/>
    </xf>
    <xf numFmtId="0" fontId="64" fillId="0" borderId="0" xfId="0" applyFont="1" applyProtection="1">
      <protection locked="0"/>
    </xf>
    <xf numFmtId="0" fontId="62" fillId="0" borderId="0" xfId="0" applyFont="1" applyAlignment="1" applyProtection="1">
      <alignment horizontal="left" vertical="center"/>
      <protection locked="0"/>
    </xf>
    <xf numFmtId="0" fontId="73" fillId="0" borderId="0" xfId="0" applyFont="1" applyProtection="1">
      <protection locked="0"/>
    </xf>
    <xf numFmtId="166" fontId="73" fillId="0" borderId="0" xfId="0" applyNumberFormat="1" applyFont="1" applyProtection="1">
      <protection locked="0"/>
    </xf>
    <xf numFmtId="168" fontId="62" fillId="0" borderId="0" xfId="1" applyNumberFormat="1" applyFont="1" applyFill="1" applyBorder="1" applyProtection="1">
      <protection locked="0"/>
    </xf>
    <xf numFmtId="168" fontId="64" fillId="23" borderId="5" xfId="1" applyNumberFormat="1" applyFont="1" applyFill="1" applyBorder="1" applyProtection="1">
      <protection locked="0"/>
    </xf>
    <xf numFmtId="166" fontId="73" fillId="24" borderId="6" xfId="0" applyNumberFormat="1" applyFont="1" applyFill="1" applyBorder="1" applyProtection="1">
      <protection locked="0"/>
    </xf>
    <xf numFmtId="171" fontId="76" fillId="23" borderId="27" xfId="1" applyNumberFormat="1" applyFont="1" applyFill="1" applyBorder="1" applyProtection="1">
      <protection locked="0"/>
    </xf>
    <xf numFmtId="171" fontId="62" fillId="23" borderId="38" xfId="1" applyNumberFormat="1" applyFont="1" applyFill="1" applyBorder="1" applyProtection="1">
      <protection locked="0"/>
    </xf>
    <xf numFmtId="168" fontId="65" fillId="0" borderId="26" xfId="1" applyNumberFormat="1" applyFont="1" applyFill="1" applyBorder="1" applyAlignment="1" applyProtection="1">
      <alignment vertical="center"/>
      <protection locked="0"/>
    </xf>
    <xf numFmtId="168" fontId="65" fillId="0" borderId="31" xfId="1" applyNumberFormat="1" applyFont="1" applyFill="1" applyBorder="1" applyAlignment="1" applyProtection="1">
      <alignment vertical="center"/>
      <protection locked="0"/>
    </xf>
    <xf numFmtId="168" fontId="73" fillId="24" borderId="5" xfId="1" applyNumberFormat="1" applyFont="1" applyFill="1" applyBorder="1" applyProtection="1"/>
    <xf numFmtId="168" fontId="64" fillId="0" borderId="19" xfId="1" applyNumberFormat="1" applyFont="1" applyFill="1" applyBorder="1" applyAlignment="1" applyProtection="1">
      <alignment horizontal="center"/>
    </xf>
    <xf numFmtId="2" fontId="66" fillId="0" borderId="0" xfId="0" applyNumberFormat="1" applyFont="1" applyProtection="1">
      <protection locked="0"/>
    </xf>
    <xf numFmtId="0" fontId="66" fillId="0" borderId="0" xfId="0" applyFont="1" applyProtection="1">
      <protection locked="0"/>
    </xf>
    <xf numFmtId="1" fontId="62" fillId="0" borderId="0" xfId="0" applyNumberFormat="1" applyFont="1" applyProtection="1">
      <protection locked="0"/>
    </xf>
    <xf numFmtId="0" fontId="76" fillId="24" borderId="10" xfId="0" applyFont="1" applyFill="1" applyBorder="1" applyProtection="1">
      <protection locked="0"/>
    </xf>
    <xf numFmtId="168" fontId="73" fillId="24" borderId="21" xfId="1" applyNumberFormat="1" applyFont="1" applyFill="1" applyBorder="1" applyProtection="1">
      <protection locked="0"/>
    </xf>
    <xf numFmtId="166" fontId="73" fillId="24" borderId="11" xfId="0" applyNumberFormat="1" applyFont="1" applyFill="1" applyBorder="1" applyProtection="1">
      <protection locked="0"/>
    </xf>
    <xf numFmtId="0" fontId="64" fillId="0" borderId="26" xfId="0" applyFont="1" applyBorder="1" applyProtection="1">
      <protection locked="0"/>
    </xf>
    <xf numFmtId="0" fontId="62" fillId="0" borderId="31" xfId="0" applyFont="1" applyBorder="1" applyProtection="1">
      <protection locked="0"/>
    </xf>
    <xf numFmtId="171" fontId="73" fillId="24" borderId="21" xfId="1" applyNumberFormat="1" applyFont="1" applyFill="1" applyBorder="1" applyProtection="1">
      <protection locked="0"/>
    </xf>
    <xf numFmtId="1" fontId="62" fillId="0" borderId="31" xfId="0" applyNumberFormat="1" applyFont="1" applyBorder="1" applyProtection="1">
      <protection locked="0"/>
    </xf>
    <xf numFmtId="0" fontId="62" fillId="0" borderId="36" xfId="0" applyFont="1" applyBorder="1" applyProtection="1">
      <protection locked="0"/>
    </xf>
    <xf numFmtId="2" fontId="66" fillId="0" borderId="0" xfId="0" applyNumberFormat="1" applyFont="1" applyAlignment="1" applyProtection="1">
      <alignment horizontal="right"/>
      <protection locked="0"/>
    </xf>
    <xf numFmtId="168" fontId="64" fillId="0" borderId="17" xfId="1" applyNumberFormat="1" applyFont="1" applyFill="1" applyBorder="1" applyAlignment="1" applyProtection="1">
      <alignment horizontal="center"/>
    </xf>
    <xf numFmtId="9" fontId="64" fillId="0" borderId="2" xfId="3" applyFont="1" applyFill="1" applyBorder="1" applyAlignment="1" applyProtection="1">
      <alignment horizontal="center"/>
    </xf>
    <xf numFmtId="168" fontId="76" fillId="0" borderId="5" xfId="1" applyNumberFormat="1" applyFont="1" applyFill="1" applyBorder="1" applyAlignment="1" applyProtection="1">
      <alignment horizontal="center"/>
    </xf>
    <xf numFmtId="168" fontId="76" fillId="0" borderId="42" xfId="1" applyNumberFormat="1" applyFont="1" applyFill="1" applyBorder="1" applyAlignment="1" applyProtection="1">
      <alignment horizontal="center"/>
    </xf>
    <xf numFmtId="168" fontId="76" fillId="0" borderId="6" xfId="1" applyNumberFormat="1" applyFont="1" applyFill="1" applyBorder="1" applyAlignment="1" applyProtection="1">
      <alignment horizontal="center"/>
    </xf>
    <xf numFmtId="43" fontId="62" fillId="0" borderId="0" xfId="1" applyFont="1" applyProtection="1"/>
    <xf numFmtId="43" fontId="76" fillId="0" borderId="10" xfId="1" applyFont="1" applyFill="1" applyBorder="1" applyAlignment="1" applyProtection="1">
      <alignment horizontal="center"/>
    </xf>
    <xf numFmtId="43" fontId="76" fillId="0" borderId="39" xfId="1" applyFont="1" applyFill="1" applyBorder="1" applyAlignment="1" applyProtection="1">
      <alignment horizontal="center"/>
    </xf>
    <xf numFmtId="43" fontId="76" fillId="0" borderId="11" xfId="1" applyFont="1" applyFill="1" applyBorder="1" applyAlignment="1" applyProtection="1">
      <alignment horizontal="center"/>
    </xf>
    <xf numFmtId="43" fontId="64" fillId="0" borderId="0" xfId="1" applyFont="1" applyProtection="1"/>
    <xf numFmtId="171" fontId="62" fillId="0" borderId="0" xfId="1" applyNumberFormat="1" applyFont="1" applyProtection="1"/>
    <xf numFmtId="171" fontId="76" fillId="0" borderId="5" xfId="1" applyNumberFormat="1" applyFont="1" applyFill="1" applyBorder="1" applyAlignment="1" applyProtection="1">
      <alignment horizontal="center"/>
    </xf>
    <xf numFmtId="171" fontId="76" fillId="0" borderId="42" xfId="1" applyNumberFormat="1" applyFont="1" applyFill="1" applyBorder="1" applyAlignment="1" applyProtection="1">
      <alignment horizontal="center"/>
    </xf>
    <xf numFmtId="171" fontId="76" fillId="0" borderId="6" xfId="1" applyNumberFormat="1" applyFont="1" applyFill="1" applyBorder="1" applyAlignment="1" applyProtection="1">
      <alignment horizontal="center"/>
    </xf>
    <xf numFmtId="171" fontId="64" fillId="0" borderId="0" xfId="1" applyNumberFormat="1" applyFont="1" applyProtection="1"/>
    <xf numFmtId="167" fontId="80" fillId="0" borderId="0" xfId="0" applyNumberFormat="1" applyFont="1" applyAlignment="1" applyProtection="1">
      <alignment horizontal="center"/>
      <protection locked="0"/>
    </xf>
    <xf numFmtId="0" fontId="76" fillId="24" borderId="83" xfId="0" applyFont="1" applyFill="1" applyBorder="1" applyProtection="1">
      <protection locked="0"/>
    </xf>
    <xf numFmtId="168" fontId="73" fillId="24" borderId="42" xfId="1" applyNumberFormat="1" applyFont="1" applyFill="1" applyBorder="1" applyProtection="1">
      <protection locked="0"/>
    </xf>
    <xf numFmtId="0" fontId="62" fillId="0" borderId="2" xfId="0" applyFont="1" applyBorder="1" applyProtection="1">
      <protection locked="0"/>
    </xf>
    <xf numFmtId="0" fontId="80" fillId="0" borderId="0" xfId="0" applyFont="1" applyProtection="1">
      <protection locked="0"/>
    </xf>
    <xf numFmtId="0" fontId="62" fillId="0" borderId="24" xfId="0" applyFont="1" applyBorder="1" applyProtection="1">
      <protection locked="0"/>
    </xf>
    <xf numFmtId="0" fontId="62" fillId="0" borderId="14" xfId="0" applyFont="1" applyBorder="1" applyProtection="1">
      <protection locked="0"/>
    </xf>
    <xf numFmtId="0" fontId="76" fillId="24" borderId="23" xfId="0" applyFont="1" applyFill="1" applyBorder="1" applyProtection="1">
      <protection locked="0"/>
    </xf>
    <xf numFmtId="168" fontId="62" fillId="23" borderId="10" xfId="1" applyNumberFormat="1" applyFont="1" applyFill="1" applyBorder="1" applyAlignment="1" applyProtection="1">
      <alignment horizontal="center"/>
      <protection locked="0"/>
    </xf>
    <xf numFmtId="168" fontId="62" fillId="23" borderId="39" xfId="1" applyNumberFormat="1" applyFont="1" applyFill="1" applyBorder="1" applyAlignment="1" applyProtection="1">
      <alignment horizontal="center"/>
      <protection locked="0"/>
    </xf>
    <xf numFmtId="168" fontId="62" fillId="23" borderId="11" xfId="1" applyNumberFormat="1" applyFont="1" applyFill="1" applyBorder="1" applyAlignment="1" applyProtection="1">
      <alignment horizontal="center"/>
      <protection locked="0"/>
    </xf>
    <xf numFmtId="0" fontId="81" fillId="0" borderId="0" xfId="0" applyFont="1" applyProtection="1">
      <protection locked="0"/>
    </xf>
    <xf numFmtId="1" fontId="64" fillId="0" borderId="10" xfId="0" applyNumberFormat="1" applyFont="1" applyBorder="1" applyAlignment="1" applyProtection="1">
      <alignment horizontal="center"/>
      <protection locked="0"/>
    </xf>
    <xf numFmtId="43" fontId="65" fillId="23" borderId="10" xfId="1" applyFont="1" applyFill="1" applyBorder="1" applyAlignment="1" applyProtection="1">
      <alignment horizontal="center"/>
      <protection locked="0"/>
    </xf>
    <xf numFmtId="1" fontId="80" fillId="0" borderId="0" xfId="0" applyNumberFormat="1" applyFont="1" applyAlignment="1" applyProtection="1">
      <alignment horizontal="center"/>
      <protection locked="0"/>
    </xf>
    <xf numFmtId="2" fontId="80" fillId="0" borderId="0" xfId="0" applyNumberFormat="1" applyFont="1" applyProtection="1">
      <protection locked="0"/>
    </xf>
    <xf numFmtId="1" fontId="80" fillId="0" borderId="0" xfId="0" applyNumberFormat="1" applyFont="1" applyProtection="1">
      <protection locked="0"/>
    </xf>
    <xf numFmtId="0" fontId="76" fillId="24" borderId="25" xfId="0" applyFont="1" applyFill="1" applyBorder="1" applyProtection="1">
      <protection locked="0"/>
    </xf>
    <xf numFmtId="0" fontId="76" fillId="24" borderId="58" xfId="0" applyFont="1" applyFill="1" applyBorder="1" applyProtection="1">
      <protection locked="0"/>
    </xf>
    <xf numFmtId="168" fontId="73" fillId="24" borderId="3" xfId="1" applyNumberFormat="1" applyFont="1" applyFill="1" applyBorder="1" applyProtection="1"/>
    <xf numFmtId="43" fontId="73" fillId="24" borderId="28" xfId="1" applyFont="1" applyFill="1" applyBorder="1" applyAlignment="1" applyProtection="1">
      <alignment horizontal="center"/>
    </xf>
    <xf numFmtId="171" fontId="73" fillId="24" borderId="13" xfId="1" applyNumberFormat="1" applyFont="1" applyFill="1" applyBorder="1" applyProtection="1"/>
    <xf numFmtId="168" fontId="64" fillId="0" borderId="23" xfId="1" applyNumberFormat="1" applyFont="1" applyFill="1" applyBorder="1" applyAlignment="1" applyProtection="1">
      <alignment horizontal="center"/>
    </xf>
    <xf numFmtId="43" fontId="64" fillId="0" borderId="58" xfId="1" applyFont="1" applyFill="1" applyBorder="1" applyAlignment="1" applyProtection="1">
      <alignment horizontal="center"/>
    </xf>
    <xf numFmtId="171" fontId="64" fillId="0" borderId="80" xfId="1" applyNumberFormat="1" applyFont="1" applyFill="1" applyBorder="1" applyAlignment="1" applyProtection="1">
      <alignment horizontal="center"/>
    </xf>
    <xf numFmtId="43" fontId="76" fillId="0" borderId="5" xfId="1" applyFont="1" applyFill="1" applyBorder="1" applyAlignment="1" applyProtection="1">
      <alignment horizontal="center"/>
    </xf>
    <xf numFmtId="43" fontId="76" fillId="0" borderId="42" xfId="1" applyFont="1" applyFill="1" applyBorder="1" applyAlignment="1" applyProtection="1">
      <alignment horizontal="center"/>
    </xf>
    <xf numFmtId="43" fontId="76" fillId="0" borderId="6" xfId="1" applyFont="1" applyFill="1" applyBorder="1" applyAlignment="1" applyProtection="1">
      <alignment horizontal="center"/>
    </xf>
    <xf numFmtId="43" fontId="73" fillId="24" borderId="25" xfId="1" applyFont="1" applyFill="1" applyBorder="1" applyAlignment="1" applyProtection="1">
      <alignment horizontal="center"/>
    </xf>
    <xf numFmtId="171" fontId="73" fillId="24" borderId="81" xfId="1" applyNumberFormat="1" applyFont="1" applyFill="1" applyBorder="1" applyProtection="1"/>
    <xf numFmtId="0" fontId="76" fillId="24" borderId="5" xfId="0" applyFont="1" applyFill="1" applyBorder="1" applyProtection="1">
      <protection locked="0"/>
    </xf>
    <xf numFmtId="168" fontId="73" fillId="24" borderId="38" xfId="1" applyNumberFormat="1" applyFont="1" applyFill="1" applyBorder="1" applyProtection="1">
      <protection locked="0"/>
    </xf>
    <xf numFmtId="168" fontId="62" fillId="23" borderId="27" xfId="1" applyNumberFormat="1" applyFont="1" applyFill="1" applyBorder="1" applyAlignment="1" applyProtection="1">
      <alignment horizontal="center"/>
      <protection locked="0"/>
    </xf>
    <xf numFmtId="168" fontId="62" fillId="23" borderId="27" xfId="1" applyNumberFormat="1" applyFont="1" applyFill="1" applyBorder="1" applyProtection="1">
      <protection locked="0"/>
    </xf>
    <xf numFmtId="168" fontId="62" fillId="23" borderId="84" xfId="1" applyNumberFormat="1" applyFont="1" applyFill="1" applyBorder="1" applyProtection="1">
      <protection locked="0"/>
    </xf>
    <xf numFmtId="1" fontId="62" fillId="0" borderId="26" xfId="0" applyNumberFormat="1" applyFont="1" applyBorder="1" applyProtection="1">
      <protection locked="0"/>
    </xf>
    <xf numFmtId="2" fontId="64" fillId="0" borderId="20" xfId="0" applyNumberFormat="1" applyFont="1" applyBorder="1" applyAlignment="1" applyProtection="1">
      <alignment horizontal="center"/>
      <protection locked="0"/>
    </xf>
    <xf numFmtId="168" fontId="62" fillId="23" borderId="42" xfId="1" applyNumberFormat="1" applyFont="1" applyFill="1" applyBorder="1" applyProtection="1">
      <protection locked="0"/>
    </xf>
    <xf numFmtId="168" fontId="76" fillId="0" borderId="27" xfId="1" applyNumberFormat="1" applyFont="1" applyFill="1" applyBorder="1" applyAlignment="1" applyProtection="1">
      <alignment horizontal="center"/>
    </xf>
    <xf numFmtId="43" fontId="76" fillId="0" borderId="20" xfId="1" applyFont="1" applyFill="1" applyBorder="1" applyAlignment="1" applyProtection="1">
      <alignment horizontal="center"/>
    </xf>
    <xf numFmtId="43" fontId="73" fillId="0" borderId="0" xfId="1" applyFont="1" applyProtection="1"/>
    <xf numFmtId="171" fontId="76" fillId="0" borderId="27" xfId="1" applyNumberFormat="1" applyFont="1" applyFill="1" applyBorder="1" applyAlignment="1" applyProtection="1">
      <alignment horizontal="center"/>
    </xf>
    <xf numFmtId="0" fontId="64" fillId="0" borderId="9" xfId="1" applyNumberFormat="1" applyFont="1" applyBorder="1" applyProtection="1"/>
    <xf numFmtId="0" fontId="62" fillId="0" borderId="0" xfId="0" applyFont="1" applyAlignment="1" applyProtection="1">
      <alignment vertical="center"/>
      <protection locked="0"/>
    </xf>
    <xf numFmtId="172" fontId="62" fillId="0" borderId="0" xfId="0" applyNumberFormat="1" applyFont="1" applyAlignment="1" applyProtection="1">
      <alignment vertical="center"/>
      <protection locked="0"/>
    </xf>
    <xf numFmtId="0" fontId="62" fillId="0" borderId="42" xfId="0" applyFont="1" applyBorder="1" applyAlignment="1" applyProtection="1">
      <alignment horizontal="center" vertical="center" wrapText="1"/>
      <protection locked="0"/>
    </xf>
    <xf numFmtId="0" fontId="62" fillId="0" borderId="6" xfId="0" applyFont="1" applyBorder="1" applyAlignment="1" applyProtection="1">
      <alignment horizontal="center" vertical="center" wrapText="1"/>
      <protection locked="0"/>
    </xf>
    <xf numFmtId="0" fontId="62" fillId="0" borderId="20" xfId="0" applyFont="1" applyBorder="1" applyAlignment="1" applyProtection="1">
      <alignment horizontal="center" vertical="center" wrapText="1"/>
      <protection locked="0"/>
    </xf>
    <xf numFmtId="0" fontId="62" fillId="0" borderId="39" xfId="0" applyFont="1" applyBorder="1" applyAlignment="1" applyProtection="1">
      <alignment horizontal="center" vertical="center" wrapText="1"/>
      <protection locked="0"/>
    </xf>
    <xf numFmtId="0" fontId="62" fillId="0" borderId="11" xfId="0" applyFont="1" applyBorder="1" applyAlignment="1" applyProtection="1">
      <alignment horizontal="center" vertical="center" wrapText="1"/>
      <protection locked="0"/>
    </xf>
    <xf numFmtId="43" fontId="64" fillId="0" borderId="93" xfId="1" applyFont="1" applyBorder="1" applyAlignment="1" applyProtection="1">
      <alignment horizontal="left" vertical="center" wrapText="1"/>
      <protection locked="0"/>
    </xf>
    <xf numFmtId="172" fontId="62" fillId="0" borderId="93" xfId="0" applyNumberFormat="1" applyFont="1" applyBorder="1" applyAlignment="1" applyProtection="1">
      <alignment horizontal="center" vertical="center" wrapText="1"/>
      <protection locked="0"/>
    </xf>
    <xf numFmtId="172" fontId="62" fillId="0" borderId="80" xfId="0" applyNumberFormat="1" applyFont="1" applyBorder="1" applyAlignment="1" applyProtection="1">
      <alignment horizontal="center" vertical="center" wrapText="1"/>
      <protection locked="0"/>
    </xf>
    <xf numFmtId="0" fontId="62" fillId="0" borderId="0" xfId="0" applyFont="1" applyAlignment="1" applyProtection="1">
      <alignment horizontal="center" vertical="center"/>
      <protection locked="0"/>
    </xf>
    <xf numFmtId="0" fontId="64" fillId="0" borderId="0" xfId="0" applyFont="1" applyAlignment="1" applyProtection="1">
      <alignment horizontal="center"/>
      <protection locked="0"/>
    </xf>
    <xf numFmtId="2" fontId="64" fillId="0" borderId="39" xfId="0" applyNumberFormat="1" applyFont="1" applyBorder="1" applyAlignment="1" applyProtection="1">
      <alignment horizontal="center"/>
      <protection locked="0"/>
    </xf>
    <xf numFmtId="2" fontId="64" fillId="0" borderId="93" xfId="0" applyNumberFormat="1" applyFont="1" applyBorder="1" applyAlignment="1" applyProtection="1">
      <alignment horizontal="center"/>
      <protection locked="0"/>
    </xf>
    <xf numFmtId="0" fontId="64" fillId="0" borderId="31" xfId="0" applyFont="1" applyBorder="1" applyAlignment="1" applyProtection="1">
      <alignment horizontal="center"/>
      <protection locked="0"/>
    </xf>
    <xf numFmtId="168" fontId="67" fillId="21" borderId="3" xfId="1" applyNumberFormat="1" applyFont="1" applyFill="1" applyBorder="1" applyAlignment="1" applyProtection="1">
      <alignment horizontal="center" vertical="center"/>
    </xf>
    <xf numFmtId="171" fontId="67" fillId="21" borderId="13" xfId="1" applyNumberFormat="1" applyFont="1" applyFill="1" applyBorder="1" applyAlignment="1" applyProtection="1">
      <alignment vertical="center"/>
    </xf>
    <xf numFmtId="168" fontId="67" fillId="22" borderId="3" xfId="1" applyNumberFormat="1" applyFont="1" applyFill="1" applyBorder="1" applyAlignment="1" applyProtection="1">
      <alignment vertical="center"/>
    </xf>
    <xf numFmtId="171" fontId="67" fillId="22" borderId="13" xfId="1" applyNumberFormat="1" applyFont="1" applyFill="1" applyBorder="1" applyAlignment="1" applyProtection="1">
      <alignment vertical="center"/>
    </xf>
    <xf numFmtId="43" fontId="64" fillId="21" borderId="35" xfId="1" applyFont="1" applyFill="1" applyBorder="1" applyAlignment="1" applyProtection="1">
      <alignment horizontal="center"/>
    </xf>
    <xf numFmtId="177" fontId="64" fillId="0" borderId="29" xfId="1" applyNumberFormat="1" applyFont="1" applyBorder="1" applyAlignment="1" applyProtection="1">
      <alignment horizontal="center"/>
    </xf>
    <xf numFmtId="165" fontId="64" fillId="0" borderId="15" xfId="1" applyNumberFormat="1" applyFont="1" applyBorder="1" applyAlignment="1" applyProtection="1">
      <alignment horizontal="center"/>
    </xf>
    <xf numFmtId="176" fontId="64" fillId="0" borderId="13" xfId="1" applyNumberFormat="1" applyFont="1" applyBorder="1" applyAlignment="1" applyProtection="1">
      <alignment horizontal="center"/>
    </xf>
    <xf numFmtId="43" fontId="62" fillId="0" borderId="39" xfId="1" applyFont="1" applyBorder="1" applyAlignment="1" applyProtection="1">
      <alignment horizontal="center"/>
    </xf>
    <xf numFmtId="43" fontId="64" fillId="22" borderId="35" xfId="1" applyFont="1" applyFill="1" applyBorder="1" applyAlignment="1" applyProtection="1">
      <alignment horizontal="center"/>
    </xf>
    <xf numFmtId="168" fontId="65" fillId="0" borderId="23" xfId="1" applyNumberFormat="1" applyFont="1" applyBorder="1" applyAlignment="1" applyProtection="1">
      <alignment vertical="center"/>
    </xf>
    <xf numFmtId="171" fontId="65" fillId="0" borderId="80" xfId="1" applyNumberFormat="1" applyFont="1" applyBorder="1" applyAlignment="1" applyProtection="1">
      <alignment vertical="center"/>
    </xf>
    <xf numFmtId="168" fontId="65" fillId="0" borderId="10" xfId="1" applyNumberFormat="1" applyFont="1" applyBorder="1" applyAlignment="1" applyProtection="1">
      <alignment vertical="center"/>
    </xf>
    <xf numFmtId="43" fontId="65" fillId="0" borderId="39" xfId="1" applyFont="1" applyBorder="1" applyAlignment="1" applyProtection="1">
      <alignment vertical="center"/>
    </xf>
    <xf numFmtId="171" fontId="65" fillId="0" borderId="11" xfId="1" applyNumberFormat="1" applyFont="1" applyBorder="1" applyAlignment="1" applyProtection="1">
      <alignment vertical="center"/>
    </xf>
    <xf numFmtId="0" fontId="62" fillId="0" borderId="0" xfId="0" applyFont="1" applyAlignment="1" applyProtection="1">
      <alignment horizontal="center" vertical="center" wrapText="1"/>
      <protection locked="0"/>
    </xf>
    <xf numFmtId="168" fontId="76" fillId="0" borderId="40" xfId="1" applyNumberFormat="1" applyFont="1" applyFill="1" applyBorder="1" applyAlignment="1" applyProtection="1">
      <alignment horizontal="center"/>
    </xf>
    <xf numFmtId="168" fontId="76" fillId="0" borderId="33" xfId="1" applyNumberFormat="1" applyFont="1" applyFill="1" applyBorder="1" applyAlignment="1" applyProtection="1">
      <alignment horizontal="center"/>
    </xf>
    <xf numFmtId="171" fontId="76" fillId="0" borderId="40" xfId="1" applyNumberFormat="1" applyFont="1" applyFill="1" applyBorder="1" applyAlignment="1" applyProtection="1">
      <alignment horizontal="center"/>
    </xf>
    <xf numFmtId="171" fontId="76" fillId="0" borderId="33" xfId="1" applyNumberFormat="1" applyFont="1" applyFill="1" applyBorder="1" applyAlignment="1" applyProtection="1">
      <alignment horizontal="center"/>
    </xf>
    <xf numFmtId="0" fontId="62" fillId="0" borderId="0" xfId="1" applyNumberFormat="1" applyFont="1" applyBorder="1" applyProtection="1"/>
    <xf numFmtId="0" fontId="62" fillId="0" borderId="22" xfId="1" applyNumberFormat="1" applyFont="1" applyBorder="1" applyAlignment="1" applyProtection="1">
      <alignment horizontal="left" vertical="center"/>
    </xf>
    <xf numFmtId="0" fontId="62" fillId="0" borderId="8" xfId="1" applyNumberFormat="1" applyFont="1" applyBorder="1" applyAlignment="1" applyProtection="1">
      <alignment horizontal="left" vertical="center"/>
    </xf>
    <xf numFmtId="43" fontId="73" fillId="0" borderId="0" xfId="1" applyFont="1" applyBorder="1" applyAlignment="1" applyProtection="1">
      <alignment horizontal="right"/>
    </xf>
    <xf numFmtId="43" fontId="73" fillId="0" borderId="0" xfId="1" applyFont="1" applyFill="1" applyBorder="1" applyAlignment="1" applyProtection="1">
      <alignment horizontal="right"/>
    </xf>
    <xf numFmtId="43" fontId="76" fillId="0" borderId="0" xfId="1" applyFont="1" applyFill="1" applyBorder="1" applyAlignment="1" applyProtection="1">
      <alignment horizontal="right"/>
    </xf>
    <xf numFmtId="171" fontId="76" fillId="0" borderId="0" xfId="1" applyNumberFormat="1" applyFont="1" applyFill="1" applyBorder="1" applyAlignment="1" applyProtection="1">
      <alignment horizontal="right"/>
    </xf>
    <xf numFmtId="171" fontId="73" fillId="0" borderId="0" xfId="1" applyNumberFormat="1" applyFont="1" applyBorder="1" applyAlignment="1" applyProtection="1">
      <alignment horizontal="right"/>
    </xf>
    <xf numFmtId="168" fontId="64" fillId="0" borderId="5" xfId="1" applyNumberFormat="1" applyFont="1" applyFill="1" applyBorder="1" applyAlignment="1" applyProtection="1">
      <alignment horizontal="center"/>
      <protection locked="0"/>
    </xf>
    <xf numFmtId="168" fontId="64" fillId="0" borderId="42" xfId="1" applyNumberFormat="1" applyFont="1" applyFill="1" applyBorder="1" applyAlignment="1" applyProtection="1">
      <alignment horizontal="center"/>
      <protection locked="0"/>
    </xf>
    <xf numFmtId="168" fontId="64" fillId="0" borderId="6" xfId="1" applyNumberFormat="1" applyFont="1" applyFill="1" applyBorder="1" applyAlignment="1" applyProtection="1">
      <alignment horizontal="center"/>
      <protection locked="0"/>
    </xf>
    <xf numFmtId="0" fontId="0" fillId="4" borderId="0" xfId="0" applyFill="1"/>
    <xf numFmtId="43" fontId="64" fillId="0" borderId="28" xfId="1" applyFont="1" applyBorder="1" applyAlignment="1" applyProtection="1">
      <alignment vertical="center"/>
    </xf>
    <xf numFmtId="43" fontId="64" fillId="0" borderId="4" xfId="1" applyFont="1" applyBorder="1" applyAlignment="1" applyProtection="1">
      <alignment vertical="center"/>
    </xf>
    <xf numFmtId="0" fontId="44" fillId="0" borderId="0" xfId="0" applyFont="1"/>
    <xf numFmtId="0" fontId="44" fillId="4" borderId="0" xfId="0" applyFont="1" applyFill="1" applyAlignment="1">
      <alignment horizontal="left"/>
    </xf>
    <xf numFmtId="171" fontId="70" fillId="4" borderId="0" xfId="0" applyNumberFormat="1" applyFont="1" applyFill="1"/>
    <xf numFmtId="43" fontId="0" fillId="4" borderId="0" xfId="0" applyNumberFormat="1" applyFill="1"/>
    <xf numFmtId="168" fontId="0" fillId="4" borderId="0" xfId="0" applyNumberFormat="1" applyFill="1"/>
    <xf numFmtId="17" fontId="45" fillId="4" borderId="0" xfId="0" applyNumberFormat="1" applyFont="1" applyFill="1" applyAlignment="1">
      <alignment horizontal="left"/>
    </xf>
    <xf numFmtId="0" fontId="55" fillId="4" borderId="0" xfId="0" applyFont="1" applyFill="1"/>
    <xf numFmtId="0" fontId="44" fillId="0" borderId="86" xfId="0" applyFont="1" applyBorder="1" applyAlignment="1">
      <alignment horizontal="center"/>
    </xf>
    <xf numFmtId="0" fontId="44" fillId="4" borderId="0" xfId="0" applyFont="1" applyFill="1"/>
    <xf numFmtId="17" fontId="55" fillId="12" borderId="86" xfId="0" applyNumberFormat="1" applyFont="1" applyFill="1" applyBorder="1" applyAlignment="1">
      <alignment horizontal="center"/>
    </xf>
    <xf numFmtId="15" fontId="44" fillId="0" borderId="86" xfId="0" applyNumberFormat="1" applyFont="1" applyBorder="1"/>
    <xf numFmtId="0" fontId="55" fillId="3" borderId="86" xfId="0" applyFont="1" applyFill="1" applyBorder="1" applyAlignment="1">
      <alignment horizontal="left"/>
    </xf>
    <xf numFmtId="0" fontId="0" fillId="3" borderId="86" xfId="0" applyFill="1" applyBorder="1"/>
    <xf numFmtId="0" fontId="43" fillId="0" borderId="86" xfId="0" applyFont="1" applyBorder="1" applyAlignment="1">
      <alignment horizontal="left"/>
    </xf>
    <xf numFmtId="0" fontId="0" fillId="0" borderId="0" xfId="0" applyAlignment="1">
      <alignment horizontal="left"/>
    </xf>
    <xf numFmtId="168" fontId="0" fillId="0" borderId="86" xfId="119" applyNumberFormat="1" applyFont="1" applyBorder="1" applyAlignment="1">
      <alignment vertical="center"/>
    </xf>
    <xf numFmtId="43" fontId="0" fillId="0" borderId="86" xfId="119" applyFont="1" applyBorder="1" applyAlignment="1">
      <alignment vertical="center"/>
    </xf>
    <xf numFmtId="0" fontId="43" fillId="0" borderId="87" xfId="0" applyFont="1" applyBorder="1" applyAlignment="1">
      <alignment horizontal="left"/>
    </xf>
    <xf numFmtId="0" fontId="0" fillId="0" borderId="88" xfId="0" applyBorder="1" applyAlignment="1">
      <alignment horizontal="left"/>
    </xf>
    <xf numFmtId="0" fontId="46" fillId="17" borderId="90" xfId="0" applyFont="1" applyFill="1" applyBorder="1" applyAlignment="1">
      <alignment horizontal="left"/>
    </xf>
    <xf numFmtId="0" fontId="55" fillId="17" borderId="86" xfId="0" applyFont="1" applyFill="1" applyBorder="1" applyAlignment="1">
      <alignment horizontal="center"/>
    </xf>
    <xf numFmtId="15" fontId="44" fillId="17" borderId="86" xfId="0" applyNumberFormat="1" applyFont="1" applyFill="1" applyBorder="1"/>
    <xf numFmtId="0" fontId="46" fillId="0" borderId="86" xfId="0" applyFont="1" applyBorder="1" applyAlignment="1">
      <alignment horizontal="left"/>
    </xf>
    <xf numFmtId="0" fontId="44" fillId="0" borderId="0" xfId="0" applyFont="1" applyAlignment="1">
      <alignment horizontal="left"/>
    </xf>
    <xf numFmtId="0" fontId="44" fillId="17" borderId="86" xfId="0" applyFont="1" applyFill="1" applyBorder="1" applyAlignment="1">
      <alignment horizontal="left"/>
    </xf>
    <xf numFmtId="9" fontId="0" fillId="17" borderId="86" xfId="0" applyNumberFormat="1" applyFill="1" applyBorder="1"/>
    <xf numFmtId="0" fontId="0" fillId="0" borderId="86" xfId="0" applyBorder="1" applyAlignment="1">
      <alignment horizontal="left"/>
    </xf>
    <xf numFmtId="43" fontId="0" fillId="0" borderId="86" xfId="0" applyNumberFormat="1" applyBorder="1"/>
    <xf numFmtId="9" fontId="55" fillId="12" borderId="86" xfId="3" applyFont="1" applyFill="1" applyBorder="1"/>
    <xf numFmtId="173" fontId="0" fillId="0" borderId="86" xfId="0" applyNumberFormat="1" applyBorder="1"/>
    <xf numFmtId="0" fontId="0" fillId="17" borderId="86" xfId="0" applyFill="1" applyBorder="1"/>
    <xf numFmtId="0" fontId="44" fillId="0" borderId="86" xfId="0" applyFont="1" applyBorder="1" applyAlignment="1">
      <alignment horizontal="left"/>
    </xf>
    <xf numFmtId="9" fontId="44" fillId="0" borderId="86" xfId="3" applyFont="1" applyBorder="1"/>
    <xf numFmtId="43" fontId="44" fillId="0" borderId="86" xfId="0" applyNumberFormat="1" applyFont="1" applyBorder="1"/>
    <xf numFmtId="2" fontId="0" fillId="4" borderId="0" xfId="0" applyNumberFormat="1" applyFill="1"/>
    <xf numFmtId="0" fontId="0" fillId="4" borderId="0" xfId="0" applyFill="1" applyAlignment="1">
      <alignment horizontal="left"/>
    </xf>
    <xf numFmtId="166" fontId="70" fillId="4" borderId="0" xfId="0" applyNumberFormat="1" applyFont="1" applyFill="1"/>
    <xf numFmtId="0" fontId="70" fillId="4" borderId="0" xfId="0" applyFont="1" applyFill="1"/>
    <xf numFmtId="0" fontId="44" fillId="3" borderId="46" xfId="0" applyFont="1" applyFill="1" applyBorder="1" applyAlignment="1">
      <alignment horizontal="center"/>
    </xf>
    <xf numFmtId="1" fontId="44" fillId="3" borderId="45" xfId="0" applyNumberFormat="1" applyFont="1" applyFill="1" applyBorder="1" applyAlignment="1">
      <alignment horizontal="center"/>
    </xf>
    <xf numFmtId="1" fontId="44" fillId="3" borderId="45" xfId="0" applyNumberFormat="1" applyFont="1" applyFill="1" applyBorder="1" applyAlignment="1">
      <alignment horizontal="center" vertical="center"/>
    </xf>
    <xf numFmtId="15" fontId="0" fillId="3" borderId="0" xfId="0" applyNumberFormat="1" applyFill="1" applyAlignment="1">
      <alignment horizontal="center"/>
    </xf>
    <xf numFmtId="0" fontId="44" fillId="3" borderId="49" xfId="0" applyFont="1" applyFill="1" applyBorder="1" applyAlignment="1">
      <alignment horizontal="center"/>
    </xf>
    <xf numFmtId="2" fontId="44" fillId="3" borderId="51" xfId="0" applyNumberFormat="1" applyFont="1" applyFill="1" applyBorder="1" applyAlignment="1">
      <alignment horizontal="center"/>
    </xf>
    <xf numFmtId="2" fontId="44" fillId="3" borderId="51" xfId="0" applyNumberFormat="1" applyFont="1" applyFill="1" applyBorder="1" applyAlignment="1">
      <alignment horizontal="center" vertical="center"/>
    </xf>
    <xf numFmtId="1" fontId="44" fillId="4" borderId="44" xfId="0" applyNumberFormat="1" applyFont="1" applyFill="1" applyBorder="1" applyAlignment="1">
      <alignment horizontal="center"/>
    </xf>
    <xf numFmtId="0" fontId="0" fillId="4" borderId="44" xfId="0" applyFill="1" applyBorder="1" applyAlignment="1">
      <alignment horizontal="center"/>
    </xf>
    <xf numFmtId="2" fontId="0" fillId="4" borderId="44" xfId="0" applyNumberFormat="1" applyFill="1" applyBorder="1" applyAlignment="1">
      <alignment horizontal="center"/>
    </xf>
    <xf numFmtId="0" fontId="44" fillId="3" borderId="44" xfId="0" applyFont="1" applyFill="1" applyBorder="1" applyAlignment="1">
      <alignment horizontal="center" vertical="center"/>
    </xf>
    <xf numFmtId="0" fontId="44" fillId="3" borderId="44" xfId="0" applyFont="1" applyFill="1" applyBorder="1" applyAlignment="1">
      <alignment horizontal="center"/>
    </xf>
    <xf numFmtId="1" fontId="44" fillId="3" borderId="44" xfId="0" applyNumberFormat="1" applyFont="1" applyFill="1" applyBorder="1" applyAlignment="1">
      <alignment horizontal="center"/>
    </xf>
    <xf numFmtId="0" fontId="0" fillId="3" borderId="0" xfId="0" applyFill="1" applyAlignment="1">
      <alignment horizontal="center"/>
    </xf>
    <xf numFmtId="2" fontId="44" fillId="3" borderId="44" xfId="0" applyNumberFormat="1" applyFont="1" applyFill="1" applyBorder="1" applyAlignment="1">
      <alignment horizontal="center"/>
    </xf>
    <xf numFmtId="2" fontId="44" fillId="3" borderId="44" xfId="0" applyNumberFormat="1" applyFont="1" applyFill="1" applyBorder="1" applyAlignment="1">
      <alignment horizontal="center" vertical="center"/>
    </xf>
    <xf numFmtId="1" fontId="0" fillId="4" borderId="44" xfId="0" applyNumberFormat="1" applyFill="1" applyBorder="1" applyAlignment="1">
      <alignment horizontal="center"/>
    </xf>
    <xf numFmtId="0" fontId="0" fillId="4" borderId="0" xfId="0" applyFill="1" applyAlignment="1">
      <alignment horizontal="center"/>
    </xf>
    <xf numFmtId="0" fontId="44" fillId="4" borderId="54" xfId="0" applyFont="1" applyFill="1" applyBorder="1" applyAlignment="1">
      <alignment horizontal="center"/>
    </xf>
    <xf numFmtId="0" fontId="44" fillId="4" borderId="95" xfId="0" applyFont="1" applyFill="1" applyBorder="1" applyAlignment="1">
      <alignment horizontal="center" vertical="center"/>
    </xf>
    <xf numFmtId="0" fontId="0" fillId="4" borderId="44" xfId="0" applyFill="1" applyBorder="1" applyAlignment="1">
      <alignment horizontal="center" vertical="center"/>
    </xf>
    <xf numFmtId="1" fontId="44" fillId="4" borderId="44" xfId="0" applyNumberFormat="1" applyFont="1" applyFill="1" applyBorder="1" applyAlignment="1">
      <alignment horizontal="center" vertical="center"/>
    </xf>
    <xf numFmtId="2" fontId="44" fillId="4" borderId="44" xfId="0" applyNumberFormat="1" applyFont="1" applyFill="1" applyBorder="1" applyAlignment="1">
      <alignment horizontal="center" vertical="center"/>
    </xf>
    <xf numFmtId="0" fontId="0" fillId="4" borderId="54" xfId="0" applyFill="1" applyBorder="1" applyAlignment="1">
      <alignment horizontal="center" vertical="center"/>
    </xf>
    <xf numFmtId="0" fontId="0" fillId="4" borderId="59" xfId="0" applyFill="1" applyBorder="1"/>
    <xf numFmtId="2" fontId="44" fillId="4" borderId="46" xfId="0" applyNumberFormat="1" applyFont="1" applyFill="1" applyBorder="1" applyAlignment="1">
      <alignment horizontal="center" vertical="center"/>
    </xf>
    <xf numFmtId="0" fontId="0" fillId="4" borderId="72" xfId="0" applyFill="1" applyBorder="1"/>
    <xf numFmtId="2" fontId="44" fillId="4" borderId="54" xfId="0" applyNumberFormat="1" applyFont="1" applyFill="1" applyBorder="1" applyAlignment="1">
      <alignment horizontal="center" vertical="center"/>
    </xf>
    <xf numFmtId="0" fontId="73" fillId="0" borderId="31" xfId="0" applyFont="1" applyBorder="1" applyAlignment="1" applyProtection="1">
      <alignment vertical="center"/>
      <protection locked="0"/>
    </xf>
    <xf numFmtId="0" fontId="73" fillId="0" borderId="36" xfId="0" applyFont="1" applyBorder="1" applyAlignment="1" applyProtection="1">
      <alignment vertical="center"/>
      <protection locked="0"/>
    </xf>
    <xf numFmtId="166" fontId="73" fillId="24" borderId="38" xfId="0" applyNumberFormat="1" applyFont="1" applyFill="1" applyBorder="1" applyProtection="1">
      <protection locked="0"/>
    </xf>
    <xf numFmtId="168" fontId="64" fillId="0" borderId="43" xfId="1" applyNumberFormat="1" applyFont="1" applyFill="1" applyBorder="1" applyProtection="1">
      <protection locked="0"/>
    </xf>
    <xf numFmtId="168" fontId="76" fillId="23" borderId="5" xfId="1" applyNumberFormat="1" applyFont="1" applyFill="1" applyBorder="1" applyProtection="1">
      <protection locked="0"/>
    </xf>
    <xf numFmtId="168" fontId="76" fillId="23" borderId="42" xfId="1" applyNumberFormat="1" applyFont="1" applyFill="1" applyBorder="1" applyProtection="1">
      <protection locked="0"/>
    </xf>
    <xf numFmtId="168" fontId="62" fillId="23" borderId="6" xfId="1" applyNumberFormat="1" applyFont="1" applyFill="1" applyBorder="1" applyProtection="1">
      <protection locked="0"/>
    </xf>
    <xf numFmtId="43" fontId="73" fillId="0" borderId="83" xfId="1" applyFont="1" applyBorder="1" applyAlignment="1" applyProtection="1">
      <alignment vertical="center"/>
    </xf>
    <xf numFmtId="43" fontId="73" fillId="0" borderId="84" xfId="1" applyFont="1" applyBorder="1" applyAlignment="1" applyProtection="1">
      <alignment vertical="center"/>
    </xf>
    <xf numFmtId="43" fontId="62" fillId="0" borderId="11" xfId="1" applyFont="1" applyFill="1" applyBorder="1" applyAlignment="1" applyProtection="1">
      <alignment horizontal="left" vertical="center"/>
    </xf>
    <xf numFmtId="168" fontId="62" fillId="0" borderId="5" xfId="1" applyNumberFormat="1" applyFont="1" applyBorder="1" applyAlignment="1" applyProtection="1">
      <alignment horizontal="center" vertical="center"/>
    </xf>
    <xf numFmtId="168" fontId="62" fillId="0" borderId="42" xfId="1" applyNumberFormat="1" applyFont="1" applyBorder="1" applyAlignment="1" applyProtection="1">
      <alignment horizontal="center" vertical="center"/>
    </xf>
    <xf numFmtId="168" fontId="62" fillId="0" borderId="6" xfId="1" applyNumberFormat="1" applyFont="1" applyBorder="1" applyAlignment="1" applyProtection="1">
      <alignment horizontal="center" vertical="center"/>
    </xf>
    <xf numFmtId="43" fontId="62" fillId="19" borderId="6" xfId="1" applyFont="1" applyFill="1" applyBorder="1" applyAlignment="1" applyProtection="1">
      <alignment horizontal="left" vertical="center"/>
    </xf>
    <xf numFmtId="43" fontId="62" fillId="0" borderId="6" xfId="1" applyFont="1" applyFill="1" applyBorder="1" applyAlignment="1" applyProtection="1">
      <alignment horizontal="left" vertical="center"/>
    </xf>
    <xf numFmtId="43" fontId="64" fillId="0" borderId="0" xfId="1" applyFont="1" applyFill="1" applyBorder="1" applyAlignment="1" applyProtection="1">
      <alignment vertical="center"/>
    </xf>
    <xf numFmtId="43" fontId="62" fillId="0" borderId="0" xfId="1" applyFont="1" applyFill="1" applyBorder="1" applyAlignment="1" applyProtection="1">
      <alignment horizontal="left"/>
    </xf>
    <xf numFmtId="171" fontId="67" fillId="0" borderId="0" xfId="1" applyNumberFormat="1" applyFont="1" applyFill="1" applyBorder="1" applyAlignment="1" applyProtection="1">
      <alignment horizontal="left"/>
    </xf>
    <xf numFmtId="171" fontId="62" fillId="0" borderId="0" xfId="1" applyNumberFormat="1" applyFont="1" applyFill="1" applyBorder="1" applyAlignment="1" applyProtection="1">
      <alignment horizontal="left" vertical="center"/>
    </xf>
    <xf numFmtId="43" fontId="65" fillId="0" borderId="0" xfId="1" applyFont="1" applyFill="1" applyBorder="1" applyAlignment="1" applyProtection="1">
      <alignment horizontal="left"/>
    </xf>
    <xf numFmtId="43" fontId="67" fillId="0" borderId="0" xfId="1" applyFont="1" applyFill="1" applyBorder="1" applyAlignment="1" applyProtection="1">
      <alignment horizontal="left"/>
    </xf>
    <xf numFmtId="0" fontId="69" fillId="0" borderId="0" xfId="0" applyFont="1"/>
    <xf numFmtId="0" fontId="75" fillId="0" borderId="0" xfId="0" applyFont="1"/>
    <xf numFmtId="0" fontId="67" fillId="0" borderId="0" xfId="0" applyFont="1"/>
    <xf numFmtId="0" fontId="74" fillId="0" borderId="0" xfId="0" applyFont="1"/>
    <xf numFmtId="174" fontId="64" fillId="0" borderId="0" xfId="0" applyNumberFormat="1" applyFont="1" applyAlignment="1">
      <alignment horizontal="left"/>
    </xf>
    <xf numFmtId="177" fontId="62" fillId="0" borderId="20" xfId="1" applyNumberFormat="1" applyFont="1" applyBorder="1" applyAlignment="1" applyProtection="1">
      <alignment horizontal="center"/>
    </xf>
    <xf numFmtId="165" fontId="62" fillId="0" borderId="20" xfId="1" applyNumberFormat="1" applyFont="1" applyBorder="1" applyAlignment="1" applyProtection="1">
      <alignment horizontal="center"/>
    </xf>
    <xf numFmtId="176" fontId="62" fillId="0" borderId="20" xfId="1" applyNumberFormat="1" applyFont="1" applyBorder="1" applyAlignment="1" applyProtection="1">
      <alignment horizontal="center"/>
    </xf>
    <xf numFmtId="0" fontId="62" fillId="0" borderId="0" xfId="0" applyFont="1"/>
    <xf numFmtId="0" fontId="66" fillId="25" borderId="0" xfId="0" applyFont="1" applyFill="1" applyAlignment="1">
      <alignment horizontal="center" vertical="center"/>
    </xf>
    <xf numFmtId="0" fontId="67" fillId="12" borderId="28" xfId="0" applyFont="1" applyFill="1" applyBorder="1" applyAlignment="1">
      <alignment horizontal="center" vertical="center"/>
    </xf>
    <xf numFmtId="0" fontId="67" fillId="12" borderId="29" xfId="0" applyFont="1" applyFill="1" applyBorder="1" applyAlignment="1">
      <alignment horizontal="center" vertical="center"/>
    </xf>
    <xf numFmtId="0" fontId="67" fillId="12" borderId="35" xfId="0" applyFont="1" applyFill="1" applyBorder="1" applyAlignment="1">
      <alignment horizontal="center" vertical="center"/>
    </xf>
    <xf numFmtId="0" fontId="67" fillId="12" borderId="34" xfId="0" applyFont="1" applyFill="1" applyBorder="1" applyAlignment="1">
      <alignment horizontal="center" vertical="center"/>
    </xf>
    <xf numFmtId="177" fontId="67" fillId="12" borderId="29" xfId="0" applyNumberFormat="1" applyFont="1" applyFill="1" applyBorder="1" applyAlignment="1">
      <alignment horizontal="center" vertical="center"/>
    </xf>
    <xf numFmtId="177" fontId="67" fillId="12" borderId="35" xfId="0" applyNumberFormat="1" applyFont="1" applyFill="1" applyBorder="1" applyAlignment="1">
      <alignment horizontal="center" vertical="center"/>
    </xf>
    <xf numFmtId="177" fontId="67" fillId="12" borderId="34" xfId="0" applyNumberFormat="1" applyFont="1" applyFill="1" applyBorder="1" applyAlignment="1">
      <alignment horizontal="center" vertical="center"/>
    </xf>
    <xf numFmtId="9" fontId="65" fillId="15" borderId="10" xfId="0" applyNumberFormat="1" applyFont="1" applyFill="1" applyBorder="1" applyAlignment="1">
      <alignment vertical="center"/>
    </xf>
    <xf numFmtId="9" fontId="65" fillId="15" borderId="39" xfId="0" applyNumberFormat="1" applyFont="1" applyFill="1" applyBorder="1" applyAlignment="1">
      <alignment vertical="center"/>
    </xf>
    <xf numFmtId="9" fontId="65" fillId="15" borderId="11" xfId="0" applyNumberFormat="1" applyFont="1" applyFill="1" applyBorder="1" applyAlignment="1">
      <alignment vertical="center"/>
    </xf>
    <xf numFmtId="9" fontId="67" fillId="21" borderId="29" xfId="0" applyNumberFormat="1" applyFont="1" applyFill="1" applyBorder="1" applyAlignment="1">
      <alignment vertical="center"/>
    </xf>
    <xf numFmtId="9" fontId="67" fillId="21" borderId="35" xfId="0" applyNumberFormat="1" applyFont="1" applyFill="1" applyBorder="1" applyAlignment="1">
      <alignment vertical="center"/>
    </xf>
    <xf numFmtId="9" fontId="67" fillId="21" borderId="34" xfId="0" applyNumberFormat="1" applyFont="1" applyFill="1" applyBorder="1" applyAlignment="1">
      <alignment vertical="center"/>
    </xf>
    <xf numFmtId="0" fontId="76" fillId="0" borderId="0" xfId="0" applyFont="1"/>
    <xf numFmtId="0" fontId="76" fillId="0" borderId="93" xfId="0" applyFont="1" applyBorder="1" applyAlignment="1" applyProtection="1">
      <alignment horizontal="center" vertical="center" wrapText="1"/>
      <protection locked="0"/>
    </xf>
    <xf numFmtId="172" fontId="62" fillId="0" borderId="0" xfId="0" applyNumberFormat="1" applyFont="1" applyAlignment="1">
      <alignment vertical="center"/>
    </xf>
    <xf numFmtId="0" fontId="62" fillId="0" borderId="0" xfId="0" applyFont="1" applyAlignment="1">
      <alignment vertical="center"/>
    </xf>
    <xf numFmtId="0" fontId="62" fillId="0" borderId="0" xfId="0" applyFont="1" applyAlignment="1">
      <alignment horizontal="left" vertical="center"/>
    </xf>
    <xf numFmtId="0" fontId="62" fillId="0" borderId="0" xfId="0" applyFont="1" applyAlignment="1">
      <alignment horizontal="center" vertical="center" wrapText="1"/>
    </xf>
    <xf numFmtId="0" fontId="75" fillId="0" borderId="0" xfId="0" applyFont="1" applyAlignment="1">
      <alignment vertical="center"/>
    </xf>
    <xf numFmtId="0" fontId="67" fillId="0" borderId="0" xfId="0" applyFont="1" applyAlignment="1">
      <alignment vertical="center"/>
    </xf>
    <xf numFmtId="0" fontId="64" fillId="0" borderId="0" xfId="0" applyFont="1" applyAlignment="1">
      <alignment horizontal="center" vertical="center" wrapText="1"/>
    </xf>
    <xf numFmtId="0" fontId="63" fillId="0" borderId="0" xfId="0" applyFont="1" applyAlignment="1">
      <alignment vertical="center"/>
    </xf>
    <xf numFmtId="0" fontId="65" fillId="0" borderId="0" xfId="0" applyFont="1" applyAlignment="1">
      <alignment vertical="center"/>
    </xf>
    <xf numFmtId="0" fontId="74" fillId="0" borderId="0" xfId="0" applyFont="1" applyAlignment="1">
      <alignment vertical="center"/>
    </xf>
    <xf numFmtId="0" fontId="69" fillId="0" borderId="0" xfId="0" applyFont="1" applyAlignment="1">
      <alignment vertical="center"/>
    </xf>
    <xf numFmtId="172" fontId="64" fillId="0" borderId="0" xfId="0" applyNumberFormat="1" applyFont="1" applyAlignment="1">
      <alignment vertical="center"/>
    </xf>
    <xf numFmtId="0" fontId="64" fillId="0" borderId="37" xfId="0" applyFont="1" applyBorder="1" applyAlignment="1">
      <alignment horizontal="center" vertical="center" wrapText="1"/>
    </xf>
    <xf numFmtId="0" fontId="64" fillId="0" borderId="32" xfId="0" applyFont="1" applyBorder="1" applyAlignment="1">
      <alignment horizontal="center" vertical="center" wrapText="1"/>
    </xf>
    <xf numFmtId="0" fontId="64" fillId="0" borderId="0" xfId="0" applyFont="1" applyAlignment="1">
      <alignment vertical="center"/>
    </xf>
    <xf numFmtId="0" fontId="62" fillId="0" borderId="5" xfId="0" applyFont="1" applyBorder="1" applyAlignment="1">
      <alignment horizontal="center" vertical="center" wrapText="1"/>
    </xf>
    <xf numFmtId="0" fontId="62" fillId="0" borderId="42" xfId="0" applyFont="1" applyBorder="1" applyAlignment="1">
      <alignment horizontal="center" vertical="center" wrapText="1"/>
    </xf>
    <xf numFmtId="0" fontId="62" fillId="0" borderId="6" xfId="0" applyFont="1" applyBorder="1" applyAlignment="1">
      <alignment horizontal="center" vertical="center" wrapText="1"/>
    </xf>
    <xf numFmtId="0" fontId="64" fillId="0" borderId="43" xfId="0" applyFont="1" applyBorder="1" applyAlignment="1">
      <alignment horizontal="center" vertical="center" wrapText="1"/>
    </xf>
    <xf numFmtId="0" fontId="64" fillId="0" borderId="55" xfId="0" applyFont="1" applyBorder="1" applyAlignment="1">
      <alignment horizontal="center" vertical="center" wrapText="1"/>
    </xf>
    <xf numFmtId="0" fontId="64" fillId="0" borderId="56" xfId="0" applyFont="1" applyBorder="1" applyAlignment="1">
      <alignment horizontal="center" vertical="center" wrapText="1"/>
    </xf>
    <xf numFmtId="16" fontId="64" fillId="0" borderId="29" xfId="0" applyNumberFormat="1" applyFont="1" applyBorder="1" applyAlignment="1">
      <alignment horizontal="center" vertical="center" wrapText="1"/>
    </xf>
    <xf numFmtId="16" fontId="64" fillId="0" borderId="15" xfId="0" applyNumberFormat="1" applyFont="1" applyBorder="1" applyAlignment="1">
      <alignment horizontal="center" vertical="center" wrapText="1"/>
    </xf>
    <xf numFmtId="0" fontId="62" fillId="0" borderId="0" xfId="0" applyFont="1" applyAlignment="1">
      <alignment horizontal="center"/>
    </xf>
    <xf numFmtId="0" fontId="64" fillId="0" borderId="0" xfId="0" applyFont="1"/>
    <xf numFmtId="0" fontId="74" fillId="12" borderId="3" xfId="0" applyFont="1" applyFill="1" applyBorder="1" applyAlignment="1">
      <alignment vertical="center"/>
    </xf>
    <xf numFmtId="0" fontId="74" fillId="12" borderId="4" xfId="0" applyFont="1" applyFill="1" applyBorder="1" applyAlignment="1">
      <alignment vertical="center"/>
    </xf>
    <xf numFmtId="0" fontId="74" fillId="12" borderId="13" xfId="0" applyFont="1" applyFill="1" applyBorder="1" applyAlignment="1">
      <alignment vertical="center"/>
    </xf>
    <xf numFmtId="0" fontId="62" fillId="0" borderId="1" xfId="0" applyFont="1" applyBorder="1"/>
    <xf numFmtId="0" fontId="62" fillId="0" borderId="7" xfId="0" applyFont="1" applyBorder="1"/>
    <xf numFmtId="0" fontId="62" fillId="0" borderId="2" xfId="0" applyFont="1" applyBorder="1"/>
    <xf numFmtId="0" fontId="62" fillId="0" borderId="22" xfId="0" applyFont="1" applyBorder="1"/>
    <xf numFmtId="0" fontId="62" fillId="0" borderId="24" xfId="0" applyFont="1" applyBorder="1"/>
    <xf numFmtId="0" fontId="62" fillId="0" borderId="9" xfId="0" applyFont="1" applyBorder="1"/>
    <xf numFmtId="0" fontId="62" fillId="0" borderId="14" xfId="0" applyFont="1" applyBorder="1"/>
    <xf numFmtId="0" fontId="73" fillId="0" borderId="0" xfId="0" applyFont="1"/>
    <xf numFmtId="166" fontId="73" fillId="0" borderId="0" xfId="0" applyNumberFormat="1" applyFont="1"/>
    <xf numFmtId="0" fontId="64" fillId="0" borderId="0" xfId="0" applyFont="1" applyAlignment="1">
      <alignment horizontal="left"/>
    </xf>
    <xf numFmtId="0" fontId="77" fillId="0" borderId="0" xfId="0" applyFont="1" applyAlignment="1">
      <alignment horizontal="center"/>
    </xf>
    <xf numFmtId="0" fontId="77" fillId="0" borderId="0" xfId="0" applyFont="1" applyAlignment="1">
      <alignment horizontal="left" vertical="center"/>
    </xf>
    <xf numFmtId="1" fontId="73" fillId="0" borderId="29" xfId="0" applyNumberFormat="1" applyFont="1" applyBorder="1" applyAlignment="1">
      <alignment horizontal="center"/>
    </xf>
    <xf numFmtId="1" fontId="73" fillId="0" borderId="15" xfId="0" applyNumberFormat="1" applyFont="1" applyBorder="1" applyAlignment="1">
      <alignment horizontal="center"/>
    </xf>
    <xf numFmtId="1" fontId="73" fillId="0" borderId="13" xfId="0" applyNumberFormat="1" applyFont="1" applyBorder="1" applyAlignment="1">
      <alignment horizontal="center"/>
    </xf>
    <xf numFmtId="0" fontId="73" fillId="5" borderId="3" xfId="0" applyFont="1" applyFill="1" applyBorder="1" applyAlignment="1">
      <alignment horizontal="center"/>
    </xf>
    <xf numFmtId="0" fontId="73" fillId="0" borderId="29" xfId="0" applyFont="1" applyBorder="1" applyAlignment="1">
      <alignment horizontal="center"/>
    </xf>
    <xf numFmtId="0" fontId="73" fillId="0" borderId="35" xfId="0" applyFont="1" applyBorder="1" applyAlignment="1">
      <alignment horizontal="center"/>
    </xf>
    <xf numFmtId="0" fontId="73" fillId="0" borderId="34" xfId="0" applyFont="1" applyBorder="1" applyAlignment="1">
      <alignment horizontal="center"/>
    </xf>
    <xf numFmtId="166" fontId="73" fillId="16" borderId="83" xfId="0" applyNumberFormat="1" applyFont="1" applyFill="1" applyBorder="1"/>
    <xf numFmtId="166" fontId="73" fillId="16" borderId="23" xfId="0" applyNumberFormat="1" applyFont="1" applyFill="1" applyBorder="1"/>
    <xf numFmtId="0" fontId="73" fillId="11" borderId="29" xfId="0" applyFont="1" applyFill="1" applyBorder="1" applyAlignment="1">
      <alignment horizontal="center"/>
    </xf>
    <xf numFmtId="166" fontId="73" fillId="0" borderId="35" xfId="0" applyNumberFormat="1" applyFont="1" applyBorder="1"/>
    <xf numFmtId="166" fontId="73" fillId="0" borderId="34" xfId="0" applyNumberFormat="1" applyFont="1" applyBorder="1"/>
    <xf numFmtId="16" fontId="73" fillId="0" borderId="15" xfId="0" applyNumberFormat="1" applyFont="1" applyBorder="1" applyAlignment="1">
      <alignment horizontal="center"/>
    </xf>
    <xf numFmtId="16" fontId="73" fillId="0" borderId="35" xfId="0" applyNumberFormat="1" applyFont="1" applyBorder="1" applyAlignment="1">
      <alignment horizontal="center"/>
    </xf>
    <xf numFmtId="16" fontId="73" fillId="0" borderId="16" xfId="0" applyNumberFormat="1" applyFont="1" applyBorder="1" applyAlignment="1">
      <alignment horizontal="center"/>
    </xf>
    <xf numFmtId="16" fontId="64" fillId="0" borderId="28" xfId="0" applyNumberFormat="1" applyFont="1" applyBorder="1"/>
    <xf numFmtId="168" fontId="62" fillId="0" borderId="0" xfId="1" applyNumberFormat="1" applyFont="1" applyFill="1" applyBorder="1" applyAlignment="1" applyProtection="1">
      <alignment horizontal="center"/>
    </xf>
    <xf numFmtId="0" fontId="74" fillId="12" borderId="1" xfId="0" applyFont="1" applyFill="1" applyBorder="1" applyAlignment="1">
      <alignment vertical="center"/>
    </xf>
    <xf numFmtId="0" fontId="74" fillId="12" borderId="7" xfId="0" applyFont="1" applyFill="1" applyBorder="1" applyAlignment="1">
      <alignment vertical="center"/>
    </xf>
    <xf numFmtId="0" fontId="74" fillId="12" borderId="2" xfId="0" applyFont="1" applyFill="1" applyBorder="1" applyAlignment="1">
      <alignment vertical="center"/>
    </xf>
    <xf numFmtId="0" fontId="77" fillId="0" borderId="0" xfId="0" applyFont="1"/>
    <xf numFmtId="1" fontId="73" fillId="0" borderId="30" xfId="0" applyNumberFormat="1" applyFont="1" applyBorder="1" applyAlignment="1">
      <alignment horizontal="center"/>
    </xf>
    <xf numFmtId="1" fontId="73" fillId="0" borderId="17" xfId="0" applyNumberFormat="1" applyFont="1" applyBorder="1" applyAlignment="1">
      <alignment horizontal="center"/>
    </xf>
    <xf numFmtId="1" fontId="73" fillId="0" borderId="37" xfId="0" applyNumberFormat="1" applyFont="1" applyBorder="1" applyAlignment="1">
      <alignment horizontal="center"/>
    </xf>
    <xf numFmtId="1" fontId="73" fillId="0" borderId="2" xfId="0" applyNumberFormat="1" applyFont="1" applyBorder="1" applyAlignment="1">
      <alignment horizontal="center"/>
    </xf>
    <xf numFmtId="0" fontId="73" fillId="0" borderId="30" xfId="0" applyFont="1" applyBorder="1"/>
    <xf numFmtId="0" fontId="73" fillId="0" borderId="18" xfId="0" applyFont="1" applyBorder="1"/>
    <xf numFmtId="16" fontId="73" fillId="0" borderId="35" xfId="0" applyNumberFormat="1" applyFont="1" applyBorder="1"/>
    <xf numFmtId="16" fontId="73" fillId="0" borderId="15" xfId="0" applyNumberFormat="1" applyFont="1" applyBorder="1"/>
    <xf numFmtId="16" fontId="73" fillId="0" borderId="16" xfId="0" applyNumberFormat="1" applyFont="1" applyBorder="1"/>
    <xf numFmtId="16" fontId="62" fillId="0" borderId="0" xfId="0" applyNumberFormat="1" applyFont="1"/>
    <xf numFmtId="0" fontId="66" fillId="0" borderId="0" xfId="0" applyFont="1"/>
    <xf numFmtId="2" fontId="66" fillId="0" borderId="0" xfId="0" applyNumberFormat="1" applyFont="1"/>
    <xf numFmtId="1" fontId="62" fillId="0" borderId="0" xfId="0" applyNumberFormat="1" applyFont="1"/>
    <xf numFmtId="2" fontId="66" fillId="0" borderId="0" xfId="0" applyNumberFormat="1" applyFont="1" applyAlignment="1">
      <alignment horizontal="right"/>
    </xf>
    <xf numFmtId="0" fontId="76" fillId="0" borderId="0" xfId="0" applyFont="1" applyAlignment="1">
      <alignment horizontal="left" vertical="center"/>
    </xf>
    <xf numFmtId="0" fontId="62" fillId="0" borderId="22" xfId="1" applyNumberFormat="1" applyFont="1" applyFill="1" applyBorder="1" applyAlignment="1" applyProtection="1">
      <alignment vertical="center"/>
    </xf>
    <xf numFmtId="0" fontId="65" fillId="0" borderId="8" xfId="1" applyNumberFormat="1" applyFont="1" applyFill="1" applyBorder="1" applyAlignment="1" applyProtection="1"/>
    <xf numFmtId="166" fontId="76" fillId="0" borderId="0" xfId="0" applyNumberFormat="1" applyFont="1"/>
    <xf numFmtId="0" fontId="67" fillId="0" borderId="28" xfId="0" applyFont="1" applyBorder="1" applyAlignment="1">
      <alignment horizontal="center"/>
    </xf>
    <xf numFmtId="0" fontId="67" fillId="0" borderId="4" xfId="0" applyFont="1" applyBorder="1" applyAlignment="1">
      <alignment horizontal="center"/>
    </xf>
    <xf numFmtId="0" fontId="67" fillId="0" borderId="3" xfId="0" applyFont="1" applyBorder="1"/>
    <xf numFmtId="0" fontId="67" fillId="0" borderId="15" xfId="0" applyFont="1" applyBorder="1"/>
    <xf numFmtId="0" fontId="64" fillId="0" borderId="35" xfId="0" applyFont="1" applyBorder="1" applyAlignment="1">
      <alignment horizontal="center"/>
    </xf>
    <xf numFmtId="0" fontId="64" fillId="0" borderId="34" xfId="0" applyFont="1" applyBorder="1"/>
    <xf numFmtId="172" fontId="64" fillId="4" borderId="29" xfId="0" applyNumberFormat="1" applyFont="1" applyFill="1" applyBorder="1" applyAlignment="1">
      <alignment horizontal="center"/>
    </xf>
    <xf numFmtId="172" fontId="64" fillId="4" borderId="35" xfId="0" applyNumberFormat="1" applyFont="1" applyFill="1" applyBorder="1" applyAlignment="1">
      <alignment horizontal="center"/>
    </xf>
    <xf numFmtId="172" fontId="64" fillId="4" borderId="34" xfId="0" applyNumberFormat="1" applyFont="1" applyFill="1" applyBorder="1" applyAlignment="1">
      <alignment horizontal="center"/>
    </xf>
    <xf numFmtId="0" fontId="64" fillId="0" borderId="13" xfId="0" applyFont="1" applyBorder="1"/>
    <xf numFmtId="0" fontId="80" fillId="0" borderId="0" xfId="0" applyFont="1"/>
    <xf numFmtId="167" fontId="80" fillId="0" borderId="0" xfId="0" applyNumberFormat="1" applyFont="1" applyAlignment="1">
      <alignment horizontal="center"/>
    </xf>
    <xf numFmtId="1" fontId="80" fillId="0" borderId="0" xfId="0" applyNumberFormat="1" applyFont="1" applyAlignment="1">
      <alignment horizontal="center"/>
    </xf>
    <xf numFmtId="2" fontId="80" fillId="0" borderId="0" xfId="0" applyNumberFormat="1" applyFont="1"/>
    <xf numFmtId="1" fontId="80" fillId="0" borderId="0" xfId="0" applyNumberFormat="1" applyFont="1"/>
    <xf numFmtId="0" fontId="62" fillId="0" borderId="26" xfId="1" applyNumberFormat="1" applyFont="1" applyFill="1" applyBorder="1" applyAlignment="1" applyProtection="1">
      <alignment vertical="center"/>
    </xf>
    <xf numFmtId="0" fontId="62" fillId="0" borderId="31" xfId="1" applyNumberFormat="1" applyFont="1" applyFill="1" applyBorder="1" applyAlignment="1" applyProtection="1">
      <alignment vertical="center"/>
    </xf>
    <xf numFmtId="0" fontId="65" fillId="0" borderId="36" xfId="1" applyNumberFormat="1" applyFont="1" applyFill="1" applyBorder="1" applyAlignment="1" applyProtection="1"/>
    <xf numFmtId="171" fontId="92" fillId="0" borderId="0" xfId="1" applyNumberFormat="1" applyFont="1" applyProtection="1"/>
    <xf numFmtId="43" fontId="62" fillId="0" borderId="0" xfId="1" applyFont="1" applyAlignment="1" applyProtection="1">
      <alignment horizontal="left"/>
    </xf>
    <xf numFmtId="43" fontId="64" fillId="0" borderId="0" xfId="1" applyFont="1" applyAlignment="1" applyProtection="1">
      <alignment horizontal="left"/>
    </xf>
    <xf numFmtId="171" fontId="62" fillId="0" borderId="0" xfId="1" applyNumberFormat="1" applyFont="1" applyAlignment="1" applyProtection="1">
      <alignment horizontal="left"/>
    </xf>
    <xf numFmtId="171" fontId="64" fillId="0" borderId="0" xfId="1" applyNumberFormat="1" applyFont="1" applyAlignment="1" applyProtection="1">
      <alignment horizontal="left"/>
    </xf>
    <xf numFmtId="0" fontId="80" fillId="0" borderId="0" xfId="0" applyFont="1" applyAlignment="1" applyProtection="1">
      <alignment horizontal="left"/>
      <protection locked="0"/>
    </xf>
    <xf numFmtId="0" fontId="65" fillId="0" borderId="31" xfId="0" applyFont="1" applyBorder="1" applyAlignment="1" applyProtection="1">
      <alignment horizontal="left"/>
      <protection locked="0"/>
    </xf>
    <xf numFmtId="1" fontId="65" fillId="0" borderId="31" xfId="0" applyNumberFormat="1" applyFont="1" applyBorder="1" applyAlignment="1" applyProtection="1">
      <alignment horizontal="left"/>
      <protection locked="0"/>
    </xf>
    <xf numFmtId="0" fontId="65" fillId="0" borderId="36" xfId="0" applyFont="1" applyBorder="1" applyAlignment="1" applyProtection="1">
      <alignment horizontal="left"/>
      <protection locked="0"/>
    </xf>
    <xf numFmtId="168" fontId="62" fillId="23" borderId="21" xfId="1" applyNumberFormat="1" applyFont="1" applyFill="1" applyBorder="1" applyAlignment="1" applyProtection="1">
      <alignment horizontal="center"/>
      <protection locked="0"/>
    </xf>
    <xf numFmtId="0" fontId="65" fillId="0" borderId="26" xfId="0" applyFont="1" applyBorder="1" applyAlignment="1" applyProtection="1">
      <alignment horizontal="left"/>
      <protection locked="0"/>
    </xf>
    <xf numFmtId="168" fontId="76" fillId="0" borderId="83" xfId="1" applyNumberFormat="1" applyFont="1" applyFill="1" applyBorder="1" applyAlignment="1" applyProtection="1">
      <alignment horizontal="center"/>
    </xf>
    <xf numFmtId="43" fontId="76" fillId="0" borderId="83" xfId="1" applyFont="1" applyFill="1" applyBorder="1" applyAlignment="1" applyProtection="1">
      <alignment horizontal="center"/>
    </xf>
    <xf numFmtId="171" fontId="76" fillId="0" borderId="83" xfId="1" applyNumberFormat="1" applyFont="1" applyFill="1" applyBorder="1" applyAlignment="1" applyProtection="1">
      <alignment horizontal="center"/>
    </xf>
    <xf numFmtId="43" fontId="62" fillId="0" borderId="5" xfId="1" applyFont="1" applyBorder="1" applyAlignment="1" applyProtection="1">
      <alignment horizontal="center" vertical="center"/>
    </xf>
    <xf numFmtId="43" fontId="62" fillId="0" borderId="42" xfId="1" applyFont="1" applyBorder="1" applyAlignment="1" applyProtection="1">
      <alignment horizontal="center" vertical="center"/>
    </xf>
    <xf numFmtId="43" fontId="62" fillId="0" borderId="6" xfId="1" applyFont="1" applyBorder="1" applyAlignment="1" applyProtection="1">
      <alignment horizontal="center" vertical="center"/>
    </xf>
    <xf numFmtId="0" fontId="64" fillId="0" borderId="31" xfId="0" applyFont="1" applyBorder="1" applyAlignment="1" applyProtection="1">
      <alignment horizontal="center" vertical="center"/>
      <protection locked="0"/>
    </xf>
    <xf numFmtId="43" fontId="64" fillId="0" borderId="31" xfId="1" applyFont="1" applyBorder="1" applyAlignment="1" applyProtection="1">
      <alignment horizontal="left" vertical="center" wrapText="1"/>
      <protection locked="0"/>
    </xf>
    <xf numFmtId="43" fontId="62" fillId="0" borderId="25" xfId="1" applyFont="1" applyBorder="1" applyAlignment="1" applyProtection="1">
      <alignment vertical="center"/>
      <protection locked="0"/>
    </xf>
    <xf numFmtId="43" fontId="62" fillId="0" borderId="93" xfId="1" applyFont="1" applyBorder="1" applyAlignment="1" applyProtection="1">
      <alignment vertical="center"/>
      <protection locked="0"/>
    </xf>
    <xf numFmtId="0" fontId="62" fillId="0" borderId="40" xfId="0" applyFont="1" applyBorder="1" applyAlignment="1" applyProtection="1">
      <alignment horizontal="center" vertical="center" wrapText="1"/>
      <protection locked="0"/>
    </xf>
    <xf numFmtId="0" fontId="80" fillId="0" borderId="0" xfId="0" applyFont="1" applyAlignment="1">
      <alignment horizontal="left"/>
    </xf>
    <xf numFmtId="0" fontId="62" fillId="0" borderId="0" xfId="0" applyFont="1" applyAlignment="1">
      <alignment horizontal="left"/>
    </xf>
    <xf numFmtId="0" fontId="73" fillId="5" borderId="28" xfId="0" applyFont="1" applyFill="1" applyBorder="1" applyAlignment="1">
      <alignment horizontal="left"/>
    </xf>
    <xf numFmtId="166" fontId="73" fillId="16" borderId="4" xfId="0" applyNumberFormat="1" applyFont="1" applyFill="1" applyBorder="1"/>
    <xf numFmtId="166" fontId="73" fillId="16" borderId="28" xfId="0" applyNumberFormat="1" applyFont="1" applyFill="1" applyBorder="1"/>
    <xf numFmtId="166" fontId="73" fillId="16" borderId="13" xfId="0" applyNumberFormat="1" applyFont="1" applyFill="1" applyBorder="1"/>
    <xf numFmtId="0" fontId="73" fillId="0" borderId="3" xfId="0" applyFont="1" applyBorder="1" applyAlignment="1">
      <alignment horizontal="left"/>
    </xf>
    <xf numFmtId="0" fontId="73" fillId="0" borderId="83" xfId="0" applyFont="1" applyBorder="1" applyAlignment="1">
      <alignment horizontal="left"/>
    </xf>
    <xf numFmtId="0" fontId="73" fillId="0" borderId="25" xfId="0" applyFont="1" applyBorder="1" applyAlignment="1">
      <alignment horizontal="left"/>
    </xf>
    <xf numFmtId="0" fontId="73" fillId="0" borderId="83" xfId="0" applyFont="1" applyBorder="1"/>
    <xf numFmtId="0" fontId="73" fillId="0" borderId="81" xfId="0" applyFont="1" applyBorder="1"/>
    <xf numFmtId="0" fontId="67" fillId="0" borderId="4" xfId="0" applyFont="1" applyBorder="1"/>
    <xf numFmtId="16" fontId="64" fillId="4" borderId="15" xfId="0" applyNumberFormat="1" applyFont="1" applyFill="1" applyBorder="1" applyAlignment="1">
      <alignment horizontal="center"/>
    </xf>
    <xf numFmtId="16" fontId="64" fillId="4" borderId="35" xfId="0" applyNumberFormat="1" applyFont="1" applyFill="1" applyBorder="1" applyAlignment="1">
      <alignment horizontal="center"/>
    </xf>
    <xf numFmtId="16" fontId="64" fillId="4" borderId="34" xfId="0" applyNumberFormat="1" applyFont="1" applyFill="1" applyBorder="1" applyAlignment="1">
      <alignment horizontal="center"/>
    </xf>
    <xf numFmtId="0" fontId="64" fillId="0" borderId="2" xfId="0" applyFont="1" applyBorder="1" applyAlignment="1">
      <alignment horizontal="left"/>
    </xf>
    <xf numFmtId="171" fontId="76" fillId="0" borderId="6" xfId="1" applyNumberFormat="1" applyFont="1" applyBorder="1" applyAlignment="1">
      <alignment horizontal="center"/>
    </xf>
    <xf numFmtId="171" fontId="76" fillId="0" borderId="27" xfId="1" applyNumberFormat="1" applyFont="1" applyBorder="1" applyAlignment="1">
      <alignment horizontal="center"/>
    </xf>
    <xf numFmtId="43" fontId="76" fillId="0" borderId="6" xfId="1" applyFont="1" applyBorder="1" applyAlignment="1">
      <alignment horizontal="center"/>
    </xf>
    <xf numFmtId="43" fontId="76" fillId="0" borderId="27" xfId="1" applyFont="1" applyBorder="1" applyAlignment="1">
      <alignment horizontal="center"/>
    </xf>
    <xf numFmtId="168" fontId="76" fillId="0" borderId="6" xfId="1" applyNumberFormat="1" applyFont="1" applyBorder="1" applyAlignment="1">
      <alignment horizontal="center"/>
    </xf>
    <xf numFmtId="168" fontId="76" fillId="0" borderId="27" xfId="1" applyNumberFormat="1" applyFont="1" applyBorder="1" applyAlignment="1">
      <alignment horizontal="center"/>
    </xf>
    <xf numFmtId="43" fontId="62" fillId="0" borderId="25" xfId="1" applyFont="1" applyBorder="1" applyAlignment="1" applyProtection="1">
      <alignment vertical="center"/>
    </xf>
    <xf numFmtId="43" fontId="62" fillId="0" borderId="31" xfId="1" applyFont="1" applyBorder="1" applyAlignment="1" applyProtection="1">
      <alignment vertical="center"/>
      <protection locked="0"/>
    </xf>
    <xf numFmtId="168" fontId="53" fillId="0" borderId="21" xfId="1" applyNumberFormat="1" applyFont="1" applyBorder="1" applyAlignment="1" applyProtection="1">
      <alignment horizontal="center"/>
      <protection locked="0"/>
    </xf>
    <xf numFmtId="43" fontId="53" fillId="0" borderId="20" xfId="1" applyFont="1" applyBorder="1" applyAlignment="1" applyProtection="1">
      <alignment horizontal="center"/>
      <protection locked="0"/>
    </xf>
    <xf numFmtId="43" fontId="53" fillId="0" borderId="102" xfId="1" applyFont="1" applyBorder="1" applyAlignment="1" applyProtection="1">
      <alignment horizontal="center"/>
      <protection locked="0"/>
    </xf>
    <xf numFmtId="168" fontId="65" fillId="0" borderId="26" xfId="1" applyNumberFormat="1" applyFont="1" applyFill="1" applyBorder="1" applyAlignment="1" applyProtection="1">
      <alignment vertical="center" wrapText="1"/>
      <protection locked="0"/>
    </xf>
    <xf numFmtId="0" fontId="51" fillId="0" borderId="11" xfId="5" applyFont="1" applyBorder="1"/>
    <xf numFmtId="0" fontId="62" fillId="0" borderId="37" xfId="0" applyFont="1" applyBorder="1" applyAlignment="1" applyProtection="1">
      <alignment horizontal="center" vertical="center" wrapText="1"/>
      <protection locked="0"/>
    </xf>
    <xf numFmtId="166" fontId="80" fillId="0" borderId="0" xfId="0" applyNumberFormat="1" applyFont="1" applyAlignment="1" applyProtection="1">
      <alignment horizontal="center"/>
      <protection locked="0"/>
    </xf>
    <xf numFmtId="0" fontId="73" fillId="0" borderId="29" xfId="0" applyFont="1" applyBorder="1" applyAlignment="1">
      <alignment horizontal="left"/>
    </xf>
    <xf numFmtId="168" fontId="73" fillId="24" borderId="10" xfId="1" applyNumberFormat="1" applyFont="1" applyFill="1" applyBorder="1" applyAlignment="1" applyProtection="1">
      <alignment horizontal="left"/>
    </xf>
    <xf numFmtId="0" fontId="62" fillId="0" borderId="0" xfId="0" applyFont="1" applyAlignment="1" applyProtection="1">
      <alignment horizontal="left"/>
      <protection locked="0"/>
    </xf>
    <xf numFmtId="166" fontId="76" fillId="16" borderId="83" xfId="0" applyNumberFormat="1" applyFont="1" applyFill="1" applyBorder="1"/>
    <xf numFmtId="9" fontId="62" fillId="0" borderId="81" xfId="3" applyFont="1" applyFill="1" applyBorder="1" applyAlignment="1" applyProtection="1">
      <alignment horizontal="center"/>
    </xf>
    <xf numFmtId="166" fontId="76" fillId="16" borderId="23" xfId="0" applyNumberFormat="1" applyFont="1" applyFill="1" applyBorder="1"/>
    <xf numFmtId="9" fontId="62" fillId="0" borderId="24" xfId="3" applyFont="1" applyFill="1" applyBorder="1" applyAlignment="1" applyProtection="1">
      <alignment horizontal="center"/>
    </xf>
    <xf numFmtId="168" fontId="62" fillId="0" borderId="0" xfId="1" applyNumberFormat="1" applyFont="1" applyProtection="1">
      <protection locked="0"/>
    </xf>
    <xf numFmtId="168" fontId="65" fillId="0" borderId="26" xfId="1" applyNumberFormat="1" applyFont="1" applyBorder="1" applyAlignment="1" applyProtection="1">
      <alignment vertical="center"/>
      <protection locked="0"/>
    </xf>
    <xf numFmtId="168" fontId="65" fillId="0" borderId="31" xfId="1" applyNumberFormat="1" applyFont="1" applyBorder="1" applyAlignment="1" applyProtection="1">
      <alignment vertical="center"/>
      <protection locked="0"/>
    </xf>
    <xf numFmtId="168" fontId="65" fillId="0" borderId="36" xfId="1" applyNumberFormat="1" applyFont="1" applyBorder="1" applyAlignment="1" applyProtection="1">
      <alignment vertical="center"/>
      <protection locked="0"/>
    </xf>
    <xf numFmtId="170" fontId="64" fillId="7" borderId="97" xfId="0" applyNumberFormat="1" applyFont="1" applyFill="1" applyBorder="1" applyAlignment="1">
      <alignment horizontal="left"/>
    </xf>
    <xf numFmtId="0" fontId="64" fillId="7" borderId="98" xfId="0" applyFont="1" applyFill="1" applyBorder="1"/>
    <xf numFmtId="2" fontId="64" fillId="7" borderId="98" xfId="0" applyNumberFormat="1" applyFont="1" applyFill="1" applyBorder="1"/>
    <xf numFmtId="170" fontId="64" fillId="7" borderId="100" xfId="0" applyNumberFormat="1" applyFont="1" applyFill="1" applyBorder="1" applyAlignment="1">
      <alignment horizontal="left"/>
    </xf>
    <xf numFmtId="170" fontId="62" fillId="0" borderId="0" xfId="0" applyNumberFormat="1" applyFont="1" applyAlignment="1">
      <alignment horizontal="left"/>
    </xf>
    <xf numFmtId="2" fontId="62" fillId="0" borderId="0" xfId="0" applyNumberFormat="1" applyFont="1"/>
    <xf numFmtId="43" fontId="53" fillId="26" borderId="102" xfId="1" applyFont="1" applyFill="1" applyBorder="1" applyAlignment="1" applyProtection="1">
      <alignment horizontal="center"/>
      <protection locked="0"/>
    </xf>
    <xf numFmtId="43" fontId="53" fillId="26" borderId="41" xfId="1" applyFont="1" applyFill="1" applyBorder="1" applyAlignment="1" applyProtection="1">
      <alignment horizontal="center"/>
      <protection locked="0"/>
    </xf>
    <xf numFmtId="2" fontId="63" fillId="0" borderId="0" xfId="0" applyNumberFormat="1" applyFont="1" applyAlignment="1">
      <alignment horizontal="center"/>
    </xf>
    <xf numFmtId="0" fontId="64" fillId="7" borderId="96" xfId="0" applyFont="1" applyFill="1" applyBorder="1" applyAlignment="1">
      <alignment horizontal="left"/>
    </xf>
    <xf numFmtId="168" fontId="65" fillId="0" borderId="31" xfId="1" applyNumberFormat="1" applyFont="1" applyFill="1" applyBorder="1" applyAlignment="1" applyProtection="1">
      <alignment vertical="center" wrapText="1"/>
      <protection locked="0"/>
    </xf>
    <xf numFmtId="171" fontId="76" fillId="0" borderId="42" xfId="1" applyNumberFormat="1" applyFont="1" applyBorder="1" applyAlignment="1">
      <alignment horizontal="center"/>
    </xf>
    <xf numFmtId="168" fontId="62" fillId="23" borderId="20" xfId="1" applyNumberFormat="1" applyFont="1" applyFill="1" applyBorder="1" applyAlignment="1" applyProtection="1">
      <alignment horizontal="center"/>
      <protection locked="0"/>
    </xf>
    <xf numFmtId="43" fontId="67" fillId="22" borderId="3" xfId="1" applyFont="1" applyFill="1" applyBorder="1" applyAlignment="1" applyProtection="1">
      <alignment horizontal="left" vertical="center"/>
    </xf>
    <xf numFmtId="43" fontId="67" fillId="22" borderId="13" xfId="1" applyFont="1" applyFill="1" applyBorder="1" applyAlignment="1" applyProtection="1">
      <alignment horizontal="left" vertical="center"/>
    </xf>
    <xf numFmtId="0" fontId="44" fillId="10" borderId="54" xfId="0" applyFont="1" applyFill="1" applyBorder="1" applyAlignment="1">
      <alignment horizontal="center"/>
    </xf>
    <xf numFmtId="17" fontId="50" fillId="4" borderId="0" xfId="5" applyNumberFormat="1" applyFont="1" applyFill="1"/>
    <xf numFmtId="0" fontId="53" fillId="4" borderId="0" xfId="0" applyFont="1" applyFill="1"/>
    <xf numFmtId="0" fontId="58" fillId="4" borderId="41" xfId="5" applyFont="1" applyFill="1" applyBorder="1"/>
    <xf numFmtId="168" fontId="0" fillId="4" borderId="0" xfId="1" applyNumberFormat="1" applyFont="1" applyFill="1" applyAlignment="1">
      <alignment horizontal="left"/>
    </xf>
    <xf numFmtId="168" fontId="71" fillId="3" borderId="86" xfId="1" applyNumberFormat="1" applyFont="1" applyFill="1" applyBorder="1"/>
    <xf numFmtId="43" fontId="44" fillId="17" borderId="86" xfId="1" applyFont="1" applyFill="1" applyBorder="1" applyAlignment="1">
      <alignment horizontal="left"/>
    </xf>
    <xf numFmtId="43" fontId="55" fillId="17" borderId="86" xfId="1" applyFont="1" applyFill="1" applyBorder="1" applyAlignment="1">
      <alignment horizontal="left"/>
    </xf>
    <xf numFmtId="43" fontId="0" fillId="17" borderId="86" xfId="1" applyFont="1" applyFill="1" applyBorder="1"/>
    <xf numFmtId="43" fontId="0" fillId="4" borderId="0" xfId="1" applyFont="1" applyFill="1" applyBorder="1"/>
    <xf numFmtId="168" fontId="55" fillId="12" borderId="86" xfId="1" applyNumberFormat="1" applyFont="1" applyFill="1" applyBorder="1" applyAlignment="1">
      <alignment horizontal="left"/>
    </xf>
    <xf numFmtId="43" fontId="55" fillId="12" borderId="86" xfId="1" applyFont="1" applyFill="1" applyBorder="1" applyAlignment="1">
      <alignment horizontal="left"/>
    </xf>
    <xf numFmtId="168" fontId="0" fillId="0" borderId="86" xfId="1" applyNumberFormat="1" applyFont="1" applyBorder="1"/>
    <xf numFmtId="43" fontId="0" fillId="0" borderId="86" xfId="1" applyFont="1" applyBorder="1"/>
    <xf numFmtId="168" fontId="0" fillId="4" borderId="0" xfId="1" applyNumberFormat="1" applyFont="1" applyFill="1" applyBorder="1"/>
    <xf numFmtId="43" fontId="55" fillId="0" borderId="86" xfId="1" applyFont="1" applyFill="1" applyBorder="1" applyAlignment="1">
      <alignment horizontal="left"/>
    </xf>
    <xf numFmtId="168" fontId="0" fillId="0" borderId="0" xfId="1" applyNumberFormat="1" applyFont="1" applyFill="1" applyBorder="1"/>
    <xf numFmtId="168" fontId="55" fillId="12" borderId="89" xfId="1" applyNumberFormat="1" applyFont="1" applyFill="1" applyBorder="1" applyAlignment="1">
      <alignment horizontal="left"/>
    </xf>
    <xf numFmtId="43" fontId="55" fillId="12" borderId="89" xfId="1" applyFont="1" applyFill="1" applyBorder="1" applyAlignment="1">
      <alignment horizontal="left"/>
    </xf>
    <xf numFmtId="168" fontId="44" fillId="17" borderId="86" xfId="1" applyNumberFormat="1" applyFont="1" applyFill="1" applyBorder="1" applyAlignment="1">
      <alignment horizontal="left"/>
    </xf>
    <xf numFmtId="168" fontId="55" fillId="17" borderId="86" xfId="1" applyNumberFormat="1" applyFont="1" applyFill="1" applyBorder="1" applyAlignment="1">
      <alignment horizontal="left"/>
    </xf>
    <xf numFmtId="168" fontId="0" fillId="17" borderId="86" xfId="1" applyNumberFormat="1" applyFont="1" applyFill="1" applyBorder="1"/>
    <xf numFmtId="168" fontId="44" fillId="0" borderId="86" xfId="1" applyNumberFormat="1" applyFont="1" applyFill="1" applyBorder="1"/>
    <xf numFmtId="168" fontId="44" fillId="4" borderId="0" xfId="1" applyNumberFormat="1" applyFont="1" applyFill="1" applyBorder="1"/>
    <xf numFmtId="43" fontId="44" fillId="0" borderId="86" xfId="1" applyFont="1" applyFill="1" applyBorder="1"/>
    <xf numFmtId="168" fontId="44" fillId="0" borderId="86" xfId="1" applyNumberFormat="1" applyFont="1" applyBorder="1"/>
    <xf numFmtId="43" fontId="44" fillId="0" borderId="86" xfId="1" applyFont="1" applyBorder="1"/>
    <xf numFmtId="43" fontId="44" fillId="4" borderId="0" xfId="1" applyFont="1" applyFill="1" applyBorder="1"/>
    <xf numFmtId="43" fontId="55" fillId="12" borderId="87" xfId="1" applyFont="1" applyFill="1" applyBorder="1" applyAlignment="1">
      <alignment horizontal="left"/>
    </xf>
    <xf numFmtId="43" fontId="44" fillId="17" borderId="86" xfId="1" applyFont="1" applyFill="1" applyBorder="1" applyAlignment="1">
      <alignment horizontal="left" vertical="center"/>
    </xf>
    <xf numFmtId="43" fontId="55" fillId="17" borderId="86" xfId="1" applyFont="1" applyFill="1" applyBorder="1"/>
    <xf numFmtId="168" fontId="44" fillId="2" borderId="86" xfId="1" applyNumberFormat="1" applyFont="1" applyFill="1" applyBorder="1"/>
    <xf numFmtId="43" fontId="44" fillId="19" borderId="86" xfId="1" applyFont="1" applyFill="1" applyBorder="1"/>
    <xf numFmtId="168" fontId="44" fillId="12" borderId="86" xfId="1" applyNumberFormat="1" applyFont="1" applyFill="1" applyBorder="1"/>
    <xf numFmtId="168" fontId="44" fillId="0" borderId="0" xfId="1" applyNumberFormat="1" applyFont="1" applyFill="1" applyBorder="1"/>
    <xf numFmtId="43" fontId="55" fillId="4" borderId="90" xfId="1" applyFont="1" applyFill="1" applyBorder="1"/>
    <xf numFmtId="43" fontId="44" fillId="4" borderId="90" xfId="1" applyFont="1" applyFill="1" applyBorder="1"/>
    <xf numFmtId="168" fontId="55" fillId="18" borderId="86" xfId="1" applyNumberFormat="1" applyFont="1" applyFill="1" applyBorder="1"/>
    <xf numFmtId="43" fontId="44" fillId="18" borderId="0" xfId="1" applyFont="1" applyFill="1" applyBorder="1"/>
    <xf numFmtId="43" fontId="55" fillId="18" borderId="86" xfId="1" applyFont="1" applyFill="1" applyBorder="1"/>
    <xf numFmtId="168" fontId="44" fillId="18" borderId="0" xfId="1" applyNumberFormat="1" applyFont="1" applyFill="1" applyBorder="1"/>
    <xf numFmtId="43" fontId="44" fillId="17" borderId="86" xfId="1" applyFont="1" applyFill="1" applyBorder="1"/>
    <xf numFmtId="168" fontId="55" fillId="2" borderId="86" xfId="1" applyNumberFormat="1" applyFont="1" applyFill="1" applyBorder="1"/>
    <xf numFmtId="43" fontId="55" fillId="4" borderId="86" xfId="1" applyFont="1" applyFill="1" applyBorder="1"/>
    <xf numFmtId="168" fontId="55" fillId="12" borderId="86" xfId="1" applyNumberFormat="1" applyFont="1" applyFill="1" applyBorder="1"/>
    <xf numFmtId="168" fontId="55" fillId="4" borderId="86" xfId="1" applyNumberFormat="1" applyFont="1" applyFill="1" applyBorder="1"/>
    <xf numFmtId="168" fontId="71" fillId="2" borderId="86" xfId="1" applyNumberFormat="1" applyFont="1" applyFill="1" applyBorder="1"/>
    <xf numFmtId="43" fontId="71" fillId="12" borderId="86" xfId="1" applyFont="1" applyFill="1" applyBorder="1"/>
    <xf numFmtId="168" fontId="71" fillId="12" borderId="86" xfId="1" applyNumberFormat="1" applyFont="1" applyFill="1" applyBorder="1"/>
    <xf numFmtId="175" fontId="71" fillId="12" borderId="86" xfId="1" applyNumberFormat="1" applyFont="1" applyFill="1" applyBorder="1"/>
    <xf numFmtId="43" fontId="55" fillId="12" borderId="86" xfId="1" applyFont="1" applyFill="1" applyBorder="1"/>
    <xf numFmtId="171" fontId="55" fillId="2" borderId="86" xfId="1" applyNumberFormat="1" applyFont="1" applyFill="1" applyBorder="1"/>
    <xf numFmtId="0" fontId="0" fillId="30" borderId="0" xfId="0" applyFill="1"/>
    <xf numFmtId="43" fontId="44" fillId="0" borderId="44" xfId="1" applyFont="1" applyBorder="1" applyAlignment="1">
      <alignment horizontal="center"/>
    </xf>
    <xf numFmtId="43" fontId="55" fillId="4" borderId="52" xfId="1" applyFont="1" applyFill="1" applyBorder="1" applyAlignment="1">
      <alignment horizontal="center"/>
    </xf>
    <xf numFmtId="0" fontId="44" fillId="4" borderId="70" xfId="0" applyFont="1" applyFill="1" applyBorder="1" applyAlignment="1">
      <alignment horizontal="center" vertical="center"/>
    </xf>
    <xf numFmtId="0" fontId="44" fillId="4" borderId="95" xfId="0" applyFont="1" applyFill="1" applyBorder="1" applyAlignment="1">
      <alignment horizontal="center"/>
    </xf>
    <xf numFmtId="2" fontId="44" fillId="4" borderId="63" xfId="0" applyNumberFormat="1" applyFont="1" applyFill="1" applyBorder="1" applyAlignment="1">
      <alignment horizontal="center"/>
    </xf>
    <xf numFmtId="2" fontId="44" fillId="4" borderId="63" xfId="0" applyNumberFormat="1" applyFont="1" applyFill="1" applyBorder="1" applyAlignment="1">
      <alignment horizontal="center" vertical="center"/>
    </xf>
    <xf numFmtId="15" fontId="0" fillId="4" borderId="0" xfId="0" applyNumberFormat="1" applyFill="1" applyAlignment="1">
      <alignment horizontal="center"/>
    </xf>
    <xf numFmtId="2" fontId="0" fillId="0" borderId="44" xfId="1" applyNumberFormat="1" applyFont="1" applyBorder="1" applyAlignment="1">
      <alignment horizontal="center"/>
    </xf>
    <xf numFmtId="43" fontId="0" fillId="0" borderId="44" xfId="1" applyFont="1" applyBorder="1" applyAlignment="1">
      <alignment horizontal="center" vertical="center"/>
    </xf>
    <xf numFmtId="2" fontId="0" fillId="0" borderId="44" xfId="1" applyNumberFormat="1" applyFont="1" applyBorder="1" applyAlignment="1">
      <alignment horizontal="center" vertical="center"/>
    </xf>
    <xf numFmtId="2" fontId="0" fillId="4" borderId="44" xfId="1" applyNumberFormat="1" applyFont="1" applyFill="1" applyBorder="1" applyAlignment="1">
      <alignment horizontal="center" vertical="center"/>
    </xf>
    <xf numFmtId="1" fontId="0" fillId="4" borderId="0" xfId="0" applyNumberFormat="1" applyFill="1" applyAlignment="1">
      <alignment horizontal="center"/>
    </xf>
    <xf numFmtId="1" fontId="0" fillId="3" borderId="0" xfId="0" applyNumberFormat="1" applyFill="1" applyAlignment="1">
      <alignment horizontal="center"/>
    </xf>
    <xf numFmtId="2" fontId="0" fillId="3" borderId="0" xfId="0" applyNumberFormat="1" applyFill="1" applyAlignment="1">
      <alignment horizontal="center"/>
    </xf>
    <xf numFmtId="168" fontId="55" fillId="10" borderId="47" xfId="1" applyNumberFormat="1" applyFont="1" applyFill="1" applyBorder="1" applyAlignment="1">
      <alignment horizontal="center"/>
    </xf>
    <xf numFmtId="43" fontId="55" fillId="10" borderId="50" xfId="1" applyFont="1" applyFill="1" applyBorder="1" applyAlignment="1">
      <alignment horizontal="center"/>
    </xf>
    <xf numFmtId="2" fontId="0" fillId="0" borderId="0" xfId="0" applyNumberFormat="1" applyAlignment="1">
      <alignment horizontal="center"/>
    </xf>
    <xf numFmtId="2" fontId="0" fillId="0" borderId="44" xfId="0" applyNumberFormat="1" applyBorder="1" applyAlignment="1">
      <alignment horizontal="center" vertical="center"/>
    </xf>
    <xf numFmtId="2" fontId="0" fillId="0" borderId="54" xfId="0" applyNumberFormat="1" applyBorder="1" applyAlignment="1">
      <alignment horizontal="center" vertical="center"/>
    </xf>
    <xf numFmtId="2" fontId="0" fillId="0" borderId="59" xfId="0" applyNumberFormat="1" applyBorder="1"/>
    <xf numFmtId="2" fontId="0" fillId="0" borderId="0" xfId="0" applyNumberFormat="1"/>
    <xf numFmtId="43" fontId="0" fillId="4" borderId="44" xfId="1" applyFont="1" applyFill="1" applyBorder="1" applyAlignment="1">
      <alignment horizontal="center" vertical="center"/>
    </xf>
    <xf numFmtId="43" fontId="0" fillId="0" borderId="54" xfId="1" applyFont="1" applyBorder="1" applyAlignment="1">
      <alignment horizontal="center" vertical="center"/>
    </xf>
    <xf numFmtId="43" fontId="0" fillId="4" borderId="54" xfId="1" applyFont="1" applyFill="1" applyBorder="1" applyAlignment="1">
      <alignment horizontal="center" vertical="center"/>
    </xf>
    <xf numFmtId="2" fontId="0" fillId="0" borderId="54" xfId="1" applyNumberFormat="1" applyFont="1" applyBorder="1" applyAlignment="1">
      <alignment horizontal="center" vertical="center"/>
    </xf>
    <xf numFmtId="43" fontId="0" fillId="0" borderId="72" xfId="1" applyFont="1" applyBorder="1" applyAlignment="1">
      <alignment horizontal="center" vertical="center"/>
    </xf>
    <xf numFmtId="43" fontId="0" fillId="4" borderId="72" xfId="1" applyFont="1" applyFill="1" applyBorder="1" applyAlignment="1">
      <alignment horizontal="center" vertical="center"/>
    </xf>
    <xf numFmtId="2" fontId="0" fillId="0" borderId="72" xfId="1" applyNumberFormat="1" applyFont="1" applyBorder="1" applyAlignment="1">
      <alignment horizontal="center" vertical="center"/>
    </xf>
    <xf numFmtId="2" fontId="0" fillId="0" borderId="72" xfId="0" applyNumberFormat="1" applyBorder="1"/>
    <xf numFmtId="43" fontId="0" fillId="0" borderId="46" xfId="1" applyFont="1" applyBorder="1" applyAlignment="1">
      <alignment horizontal="center" vertical="center"/>
    </xf>
    <xf numFmtId="43" fontId="0" fillId="4" borderId="46" xfId="1" applyFont="1" applyFill="1" applyBorder="1" applyAlignment="1">
      <alignment horizontal="center" vertical="center"/>
    </xf>
    <xf numFmtId="2" fontId="0" fillId="0" borderId="46" xfId="1" applyNumberFormat="1" applyFont="1" applyBorder="1" applyAlignment="1">
      <alignment horizontal="center" vertical="center"/>
    </xf>
    <xf numFmtId="168" fontId="55" fillId="10" borderId="47" xfId="1" applyNumberFormat="1" applyFont="1" applyFill="1" applyBorder="1" applyAlignment="1">
      <alignment horizontal="center" vertical="center"/>
    </xf>
    <xf numFmtId="168" fontId="55" fillId="4" borderId="47" xfId="1" applyNumberFormat="1" applyFont="1" applyFill="1" applyBorder="1" applyAlignment="1">
      <alignment horizontal="center"/>
    </xf>
    <xf numFmtId="2" fontId="55" fillId="10" borderId="47" xfId="1" applyNumberFormat="1" applyFont="1" applyFill="1" applyBorder="1" applyAlignment="1">
      <alignment horizontal="center"/>
    </xf>
    <xf numFmtId="0" fontId="44" fillId="0" borderId="0" xfId="0" applyFont="1" applyAlignment="1">
      <alignment horizontal="center"/>
    </xf>
    <xf numFmtId="0" fontId="44" fillId="0" borderId="103" xfId="0" applyFont="1" applyBorder="1"/>
    <xf numFmtId="0" fontId="0" fillId="0" borderId="103" xfId="0" applyBorder="1"/>
    <xf numFmtId="168" fontId="95" fillId="0" borderId="104" xfId="1" applyNumberFormat="1" applyFont="1" applyFill="1" applyBorder="1" applyAlignment="1">
      <alignment horizontal="center"/>
    </xf>
    <xf numFmtId="1" fontId="95" fillId="0" borderId="105" xfId="0" applyNumberFormat="1" applyFont="1" applyBorder="1" applyAlignment="1">
      <alignment horizontal="center"/>
    </xf>
    <xf numFmtId="43" fontId="55" fillId="10" borderId="109" xfId="1" applyFont="1" applyFill="1" applyBorder="1" applyAlignment="1">
      <alignment horizontal="center"/>
    </xf>
    <xf numFmtId="2" fontId="44" fillId="10" borderId="105" xfId="0" applyNumberFormat="1" applyFont="1" applyFill="1" applyBorder="1" applyAlignment="1">
      <alignment horizontal="center"/>
    </xf>
    <xf numFmtId="2" fontId="44" fillId="10" borderId="106" xfId="0" applyNumberFormat="1" applyFont="1" applyFill="1" applyBorder="1" applyAlignment="1">
      <alignment horizontal="center"/>
    </xf>
    <xf numFmtId="0" fontId="44" fillId="4" borderId="0" xfId="0" applyFont="1" applyFill="1" applyAlignment="1">
      <alignment horizontal="center" vertical="center"/>
    </xf>
    <xf numFmtId="0" fontId="44" fillId="4" borderId="0" xfId="0" applyFont="1" applyFill="1" applyAlignment="1">
      <alignment horizontal="center"/>
    </xf>
    <xf numFmtId="43" fontId="55" fillId="4" borderId="0" xfId="1" applyFont="1" applyFill="1" applyBorder="1" applyAlignment="1">
      <alignment horizontal="center"/>
    </xf>
    <xf numFmtId="2" fontId="44" fillId="4" borderId="0" xfId="0" applyNumberFormat="1" applyFont="1" applyFill="1" applyAlignment="1">
      <alignment horizontal="center"/>
    </xf>
    <xf numFmtId="43" fontId="67" fillId="21" borderId="13" xfId="1" applyFont="1" applyFill="1" applyBorder="1" applyAlignment="1" applyProtection="1">
      <alignment horizontal="left" vertical="center"/>
    </xf>
    <xf numFmtId="171" fontId="65" fillId="0" borderId="32" xfId="1" applyNumberFormat="1" applyFont="1" applyBorder="1" applyAlignment="1" applyProtection="1">
      <alignment vertical="center"/>
    </xf>
    <xf numFmtId="168" fontId="65" fillId="0" borderId="0" xfId="1" applyNumberFormat="1" applyFont="1" applyBorder="1" applyAlignment="1" applyProtection="1">
      <alignment vertical="center"/>
    </xf>
    <xf numFmtId="177" fontId="62" fillId="0" borderId="30" xfId="1" applyNumberFormat="1" applyFont="1" applyBorder="1" applyAlignment="1" applyProtection="1">
      <alignment horizontal="center"/>
    </xf>
    <xf numFmtId="165" fontId="62" fillId="0" borderId="17" xfId="1" applyNumberFormat="1" applyFont="1" applyBorder="1" applyAlignment="1" applyProtection="1">
      <alignment horizontal="center"/>
    </xf>
    <xf numFmtId="176" fontId="62" fillId="0" borderId="57" xfId="1" applyNumberFormat="1" applyFont="1" applyBorder="1" applyAlignment="1" applyProtection="1">
      <alignment horizontal="center"/>
    </xf>
    <xf numFmtId="170" fontId="82" fillId="7" borderId="107" xfId="0" applyNumberFormat="1" applyFont="1" applyFill="1" applyBorder="1" applyAlignment="1">
      <alignment horizontal="center" vertical="center" wrapText="1"/>
    </xf>
    <xf numFmtId="170" fontId="82" fillId="7" borderId="101" xfId="0" applyNumberFormat="1" applyFont="1" applyFill="1" applyBorder="1" applyAlignment="1">
      <alignment horizontal="center" vertical="center" wrapText="1"/>
    </xf>
    <xf numFmtId="168" fontId="64" fillId="0" borderId="5" xfId="1" applyNumberFormat="1" applyFont="1" applyBorder="1" applyAlignment="1" applyProtection="1">
      <alignment horizontal="center" vertical="center"/>
    </xf>
    <xf numFmtId="171" fontId="76" fillId="24" borderId="5" xfId="1" applyNumberFormat="1" applyFont="1" applyFill="1" applyBorder="1" applyAlignment="1" applyProtection="1">
      <alignment horizontal="left"/>
    </xf>
    <xf numFmtId="171" fontId="62" fillId="0" borderId="42" xfId="1" applyNumberFormat="1" applyFont="1" applyFill="1" applyBorder="1" applyAlignment="1" applyProtection="1">
      <alignment horizontal="center"/>
    </xf>
    <xf numFmtId="171" fontId="76" fillId="24" borderId="10" xfId="1" applyNumberFormat="1" applyFont="1" applyFill="1" applyBorder="1" applyAlignment="1" applyProtection="1">
      <alignment horizontal="left"/>
    </xf>
    <xf numFmtId="171" fontId="62" fillId="0" borderId="19" xfId="1" applyNumberFormat="1" applyFont="1" applyFill="1" applyBorder="1" applyAlignment="1" applyProtection="1">
      <alignment horizontal="center"/>
    </xf>
    <xf numFmtId="0" fontId="64" fillId="0" borderId="24" xfId="0" applyFont="1" applyBorder="1" applyProtection="1">
      <protection locked="0"/>
    </xf>
    <xf numFmtId="1" fontId="62" fillId="0" borderId="24" xfId="0" applyNumberFormat="1" applyFont="1" applyBorder="1" applyProtection="1">
      <protection locked="0"/>
    </xf>
    <xf numFmtId="43" fontId="80" fillId="0" borderId="0" xfId="1" applyFont="1" applyBorder="1" applyAlignment="1">
      <alignment horizontal="center"/>
    </xf>
    <xf numFmtId="0" fontId="96" fillId="0" borderId="0" xfId="0" applyFont="1" applyProtection="1">
      <protection locked="0"/>
    </xf>
    <xf numFmtId="9" fontId="62" fillId="0" borderId="80" xfId="3" applyFont="1" applyFill="1" applyBorder="1" applyAlignment="1" applyProtection="1">
      <alignment horizontal="center"/>
    </xf>
    <xf numFmtId="0" fontId="64" fillId="31" borderId="3" xfId="1" applyNumberFormat="1" applyFont="1" applyFill="1" applyBorder="1" applyAlignment="1" applyProtection="1">
      <alignment vertical="center"/>
      <protection locked="0"/>
    </xf>
    <xf numFmtId="0" fontId="64" fillId="31" borderId="4" xfId="1" applyNumberFormat="1" applyFont="1" applyFill="1" applyBorder="1" applyAlignment="1" applyProtection="1">
      <alignment vertical="center"/>
      <protection locked="0"/>
    </xf>
    <xf numFmtId="0" fontId="64" fillId="31" borderId="13" xfId="1" applyNumberFormat="1" applyFont="1" applyFill="1" applyBorder="1" applyAlignment="1" applyProtection="1">
      <alignment vertical="center"/>
      <protection locked="0"/>
    </xf>
    <xf numFmtId="168" fontId="64" fillId="19" borderId="42" xfId="1" applyNumberFormat="1" applyFont="1" applyFill="1" applyBorder="1" applyAlignment="1" applyProtection="1">
      <alignment horizontal="left" vertical="center"/>
    </xf>
    <xf numFmtId="168" fontId="64" fillId="0" borderId="42" xfId="1" applyNumberFormat="1" applyFont="1" applyFill="1" applyBorder="1" applyAlignment="1" applyProtection="1">
      <alignment horizontal="left" vertical="center"/>
    </xf>
    <xf numFmtId="43" fontId="64" fillId="0" borderId="42" xfId="1" applyFont="1" applyFill="1" applyBorder="1" applyAlignment="1" applyProtection="1">
      <alignment horizontal="left" vertical="center"/>
    </xf>
    <xf numFmtId="43" fontId="64" fillId="0" borderId="5" xfId="1" applyFont="1" applyBorder="1" applyAlignment="1" applyProtection="1">
      <alignment horizontal="center" vertical="center"/>
    </xf>
    <xf numFmtId="43" fontId="64" fillId="19" borderId="42" xfId="1" applyFont="1" applyFill="1" applyBorder="1" applyAlignment="1" applyProtection="1">
      <alignment horizontal="left" vertical="center"/>
    </xf>
    <xf numFmtId="9" fontId="62" fillId="0" borderId="14" xfId="3" applyFont="1" applyFill="1" applyBorder="1" applyAlignment="1" applyProtection="1">
      <alignment horizontal="center"/>
    </xf>
    <xf numFmtId="177" fontId="62" fillId="0" borderId="27" xfId="1" applyNumberFormat="1" applyFont="1" applyBorder="1" applyAlignment="1" applyProtection="1">
      <alignment horizontal="center"/>
    </xf>
    <xf numFmtId="165" fontId="62" fillId="0" borderId="27" xfId="1" applyNumberFormat="1" applyFont="1" applyBorder="1" applyAlignment="1" applyProtection="1">
      <alignment horizontal="center"/>
    </xf>
    <xf numFmtId="9" fontId="62" fillId="19" borderId="6" xfId="3" applyFont="1" applyFill="1" applyBorder="1" applyAlignment="1" applyProtection="1">
      <alignment horizontal="left" vertical="center"/>
    </xf>
    <xf numFmtId="168" fontId="65" fillId="0" borderId="5" xfId="1" applyNumberFormat="1" applyFont="1" applyBorder="1" applyAlignment="1" applyProtection="1">
      <alignment vertical="center"/>
    </xf>
    <xf numFmtId="43" fontId="65" fillId="0" borderId="42" xfId="1" applyFont="1" applyBorder="1" applyAlignment="1" applyProtection="1">
      <alignment vertical="center"/>
    </xf>
    <xf numFmtId="171" fontId="65" fillId="0" borderId="6" xfId="1" applyNumberFormat="1" applyFont="1" applyBorder="1" applyAlignment="1" applyProtection="1">
      <alignment vertical="center"/>
    </xf>
    <xf numFmtId="9" fontId="65" fillId="15" borderId="20" xfId="0" applyNumberFormat="1" applyFont="1" applyFill="1" applyBorder="1" applyAlignment="1">
      <alignment vertical="center"/>
    </xf>
    <xf numFmtId="176" fontId="62" fillId="0" borderId="2" xfId="1" applyNumberFormat="1" applyFont="1" applyBorder="1" applyAlignment="1" applyProtection="1">
      <alignment horizontal="center"/>
    </xf>
    <xf numFmtId="168" fontId="62" fillId="23" borderId="5" xfId="1" applyNumberFormat="1" applyFont="1" applyFill="1" applyBorder="1" applyAlignment="1" applyProtection="1">
      <alignment horizontal="center"/>
      <protection locked="0"/>
    </xf>
    <xf numFmtId="168" fontId="62" fillId="23" borderId="42" xfId="1" applyNumberFormat="1" applyFont="1" applyFill="1" applyBorder="1" applyAlignment="1" applyProtection="1">
      <alignment horizontal="center"/>
      <protection locked="0"/>
    </xf>
    <xf numFmtId="168" fontId="62" fillId="23" borderId="6" xfId="1" applyNumberFormat="1" applyFont="1" applyFill="1" applyBorder="1" applyAlignment="1" applyProtection="1">
      <alignment horizontal="center"/>
      <protection locked="0"/>
    </xf>
    <xf numFmtId="1" fontId="64" fillId="0" borderId="43" xfId="0" applyNumberFormat="1" applyFont="1" applyBorder="1" applyAlignment="1" applyProtection="1">
      <alignment horizontal="center"/>
      <protection locked="0"/>
    </xf>
    <xf numFmtId="168" fontId="62" fillId="23" borderId="38" xfId="1" applyNumberFormat="1" applyFont="1" applyFill="1" applyBorder="1" applyAlignment="1" applyProtection="1">
      <alignment horizontal="center"/>
      <protection locked="0"/>
    </xf>
    <xf numFmtId="0" fontId="64" fillId="0" borderId="36" xfId="0" applyFont="1" applyBorder="1" applyProtection="1">
      <protection locked="0"/>
    </xf>
    <xf numFmtId="171" fontId="64" fillId="0" borderId="55" xfId="1" applyNumberFormat="1" applyFont="1" applyFill="1" applyBorder="1" applyAlignment="1" applyProtection="1">
      <alignment horizontal="left" vertical="center"/>
    </xf>
    <xf numFmtId="171" fontId="62" fillId="0" borderId="43" xfId="1" applyNumberFormat="1" applyFont="1" applyBorder="1" applyAlignment="1" applyProtection="1">
      <alignment horizontal="center" vertical="center"/>
    </xf>
    <xf numFmtId="171" fontId="64" fillId="0" borderId="38" xfId="1" applyNumberFormat="1" applyFont="1" applyFill="1" applyBorder="1" applyAlignment="1" applyProtection="1">
      <alignment horizontal="left" vertical="center"/>
    </xf>
    <xf numFmtId="171" fontId="62" fillId="0" borderId="42" xfId="1" applyNumberFormat="1" applyFont="1" applyBorder="1" applyAlignment="1" applyProtection="1">
      <alignment horizontal="center"/>
    </xf>
    <xf numFmtId="171" fontId="76" fillId="0" borderId="5" xfId="1" applyNumberFormat="1" applyFont="1" applyBorder="1" applyAlignment="1">
      <alignment horizontal="center"/>
    </xf>
    <xf numFmtId="43" fontId="76" fillId="0" borderId="42" xfId="1" applyFont="1" applyBorder="1" applyAlignment="1">
      <alignment horizontal="center"/>
    </xf>
    <xf numFmtId="168" fontId="76" fillId="0" borderId="42" xfId="1" applyNumberFormat="1" applyFont="1" applyBorder="1" applyAlignment="1">
      <alignment horizontal="center"/>
    </xf>
    <xf numFmtId="0" fontId="76" fillId="0" borderId="42" xfId="1" applyNumberFormat="1" applyFont="1" applyBorder="1" applyAlignment="1">
      <alignment horizontal="center"/>
    </xf>
    <xf numFmtId="171" fontId="62" fillId="0" borderId="5" xfId="1" applyNumberFormat="1" applyFont="1" applyBorder="1" applyAlignment="1" applyProtection="1">
      <alignment horizontal="center" vertical="center"/>
    </xf>
    <xf numFmtId="168" fontId="0" fillId="0" borderId="0" xfId="0" applyNumberFormat="1"/>
    <xf numFmtId="43" fontId="98" fillId="26" borderId="39" xfId="1" applyFont="1" applyFill="1" applyBorder="1" applyAlignment="1" applyProtection="1">
      <alignment horizontal="center"/>
      <protection locked="0"/>
    </xf>
    <xf numFmtId="43" fontId="98" fillId="26" borderId="102" xfId="1" applyFont="1" applyFill="1" applyBorder="1" applyAlignment="1" applyProtection="1">
      <alignment horizontal="center"/>
      <protection locked="0"/>
    </xf>
    <xf numFmtId="43" fontId="98" fillId="0" borderId="41" xfId="1" applyFont="1" applyBorder="1" applyAlignment="1" applyProtection="1">
      <alignment horizontal="center"/>
      <protection locked="0"/>
    </xf>
    <xf numFmtId="0" fontId="64" fillId="28" borderId="0" xfId="0" applyFont="1" applyFill="1" applyAlignment="1" applyProtection="1">
      <alignment horizontal="right"/>
      <protection locked="0"/>
    </xf>
    <xf numFmtId="168" fontId="73" fillId="23" borderId="5" xfId="1" applyNumberFormat="1" applyFont="1" applyFill="1" applyBorder="1" applyProtection="1">
      <protection locked="0"/>
    </xf>
    <xf numFmtId="168" fontId="73" fillId="23" borderId="42" xfId="1" applyNumberFormat="1" applyFont="1" applyFill="1" applyBorder="1" applyProtection="1">
      <protection locked="0"/>
    </xf>
    <xf numFmtId="168" fontId="64" fillId="23" borderId="42" xfId="1" applyNumberFormat="1" applyFont="1" applyFill="1" applyBorder="1" applyProtection="1">
      <protection locked="0"/>
    </xf>
    <xf numFmtId="168" fontId="64" fillId="23" borderId="6" xfId="1" applyNumberFormat="1" applyFont="1" applyFill="1" applyBorder="1" applyProtection="1">
      <protection locked="0"/>
    </xf>
    <xf numFmtId="0" fontId="67" fillId="0" borderId="1" xfId="0" applyFont="1" applyBorder="1" applyAlignment="1">
      <alignment horizontal="center"/>
    </xf>
    <xf numFmtId="0" fontId="67" fillId="0" borderId="17" xfId="0" applyFont="1" applyBorder="1"/>
    <xf numFmtId="0" fontId="64" fillId="0" borderId="37" xfId="0" applyFont="1" applyBorder="1" applyAlignment="1">
      <alignment horizontal="center"/>
    </xf>
    <xf numFmtId="0" fontId="64" fillId="0" borderId="18" xfId="0" applyFont="1" applyBorder="1"/>
    <xf numFmtId="172" fontId="64" fillId="4" borderId="30" xfId="0" applyNumberFormat="1" applyFont="1" applyFill="1" applyBorder="1" applyAlignment="1">
      <alignment horizontal="center"/>
    </xf>
    <xf numFmtId="172" fontId="64" fillId="4" borderId="37" xfId="0" applyNumberFormat="1" applyFont="1" applyFill="1" applyBorder="1" applyAlignment="1">
      <alignment horizontal="center"/>
    </xf>
    <xf numFmtId="172" fontId="64" fillId="4" borderId="32" xfId="0" applyNumberFormat="1" applyFont="1" applyFill="1" applyBorder="1" applyAlignment="1">
      <alignment horizontal="center"/>
    </xf>
    <xf numFmtId="0" fontId="64" fillId="0" borderId="2" xfId="0" applyFont="1" applyBorder="1"/>
    <xf numFmtId="1" fontId="64" fillId="0" borderId="19" xfId="0" applyNumberFormat="1" applyFont="1" applyBorder="1" applyAlignment="1" applyProtection="1">
      <alignment horizontal="center"/>
      <protection locked="0"/>
    </xf>
    <xf numFmtId="0" fontId="96" fillId="0" borderId="31" xfId="0" applyFont="1" applyBorder="1" applyProtection="1">
      <protection locked="0"/>
    </xf>
    <xf numFmtId="168" fontId="62" fillId="23" borderId="37" xfId="1" applyNumberFormat="1" applyFont="1" applyFill="1" applyBorder="1" applyProtection="1">
      <protection locked="0"/>
    </xf>
    <xf numFmtId="0" fontId="73" fillId="0" borderId="0" xfId="0" applyFont="1" applyAlignment="1">
      <alignment horizontal="center"/>
    </xf>
    <xf numFmtId="178" fontId="64" fillId="0" borderId="0" xfId="0" applyNumberFormat="1" applyFont="1" applyAlignment="1">
      <alignment horizontal="center"/>
    </xf>
    <xf numFmtId="43" fontId="73" fillId="0" borderId="0" xfId="1" applyFont="1" applyAlignment="1">
      <alignment horizontal="right"/>
    </xf>
    <xf numFmtId="43" fontId="76" fillId="0" borderId="0" xfId="1" applyFont="1" applyAlignment="1">
      <alignment horizontal="right"/>
    </xf>
    <xf numFmtId="167" fontId="73" fillId="24" borderId="55" xfId="1" applyNumberFormat="1" applyFont="1" applyFill="1" applyBorder="1" applyAlignment="1">
      <alignment horizontal="center"/>
    </xf>
    <xf numFmtId="1" fontId="64" fillId="0" borderId="56" xfId="3" applyNumberFormat="1" applyFont="1" applyBorder="1" applyAlignment="1">
      <alignment horizontal="center"/>
    </xf>
    <xf numFmtId="9" fontId="62" fillId="0" borderId="81" xfId="3" applyFont="1" applyBorder="1" applyAlignment="1">
      <alignment horizontal="center"/>
    </xf>
    <xf numFmtId="0" fontId="65" fillId="0" borderId="0" xfId="8" applyFont="1"/>
    <xf numFmtId="0" fontId="76" fillId="0" borderId="0" xfId="8" applyFont="1" applyAlignment="1">
      <alignment horizontal="left" vertical="top"/>
    </xf>
    <xf numFmtId="0" fontId="65" fillId="0" borderId="0" xfId="8" applyFont="1" applyAlignment="1">
      <alignment horizontal="center" vertical="center"/>
    </xf>
    <xf numFmtId="0" fontId="65" fillId="0" borderId="0" xfId="8" applyFont="1" applyAlignment="1">
      <alignment horizontal="right"/>
    </xf>
    <xf numFmtId="0" fontId="65" fillId="0" borderId="0" xfId="8" applyFont="1" applyAlignment="1">
      <alignment horizontal="center"/>
    </xf>
    <xf numFmtId="0" fontId="73" fillId="35" borderId="29" xfId="8" applyFont="1" applyFill="1" applyBorder="1" applyAlignment="1" applyProtection="1">
      <alignment horizontal="center" vertical="center" wrapText="1"/>
      <protection locked="0"/>
    </xf>
    <xf numFmtId="0" fontId="65" fillId="0" borderId="0" xfId="8" applyFont="1" applyAlignment="1">
      <alignment vertical="top" wrapText="1"/>
    </xf>
    <xf numFmtId="0" fontId="102" fillId="0" borderId="0" xfId="8" applyFont="1" applyAlignment="1" applyProtection="1">
      <alignment vertical="center" wrapText="1"/>
      <protection locked="0"/>
    </xf>
    <xf numFmtId="0" fontId="101" fillId="0" borderId="0" xfId="8" applyFont="1" applyAlignment="1">
      <alignment vertical="center" wrapText="1"/>
    </xf>
    <xf numFmtId="0" fontId="73" fillId="35" borderId="16" xfId="8" applyFont="1" applyFill="1" applyBorder="1" applyAlignment="1" applyProtection="1">
      <alignment horizontal="center" vertical="center" wrapText="1"/>
      <protection locked="0"/>
    </xf>
    <xf numFmtId="0" fontId="73" fillId="35" borderId="35" xfId="8" applyFont="1" applyFill="1" applyBorder="1" applyAlignment="1" applyProtection="1">
      <alignment horizontal="center" vertical="center" wrapText="1"/>
      <protection locked="0"/>
    </xf>
    <xf numFmtId="0" fontId="73" fillId="35" borderId="34" xfId="8" applyFont="1" applyFill="1" applyBorder="1" applyAlignment="1" applyProtection="1">
      <alignment horizontal="center" vertical="center" wrapText="1"/>
      <protection locked="0"/>
    </xf>
    <xf numFmtId="0" fontId="65" fillId="0" borderId="117" xfId="8" applyFont="1" applyBorder="1" applyAlignment="1">
      <alignment horizontal="center" vertical="top" wrapText="1"/>
    </xf>
    <xf numFmtId="0" fontId="65" fillId="0" borderId="111" xfId="8" applyFont="1" applyBorder="1" applyAlignment="1">
      <alignment horizontal="left"/>
    </xf>
    <xf numFmtId="0" fontId="65" fillId="0" borderId="113" xfId="8" applyFont="1" applyBorder="1" applyAlignment="1">
      <alignment horizontal="center"/>
    </xf>
    <xf numFmtId="9" fontId="65" fillId="36" borderId="118" xfId="407" applyFont="1" applyFill="1" applyBorder="1" applyAlignment="1">
      <alignment horizontal="center"/>
    </xf>
    <xf numFmtId="9" fontId="65" fillId="37" borderId="118" xfId="407" applyFont="1" applyFill="1" applyBorder="1" applyAlignment="1">
      <alignment horizontal="center"/>
    </xf>
    <xf numFmtId="0" fontId="65" fillId="0" borderId="119" xfId="8" applyFont="1" applyBorder="1" applyAlignment="1">
      <alignment horizontal="left"/>
    </xf>
    <xf numFmtId="0" fontId="65" fillId="0" borderId="120" xfId="8" applyFont="1" applyBorder="1" applyAlignment="1">
      <alignment horizontal="center"/>
    </xf>
    <xf numFmtId="0" fontId="62" fillId="0" borderId="0" xfId="406" applyFont="1"/>
    <xf numFmtId="9" fontId="65" fillId="38" borderId="121" xfId="407" applyFont="1" applyFill="1" applyBorder="1" applyAlignment="1">
      <alignment horizontal="center"/>
    </xf>
    <xf numFmtId="171" fontId="62" fillId="0" borderId="0" xfId="1" applyNumberFormat="1" applyFont="1"/>
    <xf numFmtId="168" fontId="62" fillId="0" borderId="0" xfId="1" applyNumberFormat="1" applyFont="1"/>
    <xf numFmtId="43" fontId="62" fillId="0" borderId="0" xfId="1" applyFont="1"/>
    <xf numFmtId="0" fontId="64" fillId="0" borderId="5" xfId="0" applyFont="1" applyBorder="1" applyAlignment="1">
      <alignment horizontal="center"/>
    </xf>
    <xf numFmtId="0" fontId="64" fillId="0" borderId="6" xfId="0" applyFont="1" applyBorder="1" applyAlignment="1">
      <alignment horizontal="center"/>
    </xf>
    <xf numFmtId="0" fontId="64" fillId="0" borderId="42" xfId="0" applyFont="1" applyBorder="1"/>
    <xf numFmtId="0" fontId="64" fillId="0" borderId="6" xfId="0" applyFont="1" applyBorder="1"/>
    <xf numFmtId="0" fontId="64" fillId="0" borderId="83" xfId="0" applyFont="1" applyBorder="1" applyAlignment="1">
      <alignment horizontal="center"/>
    </xf>
    <xf numFmtId="0" fontId="64" fillId="0" borderId="84" xfId="0" applyFont="1" applyBorder="1" applyAlignment="1">
      <alignment horizontal="center"/>
    </xf>
    <xf numFmtId="0" fontId="64" fillId="0" borderId="81" xfId="0" applyFont="1" applyBorder="1" applyAlignment="1">
      <alignment horizontal="center"/>
    </xf>
    <xf numFmtId="0" fontId="62" fillId="0" borderId="29" xfId="0" applyFont="1" applyBorder="1" applyAlignment="1">
      <alignment horizontal="center"/>
    </xf>
    <xf numFmtId="0" fontId="64" fillId="0" borderId="35" xfId="0" applyFont="1" applyBorder="1"/>
    <xf numFmtId="0" fontId="64" fillId="0" borderId="34" xfId="0" applyFont="1" applyBorder="1" applyAlignment="1">
      <alignment horizontal="center"/>
    </xf>
    <xf numFmtId="171" fontId="64" fillId="0" borderId="29" xfId="0" applyNumberFormat="1" applyFont="1" applyBorder="1" applyAlignment="1">
      <alignment horizontal="center"/>
    </xf>
    <xf numFmtId="171" fontId="64" fillId="0" borderId="35" xfId="0" applyNumberFormat="1" applyFont="1" applyBorder="1" applyAlignment="1">
      <alignment horizontal="center"/>
    </xf>
    <xf numFmtId="176" fontId="64" fillId="0" borderId="35" xfId="1" applyNumberFormat="1" applyFont="1" applyBorder="1" applyAlignment="1" applyProtection="1">
      <alignment horizontal="center"/>
    </xf>
    <xf numFmtId="9" fontId="64" fillId="0" borderId="34" xfId="3" applyFont="1" applyFill="1" applyBorder="1" applyAlignment="1" applyProtection="1">
      <alignment horizontal="center"/>
    </xf>
    <xf numFmtId="0" fontId="67" fillId="0" borderId="115" xfId="8" applyFont="1" applyBorder="1" applyAlignment="1">
      <alignment horizontal="left"/>
    </xf>
    <xf numFmtId="0" fontId="67" fillId="0" borderId="116" xfId="8" applyFont="1" applyBorder="1" applyAlignment="1">
      <alignment horizontal="center"/>
    </xf>
    <xf numFmtId="0" fontId="82" fillId="7" borderId="122" xfId="0" applyFont="1" applyFill="1" applyBorder="1" applyAlignment="1">
      <alignment horizontal="center" vertical="center" wrapText="1"/>
    </xf>
    <xf numFmtId="2" fontId="82" fillId="7" borderId="123" xfId="0" applyNumberFormat="1" applyFont="1" applyFill="1" applyBorder="1" applyAlignment="1">
      <alignment horizontal="center" vertical="center" wrapText="1"/>
    </xf>
    <xf numFmtId="0" fontId="82" fillId="7" borderId="0" xfId="0" applyFont="1" applyFill="1" applyAlignment="1">
      <alignment horizontal="center" vertical="center" wrapText="1"/>
    </xf>
    <xf numFmtId="2" fontId="67" fillId="7" borderId="99" xfId="0" applyNumberFormat="1" applyFont="1" applyFill="1" applyBorder="1" applyAlignment="1">
      <alignment horizontal="center" vertical="center"/>
    </xf>
    <xf numFmtId="2" fontId="65" fillId="0" borderId="0" xfId="0" applyNumberFormat="1" applyFont="1" applyAlignment="1">
      <alignment horizontal="center" vertical="center"/>
    </xf>
    <xf numFmtId="43" fontId="76" fillId="0" borderId="10" xfId="1" applyFont="1" applyBorder="1" applyAlignment="1">
      <alignment horizontal="center"/>
    </xf>
    <xf numFmtId="2" fontId="105" fillId="0" borderId="0" xfId="1" applyNumberFormat="1" applyFont="1" applyAlignment="1">
      <alignment horizontal="center" vertical="center"/>
    </xf>
    <xf numFmtId="0" fontId="73" fillId="35" borderId="110" xfId="8" applyFont="1" applyFill="1" applyBorder="1" applyAlignment="1">
      <alignment horizontal="center" vertical="center"/>
    </xf>
    <xf numFmtId="171" fontId="62" fillId="0" borderId="55" xfId="1" applyNumberFormat="1" applyFont="1" applyBorder="1" applyAlignment="1" applyProtection="1">
      <alignment horizontal="center" vertical="center"/>
    </xf>
    <xf numFmtId="171" fontId="62" fillId="0" borderId="56" xfId="1" applyNumberFormat="1" applyFont="1" applyBorder="1" applyAlignment="1" applyProtection="1">
      <alignment horizontal="center" vertical="center"/>
    </xf>
    <xf numFmtId="0" fontId="64" fillId="0" borderId="81" xfId="0" applyFont="1" applyBorder="1" applyProtection="1">
      <protection locked="0"/>
    </xf>
    <xf numFmtId="0" fontId="67" fillId="24" borderId="82" xfId="0" applyFont="1" applyFill="1" applyBorder="1" applyProtection="1">
      <protection locked="0"/>
    </xf>
    <xf numFmtId="168" fontId="67" fillId="0" borderId="85" xfId="1" applyNumberFormat="1" applyFont="1" applyBorder="1" applyAlignment="1" applyProtection="1">
      <alignment horizontal="center"/>
      <protection locked="0"/>
    </xf>
    <xf numFmtId="168" fontId="67" fillId="0" borderId="40" xfId="1" applyNumberFormat="1" applyFont="1" applyBorder="1" applyProtection="1">
      <protection locked="0"/>
    </xf>
    <xf numFmtId="168" fontId="67" fillId="0" borderId="33" xfId="1" applyNumberFormat="1" applyFont="1" applyBorder="1" applyProtection="1">
      <protection locked="0"/>
    </xf>
    <xf numFmtId="0" fontId="76" fillId="24" borderId="10" xfId="0" applyFont="1" applyFill="1" applyBorder="1" applyAlignment="1" applyProtection="1">
      <alignment vertical="center"/>
      <protection locked="0"/>
    </xf>
    <xf numFmtId="0" fontId="76" fillId="24" borderId="5" xfId="0" applyFont="1" applyFill="1" applyBorder="1" applyAlignment="1" applyProtection="1">
      <alignment vertical="center"/>
      <protection locked="0"/>
    </xf>
    <xf numFmtId="43" fontId="80" fillId="0" borderId="0" xfId="1" applyFont="1" applyAlignment="1" applyProtection="1">
      <alignment horizontal="center"/>
      <protection locked="0"/>
    </xf>
    <xf numFmtId="12" fontId="64" fillId="39" borderId="20" xfId="0" applyNumberFormat="1" applyFont="1" applyFill="1" applyBorder="1" applyAlignment="1" applyProtection="1">
      <alignment horizontal="center"/>
      <protection locked="0"/>
    </xf>
    <xf numFmtId="171" fontId="76" fillId="24" borderId="10" xfId="1" applyNumberFormat="1" applyFont="1" applyFill="1" applyBorder="1" applyAlignment="1">
      <alignment horizontal="left"/>
    </xf>
    <xf numFmtId="0" fontId="107" fillId="0" borderId="0" xfId="0" applyFont="1"/>
    <xf numFmtId="0" fontId="108" fillId="0" borderId="0" xfId="0" applyFont="1"/>
    <xf numFmtId="0" fontId="107" fillId="0" borderId="7" xfId="0" applyFont="1" applyBorder="1"/>
    <xf numFmtId="0" fontId="108" fillId="0" borderId="0" xfId="0" applyFont="1" applyAlignment="1">
      <alignment wrapText="1"/>
    </xf>
    <xf numFmtId="0" fontId="107" fillId="0" borderId="0" xfId="0" applyFont="1" applyAlignment="1">
      <alignment horizontal="right"/>
    </xf>
    <xf numFmtId="0" fontId="108" fillId="0" borderId="0" xfId="0" applyFont="1" applyAlignment="1">
      <alignment horizontal="left"/>
    </xf>
    <xf numFmtId="0" fontId="107" fillId="0" borderId="9" xfId="0" applyFont="1" applyBorder="1"/>
    <xf numFmtId="0" fontId="108" fillId="0" borderId="3" xfId="0" applyFont="1" applyBorder="1" applyAlignment="1">
      <alignment horizontal="center" vertical="center"/>
    </xf>
    <xf numFmtId="0" fontId="108" fillId="0" borderId="16" xfId="0" applyFont="1" applyBorder="1" applyAlignment="1">
      <alignment horizontal="center" vertical="center"/>
    </xf>
    <xf numFmtId="0" fontId="108" fillId="0" borderId="35" xfId="0" applyFont="1" applyBorder="1" applyAlignment="1">
      <alignment horizontal="center" vertical="center"/>
    </xf>
    <xf numFmtId="0" fontId="108" fillId="0" borderId="13" xfId="0" applyFont="1" applyBorder="1" applyAlignment="1">
      <alignment horizontal="center" vertical="center"/>
    </xf>
    <xf numFmtId="16" fontId="108" fillId="0" borderId="4" xfId="0" applyNumberFormat="1" applyFont="1" applyBorder="1" applyAlignment="1">
      <alignment horizontal="center"/>
    </xf>
    <xf numFmtId="16" fontId="108" fillId="0" borderId="16" xfId="0" applyNumberFormat="1" applyFont="1" applyBorder="1" applyAlignment="1">
      <alignment horizontal="center"/>
    </xf>
    <xf numFmtId="16" fontId="108" fillId="0" borderId="35" xfId="0" applyNumberFormat="1" applyFont="1" applyBorder="1" applyAlignment="1">
      <alignment horizontal="center"/>
    </xf>
    <xf numFmtId="16" fontId="108" fillId="0" borderId="13" xfId="0" applyNumberFormat="1" applyFont="1" applyBorder="1" applyAlignment="1">
      <alignment horizontal="center"/>
    </xf>
    <xf numFmtId="0" fontId="108" fillId="0" borderId="0" xfId="0" applyFont="1" applyAlignment="1">
      <alignment horizontal="center"/>
    </xf>
    <xf numFmtId="0" fontId="107" fillId="0" borderId="26" xfId="0" applyFont="1" applyBorder="1" applyProtection="1">
      <protection locked="0"/>
    </xf>
    <xf numFmtId="0" fontId="107" fillId="0" borderId="0" xfId="0" applyFont="1" applyProtection="1">
      <protection locked="0"/>
    </xf>
    <xf numFmtId="0" fontId="107" fillId="0" borderId="24" xfId="0" applyFont="1" applyBorder="1" applyProtection="1">
      <protection locked="0"/>
    </xf>
    <xf numFmtId="168" fontId="108" fillId="0" borderId="94" xfId="1" applyNumberFormat="1" applyFont="1" applyFill="1" applyBorder="1" applyProtection="1">
      <protection locked="0"/>
    </xf>
    <xf numFmtId="168" fontId="108" fillId="0" borderId="14" xfId="1" applyNumberFormat="1" applyFont="1" applyFill="1" applyBorder="1" applyProtection="1">
      <protection locked="0"/>
    </xf>
    <xf numFmtId="0" fontId="108" fillId="0" borderId="14" xfId="0" applyFont="1" applyBorder="1" applyProtection="1">
      <protection locked="0"/>
    </xf>
    <xf numFmtId="0" fontId="108" fillId="0" borderId="0" xfId="0" applyFont="1" applyProtection="1">
      <protection locked="0"/>
    </xf>
    <xf numFmtId="0" fontId="107" fillId="0" borderId="2" xfId="0" applyFont="1" applyBorder="1" applyProtection="1">
      <protection locked="0"/>
    </xf>
    <xf numFmtId="168" fontId="108" fillId="0" borderId="9" xfId="1" applyNumberFormat="1" applyFont="1" applyFill="1" applyBorder="1" applyProtection="1">
      <protection locked="0"/>
    </xf>
    <xf numFmtId="0" fontId="109" fillId="0" borderId="0" xfId="0" applyFont="1"/>
    <xf numFmtId="0" fontId="110" fillId="0" borderId="0" xfId="0" applyFont="1" applyProtection="1">
      <protection locked="0"/>
    </xf>
    <xf numFmtId="0" fontId="111" fillId="0" borderId="0" xfId="0" applyFont="1" applyProtection="1">
      <protection locked="0"/>
    </xf>
    <xf numFmtId="176" fontId="62" fillId="0" borderId="27" xfId="1" applyNumberFormat="1" applyFont="1" applyBorder="1" applyAlignment="1" applyProtection="1">
      <alignment horizontal="center"/>
    </xf>
    <xf numFmtId="174" fontId="64" fillId="0" borderId="0" xfId="0" applyNumberFormat="1" applyFont="1" applyAlignment="1">
      <alignment horizontal="left" vertical="center"/>
    </xf>
    <xf numFmtId="0" fontId="64" fillId="0" borderId="5" xfId="0" applyFont="1" applyBorder="1" applyAlignment="1">
      <alignment horizontal="center" vertical="center"/>
    </xf>
    <xf numFmtId="0" fontId="64" fillId="0" borderId="42" xfId="0" applyFont="1" applyBorder="1" applyAlignment="1">
      <alignment vertical="center"/>
    </xf>
    <xf numFmtId="0" fontId="64" fillId="0" borderId="6" xfId="0" applyFont="1" applyBorder="1" applyAlignment="1">
      <alignment horizontal="center" vertical="center"/>
    </xf>
    <xf numFmtId="0" fontId="64" fillId="0" borderId="42" xfId="0" applyFont="1" applyBorder="1" applyAlignment="1">
      <alignment horizontal="center" vertical="center"/>
    </xf>
    <xf numFmtId="0" fontId="62" fillId="0" borderId="43" xfId="0" applyFont="1" applyBorder="1" applyAlignment="1">
      <alignment horizontal="center" vertical="center"/>
    </xf>
    <xf numFmtId="0" fontId="62" fillId="0" borderId="55" xfId="0" applyFont="1" applyBorder="1" applyAlignment="1">
      <alignment vertical="center"/>
    </xf>
    <xf numFmtId="0" fontId="62" fillId="0" borderId="56" xfId="0" applyFont="1" applyBorder="1" applyAlignment="1">
      <alignment horizontal="center" vertical="center"/>
    </xf>
    <xf numFmtId="0" fontId="64" fillId="0" borderId="38" xfId="0" applyFont="1" applyBorder="1" applyAlignment="1">
      <alignment vertical="center"/>
    </xf>
    <xf numFmtId="0" fontId="64" fillId="0" borderId="84" xfId="0" applyFont="1" applyBorder="1" applyAlignment="1">
      <alignment vertical="center"/>
    </xf>
    <xf numFmtId="0" fontId="64" fillId="0" borderId="81" xfId="0" applyFont="1" applyBorder="1" applyAlignment="1">
      <alignment vertical="center"/>
    </xf>
    <xf numFmtId="0" fontId="62" fillId="0" borderId="29" xfId="0" applyFont="1" applyBorder="1" applyAlignment="1">
      <alignment horizontal="center" vertical="center"/>
    </xf>
    <xf numFmtId="0" fontId="64" fillId="0" borderId="35" xfId="0" applyFont="1" applyBorder="1" applyAlignment="1">
      <alignment vertical="center"/>
    </xf>
    <xf numFmtId="0" fontId="64" fillId="0" borderId="34" xfId="0" applyFont="1" applyBorder="1" applyAlignment="1">
      <alignment horizontal="center" vertical="center"/>
    </xf>
    <xf numFmtId="171" fontId="64" fillId="0" borderId="29" xfId="0" applyNumberFormat="1" applyFont="1" applyBorder="1" applyAlignment="1">
      <alignment horizontal="center" vertical="center"/>
    </xf>
    <xf numFmtId="171" fontId="64" fillId="0" borderId="35" xfId="0" applyNumberFormat="1" applyFont="1" applyBorder="1" applyAlignment="1">
      <alignment horizontal="center" vertical="center"/>
    </xf>
    <xf numFmtId="176" fontId="64" fillId="0" borderId="35" xfId="1" applyNumberFormat="1" applyFont="1" applyBorder="1" applyAlignment="1" applyProtection="1">
      <alignment horizontal="center" vertical="center"/>
    </xf>
    <xf numFmtId="9" fontId="64" fillId="0" borderId="16" xfId="3" applyFont="1" applyFill="1" applyBorder="1" applyAlignment="1" applyProtection="1">
      <alignment horizontal="center" vertical="center"/>
    </xf>
    <xf numFmtId="9" fontId="64" fillId="0" borderId="34" xfId="3" applyFont="1" applyFill="1" applyBorder="1" applyAlignment="1" applyProtection="1">
      <alignment horizontal="center" vertical="center"/>
    </xf>
    <xf numFmtId="0" fontId="77" fillId="0" borderId="0" xfId="0" applyFont="1" applyAlignment="1">
      <alignment vertical="center"/>
    </xf>
    <xf numFmtId="0" fontId="77" fillId="0" borderId="0" xfId="0" applyFont="1" applyAlignment="1">
      <alignment horizontal="center" vertical="center"/>
    </xf>
    <xf numFmtId="172" fontId="77" fillId="0" borderId="0" xfId="0" applyNumberFormat="1" applyFont="1" applyAlignment="1">
      <alignment vertical="center"/>
    </xf>
    <xf numFmtId="172" fontId="77" fillId="0" borderId="0" xfId="0" applyNumberFormat="1" applyFont="1"/>
    <xf numFmtId="171" fontId="77" fillId="0" borderId="0" xfId="1" applyNumberFormat="1" applyFont="1" applyFill="1" applyAlignment="1" applyProtection="1">
      <alignment vertical="center"/>
    </xf>
    <xf numFmtId="171" fontId="77" fillId="0" borderId="0" xfId="1" applyNumberFormat="1" applyFont="1" applyFill="1" applyProtection="1"/>
    <xf numFmtId="171" fontId="77" fillId="0" borderId="0" xfId="1" applyNumberFormat="1" applyFont="1" applyAlignment="1" applyProtection="1">
      <alignment vertical="center"/>
    </xf>
    <xf numFmtId="171" fontId="77" fillId="0" borderId="0" xfId="1" applyNumberFormat="1" applyFont="1" applyProtection="1"/>
    <xf numFmtId="168" fontId="77" fillId="0" borderId="0" xfId="1" applyNumberFormat="1" applyFont="1" applyAlignment="1" applyProtection="1">
      <alignment vertical="center"/>
    </xf>
    <xf numFmtId="168" fontId="77" fillId="0" borderId="0" xfId="1" applyNumberFormat="1" applyFont="1" applyProtection="1"/>
    <xf numFmtId="168" fontId="77" fillId="0" borderId="0" xfId="1" applyNumberFormat="1" applyFont="1" applyFill="1" applyAlignment="1" applyProtection="1">
      <alignment vertical="center"/>
    </xf>
    <xf numFmtId="168" fontId="77" fillId="0" borderId="0" xfId="1" applyNumberFormat="1" applyFont="1" applyFill="1" applyProtection="1"/>
    <xf numFmtId="0" fontId="77" fillId="0" borderId="0" xfId="1" applyNumberFormat="1" applyFont="1" applyFill="1" applyAlignment="1" applyProtection="1">
      <alignment vertical="center"/>
    </xf>
    <xf numFmtId="2" fontId="77" fillId="0" borderId="0" xfId="1" applyNumberFormat="1" applyFont="1" applyFill="1" applyAlignment="1" applyProtection="1">
      <alignment vertical="center"/>
    </xf>
    <xf numFmtId="166" fontId="77" fillId="0" borderId="0" xfId="1" applyNumberFormat="1" applyFont="1" applyFill="1" applyAlignment="1" applyProtection="1">
      <alignment vertical="center"/>
    </xf>
    <xf numFmtId="166" fontId="77" fillId="0" borderId="0" xfId="1" applyNumberFormat="1" applyFont="1" applyFill="1" applyProtection="1"/>
    <xf numFmtId="166" fontId="77" fillId="0" borderId="0" xfId="1" applyNumberFormat="1" applyFont="1" applyAlignment="1" applyProtection="1">
      <alignment vertical="center"/>
    </xf>
    <xf numFmtId="166" fontId="77" fillId="0" borderId="0" xfId="1" applyNumberFormat="1" applyFont="1" applyProtection="1"/>
    <xf numFmtId="166" fontId="77" fillId="0" borderId="0" xfId="0" applyNumberFormat="1" applyFont="1" applyAlignment="1">
      <alignment vertical="center"/>
    </xf>
    <xf numFmtId="166" fontId="77" fillId="0" borderId="0" xfId="0" applyNumberFormat="1" applyFont="1"/>
    <xf numFmtId="0" fontId="62" fillId="0" borderId="22" xfId="1" applyNumberFormat="1" applyFont="1" applyBorder="1" applyAlignment="1">
      <alignment vertical="center"/>
    </xf>
    <xf numFmtId="0" fontId="65" fillId="0" borderId="8" xfId="1" applyNumberFormat="1" applyFont="1" applyBorder="1"/>
    <xf numFmtId="0" fontId="73" fillId="11" borderId="29" xfId="0" applyFont="1" applyFill="1" applyBorder="1" applyAlignment="1">
      <alignment horizontal="center" vertical="center"/>
    </xf>
    <xf numFmtId="0" fontId="67" fillId="0" borderId="28" xfId="0" applyFont="1" applyBorder="1" applyAlignment="1">
      <alignment horizontal="center" vertical="center"/>
    </xf>
    <xf numFmtId="0" fontId="67" fillId="0" borderId="4" xfId="0" applyFont="1" applyBorder="1" applyAlignment="1">
      <alignment horizontal="center" vertical="center"/>
    </xf>
    <xf numFmtId="0" fontId="64" fillId="0" borderId="29" xfId="0" applyFont="1" applyBorder="1" applyAlignment="1">
      <alignment horizontal="center" vertical="center" wrapText="1"/>
    </xf>
    <xf numFmtId="0" fontId="64" fillId="0" borderId="34" xfId="0" applyFont="1" applyBorder="1" applyAlignment="1">
      <alignment horizontal="center" vertical="center" wrapText="1"/>
    </xf>
    <xf numFmtId="172" fontId="64" fillId="4" borderId="29" xfId="0" applyNumberFormat="1" applyFont="1" applyFill="1" applyBorder="1" applyAlignment="1">
      <alignment horizontal="center" vertical="center" wrapText="1"/>
    </xf>
    <xf numFmtId="172" fontId="64" fillId="4" borderId="34" xfId="0" applyNumberFormat="1" applyFont="1" applyFill="1" applyBorder="1" applyAlignment="1">
      <alignment horizontal="center" vertical="center" wrapText="1"/>
    </xf>
    <xf numFmtId="0" fontId="64" fillId="0" borderId="2" xfId="0" applyFont="1" applyBorder="1" applyAlignment="1">
      <alignment horizontal="center" vertical="center" wrapText="1"/>
    </xf>
    <xf numFmtId="166" fontId="73" fillId="24" borderId="42" xfId="0" applyNumberFormat="1" applyFont="1" applyFill="1" applyBorder="1" applyProtection="1">
      <protection locked="0"/>
    </xf>
    <xf numFmtId="0" fontId="62" fillId="0" borderId="0" xfId="7" applyFont="1"/>
    <xf numFmtId="0" fontId="62" fillId="0" borderId="22" xfId="7" applyFont="1" applyBorder="1"/>
    <xf numFmtId="0" fontId="62" fillId="0" borderId="0" xfId="7" applyFont="1" applyAlignment="1">
      <alignment horizontal="center"/>
    </xf>
    <xf numFmtId="41" fontId="62" fillId="0" borderId="0" xfId="7" applyNumberFormat="1" applyFont="1"/>
    <xf numFmtId="164" fontId="62" fillId="0" borderId="0" xfId="7" applyNumberFormat="1" applyFont="1" applyAlignment="1">
      <alignment horizontal="center"/>
    </xf>
    <xf numFmtId="164" fontId="62" fillId="0" borderId="0" xfId="7" applyNumberFormat="1" applyFont="1"/>
    <xf numFmtId="173" fontId="62" fillId="0" borderId="0" xfId="7" applyNumberFormat="1" applyFont="1"/>
    <xf numFmtId="0" fontId="113" fillId="0" borderId="0" xfId="7" applyFont="1" applyAlignment="1">
      <alignment horizontal="center"/>
    </xf>
    <xf numFmtId="41" fontId="62" fillId="0" borderId="0" xfId="7" applyNumberFormat="1" applyFont="1" applyAlignment="1">
      <alignment horizontal="center"/>
    </xf>
    <xf numFmtId="41" fontId="62" fillId="0" borderId="19" xfId="7" applyNumberFormat="1" applyFont="1" applyBorder="1" applyAlignment="1">
      <alignment horizontal="center"/>
    </xf>
    <xf numFmtId="164" fontId="64" fillId="0" borderId="0" xfId="7" applyNumberFormat="1" applyFont="1" applyAlignment="1">
      <alignment horizontal="center"/>
    </xf>
    <xf numFmtId="164" fontId="64" fillId="0" borderId="19" xfId="7" applyNumberFormat="1" applyFont="1" applyBorder="1" applyAlignment="1">
      <alignment horizontal="center"/>
    </xf>
    <xf numFmtId="0" fontId="62" fillId="0" borderId="19" xfId="7" applyFont="1" applyBorder="1" applyAlignment="1">
      <alignment horizontal="center"/>
    </xf>
    <xf numFmtId="164" fontId="62" fillId="0" borderId="19" xfId="7" applyNumberFormat="1" applyFont="1" applyBorder="1" applyAlignment="1">
      <alignment horizontal="center"/>
    </xf>
    <xf numFmtId="164" fontId="64" fillId="0" borderId="40" xfId="7" applyNumberFormat="1" applyFont="1" applyBorder="1" applyAlignment="1">
      <alignment horizontal="center"/>
    </xf>
    <xf numFmtId="0" fontId="64" fillId="0" borderId="40" xfId="7" applyFont="1" applyBorder="1" applyAlignment="1">
      <alignment horizontal="center"/>
    </xf>
    <xf numFmtId="0" fontId="74" fillId="0" borderId="82" xfId="7" applyFont="1" applyBorder="1" applyAlignment="1">
      <alignment horizontal="left" indent="1"/>
    </xf>
    <xf numFmtId="0" fontId="62" fillId="0" borderId="82" xfId="7" applyFont="1" applyBorder="1" applyAlignment="1">
      <alignment horizontal="left" indent="1"/>
    </xf>
    <xf numFmtId="0" fontId="64" fillId="0" borderId="82" xfId="7" applyFont="1" applyBorder="1" applyAlignment="1">
      <alignment horizontal="left" indent="1"/>
    </xf>
    <xf numFmtId="0" fontId="97" fillId="0" borderId="0" xfId="7" applyFont="1"/>
    <xf numFmtId="0" fontId="67" fillId="0" borderId="0" xfId="7" applyFont="1"/>
    <xf numFmtId="0" fontId="64" fillId="0" borderId="0" xfId="7" applyFont="1"/>
    <xf numFmtId="0" fontId="62" fillId="0" borderId="40" xfId="7" applyFont="1" applyBorder="1" applyAlignment="1">
      <alignment horizontal="center"/>
    </xf>
    <xf numFmtId="0" fontId="62" fillId="27" borderId="4" xfId="0" applyFont="1" applyFill="1" applyBorder="1" applyAlignment="1">
      <alignment vertical="center"/>
    </xf>
    <xf numFmtId="0" fontId="64" fillId="0" borderId="0" xfId="0" applyFont="1" applyAlignment="1">
      <alignment horizontal="right" vertical="center"/>
    </xf>
    <xf numFmtId="9" fontId="64" fillId="0" borderId="16" xfId="3" applyFont="1" applyBorder="1" applyAlignment="1" applyProtection="1">
      <alignment horizontal="right"/>
      <protection locked="0"/>
    </xf>
    <xf numFmtId="164" fontId="65" fillId="22" borderId="0" xfId="7" applyNumberFormat="1" applyFont="1" applyFill="1" applyAlignment="1" applyProtection="1">
      <alignment horizontal="right"/>
      <protection locked="0"/>
    </xf>
    <xf numFmtId="41" fontId="62" fillId="0" borderId="40" xfId="7" applyNumberFormat="1" applyFont="1" applyBorder="1" applyAlignment="1">
      <alignment horizontal="center"/>
    </xf>
    <xf numFmtId="177" fontId="0" fillId="0" borderId="0" xfId="485" applyNumberFormat="1" applyFont="1"/>
    <xf numFmtId="0" fontId="92" fillId="0" borderId="0" xfId="0" applyFont="1" applyAlignment="1">
      <alignment vertical="center"/>
    </xf>
    <xf numFmtId="0" fontId="62" fillId="0" borderId="26" xfId="0" applyFont="1" applyBorder="1" applyProtection="1">
      <protection locked="0"/>
    </xf>
    <xf numFmtId="0" fontId="62" fillId="27" borderId="3" xfId="0" applyFont="1" applyFill="1" applyBorder="1" applyAlignment="1">
      <alignment vertical="center"/>
    </xf>
    <xf numFmtId="9" fontId="64" fillId="0" borderId="35" xfId="3" applyFont="1" applyBorder="1" applyAlignment="1" applyProtection="1">
      <alignment horizontal="center"/>
      <protection locked="0"/>
    </xf>
    <xf numFmtId="0" fontId="62" fillId="27" borderId="13" xfId="0" applyFont="1" applyFill="1" applyBorder="1" applyAlignment="1">
      <alignment vertical="center"/>
    </xf>
    <xf numFmtId="168" fontId="62" fillId="23" borderId="84" xfId="1" applyNumberFormat="1" applyFont="1" applyFill="1" applyBorder="1" applyAlignment="1" applyProtection="1">
      <alignment horizontal="center"/>
      <protection locked="0"/>
    </xf>
    <xf numFmtId="171" fontId="62" fillId="0" borderId="0" xfId="0" applyNumberFormat="1" applyFont="1"/>
    <xf numFmtId="0" fontId="73" fillId="0" borderId="16" xfId="0" applyFont="1" applyBorder="1"/>
    <xf numFmtId="167" fontId="64" fillId="23" borderId="29" xfId="0" applyNumberFormat="1" applyFont="1" applyFill="1" applyBorder="1" applyAlignment="1" applyProtection="1">
      <alignment horizontal="left"/>
      <protection locked="0"/>
    </xf>
    <xf numFmtId="168" fontId="62" fillId="0" borderId="9" xfId="1" applyNumberFormat="1" applyFont="1" applyFill="1" applyBorder="1" applyProtection="1">
      <protection locked="0"/>
    </xf>
    <xf numFmtId="171" fontId="73" fillId="24" borderId="25" xfId="1" applyNumberFormat="1" applyFont="1" applyFill="1" applyBorder="1" applyProtection="1">
      <protection locked="0"/>
    </xf>
    <xf numFmtId="9" fontId="64" fillId="0" borderId="34" xfId="3" applyFont="1" applyBorder="1" applyAlignment="1" applyProtection="1">
      <alignment horizontal="center"/>
      <protection locked="0"/>
    </xf>
    <xf numFmtId="43" fontId="53" fillId="74" borderId="39" xfId="1" applyFont="1" applyFill="1" applyBorder="1" applyAlignment="1" applyProtection="1">
      <alignment horizontal="center"/>
      <protection locked="0"/>
    </xf>
    <xf numFmtId="167" fontId="62" fillId="23" borderId="35" xfId="0" applyNumberFormat="1" applyFont="1" applyFill="1" applyBorder="1" applyAlignment="1" applyProtection="1">
      <alignment horizontal="center"/>
      <protection locked="0"/>
    </xf>
    <xf numFmtId="1" fontId="66" fillId="10" borderId="0" xfId="0" applyNumberFormat="1" applyFont="1" applyFill="1" applyAlignment="1">
      <alignment horizontal="center"/>
    </xf>
    <xf numFmtId="9" fontId="64" fillId="0" borderId="29" xfId="3" applyFont="1" applyBorder="1" applyAlignment="1" applyProtection="1">
      <alignment horizontal="center"/>
      <protection locked="0"/>
    </xf>
    <xf numFmtId="0" fontId="62" fillId="0" borderId="28" xfId="0" applyFont="1" applyBorder="1" applyProtection="1">
      <protection locked="0"/>
    </xf>
    <xf numFmtId="174" fontId="64" fillId="0" borderId="0" xfId="0" applyNumberFormat="1" applyFont="1" applyAlignment="1">
      <alignment horizontal="center"/>
    </xf>
    <xf numFmtId="164" fontId="62" fillId="0" borderId="40" xfId="7" applyNumberFormat="1" applyFont="1" applyBorder="1" applyAlignment="1">
      <alignment horizontal="center"/>
    </xf>
    <xf numFmtId="165" fontId="62" fillId="0" borderId="0" xfId="0" applyNumberFormat="1" applyFont="1"/>
    <xf numFmtId="164" fontId="112" fillId="4" borderId="0" xfId="547" applyNumberFormat="1" applyFont="1" applyFill="1" applyAlignment="1">
      <alignment horizontal="center"/>
    </xf>
    <xf numFmtId="41" fontId="104" fillId="4" borderId="0" xfId="547" applyNumberFormat="1" applyFont="1" applyFill="1" applyAlignment="1">
      <alignment horizontal="center"/>
    </xf>
    <xf numFmtId="0" fontId="62" fillId="0" borderId="58" xfId="0" applyFont="1" applyBorder="1" applyAlignment="1" applyProtection="1">
      <alignment wrapText="1"/>
      <protection locked="0"/>
    </xf>
    <xf numFmtId="43" fontId="0" fillId="0" borderId="0" xfId="1736" applyFont="1"/>
    <xf numFmtId="0" fontId="133" fillId="0" borderId="0" xfId="0" applyFont="1" applyAlignment="1">
      <alignment horizontal="center"/>
    </xf>
    <xf numFmtId="0" fontId="44" fillId="0" borderId="0" xfId="0" applyFont="1" applyAlignment="1">
      <alignment horizontal="center" vertical="center"/>
    </xf>
    <xf numFmtId="43" fontId="44" fillId="0" borderId="0" xfId="1736" applyFont="1" applyAlignment="1">
      <alignment horizontal="center" vertical="center"/>
    </xf>
    <xf numFmtId="43" fontId="44" fillId="0" borderId="0" xfId="1736" applyFont="1"/>
    <xf numFmtId="177" fontId="44" fillId="0" borderId="0" xfId="1736" applyNumberFormat="1" applyFont="1"/>
    <xf numFmtId="43" fontId="14" fillId="0" borderId="0" xfId="1736"/>
    <xf numFmtId="43" fontId="44" fillId="30" borderId="0" xfId="1736" applyFont="1" applyFill="1"/>
    <xf numFmtId="9" fontId="44" fillId="0" borderId="0" xfId="1737" applyFont="1" applyAlignment="1">
      <alignment horizontal="center"/>
    </xf>
    <xf numFmtId="176" fontId="44" fillId="0" borderId="0" xfId="1736" applyNumberFormat="1" applyFont="1"/>
    <xf numFmtId="0" fontId="0" fillId="6" borderId="0" xfId="0" applyFill="1"/>
    <xf numFmtId="43" fontId="44" fillId="18" borderId="0" xfId="1736" applyFont="1" applyFill="1"/>
    <xf numFmtId="0" fontId="0" fillId="75" borderId="0" xfId="0" applyFill="1"/>
    <xf numFmtId="177" fontId="0" fillId="0" borderId="0" xfId="1736" applyNumberFormat="1" applyFont="1"/>
    <xf numFmtId="43" fontId="0" fillId="0" borderId="0" xfId="0" applyNumberFormat="1"/>
    <xf numFmtId="17" fontId="0" fillId="0" borderId="0" xfId="0" applyNumberFormat="1"/>
    <xf numFmtId="43" fontId="0" fillId="14" borderId="0" xfId="1736" applyFont="1" applyFill="1"/>
    <xf numFmtId="2" fontId="44" fillId="2" borderId="0" xfId="0" applyNumberFormat="1" applyFont="1" applyFill="1" applyAlignment="1">
      <alignment horizontal="center"/>
    </xf>
    <xf numFmtId="0" fontId="0" fillId="14" borderId="0" xfId="0" applyFill="1" applyAlignment="1">
      <alignment horizontal="center"/>
    </xf>
    <xf numFmtId="0" fontId="0" fillId="14" borderId="0" xfId="0" applyFill="1"/>
    <xf numFmtId="43" fontId="14" fillId="14" borderId="0" xfId="1736" applyFill="1"/>
    <xf numFmtId="43" fontId="0" fillId="14" borderId="0" xfId="0" applyNumberFormat="1" applyFill="1"/>
    <xf numFmtId="0" fontId="44" fillId="14" borderId="0" xfId="0" applyFont="1" applyFill="1"/>
    <xf numFmtId="17" fontId="0" fillId="14" borderId="0" xfId="0" applyNumberFormat="1" applyFill="1"/>
    <xf numFmtId="43" fontId="44" fillId="14" borderId="0" xfId="1736" applyFont="1" applyFill="1"/>
    <xf numFmtId="2" fontId="44" fillId="0" borderId="0" xfId="0" applyNumberFormat="1" applyFont="1" applyAlignment="1">
      <alignment horizontal="center"/>
    </xf>
    <xf numFmtId="43" fontId="0" fillId="30" borderId="0" xfId="0" applyNumberFormat="1" applyFill="1"/>
    <xf numFmtId="176" fontId="0" fillId="0" borderId="0" xfId="1736" applyNumberFormat="1" applyFont="1"/>
    <xf numFmtId="0" fontId="0" fillId="3" borderId="0" xfId="0" applyFill="1"/>
    <xf numFmtId="176" fontId="0" fillId="14" borderId="0" xfId="1736" applyNumberFormat="1" applyFont="1" applyFill="1"/>
    <xf numFmtId="0" fontId="0" fillId="76" borderId="0" xfId="0" applyFill="1"/>
    <xf numFmtId="0" fontId="0" fillId="5" borderId="0" xfId="0" applyFill="1"/>
    <xf numFmtId="2" fontId="44" fillId="0" borderId="0" xfId="1736" applyNumberFormat="1" applyFont="1" applyAlignment="1">
      <alignment horizontal="center"/>
    </xf>
    <xf numFmtId="177" fontId="0" fillId="14" borderId="0" xfId="1736" applyNumberFormat="1" applyFont="1" applyFill="1"/>
    <xf numFmtId="0" fontId="0" fillId="71" borderId="0" xfId="0" applyFill="1"/>
    <xf numFmtId="0" fontId="0" fillId="77" borderId="0" xfId="0" applyFill="1"/>
    <xf numFmtId="0" fontId="0" fillId="11" borderId="0" xfId="0" applyFill="1"/>
    <xf numFmtId="0" fontId="0" fillId="78" borderId="0" xfId="0" applyFill="1"/>
    <xf numFmtId="0" fontId="0" fillId="79" borderId="0" xfId="0" applyFill="1"/>
    <xf numFmtId="0" fontId="0" fillId="13" borderId="0" xfId="0" applyFill="1"/>
    <xf numFmtId="0" fontId="0" fillId="80" borderId="0" xfId="0" applyFill="1"/>
    <xf numFmtId="0" fontId="0" fillId="81" borderId="0" xfId="0" applyFill="1"/>
    <xf numFmtId="0" fontId="0" fillId="82" borderId="0" xfId="0" applyFill="1"/>
    <xf numFmtId="0" fontId="0" fillId="29" borderId="0" xfId="0" applyFill="1"/>
    <xf numFmtId="0" fontId="0" fillId="2" borderId="0" xfId="0" applyFill="1"/>
    <xf numFmtId="9" fontId="44" fillId="14" borderId="0" xfId="1737" applyFont="1" applyFill="1" applyAlignment="1">
      <alignment horizontal="center"/>
    </xf>
    <xf numFmtId="43" fontId="14" fillId="30" borderId="0" xfId="1736" applyFill="1"/>
    <xf numFmtId="17" fontId="44" fillId="0" borderId="0" xfId="0" applyNumberFormat="1" applyFont="1" applyAlignment="1">
      <alignment horizontal="center" vertical="center"/>
    </xf>
    <xf numFmtId="0" fontId="44" fillId="0" borderId="0" xfId="0" applyFont="1" applyAlignment="1">
      <alignment horizontal="center" vertical="center" wrapText="1"/>
    </xf>
    <xf numFmtId="177" fontId="14" fillId="0" borderId="0" xfId="1736" applyNumberFormat="1"/>
    <xf numFmtId="176" fontId="14" fillId="0" borderId="0" xfId="1736" applyNumberFormat="1"/>
    <xf numFmtId="177" fontId="0" fillId="0" borderId="0" xfId="0" applyNumberFormat="1"/>
    <xf numFmtId="176" fontId="0" fillId="0" borderId="0" xfId="0" applyNumberFormat="1"/>
    <xf numFmtId="3" fontId="0" fillId="0" borderId="0" xfId="0" applyNumberFormat="1"/>
    <xf numFmtId="172" fontId="51" fillId="0" borderId="31" xfId="5" applyNumberFormat="1" applyFont="1" applyBorder="1"/>
    <xf numFmtId="41" fontId="0" fillId="0" borderId="0" xfId="0" applyNumberFormat="1"/>
    <xf numFmtId="164" fontId="65" fillId="0" borderId="0" xfId="7" applyNumberFormat="1" applyFont="1" applyAlignment="1" applyProtection="1">
      <alignment horizontal="right"/>
      <protection locked="0"/>
    </xf>
    <xf numFmtId="0" fontId="62" fillId="0" borderId="21" xfId="7" applyFont="1" applyBorder="1" applyAlignment="1">
      <alignment horizontal="left" indent="1"/>
    </xf>
    <xf numFmtId="0" fontId="62" fillId="0" borderId="93" xfId="7" applyFont="1" applyBorder="1"/>
    <xf numFmtId="0" fontId="62" fillId="0" borderId="39" xfId="7" applyFont="1" applyBorder="1" applyAlignment="1">
      <alignment horizontal="center"/>
    </xf>
    <xf numFmtId="9" fontId="62" fillId="0" borderId="93" xfId="3" applyFont="1" applyBorder="1" applyAlignment="1">
      <alignment horizontal="right"/>
    </xf>
    <xf numFmtId="9" fontId="64" fillId="0" borderId="39" xfId="3" applyFont="1" applyBorder="1" applyAlignment="1">
      <alignment horizontal="right"/>
    </xf>
    <xf numFmtId="164" fontId="64" fillId="18" borderId="40" xfId="7" applyNumberFormat="1" applyFont="1" applyFill="1" applyBorder="1" applyAlignment="1">
      <alignment horizontal="center"/>
    </xf>
    <xf numFmtId="171" fontId="76" fillId="0" borderId="85" xfId="1" applyNumberFormat="1" applyFont="1" applyBorder="1" applyAlignment="1">
      <alignment horizontal="center"/>
    </xf>
    <xf numFmtId="168" fontId="76" fillId="0" borderId="85" xfId="1" applyNumberFormat="1" applyFont="1" applyBorder="1" applyAlignment="1">
      <alignment horizontal="center"/>
    </xf>
    <xf numFmtId="9" fontId="64" fillId="0" borderId="24" xfId="3" applyFont="1" applyBorder="1" applyAlignment="1">
      <alignment horizontal="center"/>
    </xf>
    <xf numFmtId="9" fontId="62" fillId="0" borderId="24" xfId="3" applyFont="1" applyBorder="1" applyAlignment="1">
      <alignment horizontal="center"/>
    </xf>
    <xf numFmtId="166" fontId="73" fillId="0" borderId="13" xfId="0" applyNumberFormat="1" applyFont="1" applyBorder="1" applyAlignment="1">
      <alignment horizontal="center"/>
    </xf>
    <xf numFmtId="171" fontId="73" fillId="24" borderId="81" xfId="1" applyNumberFormat="1" applyFont="1" applyFill="1" applyBorder="1" applyProtection="1">
      <protection locked="0"/>
    </xf>
    <xf numFmtId="16" fontId="44" fillId="0" borderId="0" xfId="0" applyNumberFormat="1" applyFont="1"/>
    <xf numFmtId="43" fontId="45" fillId="0" borderId="86" xfId="0" applyNumberFormat="1" applyFont="1" applyBorder="1"/>
    <xf numFmtId="0" fontId="43" fillId="0" borderId="91" xfId="0" applyFont="1" applyBorder="1" applyAlignment="1">
      <alignment horizontal="left"/>
    </xf>
    <xf numFmtId="168" fontId="43" fillId="0" borderId="92" xfId="0" applyNumberFormat="1" applyFont="1" applyBorder="1"/>
    <xf numFmtId="0" fontId="43" fillId="4" borderId="0" xfId="0" applyFont="1" applyFill="1"/>
    <xf numFmtId="168" fontId="55" fillId="3" borderId="47" xfId="1" applyNumberFormat="1" applyFont="1" applyFill="1" applyBorder="1" applyAlignment="1">
      <alignment horizontal="center"/>
    </xf>
    <xf numFmtId="43" fontId="55" fillId="3" borderId="50" xfId="1" applyFont="1" applyFill="1" applyBorder="1" applyAlignment="1">
      <alignment horizontal="center"/>
    </xf>
    <xf numFmtId="43" fontId="55" fillId="4" borderId="53" xfId="1" applyFont="1" applyFill="1" applyBorder="1" applyAlignment="1">
      <alignment horizontal="center"/>
    </xf>
    <xf numFmtId="43" fontId="55" fillId="4" borderId="108" xfId="1" applyFont="1" applyFill="1" applyBorder="1" applyAlignment="1">
      <alignment horizontal="center"/>
    </xf>
    <xf numFmtId="168" fontId="55" fillId="12" borderId="46" xfId="1" applyNumberFormat="1" applyFont="1" applyFill="1" applyBorder="1" applyAlignment="1">
      <alignment horizontal="center"/>
    </xf>
    <xf numFmtId="43" fontId="55" fillId="12" borderId="44" xfId="1" applyFont="1" applyFill="1" applyBorder="1" applyAlignment="1">
      <alignment horizontal="center"/>
    </xf>
    <xf numFmtId="168" fontId="55" fillId="3" borderId="46" xfId="1" applyNumberFormat="1" applyFont="1" applyFill="1" applyBorder="1" applyAlignment="1">
      <alignment horizontal="center"/>
    </xf>
    <xf numFmtId="43" fontId="55" fillId="3" borderId="44" xfId="1" applyFont="1" applyFill="1" applyBorder="1" applyAlignment="1">
      <alignment horizontal="center" vertical="center"/>
    </xf>
    <xf numFmtId="43" fontId="55" fillId="12" borderId="46" xfId="1" applyFont="1" applyFill="1" applyBorder="1" applyAlignment="1">
      <alignment horizontal="center"/>
    </xf>
    <xf numFmtId="43" fontId="55" fillId="12" borderId="44" xfId="1" applyFont="1" applyFill="1" applyBorder="1" applyAlignment="1">
      <alignment horizontal="center" vertical="center"/>
    </xf>
    <xf numFmtId="43" fontId="55" fillId="4" borderId="46" xfId="1" applyFont="1" applyFill="1" applyBorder="1" applyAlignment="1">
      <alignment horizontal="center"/>
    </xf>
    <xf numFmtId="43" fontId="55" fillId="4" borderId="44" xfId="1" applyFont="1" applyFill="1" applyBorder="1" applyAlignment="1">
      <alignment horizontal="center" vertical="center"/>
    </xf>
    <xf numFmtId="168" fontId="55" fillId="12" borderId="46" xfId="1" applyNumberFormat="1" applyFont="1" applyFill="1" applyBorder="1" applyAlignment="1">
      <alignment horizontal="center" vertical="center"/>
    </xf>
    <xf numFmtId="43" fontId="55" fillId="12" borderId="46" xfId="1" applyFont="1" applyFill="1" applyBorder="1" applyAlignment="1">
      <alignment horizontal="center" vertical="center"/>
    </xf>
    <xf numFmtId="1" fontId="55" fillId="12" borderId="46" xfId="1" applyNumberFormat="1" applyFont="1" applyFill="1" applyBorder="1" applyAlignment="1">
      <alignment horizontal="right"/>
    </xf>
    <xf numFmtId="43" fontId="55" fillId="3" borderId="44" xfId="1" applyFont="1" applyFill="1" applyBorder="1" applyAlignment="1">
      <alignment horizontal="center"/>
    </xf>
    <xf numFmtId="43" fontId="55" fillId="4" borderId="44" xfId="1" applyFont="1" applyFill="1" applyBorder="1" applyAlignment="1">
      <alignment horizontal="center"/>
    </xf>
    <xf numFmtId="168" fontId="55" fillId="4" borderId="46" xfId="1" applyNumberFormat="1" applyFont="1" applyFill="1" applyBorder="1" applyAlignment="1">
      <alignment horizontal="center"/>
    </xf>
    <xf numFmtId="2" fontId="44" fillId="3" borderId="44" xfId="0" applyNumberFormat="1" applyFont="1" applyFill="1" applyBorder="1" applyAlignment="1">
      <alignment horizontal="right"/>
    </xf>
    <xf numFmtId="43" fontId="55" fillId="12" borderId="46" xfId="1" applyFont="1" applyFill="1" applyBorder="1" applyAlignment="1">
      <alignment vertical="center"/>
    </xf>
    <xf numFmtId="43" fontId="44" fillId="0" borderId="44" xfId="0" applyNumberFormat="1" applyFont="1" applyBorder="1" applyAlignment="1">
      <alignment vertical="center"/>
    </xf>
    <xf numFmtId="168" fontId="55" fillId="12" borderId="46" xfId="1" applyNumberFormat="1" applyFont="1" applyFill="1" applyBorder="1" applyAlignment="1">
      <alignment vertical="center"/>
    </xf>
    <xf numFmtId="168" fontId="55" fillId="10" borderId="46" xfId="1" applyNumberFormat="1" applyFont="1" applyFill="1" applyBorder="1" applyAlignment="1">
      <alignment vertical="center"/>
    </xf>
    <xf numFmtId="43" fontId="44" fillId="10" borderId="44" xfId="0" applyNumberFormat="1" applyFont="1" applyFill="1" applyBorder="1" applyAlignment="1">
      <alignment vertical="center"/>
    </xf>
    <xf numFmtId="43" fontId="0" fillId="0" borderId="0" xfId="1" applyFont="1" applyAlignment="1">
      <alignment horizontal="center"/>
    </xf>
    <xf numFmtId="0" fontId="0" fillId="6" borderId="0" xfId="0" applyFill="1" applyAlignment="1">
      <alignment horizontal="center"/>
    </xf>
    <xf numFmtId="43" fontId="55" fillId="12" borderId="52" xfId="1" applyFont="1" applyFill="1" applyBorder="1" applyAlignment="1">
      <alignment horizontal="center"/>
    </xf>
    <xf numFmtId="43" fontId="55" fillId="12" borderId="76" xfId="1" applyFont="1" applyFill="1" applyBorder="1" applyAlignment="1">
      <alignment horizontal="center"/>
    </xf>
    <xf numFmtId="43" fontId="55" fillId="10" borderId="47" xfId="1" applyFont="1" applyFill="1" applyBorder="1" applyAlignment="1">
      <alignment horizontal="center"/>
    </xf>
    <xf numFmtId="0" fontId="88" fillId="4" borderId="42" xfId="5" applyFont="1" applyFill="1" applyBorder="1"/>
    <xf numFmtId="2" fontId="82" fillId="7" borderId="26" xfId="0" applyNumberFormat="1" applyFont="1" applyFill="1" applyBorder="1" applyAlignment="1">
      <alignment horizontal="center" vertical="center" wrapText="1"/>
    </xf>
    <xf numFmtId="2" fontId="48" fillId="0" borderId="42" xfId="8" applyNumberFormat="1" applyBorder="1" applyAlignment="1">
      <alignment horizontal="center" vertical="center"/>
    </xf>
    <xf numFmtId="0" fontId="88" fillId="4" borderId="141" xfId="5" applyFont="1" applyFill="1" applyBorder="1"/>
    <xf numFmtId="0" fontId="63" fillId="0" borderId="42" xfId="0" applyFont="1" applyBorder="1"/>
    <xf numFmtId="43" fontId="62" fillId="19" borderId="142" xfId="1" applyFont="1" applyFill="1" applyBorder="1" applyAlignment="1" applyProtection="1">
      <alignment horizontal="left" vertical="center"/>
    </xf>
    <xf numFmtId="171" fontId="64" fillId="19" borderId="141" xfId="1" applyNumberFormat="1" applyFont="1" applyFill="1" applyBorder="1" applyAlignment="1" applyProtection="1">
      <alignment horizontal="left" vertical="center"/>
    </xf>
    <xf numFmtId="171" fontId="62" fillId="0" borderId="141" xfId="1" applyNumberFormat="1" applyFont="1" applyBorder="1" applyAlignment="1" applyProtection="1">
      <alignment horizontal="center" vertical="center"/>
    </xf>
    <xf numFmtId="171" fontId="62" fillId="0" borderId="142" xfId="1" applyNumberFormat="1" applyFont="1" applyBorder="1" applyAlignment="1" applyProtection="1">
      <alignment horizontal="center" vertical="center"/>
    </xf>
    <xf numFmtId="43" fontId="62" fillId="0" borderId="142" xfId="1" applyFont="1" applyFill="1" applyBorder="1" applyAlignment="1" applyProtection="1">
      <alignment horizontal="left" vertical="center"/>
    </xf>
    <xf numFmtId="171" fontId="64" fillId="0" borderId="141" xfId="1" applyNumberFormat="1" applyFont="1" applyFill="1" applyBorder="1" applyAlignment="1" applyProtection="1">
      <alignment horizontal="left" vertical="center"/>
    </xf>
    <xf numFmtId="9" fontId="62" fillId="19" borderId="142" xfId="3" applyFont="1" applyFill="1" applyBorder="1" applyAlignment="1" applyProtection="1">
      <alignment horizontal="left" vertical="center"/>
    </xf>
    <xf numFmtId="168" fontId="62" fillId="0" borderId="141" xfId="1" applyNumberFormat="1" applyFont="1" applyBorder="1" applyAlignment="1" applyProtection="1">
      <alignment horizontal="center" vertical="center"/>
    </xf>
    <xf numFmtId="177" fontId="62" fillId="0" borderId="141" xfId="1" applyNumberFormat="1" applyFont="1" applyBorder="1" applyAlignment="1" applyProtection="1">
      <alignment horizontal="center" vertical="center"/>
    </xf>
    <xf numFmtId="9" fontId="62" fillId="0" borderId="142" xfId="3" applyFont="1" applyFill="1" applyBorder="1" applyAlignment="1" applyProtection="1">
      <alignment horizontal="center" vertical="center"/>
    </xf>
    <xf numFmtId="0" fontId="62" fillId="0" borderId="141" xfId="0" applyFont="1" applyBorder="1" applyAlignment="1">
      <alignment vertical="center"/>
    </xf>
    <xf numFmtId="0" fontId="62" fillId="0" borderId="142" xfId="0" applyFont="1" applyBorder="1" applyAlignment="1">
      <alignment horizontal="center" vertical="center"/>
    </xf>
    <xf numFmtId="43" fontId="62" fillId="0" borderId="141" xfId="1" applyFont="1" applyBorder="1" applyAlignment="1" applyProtection="1">
      <alignment horizontal="center" vertical="center"/>
    </xf>
    <xf numFmtId="165" fontId="62" fillId="0" borderId="141" xfId="1" applyNumberFormat="1" applyFont="1" applyBorder="1" applyAlignment="1" applyProtection="1">
      <alignment horizontal="center" vertical="center"/>
    </xf>
    <xf numFmtId="176" fontId="62" fillId="0" borderId="141" xfId="1" applyNumberFormat="1" applyFont="1" applyBorder="1" applyAlignment="1" applyProtection="1">
      <alignment horizontal="center" vertical="center"/>
    </xf>
    <xf numFmtId="0" fontId="62" fillId="0" borderId="141" xfId="0" applyFont="1" applyBorder="1" applyAlignment="1" applyProtection="1">
      <alignment horizontal="center" vertical="center" wrapText="1"/>
      <protection locked="0"/>
    </xf>
    <xf numFmtId="0" fontId="62" fillId="0" borderId="142" xfId="0" applyFont="1" applyBorder="1" applyAlignment="1" applyProtection="1">
      <alignment horizontal="center" vertical="center" wrapText="1"/>
      <protection locked="0"/>
    </xf>
    <xf numFmtId="168" fontId="64" fillId="0" borderId="141" xfId="1" applyNumberFormat="1" applyFont="1" applyBorder="1" applyAlignment="1" applyProtection="1">
      <alignment horizontal="center"/>
    </xf>
    <xf numFmtId="168" fontId="64" fillId="0" borderId="142" xfId="1" applyNumberFormat="1" applyFont="1" applyBorder="1" applyAlignment="1" applyProtection="1">
      <alignment horizontal="center"/>
    </xf>
    <xf numFmtId="168" fontId="62" fillId="0" borderId="141" xfId="1" applyNumberFormat="1" applyFont="1" applyFill="1" applyBorder="1" applyProtection="1">
      <protection locked="0"/>
    </xf>
    <xf numFmtId="168" fontId="62" fillId="0" borderId="142" xfId="1" applyNumberFormat="1" applyFont="1" applyBorder="1" applyProtection="1">
      <protection locked="0"/>
    </xf>
    <xf numFmtId="168" fontId="62" fillId="0" borderId="142" xfId="1" applyNumberFormat="1" applyFont="1" applyFill="1" applyBorder="1" applyProtection="1">
      <protection locked="0"/>
    </xf>
    <xf numFmtId="168" fontId="64" fillId="0" borderId="141" xfId="1" applyNumberFormat="1" applyFont="1" applyBorder="1" applyAlignment="1" applyProtection="1">
      <alignment horizontal="center"/>
      <protection locked="0"/>
    </xf>
    <xf numFmtId="168" fontId="64" fillId="0" borderId="142" xfId="1" applyNumberFormat="1" applyFont="1" applyBorder="1" applyAlignment="1" applyProtection="1">
      <alignment horizontal="center"/>
      <protection locked="0"/>
    </xf>
    <xf numFmtId="171" fontId="64" fillId="0" borderId="141" xfId="1" applyNumberFormat="1" applyFont="1" applyBorder="1" applyAlignment="1">
      <alignment horizontal="center"/>
    </xf>
    <xf numFmtId="171" fontId="64" fillId="0" borderId="142" xfId="1" applyNumberFormat="1" applyFont="1" applyBorder="1" applyAlignment="1">
      <alignment horizontal="center"/>
    </xf>
    <xf numFmtId="171" fontId="64" fillId="0" borderId="141" xfId="1" applyNumberFormat="1" applyFont="1" applyBorder="1" applyAlignment="1" applyProtection="1">
      <alignment horizontal="center"/>
    </xf>
    <xf numFmtId="171" fontId="64" fillId="0" borderId="142" xfId="1" applyNumberFormat="1" applyFont="1" applyBorder="1" applyAlignment="1" applyProtection="1">
      <alignment horizontal="center"/>
    </xf>
    <xf numFmtId="168" fontId="64" fillId="0" borderId="141" xfId="1" applyNumberFormat="1" applyFont="1" applyBorder="1" applyAlignment="1" applyProtection="1">
      <alignment horizontal="center" wrapText="1"/>
    </xf>
    <xf numFmtId="168" fontId="62" fillId="0" borderId="141" xfId="1" applyNumberFormat="1" applyFont="1" applyBorder="1" applyProtection="1">
      <protection locked="0"/>
    </xf>
    <xf numFmtId="171" fontId="65" fillId="0" borderId="142" xfId="1" applyNumberFormat="1" applyFont="1" applyBorder="1" applyAlignment="1" applyProtection="1">
      <alignment vertical="center"/>
    </xf>
    <xf numFmtId="43" fontId="67" fillId="4" borderId="141" xfId="1" applyFont="1" applyFill="1" applyBorder="1" applyAlignment="1" applyProtection="1">
      <alignment horizontal="center" vertical="center"/>
    </xf>
    <xf numFmtId="171" fontId="67" fillId="4" borderId="142" xfId="1" applyNumberFormat="1" applyFont="1" applyFill="1" applyBorder="1" applyAlignment="1" applyProtection="1">
      <alignment vertical="center"/>
    </xf>
    <xf numFmtId="171" fontId="64" fillId="0" borderId="141" xfId="1" applyNumberFormat="1" applyFont="1" applyBorder="1" applyAlignment="1" applyProtection="1">
      <alignment horizontal="center"/>
      <protection locked="0"/>
    </xf>
    <xf numFmtId="168" fontId="64" fillId="0" borderId="141" xfId="1" applyNumberFormat="1" applyFont="1" applyBorder="1" applyAlignment="1">
      <alignment horizontal="center"/>
    </xf>
    <xf numFmtId="168" fontId="64" fillId="0" borderId="142" xfId="1" applyNumberFormat="1" applyFont="1" applyBorder="1" applyAlignment="1">
      <alignment horizontal="center"/>
    </xf>
    <xf numFmtId="43" fontId="64" fillId="0" borderId="141" xfId="1" applyFont="1" applyBorder="1" applyAlignment="1">
      <alignment horizontal="center"/>
    </xf>
    <xf numFmtId="43" fontId="64" fillId="0" borderId="141" xfId="1" applyFont="1" applyBorder="1" applyAlignment="1" applyProtection="1">
      <alignment horizontal="center"/>
    </xf>
    <xf numFmtId="43" fontId="64" fillId="0" borderId="142" xfId="1" applyFont="1" applyBorder="1" applyAlignment="1">
      <alignment horizontal="center"/>
    </xf>
    <xf numFmtId="171" fontId="64" fillId="0" borderId="142" xfId="1" applyNumberFormat="1" applyFont="1" applyBorder="1" applyAlignment="1" applyProtection="1">
      <alignment horizontal="center"/>
      <protection locked="0"/>
    </xf>
    <xf numFmtId="1" fontId="64" fillId="0" borderId="141" xfId="0" applyNumberFormat="1" applyFont="1" applyBorder="1" applyAlignment="1" applyProtection="1">
      <alignment horizontal="center"/>
      <protection locked="0"/>
    </xf>
    <xf numFmtId="171" fontId="64" fillId="0" borderId="141" xfId="3" applyNumberFormat="1" applyFont="1" applyBorder="1" applyAlignment="1" applyProtection="1">
      <alignment horizontal="center"/>
      <protection locked="0"/>
    </xf>
    <xf numFmtId="43" fontId="64" fillId="0" borderId="142" xfId="1" applyFont="1" applyBorder="1" applyAlignment="1" applyProtection="1">
      <alignment horizontal="center"/>
    </xf>
    <xf numFmtId="9" fontId="64" fillId="23" borderId="142" xfId="0" applyNumberFormat="1" applyFont="1" applyFill="1" applyBorder="1" applyProtection="1">
      <protection locked="0"/>
    </xf>
    <xf numFmtId="43" fontId="64" fillId="0" borderId="141" xfId="1" applyFont="1" applyBorder="1" applyAlignment="1" applyProtection="1">
      <alignment horizontal="center"/>
      <protection locked="0"/>
    </xf>
    <xf numFmtId="166" fontId="73" fillId="24" borderId="141" xfId="0" applyNumberFormat="1" applyFont="1" applyFill="1" applyBorder="1" applyProtection="1">
      <protection locked="0"/>
    </xf>
    <xf numFmtId="0" fontId="62" fillId="0" borderId="141" xfId="0" applyFont="1" applyBorder="1"/>
    <xf numFmtId="0" fontId="62" fillId="0" borderId="142" xfId="0" applyFont="1" applyBorder="1" applyAlignment="1">
      <alignment horizontal="center"/>
    </xf>
    <xf numFmtId="0" fontId="62" fillId="0" borderId="141" xfId="0" applyFont="1" applyBorder="1" applyAlignment="1">
      <alignment horizontal="center"/>
    </xf>
    <xf numFmtId="168" fontId="62" fillId="0" borderId="141" xfId="1" applyNumberFormat="1" applyFont="1" applyBorder="1" applyAlignment="1">
      <alignment horizontal="center"/>
    </xf>
    <xf numFmtId="177" fontId="62" fillId="0" borderId="141" xfId="1" applyNumberFormat="1" applyFont="1" applyBorder="1" applyAlignment="1" applyProtection="1">
      <alignment horizontal="center"/>
    </xf>
    <xf numFmtId="9" fontId="62" fillId="0" borderId="142" xfId="3" applyFont="1" applyFill="1" applyBorder="1" applyAlignment="1" applyProtection="1">
      <alignment horizontal="center"/>
    </xf>
    <xf numFmtId="43" fontId="62" fillId="0" borderId="141" xfId="1" applyFont="1" applyBorder="1" applyAlignment="1">
      <alignment horizontal="center"/>
    </xf>
    <xf numFmtId="165" fontId="62" fillId="0" borderId="141" xfId="1" applyNumberFormat="1" applyFont="1" applyBorder="1" applyAlignment="1" applyProtection="1">
      <alignment horizontal="center"/>
    </xf>
    <xf numFmtId="171" fontId="62" fillId="0" borderId="141" xfId="1" applyNumberFormat="1" applyFont="1" applyBorder="1" applyAlignment="1">
      <alignment horizontal="center"/>
    </xf>
    <xf numFmtId="176" fontId="62" fillId="0" borderId="141" xfId="1" applyNumberFormat="1" applyFont="1" applyBorder="1" applyAlignment="1" applyProtection="1">
      <alignment horizontal="center"/>
    </xf>
    <xf numFmtId="171" fontId="64" fillId="0" borderId="144" xfId="1" applyNumberFormat="1" applyFont="1" applyBorder="1" applyAlignment="1" applyProtection="1">
      <alignment horizontal="center" vertical="center"/>
    </xf>
    <xf numFmtId="171" fontId="62" fillId="0" borderId="144" xfId="1" applyNumberFormat="1" applyFont="1" applyBorder="1" applyAlignment="1" applyProtection="1">
      <alignment horizontal="center" vertical="center"/>
    </xf>
    <xf numFmtId="168" fontId="62" fillId="0" borderId="144" xfId="1" applyNumberFormat="1" applyFont="1" applyBorder="1" applyAlignment="1" applyProtection="1">
      <alignment horizontal="center" vertical="center"/>
    </xf>
    <xf numFmtId="0" fontId="62" fillId="0" borderId="144" xfId="0" applyFont="1" applyBorder="1" applyAlignment="1">
      <alignment horizontal="center" vertical="center"/>
    </xf>
    <xf numFmtId="43" fontId="62" fillId="0" borderId="144" xfId="1" applyFont="1" applyBorder="1" applyAlignment="1" applyProtection="1">
      <alignment horizontal="center" vertical="center"/>
    </xf>
    <xf numFmtId="43" fontId="64" fillId="0" borderId="143" xfId="1" applyFont="1" applyBorder="1" applyAlignment="1" applyProtection="1">
      <alignment vertical="center"/>
    </xf>
    <xf numFmtId="43" fontId="62" fillId="0" borderId="143" xfId="1" applyFont="1" applyBorder="1" applyAlignment="1" applyProtection="1">
      <alignment vertical="center"/>
      <protection locked="0"/>
    </xf>
    <xf numFmtId="168" fontId="64" fillId="0" borderId="144" xfId="1" applyNumberFormat="1" applyFont="1" applyBorder="1" applyAlignment="1" applyProtection="1">
      <alignment horizontal="center"/>
    </xf>
    <xf numFmtId="166" fontId="73" fillId="16" borderId="145" xfId="0" applyNumberFormat="1" applyFont="1" applyFill="1" applyBorder="1"/>
    <xf numFmtId="171" fontId="73" fillId="24" borderId="144" xfId="1" applyNumberFormat="1" applyFont="1" applyFill="1" applyBorder="1" applyAlignment="1">
      <alignment horizontal="left"/>
    </xf>
    <xf numFmtId="168" fontId="62" fillId="0" borderId="144" xfId="1" applyNumberFormat="1" applyFont="1" applyFill="1" applyBorder="1" applyProtection="1">
      <protection locked="0"/>
    </xf>
    <xf numFmtId="168" fontId="64" fillId="23" borderId="144" xfId="1" applyNumberFormat="1" applyFont="1" applyFill="1" applyBorder="1" applyProtection="1">
      <protection locked="0"/>
    </xf>
    <xf numFmtId="9" fontId="64" fillId="23" borderId="146" xfId="0" applyNumberFormat="1" applyFont="1" applyFill="1" applyBorder="1" applyProtection="1">
      <protection locked="0"/>
    </xf>
    <xf numFmtId="168" fontId="64" fillId="0" borderId="144" xfId="1" applyNumberFormat="1" applyFont="1" applyBorder="1" applyAlignment="1" applyProtection="1">
      <alignment horizontal="center"/>
      <protection locked="0"/>
    </xf>
    <xf numFmtId="171" fontId="64" fillId="0" borderId="144" xfId="1" applyNumberFormat="1" applyFont="1" applyBorder="1" applyAlignment="1">
      <alignment horizontal="center"/>
    </xf>
    <xf numFmtId="171" fontId="73" fillId="24" borderId="144" xfId="1" applyNumberFormat="1" applyFont="1" applyFill="1" applyBorder="1" applyAlignment="1" applyProtection="1">
      <alignment horizontal="left"/>
    </xf>
    <xf numFmtId="168" fontId="64" fillId="0" borderId="144" xfId="1" applyNumberFormat="1" applyFont="1" applyBorder="1" applyAlignment="1">
      <alignment horizontal="center"/>
    </xf>
    <xf numFmtId="9" fontId="64" fillId="23" borderId="143" xfId="0" applyNumberFormat="1" applyFont="1" applyFill="1" applyBorder="1" applyProtection="1">
      <protection locked="0"/>
    </xf>
    <xf numFmtId="168" fontId="62" fillId="0" borderId="146" xfId="1" applyNumberFormat="1" applyFont="1" applyBorder="1" applyProtection="1">
      <protection locked="0"/>
    </xf>
    <xf numFmtId="168" fontId="67" fillId="4" borderId="144" xfId="1" applyNumberFormat="1" applyFont="1" applyFill="1" applyBorder="1" applyAlignment="1" applyProtection="1">
      <alignment horizontal="center" vertical="center"/>
    </xf>
    <xf numFmtId="177" fontId="62" fillId="0" borderId="144" xfId="1" applyNumberFormat="1" applyFont="1" applyBorder="1" applyAlignment="1" applyProtection="1">
      <alignment horizontal="center"/>
    </xf>
    <xf numFmtId="171" fontId="73" fillId="24" borderId="144" xfId="1" applyNumberFormat="1" applyFont="1" applyFill="1" applyBorder="1" applyProtection="1"/>
    <xf numFmtId="0" fontId="73" fillId="23" borderId="144" xfId="0" applyFont="1" applyFill="1" applyBorder="1" applyProtection="1">
      <protection locked="0"/>
    </xf>
    <xf numFmtId="168" fontId="64" fillId="0" borderId="145" xfId="1" applyNumberFormat="1" applyFont="1" applyBorder="1" applyAlignment="1" applyProtection="1">
      <alignment horizontal="center"/>
    </xf>
    <xf numFmtId="43" fontId="64" fillId="0" borderId="145" xfId="1" applyFont="1" applyBorder="1" applyAlignment="1" applyProtection="1">
      <alignment horizontal="center"/>
    </xf>
    <xf numFmtId="171" fontId="64" fillId="0" borderId="145" xfId="1" applyNumberFormat="1" applyFont="1" applyBorder="1" applyAlignment="1" applyProtection="1">
      <alignment horizontal="center"/>
    </xf>
    <xf numFmtId="171" fontId="64" fillId="0" borderId="146" xfId="1" applyNumberFormat="1" applyFont="1" applyBorder="1" applyAlignment="1" applyProtection="1">
      <alignment horizontal="center"/>
      <protection locked="0"/>
    </xf>
    <xf numFmtId="0" fontId="73" fillId="0" borderId="145" xfId="0" applyFont="1" applyBorder="1" applyProtection="1">
      <protection locked="0"/>
    </xf>
    <xf numFmtId="1" fontId="64" fillId="0" borderId="146" xfId="0" applyNumberFormat="1" applyFont="1" applyBorder="1" applyAlignment="1" applyProtection="1">
      <alignment horizontal="center"/>
      <protection locked="0"/>
    </xf>
    <xf numFmtId="167" fontId="64" fillId="23" borderId="144" xfId="0" applyNumberFormat="1" applyFont="1" applyFill="1" applyBorder="1" applyAlignment="1" applyProtection="1">
      <alignment horizontal="left"/>
      <protection locked="0"/>
    </xf>
    <xf numFmtId="171" fontId="64" fillId="0" borderId="146" xfId="3" applyNumberFormat="1" applyFont="1" applyBorder="1" applyAlignment="1" applyProtection="1">
      <alignment horizontal="center"/>
      <protection locked="0"/>
    </xf>
    <xf numFmtId="0" fontId="73" fillId="0" borderId="145" xfId="0" applyFont="1" applyBorder="1" applyAlignment="1">
      <alignment horizontal="left"/>
    </xf>
    <xf numFmtId="9" fontId="64" fillId="0" borderId="145" xfId="3" applyFont="1" applyFill="1" applyBorder="1" applyAlignment="1" applyProtection="1">
      <alignment horizontal="right"/>
    </xf>
    <xf numFmtId="9" fontId="64" fillId="0" borderId="143" xfId="3" applyFont="1" applyFill="1" applyBorder="1" applyAlignment="1" applyProtection="1">
      <alignment horizontal="right"/>
    </xf>
    <xf numFmtId="0" fontId="73" fillId="0" borderId="143" xfId="0" applyFont="1" applyBorder="1" applyAlignment="1">
      <alignment horizontal="left"/>
    </xf>
    <xf numFmtId="0" fontId="73" fillId="0" borderId="145" xfId="0" applyFont="1" applyBorder="1"/>
    <xf numFmtId="0" fontId="73" fillId="23" borderId="143" xfId="0" applyFont="1" applyFill="1" applyBorder="1" applyProtection="1">
      <protection locked="0"/>
    </xf>
    <xf numFmtId="0" fontId="73" fillId="24" borderId="144" xfId="0" applyFont="1" applyFill="1" applyBorder="1" applyProtection="1">
      <protection locked="0"/>
    </xf>
    <xf numFmtId="0" fontId="62" fillId="0" borderId="144" xfId="0" applyFont="1" applyBorder="1" applyAlignment="1">
      <alignment horizontal="center"/>
    </xf>
    <xf numFmtId="168" fontId="62" fillId="0" borderId="144" xfId="1" applyNumberFormat="1" applyFont="1" applyBorder="1" applyAlignment="1">
      <alignment horizontal="center"/>
    </xf>
    <xf numFmtId="43" fontId="62" fillId="0" borderId="144" xfId="1" applyFont="1" applyBorder="1" applyAlignment="1">
      <alignment horizontal="center"/>
    </xf>
    <xf numFmtId="171" fontId="62" fillId="0" borderId="144" xfId="1" applyNumberFormat="1" applyFont="1" applyBorder="1" applyAlignment="1">
      <alignment horizontal="center"/>
    </xf>
    <xf numFmtId="0" fontId="62" fillId="0" borderId="42" xfId="0" applyFont="1" applyBorder="1"/>
    <xf numFmtId="0" fontId="48" fillId="0" borderId="42" xfId="8" applyBorder="1" applyAlignment="1">
      <alignment horizontal="center"/>
    </xf>
    <xf numFmtId="43" fontId="62" fillId="19" borderId="147" xfId="1" applyFont="1" applyFill="1" applyBorder="1" applyAlignment="1" applyProtection="1">
      <alignment horizontal="left" vertical="center"/>
    </xf>
    <xf numFmtId="43" fontId="62" fillId="19" borderId="148" xfId="1" applyFont="1" applyFill="1" applyBorder="1" applyAlignment="1" applyProtection="1">
      <alignment horizontal="left" vertical="center"/>
    </xf>
    <xf numFmtId="0" fontId="62" fillId="0" borderId="149" xfId="0" applyFont="1" applyBorder="1" applyAlignment="1">
      <alignment horizontal="center" vertical="center"/>
    </xf>
    <xf numFmtId="0" fontId="62" fillId="0" borderId="150" xfId="0" applyFont="1" applyBorder="1" applyAlignment="1">
      <alignment vertical="center"/>
    </xf>
    <xf numFmtId="0" fontId="62" fillId="0" borderId="151" xfId="0" applyFont="1" applyBorder="1" applyAlignment="1">
      <alignment horizontal="center" vertical="center"/>
    </xf>
    <xf numFmtId="171" fontId="62" fillId="0" borderId="149" xfId="1" applyNumberFormat="1" applyFont="1" applyBorder="1" applyAlignment="1" applyProtection="1">
      <alignment horizontal="center" vertical="center"/>
    </xf>
    <xf numFmtId="171" fontId="62" fillId="0" borderId="150" xfId="1" applyNumberFormat="1" applyFont="1" applyBorder="1" applyAlignment="1" applyProtection="1">
      <alignment horizontal="center" vertical="center"/>
    </xf>
    <xf numFmtId="176" fontId="62" fillId="0" borderId="150" xfId="1" applyNumberFormat="1" applyFont="1" applyBorder="1" applyAlignment="1" applyProtection="1">
      <alignment horizontal="center" vertical="center"/>
    </xf>
    <xf numFmtId="9" fontId="62" fillId="0" borderId="151" xfId="3" applyFont="1" applyFill="1" applyBorder="1" applyAlignment="1" applyProtection="1">
      <alignment horizontal="center" vertical="center"/>
    </xf>
    <xf numFmtId="168" fontId="62" fillId="0" borderId="149" xfId="1" applyNumberFormat="1" applyFont="1" applyBorder="1" applyAlignment="1" applyProtection="1">
      <alignment horizontal="center" vertical="center"/>
    </xf>
    <xf numFmtId="168" fontId="62" fillId="0" borderId="150" xfId="1" applyNumberFormat="1" applyFont="1" applyBorder="1" applyAlignment="1" applyProtection="1">
      <alignment horizontal="center" vertical="center"/>
    </xf>
    <xf numFmtId="177" fontId="62" fillId="0" borderId="150" xfId="1" applyNumberFormat="1" applyFont="1" applyBorder="1" applyAlignment="1" applyProtection="1">
      <alignment horizontal="center" vertical="center"/>
    </xf>
    <xf numFmtId="43" fontId="62" fillId="0" borderId="149" xfId="1" applyFont="1" applyBorder="1" applyAlignment="1" applyProtection="1">
      <alignment horizontal="center" vertical="center"/>
    </xf>
    <xf numFmtId="43" fontId="62" fillId="0" borderId="150" xfId="1" applyFont="1" applyBorder="1" applyAlignment="1" applyProtection="1">
      <alignment horizontal="center" vertical="center"/>
    </xf>
    <xf numFmtId="165" fontId="62" fillId="0" borderId="150" xfId="1" applyNumberFormat="1" applyFont="1" applyBorder="1" applyAlignment="1" applyProtection="1">
      <alignment horizontal="center" vertical="center"/>
    </xf>
    <xf numFmtId="43" fontId="62" fillId="0" borderId="152" xfId="1" applyFont="1" applyBorder="1" applyAlignment="1" applyProtection="1">
      <alignment vertical="center"/>
      <protection locked="0"/>
    </xf>
    <xf numFmtId="0" fontId="62" fillId="0" borderId="150" xfId="0" applyFont="1" applyBorder="1" applyAlignment="1" applyProtection="1">
      <alignment horizontal="center" vertical="center" wrapText="1"/>
      <protection locked="0"/>
    </xf>
    <xf numFmtId="0" fontId="62" fillId="0" borderId="151" xfId="0" applyFont="1" applyBorder="1" applyAlignment="1" applyProtection="1">
      <alignment horizontal="center" vertical="center" wrapText="1"/>
      <protection locked="0"/>
    </xf>
    <xf numFmtId="0" fontId="64" fillId="0" borderId="153" xfId="0" applyFont="1" applyBorder="1" applyAlignment="1" applyProtection="1">
      <alignment horizontal="center" vertical="center" wrapText="1"/>
      <protection locked="0"/>
    </xf>
    <xf numFmtId="0" fontId="62" fillId="0" borderId="154" xfId="0" applyFont="1" applyBorder="1" applyAlignment="1" applyProtection="1">
      <alignment horizontal="center" vertical="center" wrapText="1"/>
      <protection locked="0"/>
    </xf>
    <xf numFmtId="0" fontId="62" fillId="0" borderId="155" xfId="0" applyFont="1" applyBorder="1" applyAlignment="1" applyProtection="1">
      <alignment horizontal="center" vertical="center" wrapText="1"/>
      <protection locked="0"/>
    </xf>
    <xf numFmtId="171" fontId="64" fillId="0" borderId="156" xfId="1" applyNumberFormat="1" applyFont="1" applyBorder="1" applyAlignment="1">
      <alignment horizontal="center"/>
    </xf>
    <xf numFmtId="9" fontId="64" fillId="0" borderId="148" xfId="3" applyFont="1" applyBorder="1" applyAlignment="1">
      <alignment horizontal="center"/>
    </xf>
    <xf numFmtId="168" fontId="64" fillId="23" borderId="149" xfId="1" applyNumberFormat="1" applyFont="1" applyFill="1" applyBorder="1" applyProtection="1">
      <protection locked="0"/>
    </xf>
    <xf numFmtId="168" fontId="64" fillId="0" borderId="150" xfId="1" applyNumberFormat="1" applyFont="1" applyBorder="1" applyAlignment="1" applyProtection="1">
      <alignment horizontal="center"/>
      <protection locked="0"/>
    </xf>
    <xf numFmtId="9" fontId="64" fillId="23" borderId="151" xfId="0" applyNumberFormat="1" applyFont="1" applyFill="1" applyBorder="1" applyProtection="1">
      <protection locked="0"/>
    </xf>
    <xf numFmtId="168" fontId="64" fillId="0" borderId="149" xfId="1" applyNumberFormat="1" applyFont="1" applyBorder="1" applyAlignment="1" applyProtection="1">
      <alignment horizontal="center"/>
      <protection locked="0"/>
    </xf>
    <xf numFmtId="168" fontId="64" fillId="0" borderId="151" xfId="1" applyNumberFormat="1" applyFont="1" applyBorder="1" applyAlignment="1" applyProtection="1">
      <alignment horizontal="center"/>
      <protection locked="0"/>
    </xf>
    <xf numFmtId="9" fontId="64" fillId="23" borderId="155" xfId="0" applyNumberFormat="1" applyFont="1" applyFill="1" applyBorder="1" applyProtection="1">
      <protection locked="0"/>
    </xf>
    <xf numFmtId="171" fontId="64" fillId="0" borderId="156" xfId="1" applyNumberFormat="1" applyFont="1" applyFill="1" applyBorder="1" applyAlignment="1" applyProtection="1">
      <alignment horizontal="center"/>
    </xf>
    <xf numFmtId="171" fontId="64" fillId="0" borderId="147" xfId="1" applyNumberFormat="1" applyFont="1" applyBorder="1" applyAlignment="1" applyProtection="1">
      <alignment horizontal="center"/>
      <protection locked="0"/>
    </xf>
    <xf numFmtId="171" fontId="64" fillId="0" borderId="149" xfId="1" applyNumberFormat="1" applyFont="1" applyBorder="1" applyAlignment="1" applyProtection="1">
      <alignment horizontal="center"/>
      <protection locked="0"/>
    </xf>
    <xf numFmtId="171" fontId="64" fillId="0" borderId="150" xfId="1" applyNumberFormat="1" applyFont="1" applyBorder="1" applyAlignment="1" applyProtection="1">
      <alignment horizontal="center"/>
      <protection locked="0"/>
    </xf>
    <xf numFmtId="171" fontId="64" fillId="0" borderId="151" xfId="1" applyNumberFormat="1" applyFont="1" applyBorder="1" applyAlignment="1" applyProtection="1">
      <alignment horizontal="center"/>
      <protection locked="0"/>
    </xf>
    <xf numFmtId="9" fontId="64" fillId="23" borderId="148" xfId="0" applyNumberFormat="1" applyFont="1" applyFill="1" applyBorder="1" applyProtection="1">
      <protection locked="0"/>
    </xf>
    <xf numFmtId="171" fontId="64" fillId="0" borderId="152" xfId="1" applyNumberFormat="1" applyFont="1" applyBorder="1" applyAlignment="1" applyProtection="1">
      <alignment horizontal="center"/>
      <protection locked="0"/>
    </xf>
    <xf numFmtId="168" fontId="62" fillId="0" borderId="154" xfId="1" applyNumberFormat="1" applyFont="1" applyFill="1" applyBorder="1" applyProtection="1">
      <protection locked="0"/>
    </xf>
    <xf numFmtId="168" fontId="62" fillId="0" borderId="150" xfId="1" applyNumberFormat="1" applyFont="1" applyFill="1" applyBorder="1" applyProtection="1">
      <protection locked="0"/>
    </xf>
    <xf numFmtId="168" fontId="62" fillId="0" borderId="154" xfId="1" applyNumberFormat="1" applyFont="1" applyBorder="1" applyProtection="1">
      <protection locked="0"/>
    </xf>
    <xf numFmtId="168" fontId="62" fillId="0" borderId="150" xfId="1" applyNumberFormat="1" applyFont="1" applyBorder="1" applyProtection="1">
      <protection locked="0"/>
    </xf>
    <xf numFmtId="168" fontId="62" fillId="0" borderId="155" xfId="1" applyNumberFormat="1" applyFont="1" applyBorder="1" applyProtection="1">
      <protection locked="0"/>
    </xf>
    <xf numFmtId="168" fontId="62" fillId="0" borderId="150" xfId="1" applyNumberFormat="1" applyFont="1" applyFill="1" applyBorder="1" applyAlignment="1" applyProtection="1">
      <alignment wrapText="1"/>
      <protection locked="0"/>
    </xf>
    <xf numFmtId="168" fontId="62" fillId="0" borderId="150" xfId="1" applyNumberFormat="1" applyFont="1" applyFill="1" applyBorder="1" applyAlignment="1" applyProtection="1">
      <protection locked="0"/>
    </xf>
    <xf numFmtId="168" fontId="62" fillId="0" borderId="155" xfId="1" applyNumberFormat="1" applyFont="1" applyFill="1" applyBorder="1" applyProtection="1">
      <protection locked="0"/>
    </xf>
    <xf numFmtId="168" fontId="62" fillId="0" borderId="154" xfId="1" applyNumberFormat="1" applyFont="1" applyFill="1" applyBorder="1" applyAlignment="1" applyProtection="1">
      <alignment wrapText="1"/>
      <protection locked="0"/>
    </xf>
    <xf numFmtId="168" fontId="62" fillId="0" borderId="150" xfId="1" applyNumberFormat="1" applyFont="1" applyBorder="1" applyAlignment="1" applyProtection="1">
      <alignment wrapText="1"/>
      <protection locked="0"/>
    </xf>
    <xf numFmtId="168" fontId="62" fillId="0" borderId="156" xfId="1" applyNumberFormat="1" applyFont="1" applyBorder="1" applyProtection="1">
      <protection locked="0"/>
    </xf>
    <xf numFmtId="43" fontId="62" fillId="0" borderId="150" xfId="1" applyFont="1" applyBorder="1" applyAlignment="1" applyProtection="1">
      <alignment horizontal="center"/>
    </xf>
    <xf numFmtId="171" fontId="65" fillId="0" borderId="148" xfId="1" applyNumberFormat="1" applyFont="1" applyBorder="1" applyAlignment="1" applyProtection="1">
      <alignment vertical="center"/>
    </xf>
    <xf numFmtId="0" fontId="62" fillId="0" borderId="150" xfId="0" applyFont="1" applyBorder="1"/>
    <xf numFmtId="168" fontId="65" fillId="0" borderId="153" xfId="1" applyNumberFormat="1" applyFont="1" applyBorder="1" applyAlignment="1" applyProtection="1">
      <alignment vertical="center"/>
    </xf>
    <xf numFmtId="168" fontId="65" fillId="0" borderId="149" xfId="1" applyNumberFormat="1" applyFont="1" applyBorder="1" applyAlignment="1" applyProtection="1">
      <alignment vertical="center"/>
    </xf>
    <xf numFmtId="43" fontId="65" fillId="0" borderId="150" xfId="1" applyFont="1" applyBorder="1" applyAlignment="1" applyProtection="1">
      <alignment vertical="center"/>
    </xf>
    <xf numFmtId="9" fontId="65" fillId="15" borderId="149" xfId="0" applyNumberFormat="1" applyFont="1" applyFill="1" applyBorder="1" applyAlignment="1">
      <alignment vertical="center"/>
    </xf>
    <xf numFmtId="9" fontId="65" fillId="15" borderId="150" xfId="0" applyNumberFormat="1" applyFont="1" applyFill="1" applyBorder="1" applyAlignment="1">
      <alignment vertical="center"/>
    </xf>
    <xf numFmtId="9" fontId="65" fillId="15" borderId="151" xfId="0" applyNumberFormat="1" applyFont="1" applyFill="1" applyBorder="1" applyAlignment="1">
      <alignment vertical="center"/>
    </xf>
    <xf numFmtId="9" fontId="65" fillId="15" borderId="154" xfId="0" applyNumberFormat="1" applyFont="1" applyFill="1" applyBorder="1" applyAlignment="1">
      <alignment vertical="center"/>
    </xf>
    <xf numFmtId="168" fontId="67" fillId="4" borderId="149" xfId="1" applyNumberFormat="1" applyFont="1" applyFill="1" applyBorder="1" applyAlignment="1" applyProtection="1">
      <alignment horizontal="center" vertical="center"/>
    </xf>
    <xf numFmtId="43" fontId="67" fillId="4" borderId="150" xfId="1" applyFont="1" applyFill="1" applyBorder="1" applyAlignment="1" applyProtection="1">
      <alignment horizontal="center" vertical="center"/>
    </xf>
    <xf numFmtId="171" fontId="67" fillId="4" borderId="151" xfId="1" applyNumberFormat="1" applyFont="1" applyFill="1" applyBorder="1" applyAlignment="1" applyProtection="1">
      <alignment vertical="center"/>
    </xf>
    <xf numFmtId="177" fontId="62" fillId="0" borderId="156" xfId="1" applyNumberFormat="1" applyFont="1" applyBorder="1" applyAlignment="1" applyProtection="1">
      <alignment horizontal="center"/>
    </xf>
    <xf numFmtId="177" fontId="62" fillId="0" borderId="148" xfId="1" applyNumberFormat="1" applyFont="1" applyBorder="1" applyAlignment="1" applyProtection="1">
      <alignment horizontal="center"/>
    </xf>
    <xf numFmtId="166" fontId="73" fillId="16" borderId="153" xfId="0" applyNumberFormat="1" applyFont="1" applyFill="1" applyBorder="1"/>
    <xf numFmtId="43" fontId="73" fillId="24" borderId="149" xfId="1" applyFont="1" applyFill="1" applyBorder="1" applyProtection="1"/>
    <xf numFmtId="168" fontId="64" fillId="0" borderId="156" xfId="1" applyNumberFormat="1" applyFont="1" applyBorder="1" applyAlignment="1" applyProtection="1">
      <alignment horizontal="center"/>
    </xf>
    <xf numFmtId="168" fontId="64" fillId="0" borderId="148" xfId="1" applyNumberFormat="1" applyFont="1" applyBorder="1" applyAlignment="1" applyProtection="1">
      <alignment horizontal="center"/>
    </xf>
    <xf numFmtId="9" fontId="64" fillId="0" borderId="148" xfId="3" applyFont="1" applyFill="1" applyBorder="1" applyAlignment="1" applyProtection="1">
      <alignment horizontal="center"/>
    </xf>
    <xf numFmtId="43" fontId="64" fillId="0" borderId="149" xfId="1" applyFont="1" applyBorder="1" applyAlignment="1" applyProtection="1">
      <alignment horizontal="center"/>
    </xf>
    <xf numFmtId="43" fontId="64" fillId="0" borderId="154" xfId="1" applyFont="1" applyBorder="1" applyAlignment="1" applyProtection="1">
      <alignment horizontal="center"/>
    </xf>
    <xf numFmtId="43" fontId="64" fillId="0" borderId="147" xfId="1" applyFont="1" applyBorder="1" applyAlignment="1" applyProtection="1">
      <alignment horizontal="center"/>
    </xf>
    <xf numFmtId="0" fontId="73" fillId="23" borderId="153" xfId="0" applyFont="1" applyFill="1" applyBorder="1" applyProtection="1">
      <protection locked="0"/>
    </xf>
    <xf numFmtId="9" fontId="64" fillId="23" borderId="147" xfId="0" applyNumberFormat="1" applyFont="1" applyFill="1" applyBorder="1" applyProtection="1">
      <protection locked="0"/>
    </xf>
    <xf numFmtId="168" fontId="64" fillId="0" borderId="154" xfId="1" applyNumberFormat="1" applyFont="1" applyBorder="1" applyAlignment="1" applyProtection="1">
      <alignment horizontal="center"/>
      <protection locked="0"/>
    </xf>
    <xf numFmtId="0" fontId="73" fillId="0" borderId="153" xfId="0" applyFont="1" applyBorder="1" applyAlignment="1" applyProtection="1">
      <alignment horizontal="left"/>
      <protection locked="0"/>
    </xf>
    <xf numFmtId="0" fontId="73" fillId="0" borderId="158" xfId="0" applyFont="1" applyBorder="1" applyAlignment="1" applyProtection="1">
      <alignment horizontal="center"/>
      <protection locked="0"/>
    </xf>
    <xf numFmtId="9" fontId="64" fillId="0" borderId="147" xfId="0" applyNumberFormat="1" applyFont="1" applyBorder="1" applyAlignment="1" applyProtection="1">
      <alignment horizontal="center"/>
      <protection locked="0"/>
    </xf>
    <xf numFmtId="0" fontId="76" fillId="24" borderId="149" xfId="0" applyFont="1" applyFill="1" applyBorder="1" applyProtection="1">
      <protection locked="0"/>
    </xf>
    <xf numFmtId="43" fontId="73" fillId="24" borderId="155" xfId="1" applyFont="1" applyFill="1" applyBorder="1" applyProtection="1">
      <protection locked="0"/>
    </xf>
    <xf numFmtId="9" fontId="73" fillId="24" borderId="151" xfId="0" applyNumberFormat="1" applyFont="1" applyFill="1" applyBorder="1" applyProtection="1">
      <protection locked="0"/>
    </xf>
    <xf numFmtId="43" fontId="62" fillId="23" borderId="154" xfId="1" applyFont="1" applyFill="1" applyBorder="1" applyAlignment="1" applyProtection="1">
      <alignment horizontal="center"/>
      <protection locked="0"/>
    </xf>
    <xf numFmtId="0" fontId="73" fillId="23" borderId="149" xfId="0" applyFont="1" applyFill="1" applyBorder="1" applyProtection="1">
      <protection locked="0"/>
    </xf>
    <xf numFmtId="43" fontId="64" fillId="0" borderId="150" xfId="1" applyFont="1" applyBorder="1" applyAlignment="1" applyProtection="1">
      <alignment horizontal="center"/>
      <protection locked="0"/>
    </xf>
    <xf numFmtId="43" fontId="64" fillId="0" borderId="154" xfId="1" applyFont="1" applyBorder="1" applyAlignment="1" applyProtection="1">
      <alignment horizontal="center"/>
      <protection locked="0"/>
    </xf>
    <xf numFmtId="171" fontId="62" fillId="23" borderId="154" xfId="1" applyNumberFormat="1" applyFont="1" applyFill="1" applyBorder="1" applyAlignment="1" applyProtection="1">
      <alignment horizontal="center"/>
      <protection locked="0"/>
    </xf>
    <xf numFmtId="171" fontId="62" fillId="23" borderId="154" xfId="1" applyNumberFormat="1" applyFont="1" applyFill="1" applyBorder="1" applyProtection="1">
      <protection locked="0"/>
    </xf>
    <xf numFmtId="171" fontId="62" fillId="23" borderId="150" xfId="1" applyNumberFormat="1" applyFont="1" applyFill="1" applyBorder="1" applyProtection="1">
      <protection locked="0"/>
    </xf>
    <xf numFmtId="171" fontId="62" fillId="23" borderId="158" xfId="1" applyNumberFormat="1" applyFont="1" applyFill="1" applyBorder="1" applyProtection="1">
      <protection locked="0"/>
    </xf>
    <xf numFmtId="171" fontId="64" fillId="0" borderId="156" xfId="1" applyNumberFormat="1" applyFont="1" applyBorder="1" applyAlignment="1" applyProtection="1">
      <alignment horizontal="center"/>
      <protection locked="0"/>
    </xf>
    <xf numFmtId="0" fontId="73" fillId="0" borderId="153" xfId="0" applyFont="1" applyBorder="1" applyProtection="1">
      <protection locked="0"/>
    </xf>
    <xf numFmtId="0" fontId="73" fillId="0" borderId="158" xfId="0" applyFont="1" applyBorder="1" applyProtection="1">
      <protection locked="0"/>
    </xf>
    <xf numFmtId="9" fontId="64" fillId="0" borderId="147" xfId="0" applyNumberFormat="1" applyFont="1" applyBorder="1" applyProtection="1">
      <protection locked="0"/>
    </xf>
    <xf numFmtId="43" fontId="97" fillId="0" borderId="154" xfId="1" applyFont="1" applyBorder="1" applyAlignment="1" applyProtection="1">
      <alignment horizontal="center"/>
      <protection locked="0"/>
    </xf>
    <xf numFmtId="43" fontId="62" fillId="23" borderId="158" xfId="1" applyFont="1" applyFill="1" applyBorder="1" applyProtection="1">
      <protection locked="0"/>
    </xf>
    <xf numFmtId="43" fontId="62" fillId="23" borderId="154" xfId="1" applyFont="1" applyFill="1" applyBorder="1" applyProtection="1">
      <protection locked="0"/>
    </xf>
    <xf numFmtId="43" fontId="62" fillId="23" borderId="150" xfId="1" applyFont="1" applyFill="1" applyBorder="1" applyProtection="1">
      <protection locked="0"/>
    </xf>
    <xf numFmtId="43" fontId="64" fillId="0" borderId="149" xfId="1" applyFont="1" applyBorder="1" applyAlignment="1">
      <alignment horizontal="center"/>
    </xf>
    <xf numFmtId="0" fontId="73" fillId="24" borderId="153" xfId="0" applyFont="1" applyFill="1" applyBorder="1" applyProtection="1">
      <protection locked="0"/>
    </xf>
    <xf numFmtId="168" fontId="73" fillId="24" borderId="150" xfId="1" applyNumberFormat="1" applyFont="1" applyFill="1" applyBorder="1" applyProtection="1">
      <protection locked="0"/>
    </xf>
    <xf numFmtId="166" fontId="73" fillId="24" borderId="155" xfId="0" applyNumberFormat="1" applyFont="1" applyFill="1" applyBorder="1" applyProtection="1">
      <protection locked="0"/>
    </xf>
    <xf numFmtId="168" fontId="64" fillId="23" borderId="149" xfId="1" applyNumberFormat="1" applyFont="1" applyFill="1" applyBorder="1" applyAlignment="1" applyProtection="1">
      <alignment horizontal="center"/>
      <protection locked="0"/>
    </xf>
    <xf numFmtId="168" fontId="64" fillId="23" borderId="150" xfId="1" applyNumberFormat="1" applyFont="1" applyFill="1" applyBorder="1" applyAlignment="1" applyProtection="1">
      <alignment horizontal="center"/>
      <protection locked="0"/>
    </xf>
    <xf numFmtId="168" fontId="64" fillId="23" borderId="151" xfId="1" applyNumberFormat="1" applyFont="1" applyFill="1" applyBorder="1" applyAlignment="1" applyProtection="1">
      <alignment horizontal="center"/>
      <protection locked="0"/>
    </xf>
    <xf numFmtId="0" fontId="76" fillId="23" borderId="153" xfId="0" applyFont="1" applyFill="1" applyBorder="1" applyProtection="1">
      <protection locked="0"/>
    </xf>
    <xf numFmtId="168" fontId="73" fillId="24" borderId="155" xfId="1" applyNumberFormat="1" applyFont="1" applyFill="1" applyBorder="1" applyProtection="1">
      <protection locked="0"/>
    </xf>
    <xf numFmtId="168" fontId="65" fillId="23" borderId="149" xfId="1" applyNumberFormat="1" applyFont="1" applyFill="1" applyBorder="1" applyProtection="1">
      <protection locked="0"/>
    </xf>
    <xf numFmtId="168" fontId="65" fillId="23" borderId="150" xfId="1" applyNumberFormat="1" applyFont="1" applyFill="1" applyBorder="1" applyProtection="1">
      <protection locked="0"/>
    </xf>
    <xf numFmtId="168" fontId="65" fillId="23" borderId="151" xfId="1" applyNumberFormat="1" applyFont="1" applyFill="1" applyBorder="1" applyProtection="1">
      <protection locked="0"/>
    </xf>
    <xf numFmtId="9" fontId="64" fillId="23" borderId="158" xfId="0" applyNumberFormat="1" applyFont="1" applyFill="1" applyBorder="1" applyProtection="1">
      <protection locked="0"/>
    </xf>
    <xf numFmtId="168" fontId="64" fillId="0" borderId="153" xfId="1" applyNumberFormat="1" applyFont="1" applyBorder="1" applyAlignment="1" applyProtection="1">
      <alignment horizontal="center"/>
      <protection locked="0"/>
    </xf>
    <xf numFmtId="168" fontId="64" fillId="0" borderId="155" xfId="1" applyNumberFormat="1" applyFont="1" applyBorder="1" applyAlignment="1" applyProtection="1">
      <alignment horizontal="center"/>
      <protection locked="0"/>
    </xf>
    <xf numFmtId="9" fontId="64" fillId="0" borderId="158" xfId="0" applyNumberFormat="1" applyFont="1" applyBorder="1" applyProtection="1">
      <protection locked="0"/>
    </xf>
    <xf numFmtId="1" fontId="64" fillId="0" borderId="150" xfId="0" applyNumberFormat="1" applyFont="1" applyBorder="1" applyAlignment="1" applyProtection="1">
      <alignment horizontal="center"/>
      <protection locked="0"/>
    </xf>
    <xf numFmtId="1" fontId="64" fillId="0" borderId="155" xfId="0" applyNumberFormat="1" applyFont="1" applyBorder="1" applyAlignment="1" applyProtection="1">
      <alignment horizontal="center"/>
      <protection locked="0"/>
    </xf>
    <xf numFmtId="1" fontId="64" fillId="0" borderId="151" xfId="0" applyNumberFormat="1" applyFont="1" applyBorder="1" applyAlignment="1" applyProtection="1">
      <alignment horizontal="center"/>
      <protection locked="0"/>
    </xf>
    <xf numFmtId="9" fontId="73" fillId="24" borderId="155" xfId="0" applyNumberFormat="1" applyFont="1" applyFill="1" applyBorder="1" applyProtection="1">
      <protection locked="0"/>
    </xf>
    <xf numFmtId="43" fontId="62" fillId="23" borderId="149" xfId="1" applyFont="1" applyFill="1" applyBorder="1" applyAlignment="1" applyProtection="1">
      <alignment horizontal="center"/>
      <protection locked="0"/>
    </xf>
    <xf numFmtId="43" fontId="62" fillId="23" borderId="151" xfId="1" applyFont="1" applyFill="1" applyBorder="1" applyProtection="1">
      <protection locked="0"/>
    </xf>
    <xf numFmtId="43" fontId="64" fillId="0" borderId="149" xfId="1" applyFont="1" applyBorder="1" applyAlignment="1" applyProtection="1">
      <alignment horizontal="center"/>
      <protection locked="0"/>
    </xf>
    <xf numFmtId="43" fontId="64" fillId="0" borderId="155" xfId="1" applyFont="1" applyBorder="1" applyAlignment="1" applyProtection="1">
      <alignment horizontal="center"/>
      <protection locked="0"/>
    </xf>
    <xf numFmtId="43" fontId="64" fillId="0" borderId="151" xfId="1" applyFont="1" applyBorder="1" applyAlignment="1" applyProtection="1">
      <alignment horizontal="center"/>
      <protection locked="0"/>
    </xf>
    <xf numFmtId="1" fontId="64" fillId="4" borderId="150" xfId="0" applyNumberFormat="1" applyFont="1" applyFill="1" applyBorder="1" applyAlignment="1" applyProtection="1">
      <alignment horizontal="center"/>
      <protection locked="0"/>
    </xf>
    <xf numFmtId="171" fontId="73" fillId="24" borderId="155" xfId="1" applyNumberFormat="1" applyFont="1" applyFill="1" applyBorder="1" applyProtection="1">
      <protection locked="0"/>
    </xf>
    <xf numFmtId="171" fontId="62" fillId="23" borderId="151" xfId="1" applyNumberFormat="1" applyFont="1" applyFill="1" applyBorder="1" applyProtection="1">
      <protection locked="0"/>
    </xf>
    <xf numFmtId="9" fontId="64" fillId="0" borderId="157" xfId="0" applyNumberFormat="1" applyFont="1" applyBorder="1" applyProtection="1">
      <protection locked="0"/>
    </xf>
    <xf numFmtId="166" fontId="73" fillId="24" borderId="151" xfId="0" applyNumberFormat="1" applyFont="1" applyFill="1" applyBorder="1" applyProtection="1">
      <protection locked="0"/>
    </xf>
    <xf numFmtId="168" fontId="64" fillId="0" borderId="158" xfId="1" applyNumberFormat="1" applyFont="1" applyBorder="1" applyAlignment="1" applyProtection="1">
      <alignment horizontal="center"/>
      <protection locked="0"/>
    </xf>
    <xf numFmtId="171" fontId="64" fillId="0" borderId="156" xfId="3" applyNumberFormat="1" applyFont="1" applyBorder="1" applyAlignment="1" applyProtection="1">
      <alignment horizontal="center"/>
      <protection locked="0"/>
    </xf>
    <xf numFmtId="171" fontId="73" fillId="24" borderId="150" xfId="1" applyNumberFormat="1" applyFont="1" applyFill="1" applyBorder="1" applyProtection="1">
      <protection locked="0"/>
    </xf>
    <xf numFmtId="9" fontId="64" fillId="23" borderId="150" xfId="0" applyNumberFormat="1" applyFont="1" applyFill="1" applyBorder="1" applyProtection="1">
      <protection locked="0"/>
    </xf>
    <xf numFmtId="168" fontId="64" fillId="0" borderId="150" xfId="1" applyNumberFormat="1" applyFont="1" applyBorder="1" applyAlignment="1" applyProtection="1">
      <alignment horizontal="center"/>
    </xf>
    <xf numFmtId="168" fontId="64" fillId="0" borderId="151" xfId="1" applyNumberFormat="1" applyFont="1" applyBorder="1" applyAlignment="1" applyProtection="1">
      <alignment horizontal="center"/>
    </xf>
    <xf numFmtId="43" fontId="64" fillId="0" borderId="153" xfId="1" applyFont="1" applyBorder="1" applyAlignment="1" applyProtection="1">
      <alignment horizontal="center"/>
    </xf>
    <xf numFmtId="43" fontId="64" fillId="0" borderId="150" xfId="1" applyFont="1" applyBorder="1" applyAlignment="1">
      <alignment horizontal="center"/>
    </xf>
    <xf numFmtId="43" fontId="64" fillId="0" borderId="151" xfId="1" applyFont="1" applyBorder="1" applyAlignment="1">
      <alignment horizontal="center"/>
    </xf>
    <xf numFmtId="9" fontId="64" fillId="0" borderId="148" xfId="3" applyFont="1" applyFill="1" applyBorder="1" applyAlignment="1" applyProtection="1">
      <alignment horizontal="right"/>
    </xf>
    <xf numFmtId="171" fontId="64" fillId="0" borderId="153" xfId="1" applyNumberFormat="1" applyFont="1" applyBorder="1" applyAlignment="1" applyProtection="1">
      <alignment horizontal="center"/>
    </xf>
    <xf numFmtId="171" fontId="64" fillId="0" borderId="150" xfId="1" applyNumberFormat="1" applyFont="1" applyBorder="1" applyAlignment="1" applyProtection="1">
      <alignment horizontal="center"/>
    </xf>
    <xf numFmtId="171" fontId="64" fillId="0" borderId="151" xfId="1" applyNumberFormat="1" applyFont="1" applyBorder="1" applyAlignment="1" applyProtection="1">
      <alignment horizontal="center"/>
    </xf>
    <xf numFmtId="0" fontId="73" fillId="0" borderId="148" xfId="0" applyFont="1" applyBorder="1"/>
    <xf numFmtId="0" fontId="73" fillId="0" borderId="153" xfId="0" applyFont="1" applyBorder="1"/>
    <xf numFmtId="0" fontId="73" fillId="0" borderId="147" xfId="0" applyFont="1" applyBorder="1"/>
    <xf numFmtId="0" fontId="73" fillId="23" borderId="152" xfId="0" applyFont="1" applyFill="1" applyBorder="1" applyProtection="1">
      <protection locked="0"/>
    </xf>
    <xf numFmtId="168" fontId="64" fillId="0" borderId="150" xfId="1" applyNumberFormat="1" applyFont="1" applyBorder="1" applyAlignment="1" applyProtection="1">
      <alignment horizontal="center" wrapText="1"/>
      <protection locked="0"/>
    </xf>
    <xf numFmtId="0" fontId="73" fillId="0" borderId="152" xfId="0" applyFont="1" applyBorder="1" applyProtection="1">
      <protection locked="0"/>
    </xf>
    <xf numFmtId="0" fontId="76" fillId="24" borderId="152" xfId="0" applyFont="1" applyFill="1" applyBorder="1" applyProtection="1">
      <protection locked="0"/>
    </xf>
    <xf numFmtId="43" fontId="65" fillId="23" borderId="150" xfId="1" applyFont="1" applyFill="1" applyBorder="1" applyAlignment="1" applyProtection="1">
      <alignment horizontal="center"/>
      <protection locked="0"/>
    </xf>
    <xf numFmtId="43" fontId="65" fillId="23" borderId="151" xfId="1" applyFont="1" applyFill="1" applyBorder="1" applyAlignment="1" applyProtection="1">
      <alignment horizontal="center"/>
      <protection locked="0"/>
    </xf>
    <xf numFmtId="0" fontId="64" fillId="72" borderId="155" xfId="0" applyFont="1" applyFill="1" applyBorder="1" applyAlignment="1">
      <alignment horizontal="center" vertical="center"/>
    </xf>
    <xf numFmtId="0" fontId="64" fillId="72" borderId="158" xfId="0" applyFont="1" applyFill="1" applyBorder="1" applyAlignment="1">
      <alignment horizontal="center" vertical="center"/>
    </xf>
    <xf numFmtId="172" fontId="64" fillId="72" borderId="150" xfId="0" applyNumberFormat="1" applyFont="1" applyFill="1" applyBorder="1" applyAlignment="1">
      <alignment horizontal="center" vertical="center"/>
    </xf>
    <xf numFmtId="0" fontId="64" fillId="72" borderId="155" xfId="7" applyFont="1" applyFill="1" applyBorder="1"/>
    <xf numFmtId="0" fontId="97" fillId="72" borderId="158" xfId="7" applyFont="1" applyFill="1" applyBorder="1"/>
    <xf numFmtId="0" fontId="64" fillId="72" borderId="150" xfId="7" applyFont="1" applyFill="1" applyBorder="1" applyAlignment="1">
      <alignment horizontal="center"/>
    </xf>
    <xf numFmtId="179" fontId="67" fillId="72" borderId="150" xfId="7" applyNumberFormat="1" applyFont="1" applyFill="1" applyBorder="1" applyAlignment="1">
      <alignment horizontal="center" vertical="center"/>
    </xf>
    <xf numFmtId="172" fontId="67" fillId="72" borderId="158" xfId="7" applyNumberFormat="1" applyFont="1" applyFill="1" applyBorder="1" applyAlignment="1">
      <alignment horizontal="center" vertical="center"/>
    </xf>
    <xf numFmtId="172" fontId="67" fillId="72" borderId="154" xfId="7" applyNumberFormat="1" applyFont="1" applyFill="1" applyBorder="1" applyAlignment="1">
      <alignment horizontal="center" vertical="center"/>
    </xf>
    <xf numFmtId="174" fontId="67" fillId="72" borderId="150" xfId="7" applyNumberFormat="1" applyFont="1" applyFill="1" applyBorder="1" applyAlignment="1">
      <alignment horizontal="center" vertical="center"/>
    </xf>
    <xf numFmtId="0" fontId="64" fillId="0" borderId="155" xfId="7" applyFont="1" applyBorder="1" applyAlignment="1">
      <alignment horizontal="left" indent="1"/>
    </xf>
    <xf numFmtId="0" fontId="62" fillId="0" borderId="158" xfId="7" applyFont="1" applyBorder="1"/>
    <xf numFmtId="0" fontId="64" fillId="0" borderId="150" xfId="7" applyFont="1" applyBorder="1" applyAlignment="1">
      <alignment horizontal="center"/>
    </xf>
    <xf numFmtId="164" fontId="64" fillId="0" borderId="150" xfId="7" applyNumberFormat="1" applyFont="1" applyBorder="1" applyAlignment="1">
      <alignment horizontal="center"/>
    </xf>
    <xf numFmtId="164" fontId="64" fillId="0" borderId="158" xfId="7" applyNumberFormat="1" applyFont="1" applyBorder="1" applyAlignment="1">
      <alignment horizontal="center"/>
    </xf>
    <xf numFmtId="164" fontId="64" fillId="2" borderId="150" xfId="7" applyNumberFormat="1" applyFont="1" applyFill="1" applyBorder="1" applyAlignment="1">
      <alignment horizontal="center"/>
    </xf>
    <xf numFmtId="0" fontId="62" fillId="0" borderId="150" xfId="7" applyFont="1" applyBorder="1" applyAlignment="1">
      <alignment horizontal="center"/>
    </xf>
    <xf numFmtId="0" fontId="88" fillId="4" borderId="150" xfId="5" applyFont="1" applyFill="1" applyBorder="1"/>
    <xf numFmtId="2" fontId="48" fillId="0" borderId="150" xfId="7" applyNumberFormat="1" applyBorder="1" applyAlignment="1">
      <alignment horizontal="center" shrinkToFit="1"/>
    </xf>
    <xf numFmtId="0" fontId="51" fillId="0" borderId="150" xfId="5" applyFont="1" applyBorder="1"/>
    <xf numFmtId="0" fontId="51" fillId="0" borderId="150" xfId="5" applyFont="1" applyBorder="1" applyProtection="1">
      <protection locked="0"/>
    </xf>
    <xf numFmtId="0" fontId="51" fillId="0" borderId="151" xfId="5" applyFont="1" applyBorder="1"/>
    <xf numFmtId="0" fontId="51" fillId="0" borderId="150" xfId="5" applyFont="1" applyBorder="1" applyAlignment="1">
      <alignment horizontal="center"/>
    </xf>
    <xf numFmtId="0" fontId="51" fillId="0" borderId="150" xfId="5" applyFont="1" applyBorder="1" applyAlignment="1">
      <alignment vertical="center"/>
    </xf>
    <xf numFmtId="2" fontId="48" fillId="0" borderId="150" xfId="8" applyNumberFormat="1" applyBorder="1" applyAlignment="1">
      <alignment horizontal="center" vertical="center"/>
    </xf>
    <xf numFmtId="0" fontId="48" fillId="0" borderId="150" xfId="8" applyBorder="1" applyAlignment="1">
      <alignment horizontal="center"/>
    </xf>
    <xf numFmtId="0" fontId="63" fillId="0" borderId="150" xfId="0" applyFont="1" applyBorder="1"/>
    <xf numFmtId="2" fontId="58" fillId="4" borderId="150" xfId="5" applyNumberFormat="1" applyFont="1" applyFill="1" applyBorder="1"/>
    <xf numFmtId="1" fontId="57" fillId="4" borderId="150" xfId="5" applyNumberFormat="1" applyFont="1" applyFill="1" applyBorder="1" applyAlignment="1">
      <alignment indent="1"/>
    </xf>
    <xf numFmtId="1" fontId="58" fillId="4" borderId="150" xfId="5" applyNumberFormat="1" applyFont="1" applyFill="1" applyBorder="1" applyAlignment="1">
      <alignment indent="1"/>
    </xf>
    <xf numFmtId="2" fontId="59" fillId="0" borderId="150" xfId="5" applyNumberFormat="1" applyFont="1" applyBorder="1"/>
    <xf numFmtId="2" fontId="44" fillId="6" borderId="150" xfId="5" applyNumberFormat="1" applyFont="1" applyFill="1" applyBorder="1"/>
    <xf numFmtId="0" fontId="58" fillId="4" borderId="150" xfId="5" applyFont="1" applyFill="1" applyBorder="1"/>
    <xf numFmtId="0" fontId="50" fillId="8" borderId="150" xfId="5" applyFont="1" applyFill="1" applyBorder="1"/>
    <xf numFmtId="0" fontId="44" fillId="0" borderId="158" xfId="0" applyFont="1" applyBorder="1" applyAlignment="1">
      <alignment horizontal="left"/>
    </xf>
    <xf numFmtId="43" fontId="55" fillId="0" borderId="158" xfId="1" applyFont="1" applyFill="1" applyBorder="1" applyAlignment="1">
      <alignment horizontal="left"/>
    </xf>
    <xf numFmtId="0" fontId="0" fillId="0" borderId="150" xfId="0" applyBorder="1"/>
    <xf numFmtId="168" fontId="95" fillId="0" borderId="150" xfId="1" applyNumberFormat="1" applyFont="1" applyFill="1" applyBorder="1" applyAlignment="1">
      <alignment horizontal="center"/>
    </xf>
    <xf numFmtId="43" fontId="73" fillId="24" borderId="150" xfId="1" applyFont="1" applyFill="1" applyBorder="1" applyProtection="1">
      <protection locked="0"/>
    </xf>
    <xf numFmtId="9" fontId="73" fillId="24" borderId="150" xfId="0" applyNumberFormat="1" applyFont="1" applyFill="1" applyBorder="1" applyProtection="1">
      <protection locked="0"/>
    </xf>
    <xf numFmtId="43" fontId="73" fillId="24" borderId="154" xfId="1" applyFont="1" applyFill="1" applyBorder="1" applyProtection="1">
      <protection locked="0"/>
    </xf>
    <xf numFmtId="168" fontId="73" fillId="24" borderId="154" xfId="1" applyNumberFormat="1" applyFont="1" applyFill="1" applyBorder="1" applyProtection="1">
      <protection locked="0"/>
    </xf>
    <xf numFmtId="0" fontId="73" fillId="24" borderId="149" xfId="0" applyFont="1" applyFill="1" applyBorder="1" applyProtection="1">
      <protection locked="0"/>
    </xf>
    <xf numFmtId="0" fontId="76" fillId="23" borderId="149" xfId="0" applyFont="1" applyFill="1" applyBorder="1" applyProtection="1">
      <protection locked="0"/>
    </xf>
    <xf numFmtId="168" fontId="64" fillId="23" borderId="150" xfId="0" applyNumberFormat="1" applyFont="1" applyFill="1" applyBorder="1" applyProtection="1">
      <protection locked="0"/>
    </xf>
    <xf numFmtId="171" fontId="64" fillId="0" borderId="154" xfId="1" applyNumberFormat="1" applyFont="1" applyBorder="1" applyAlignment="1" applyProtection="1">
      <alignment horizontal="center"/>
      <protection locked="0"/>
    </xf>
    <xf numFmtId="9" fontId="73" fillId="37" borderId="150" xfId="0" applyNumberFormat="1" applyFont="1" applyFill="1" applyBorder="1" applyProtection="1">
      <protection locked="0"/>
    </xf>
    <xf numFmtId="0" fontId="64" fillId="0" borderId="149" xfId="0" applyFont="1" applyBorder="1" applyAlignment="1">
      <alignment horizontal="center"/>
    </xf>
    <xf numFmtId="0" fontId="64" fillId="0" borderId="150" xfId="0" applyFont="1" applyBorder="1" applyAlignment="1">
      <alignment horizontal="center"/>
    </xf>
    <xf numFmtId="0" fontId="64" fillId="0" borderId="151" xfId="0" applyFont="1" applyBorder="1" applyAlignment="1">
      <alignment horizontal="center"/>
    </xf>
    <xf numFmtId="0" fontId="62" fillId="0" borderId="149" xfId="0" applyFont="1" applyBorder="1" applyAlignment="1">
      <alignment horizontal="center"/>
    </xf>
    <xf numFmtId="0" fontId="62" fillId="0" borderId="151" xfId="0" applyFont="1" applyBorder="1" applyAlignment="1">
      <alignment horizontal="center"/>
    </xf>
    <xf numFmtId="171" fontId="62" fillId="0" borderId="149" xfId="1" applyNumberFormat="1" applyFont="1" applyBorder="1" applyAlignment="1">
      <alignment horizontal="center"/>
    </xf>
    <xf numFmtId="171" fontId="62" fillId="0" borderId="150" xfId="1" applyNumberFormat="1" applyFont="1" applyBorder="1" applyAlignment="1">
      <alignment horizontal="center"/>
    </xf>
    <xf numFmtId="176" fontId="62" fillId="0" borderId="150" xfId="1" applyNumberFormat="1" applyFont="1" applyBorder="1" applyAlignment="1" applyProtection="1">
      <alignment horizontal="center"/>
    </xf>
    <xf numFmtId="9" fontId="62" fillId="0" borderId="151" xfId="3" applyFont="1" applyFill="1" applyBorder="1" applyAlignment="1" applyProtection="1">
      <alignment horizontal="center"/>
    </xf>
    <xf numFmtId="0" fontId="62" fillId="0" borderId="150" xfId="0" applyFont="1" applyBorder="1" applyAlignment="1">
      <alignment horizontal="center"/>
    </xf>
    <xf numFmtId="168" fontId="62" fillId="0" borderId="149" xfId="1" applyNumberFormat="1" applyFont="1" applyBorder="1" applyAlignment="1">
      <alignment horizontal="center"/>
    </xf>
    <xf numFmtId="168" fontId="62" fillId="0" borderId="150" xfId="1" applyNumberFormat="1" applyFont="1" applyBorder="1" applyAlignment="1">
      <alignment horizontal="center"/>
    </xf>
    <xf numFmtId="177" fontId="62" fillId="0" borderId="150" xfId="1" applyNumberFormat="1" applyFont="1" applyBorder="1" applyAlignment="1" applyProtection="1">
      <alignment horizontal="center"/>
    </xf>
    <xf numFmtId="43" fontId="62" fillId="0" borderId="149" xfId="1" applyFont="1" applyBorder="1" applyAlignment="1">
      <alignment horizontal="center"/>
    </xf>
    <xf numFmtId="43" fontId="62" fillId="0" borderId="150" xfId="1" applyFont="1" applyBorder="1" applyAlignment="1">
      <alignment horizontal="center"/>
    </xf>
    <xf numFmtId="165" fontId="62" fillId="0" borderId="150" xfId="1" applyNumberFormat="1" applyFont="1" applyBorder="1" applyAlignment="1" applyProtection="1">
      <alignment horizontal="center"/>
    </xf>
    <xf numFmtId="43" fontId="62" fillId="19" borderId="151" xfId="1" applyFont="1" applyFill="1" applyBorder="1" applyAlignment="1" applyProtection="1">
      <alignment horizontal="left" vertical="center"/>
    </xf>
    <xf numFmtId="43" fontId="64" fillId="0" borderId="149" xfId="1" applyFont="1" applyBorder="1" applyAlignment="1" applyProtection="1">
      <alignment horizontal="center" vertical="center"/>
    </xf>
    <xf numFmtId="43" fontId="64" fillId="19" borderId="150" xfId="1" applyFont="1" applyFill="1" applyBorder="1" applyAlignment="1" applyProtection="1">
      <alignment horizontal="left" vertical="center"/>
    </xf>
    <xf numFmtId="43" fontId="62" fillId="0" borderId="151" xfId="1" applyFont="1" applyBorder="1" applyAlignment="1" applyProtection="1">
      <alignment horizontal="center" vertical="center"/>
    </xf>
    <xf numFmtId="43" fontId="62" fillId="0" borderId="151" xfId="1" applyFont="1" applyFill="1" applyBorder="1" applyAlignment="1" applyProtection="1">
      <alignment horizontal="left" vertical="center"/>
    </xf>
    <xf numFmtId="43" fontId="64" fillId="0" borderId="150" xfId="1" applyFont="1" applyFill="1" applyBorder="1" applyAlignment="1" applyProtection="1">
      <alignment horizontal="left" vertical="center"/>
    </xf>
    <xf numFmtId="167" fontId="73" fillId="24" borderId="43" xfId="1" applyNumberFormat="1" applyFont="1" applyFill="1" applyBorder="1" applyAlignment="1">
      <alignment horizontal="center"/>
    </xf>
    <xf numFmtId="166" fontId="73" fillId="16" borderId="13" xfId="0" applyNumberFormat="1" applyFont="1" applyFill="1" applyBorder="1" applyAlignment="1">
      <alignment horizontal="center"/>
    </xf>
    <xf numFmtId="168" fontId="64" fillId="23" borderId="154" xfId="1" applyNumberFormat="1" applyFont="1" applyFill="1" applyBorder="1" applyAlignment="1" applyProtection="1">
      <protection locked="0"/>
    </xf>
    <xf numFmtId="168" fontId="64" fillId="23" borderId="158" xfId="1" applyNumberFormat="1" applyFont="1" applyFill="1" applyBorder="1" applyAlignment="1" applyProtection="1">
      <protection locked="0"/>
    </xf>
    <xf numFmtId="0" fontId="74" fillId="12" borderId="3" xfId="4" applyFont="1" applyFill="1" applyBorder="1"/>
    <xf numFmtId="0" fontId="64" fillId="28" borderId="83" xfId="0" applyFont="1" applyFill="1" applyBorder="1" applyAlignment="1">
      <alignment vertical="center"/>
    </xf>
    <xf numFmtId="0" fontId="64" fillId="27" borderId="145" xfId="0" applyFont="1" applyFill="1" applyBorder="1" applyAlignment="1">
      <alignment vertical="center"/>
    </xf>
    <xf numFmtId="168" fontId="64" fillId="23" borderId="93" xfId="1" applyNumberFormat="1" applyFont="1" applyFill="1" applyBorder="1" applyAlignment="1" applyProtection="1">
      <protection locked="0"/>
    </xf>
    <xf numFmtId="168" fontId="64" fillId="23" borderId="20" xfId="1" applyNumberFormat="1" applyFont="1" applyFill="1" applyBorder="1" applyAlignment="1" applyProtection="1">
      <protection locked="0"/>
    </xf>
    <xf numFmtId="9" fontId="73" fillId="34" borderId="151" xfId="3" applyFont="1" applyFill="1" applyBorder="1" applyAlignment="1">
      <alignment horizontal="center"/>
    </xf>
    <xf numFmtId="9" fontId="73" fillId="34" borderId="142" xfId="3" applyFont="1" applyFill="1" applyBorder="1" applyAlignment="1">
      <alignment horizontal="center"/>
    </xf>
    <xf numFmtId="166" fontId="64" fillId="84" borderId="56" xfId="3" applyNumberFormat="1" applyFont="1" applyFill="1" applyBorder="1" applyAlignment="1">
      <alignment horizontal="center"/>
    </xf>
    <xf numFmtId="166" fontId="64" fillId="84" borderId="6" xfId="3" applyNumberFormat="1" applyFont="1" applyFill="1" applyBorder="1" applyAlignment="1">
      <alignment horizontal="center"/>
    </xf>
    <xf numFmtId="0" fontId="64" fillId="28" borderId="81" xfId="0" applyFont="1" applyFill="1" applyBorder="1" applyAlignment="1">
      <alignment vertical="center"/>
    </xf>
    <xf numFmtId="0" fontId="64" fillId="27" borderId="148" xfId="0" applyFont="1" applyFill="1" applyBorder="1" applyAlignment="1">
      <alignment vertical="center"/>
    </xf>
    <xf numFmtId="0" fontId="74" fillId="12" borderId="13" xfId="4" applyFont="1" applyFill="1" applyBorder="1"/>
    <xf numFmtId="0" fontId="62" fillId="0" borderId="0" xfId="0" applyFont="1" applyAlignment="1">
      <alignment horizontal="right"/>
    </xf>
    <xf numFmtId="0" fontId="73" fillId="0" borderId="0" xfId="0" applyFont="1" applyAlignment="1">
      <alignment wrapText="1"/>
    </xf>
    <xf numFmtId="0" fontId="73" fillId="0" borderId="0" xfId="0" applyFont="1" applyAlignment="1">
      <alignment horizontal="left"/>
    </xf>
    <xf numFmtId="184" fontId="62" fillId="0" borderId="0" xfId="0" applyNumberFormat="1" applyFont="1"/>
    <xf numFmtId="170" fontId="64" fillId="23" borderId="43" xfId="0" applyNumberFormat="1" applyFont="1" applyFill="1" applyBorder="1" applyAlignment="1">
      <alignment horizontal="center"/>
    </xf>
    <xf numFmtId="0" fontId="62" fillId="0" borderId="138" xfId="0" applyFont="1" applyBorder="1" applyProtection="1">
      <protection locked="0"/>
    </xf>
    <xf numFmtId="9" fontId="62" fillId="0" borderId="0" xfId="0" applyNumberFormat="1" applyFont="1"/>
    <xf numFmtId="1" fontId="64" fillId="0" borderId="55" xfId="3" applyNumberFormat="1" applyFont="1" applyBorder="1" applyAlignment="1">
      <alignment horizontal="center"/>
    </xf>
    <xf numFmtId="1" fontId="64" fillId="84" borderId="55" xfId="3" applyNumberFormat="1" applyFont="1" applyFill="1" applyBorder="1" applyAlignment="1">
      <alignment horizontal="center"/>
    </xf>
    <xf numFmtId="0" fontId="64" fillId="0" borderId="0" xfId="0" applyFont="1" applyAlignment="1">
      <alignment horizontal="right" indent="1"/>
    </xf>
    <xf numFmtId="0" fontId="62" fillId="0" borderId="0" xfId="0" applyFont="1" applyAlignment="1">
      <alignment wrapText="1"/>
    </xf>
    <xf numFmtId="43" fontId="73" fillId="0" borderId="0" xfId="1" applyFont="1" applyAlignment="1">
      <alignment horizontal="right" wrapText="1"/>
    </xf>
    <xf numFmtId="0" fontId="73" fillId="0" borderId="29" xfId="0" applyFont="1" applyBorder="1" applyAlignment="1">
      <alignment horizontal="center" vertical="center" wrapText="1"/>
    </xf>
    <xf numFmtId="0" fontId="73" fillId="0" borderId="35" xfId="0" applyFont="1" applyBorder="1" applyAlignment="1">
      <alignment horizontal="center" vertical="center" wrapText="1"/>
    </xf>
    <xf numFmtId="0" fontId="73" fillId="0" borderId="34" xfId="0" applyFont="1" applyBorder="1" applyAlignment="1">
      <alignment horizontal="center" vertical="center" wrapText="1"/>
    </xf>
    <xf numFmtId="173" fontId="62" fillId="0" borderId="0" xfId="0" applyNumberFormat="1" applyFont="1"/>
    <xf numFmtId="1" fontId="64" fillId="0" borderId="20" xfId="0" applyNumberFormat="1" applyFont="1" applyBorder="1" applyAlignment="1" applyProtection="1">
      <alignment horizontal="center"/>
      <protection locked="0"/>
    </xf>
    <xf numFmtId="1" fontId="64" fillId="0" borderId="154" xfId="0" applyNumberFormat="1" applyFont="1" applyBorder="1" applyAlignment="1" applyProtection="1">
      <alignment horizontal="center"/>
      <protection locked="0"/>
    </xf>
    <xf numFmtId="1" fontId="64" fillId="4" borderId="154" xfId="0" applyNumberFormat="1" applyFont="1" applyFill="1" applyBorder="1" applyAlignment="1" applyProtection="1">
      <alignment horizontal="center"/>
      <protection locked="0"/>
    </xf>
    <xf numFmtId="1" fontId="64" fillId="0" borderId="158" xfId="0" applyNumberFormat="1" applyFont="1" applyBorder="1" applyAlignment="1" applyProtection="1">
      <alignment horizontal="center"/>
      <protection locked="0"/>
    </xf>
    <xf numFmtId="184" fontId="62" fillId="0" borderId="0" xfId="0" applyNumberFormat="1" applyFont="1" applyAlignment="1">
      <alignment horizontal="center"/>
    </xf>
    <xf numFmtId="185" fontId="62" fillId="0" borderId="0" xfId="0" applyNumberFormat="1" applyFont="1"/>
    <xf numFmtId="10" fontId="62" fillId="0" borderId="0" xfId="3" applyNumberFormat="1" applyFont="1"/>
    <xf numFmtId="0" fontId="65" fillId="0" borderId="162" xfId="8" applyFont="1" applyBorder="1" applyAlignment="1">
      <alignment horizontal="right"/>
    </xf>
    <xf numFmtId="0" fontId="65" fillId="0" borderId="162" xfId="8" applyFont="1" applyBorder="1" applyAlignment="1">
      <alignment horizontal="center"/>
    </xf>
    <xf numFmtId="0" fontId="65" fillId="0" borderId="162" xfId="8" applyFont="1" applyBorder="1"/>
    <xf numFmtId="0" fontId="58" fillId="4" borderId="155" xfId="5" applyFont="1" applyFill="1" applyBorder="1"/>
    <xf numFmtId="168" fontId="107" fillId="0" borderId="0" xfId="0" applyNumberFormat="1" applyFont="1" applyProtection="1">
      <protection locked="0"/>
    </xf>
    <xf numFmtId="43" fontId="64" fillId="0" borderId="146" xfId="1" applyFont="1" applyBorder="1" applyAlignment="1">
      <alignment horizontal="center"/>
    </xf>
    <xf numFmtId="171" fontId="65" fillId="0" borderId="151" xfId="1" applyNumberFormat="1" applyFont="1" applyBorder="1" applyAlignment="1">
      <alignment vertical="center"/>
    </xf>
    <xf numFmtId="43" fontId="65" fillId="0" borderId="150" xfId="1" applyFont="1" applyBorder="1" applyAlignment="1">
      <alignment vertical="center"/>
    </xf>
    <xf numFmtId="168" fontId="65" fillId="0" borderId="149" xfId="1" applyNumberFormat="1" applyFont="1" applyBorder="1" applyAlignment="1">
      <alignment vertical="center"/>
    </xf>
    <xf numFmtId="171" fontId="65" fillId="0" borderId="147" xfId="1" applyNumberFormat="1" applyFont="1" applyBorder="1" applyAlignment="1">
      <alignment vertical="center"/>
    </xf>
    <xf numFmtId="168" fontId="65" fillId="0" borderId="153" xfId="1" applyNumberFormat="1" applyFont="1" applyBorder="1" applyAlignment="1">
      <alignment vertical="center"/>
    </xf>
    <xf numFmtId="176" fontId="62" fillId="0" borderId="19" xfId="1" applyNumberFormat="1" applyFont="1" applyBorder="1" applyAlignment="1">
      <alignment horizontal="center"/>
    </xf>
    <xf numFmtId="165" fontId="62" fillId="0" borderId="19" xfId="1" applyNumberFormat="1" applyFont="1" applyBorder="1" applyAlignment="1">
      <alignment horizontal="center"/>
    </xf>
    <xf numFmtId="177" fontId="62" fillId="0" borderId="19" xfId="1" applyNumberFormat="1" applyFont="1" applyBorder="1" applyAlignment="1">
      <alignment horizontal="center"/>
    </xf>
    <xf numFmtId="171" fontId="65" fillId="0" borderId="11" xfId="1" applyNumberFormat="1" applyFont="1" applyBorder="1" applyAlignment="1">
      <alignment vertical="center"/>
    </xf>
    <xf numFmtId="43" fontId="65" fillId="0" borderId="39" xfId="1" applyFont="1" applyBorder="1" applyAlignment="1">
      <alignment vertical="center"/>
    </xf>
    <xf numFmtId="168" fontId="65" fillId="0" borderId="10" xfId="1" applyNumberFormat="1" applyFont="1" applyBorder="1" applyAlignment="1">
      <alignment vertical="center"/>
    </xf>
    <xf numFmtId="171" fontId="65" fillId="0" borderId="80" xfId="1" applyNumberFormat="1" applyFont="1" applyBorder="1" applyAlignment="1">
      <alignment vertical="center"/>
    </xf>
    <xf numFmtId="43" fontId="62" fillId="0" borderId="39" xfId="1" applyFont="1" applyBorder="1" applyAlignment="1">
      <alignment horizontal="center"/>
    </xf>
    <xf numFmtId="168" fontId="65" fillId="0" borderId="23" xfId="1" applyNumberFormat="1" applyFont="1" applyBorder="1" applyAlignment="1">
      <alignment vertical="center"/>
    </xf>
    <xf numFmtId="171" fontId="65" fillId="0" borderId="142" xfId="1" applyNumberFormat="1" applyFont="1" applyBorder="1" applyAlignment="1">
      <alignment vertical="center"/>
    </xf>
    <xf numFmtId="171" fontId="65" fillId="0" borderId="148" xfId="1" applyNumberFormat="1" applyFont="1" applyBorder="1" applyAlignment="1">
      <alignment vertical="center"/>
    </xf>
    <xf numFmtId="176" fontId="76" fillId="0" borderId="150" xfId="1" applyNumberFormat="1" applyFont="1" applyBorder="1" applyProtection="1">
      <protection locked="0"/>
    </xf>
    <xf numFmtId="176" fontId="76" fillId="0" borderId="40" xfId="1" applyNumberFormat="1" applyFont="1" applyBorder="1" applyProtection="1">
      <protection locked="0"/>
    </xf>
    <xf numFmtId="176" fontId="76" fillId="0" borderId="149" xfId="1" applyNumberFormat="1" applyFont="1" applyBorder="1" applyProtection="1">
      <protection locked="0"/>
    </xf>
    <xf numFmtId="176" fontId="76" fillId="0" borderId="39" xfId="1" applyNumberFormat="1" applyFont="1" applyBorder="1" applyProtection="1">
      <protection locked="0"/>
    </xf>
    <xf numFmtId="177" fontId="76" fillId="0" borderId="150" xfId="1" applyNumberFormat="1" applyFont="1" applyBorder="1" applyProtection="1">
      <protection locked="0"/>
    </xf>
    <xf numFmtId="177" fontId="76" fillId="0" borderId="151" xfId="1" applyNumberFormat="1" applyFont="1" applyBorder="1" applyProtection="1">
      <protection locked="0"/>
    </xf>
    <xf numFmtId="9" fontId="73" fillId="34" borderId="11" xfId="3" applyFont="1" applyFill="1" applyBorder="1" applyAlignment="1">
      <alignment horizontal="center"/>
    </xf>
    <xf numFmtId="167" fontId="80" fillId="0" borderId="0" xfId="0" applyNumberFormat="1" applyFont="1" applyAlignment="1" applyProtection="1">
      <alignment horizontal="center" wrapText="1"/>
      <protection locked="0"/>
    </xf>
    <xf numFmtId="0" fontId="80" fillId="0" borderId="0" xfId="0" applyFont="1" applyAlignment="1" applyProtection="1">
      <alignment wrapText="1"/>
      <protection locked="0"/>
    </xf>
    <xf numFmtId="0" fontId="81" fillId="0" borderId="0" xfId="0" applyFont="1" applyAlignment="1" applyProtection="1">
      <alignment wrapText="1"/>
      <protection locked="0"/>
    </xf>
    <xf numFmtId="167" fontId="80" fillId="0" borderId="0" xfId="0" applyNumberFormat="1" applyFont="1" applyAlignment="1">
      <alignment horizontal="center" wrapText="1"/>
    </xf>
    <xf numFmtId="0" fontId="62" fillId="0" borderId="0" xfId="0" applyFont="1" applyAlignment="1">
      <alignment horizontal="center" wrapText="1"/>
    </xf>
    <xf numFmtId="0" fontId="62" fillId="0" borderId="0" xfId="0" applyFont="1" applyAlignment="1">
      <alignment horizontal="left" vertical="center" wrapText="1"/>
    </xf>
    <xf numFmtId="0" fontId="69" fillId="0" borderId="0" xfId="0" applyFont="1" applyAlignment="1">
      <alignment wrapText="1"/>
    </xf>
    <xf numFmtId="0" fontId="73" fillId="0" borderId="35" xfId="0" applyFont="1" applyBorder="1" applyAlignment="1">
      <alignment horizontal="center" wrapText="1"/>
    </xf>
    <xf numFmtId="168" fontId="64" fillId="0" borderId="17" xfId="1" applyNumberFormat="1" applyFont="1" applyFill="1" applyBorder="1" applyAlignment="1" applyProtection="1">
      <alignment horizontal="center" wrapText="1"/>
    </xf>
    <xf numFmtId="171" fontId="64" fillId="0" borderId="156" xfId="1" applyNumberFormat="1" applyFont="1" applyFill="1" applyBorder="1" applyAlignment="1" applyProtection="1">
      <alignment horizontal="center" wrapText="1"/>
    </xf>
    <xf numFmtId="0" fontId="64" fillId="0" borderId="0" xfId="0" applyFont="1" applyAlignment="1">
      <alignment wrapText="1"/>
    </xf>
    <xf numFmtId="0" fontId="67" fillId="0" borderId="26" xfId="0" applyFont="1" applyBorder="1" applyAlignment="1">
      <alignment wrapText="1"/>
    </xf>
    <xf numFmtId="0" fontId="73" fillId="24" borderId="24" xfId="0" applyFont="1" applyFill="1" applyBorder="1" applyAlignment="1" applyProtection="1">
      <alignment vertical="center" wrapText="1"/>
      <protection locked="0"/>
    </xf>
    <xf numFmtId="0" fontId="73" fillId="24" borderId="26" xfId="0" applyFont="1" applyFill="1" applyBorder="1" applyAlignment="1" applyProtection="1">
      <alignment vertical="center" wrapText="1"/>
      <protection locked="0"/>
    </xf>
    <xf numFmtId="0" fontId="73" fillId="24" borderId="31" xfId="0" applyFont="1" applyFill="1" applyBorder="1" applyAlignment="1" applyProtection="1">
      <alignment vertical="center" wrapText="1"/>
      <protection locked="0"/>
    </xf>
    <xf numFmtId="0" fontId="73" fillId="24" borderId="58" xfId="0" applyFont="1" applyFill="1" applyBorder="1" applyAlignment="1" applyProtection="1">
      <alignment vertical="center" wrapText="1"/>
      <protection locked="0"/>
    </xf>
    <xf numFmtId="0" fontId="73" fillId="24" borderId="22" xfId="0" applyFont="1" applyFill="1" applyBorder="1" applyAlignment="1" applyProtection="1">
      <alignment vertical="center" wrapText="1"/>
      <protection locked="0"/>
    </xf>
    <xf numFmtId="0" fontId="73" fillId="24" borderId="8" xfId="0" applyFont="1" applyFill="1" applyBorder="1" applyAlignment="1" applyProtection="1">
      <alignment vertical="center" wrapText="1"/>
      <protection locked="0"/>
    </xf>
    <xf numFmtId="0" fontId="67" fillId="23" borderId="143" xfId="0" applyFont="1" applyFill="1" applyBorder="1" applyAlignment="1" applyProtection="1">
      <alignment vertical="center" wrapText="1"/>
      <protection locked="0"/>
    </xf>
    <xf numFmtId="43" fontId="64" fillId="0" borderId="150" xfId="1" applyFont="1" applyBorder="1" applyAlignment="1" applyProtection="1">
      <alignment horizontal="center" wrapText="1"/>
      <protection locked="0"/>
    </xf>
    <xf numFmtId="0" fontId="65" fillId="0" borderId="0" xfId="8" applyFont="1" applyAlignment="1">
      <alignment horizontal="left"/>
    </xf>
    <xf numFmtId="0" fontId="65" fillId="0" borderId="0" xfId="8" applyFont="1" applyAlignment="1">
      <alignment horizontal="left" vertical="center"/>
    </xf>
    <xf numFmtId="0" fontId="73" fillId="35" borderId="35" xfId="8" applyFont="1" applyFill="1" applyBorder="1" applyAlignment="1" applyProtection="1">
      <alignment horizontal="left" vertical="center" wrapText="1"/>
      <protection locked="0"/>
    </xf>
    <xf numFmtId="0" fontId="65" fillId="0" borderId="162" xfId="8" applyFont="1" applyBorder="1" applyAlignment="1">
      <alignment horizontal="left" vertical="center"/>
    </xf>
    <xf numFmtId="1" fontId="54" fillId="20" borderId="27" xfId="0" applyNumberFormat="1" applyFont="1" applyFill="1" applyBorder="1" applyAlignment="1">
      <alignment horizontal="center"/>
    </xf>
    <xf numFmtId="2" fontId="44" fillId="0" borderId="52" xfId="0" applyNumberFormat="1" applyFont="1" applyBorder="1" applyAlignment="1">
      <alignment horizontal="center"/>
    </xf>
    <xf numFmtId="2" fontId="44" fillId="0" borderId="53" xfId="0" applyNumberFormat="1" applyFont="1" applyBorder="1" applyAlignment="1">
      <alignment horizontal="center"/>
    </xf>
    <xf numFmtId="2" fontId="44" fillId="0" borderId="63" xfId="0" applyNumberFormat="1" applyFont="1" applyBorder="1" applyAlignment="1">
      <alignment horizontal="center"/>
    </xf>
    <xf numFmtId="2" fontId="0" fillId="0" borderId="44" xfId="1" applyNumberFormat="1" applyFont="1" applyFill="1" applyBorder="1" applyAlignment="1">
      <alignment horizontal="center"/>
    </xf>
    <xf numFmtId="2" fontId="0" fillId="0" borderId="44" xfId="1" applyNumberFormat="1" applyFont="1" applyFill="1" applyBorder="1" applyAlignment="1">
      <alignment horizontal="center" vertical="center"/>
    </xf>
    <xf numFmtId="0" fontId="43" fillId="0" borderId="44" xfId="0" applyFont="1" applyBorder="1" applyAlignment="1">
      <alignment horizontal="center"/>
    </xf>
    <xf numFmtId="2" fontId="43" fillId="0" borderId="44" xfId="0" applyNumberFormat="1" applyFont="1" applyBorder="1" applyAlignment="1">
      <alignment horizontal="center" vertical="center"/>
    </xf>
    <xf numFmtId="1" fontId="44" fillId="0" borderId="44" xfId="0" applyNumberFormat="1" applyFont="1" applyBorder="1" applyAlignment="1">
      <alignment horizontal="center" vertical="center"/>
    </xf>
    <xf numFmtId="2" fontId="44" fillId="0" borderId="44" xfId="0" applyNumberFormat="1" applyFont="1" applyBorder="1" applyAlignment="1">
      <alignment horizontal="center" vertical="center"/>
    </xf>
    <xf numFmtId="2" fontId="44" fillId="0" borderId="46" xfId="0" applyNumberFormat="1" applyFont="1" applyBorder="1" applyAlignment="1">
      <alignment horizontal="center" vertical="center"/>
    </xf>
    <xf numFmtId="43" fontId="0" fillId="0" borderId="44" xfId="1" applyFont="1" applyFill="1" applyBorder="1" applyAlignment="1">
      <alignment horizontal="center" vertical="center"/>
    </xf>
    <xf numFmtId="43" fontId="0" fillId="0" borderId="54" xfId="1" applyFont="1" applyFill="1" applyBorder="1" applyAlignment="1">
      <alignment horizontal="center" vertical="center"/>
    </xf>
    <xf numFmtId="43" fontId="0" fillId="0" borderId="72" xfId="1" applyFont="1" applyFill="1" applyBorder="1" applyAlignment="1">
      <alignment horizontal="center" vertical="center"/>
    </xf>
    <xf numFmtId="43" fontId="0" fillId="0" borderId="46" xfId="1" applyFont="1" applyFill="1" applyBorder="1" applyAlignment="1">
      <alignment horizontal="center" vertical="center"/>
    </xf>
    <xf numFmtId="2" fontId="44" fillId="0" borderId="54" xfId="0" applyNumberFormat="1" applyFont="1" applyBorder="1" applyAlignment="1">
      <alignment horizontal="center" vertical="center"/>
    </xf>
    <xf numFmtId="43" fontId="44" fillId="0" borderId="52" xfId="0" applyNumberFormat="1" applyFont="1" applyBorder="1" applyAlignment="1">
      <alignment horizontal="center" vertical="center"/>
    </xf>
    <xf numFmtId="168" fontId="55" fillId="0" borderId="47" xfId="1" applyNumberFormat="1" applyFont="1" applyFill="1" applyBorder="1" applyAlignment="1">
      <alignment horizontal="center"/>
    </xf>
    <xf numFmtId="2" fontId="44" fillId="0" borderId="51" xfId="0" applyNumberFormat="1" applyFont="1" applyBorder="1" applyAlignment="1">
      <alignment horizontal="center"/>
    </xf>
    <xf numFmtId="168" fontId="62" fillId="23" borderId="27" xfId="1" applyNumberFormat="1" applyFont="1" applyFill="1" applyBorder="1" applyAlignment="1" applyProtection="1">
      <alignment horizontal="center"/>
    </xf>
    <xf numFmtId="0" fontId="94" fillId="0" borderId="0" xfId="0" applyFont="1"/>
    <xf numFmtId="0" fontId="77" fillId="4" borderId="0" xfId="0" applyFont="1" applyFill="1"/>
    <xf numFmtId="0" fontId="65" fillId="4" borderId="3" xfId="0" applyFont="1" applyFill="1" applyBorder="1"/>
    <xf numFmtId="0" fontId="65" fillId="4" borderId="13" xfId="0" applyFont="1" applyFill="1" applyBorder="1"/>
    <xf numFmtId="43" fontId="62" fillId="0" borderId="150" xfId="0" applyNumberFormat="1" applyFont="1" applyBorder="1"/>
    <xf numFmtId="1" fontId="54" fillId="17" borderId="27" xfId="0" applyNumberFormat="1" applyFont="1" applyFill="1" applyBorder="1" applyAlignment="1">
      <alignment horizontal="center"/>
    </xf>
    <xf numFmtId="1" fontId="72" fillId="20" borderId="27" xfId="0" applyNumberFormat="1" applyFont="1" applyFill="1" applyBorder="1" applyAlignment="1">
      <alignment horizontal="center"/>
    </xf>
    <xf numFmtId="1" fontId="44" fillId="10" borderId="44" xfId="0" applyNumberFormat="1" applyFont="1" applyFill="1" applyBorder="1" applyAlignment="1">
      <alignment horizontal="center"/>
    </xf>
    <xf numFmtId="0" fontId="0" fillId="2" borderId="150" xfId="0" applyFill="1" applyBorder="1"/>
    <xf numFmtId="168" fontId="67" fillId="21" borderId="8" xfId="1" applyNumberFormat="1" applyFont="1" applyFill="1" applyBorder="1" applyAlignment="1" applyProtection="1">
      <alignment horizontal="center" vertical="center"/>
    </xf>
    <xf numFmtId="43" fontId="64" fillId="21" borderId="55" xfId="1" applyFont="1" applyFill="1" applyBorder="1" applyAlignment="1" applyProtection="1">
      <alignment horizontal="center"/>
    </xf>
    <xf numFmtId="168" fontId="67" fillId="21" borderId="43" xfId="1" applyNumberFormat="1" applyFont="1" applyFill="1" applyBorder="1" applyAlignment="1" applyProtection="1">
      <alignment horizontal="center" vertical="center"/>
    </xf>
    <xf numFmtId="43" fontId="67" fillId="21" borderId="55" xfId="1" applyFont="1" applyFill="1" applyBorder="1" applyAlignment="1" applyProtection="1">
      <alignment horizontal="center" vertical="center"/>
    </xf>
    <xf numFmtId="177" fontId="64" fillId="0" borderId="43" xfId="1" applyNumberFormat="1" applyFont="1" applyBorder="1" applyAlignment="1" applyProtection="1">
      <alignment horizontal="center"/>
    </xf>
    <xf numFmtId="165" fontId="64" fillId="0" borderId="57" xfId="1" applyNumberFormat="1" applyFont="1" applyBorder="1" applyAlignment="1" applyProtection="1">
      <alignment horizontal="center"/>
    </xf>
    <xf numFmtId="176" fontId="64" fillId="0" borderId="14" xfId="1" applyNumberFormat="1" applyFont="1" applyBorder="1" applyAlignment="1" applyProtection="1">
      <alignment horizontal="center"/>
    </xf>
    <xf numFmtId="9" fontId="67" fillId="21" borderId="43" xfId="0" applyNumberFormat="1" applyFont="1" applyFill="1" applyBorder="1" applyAlignment="1">
      <alignment vertical="center"/>
    </xf>
    <xf numFmtId="9" fontId="67" fillId="21" borderId="55" xfId="0" applyNumberFormat="1" applyFont="1" applyFill="1" applyBorder="1" applyAlignment="1">
      <alignment vertical="center"/>
    </xf>
    <xf numFmtId="9" fontId="67" fillId="21" borderId="56" xfId="0" applyNumberFormat="1" applyFont="1" applyFill="1" applyBorder="1" applyAlignment="1">
      <alignment vertical="center"/>
    </xf>
    <xf numFmtId="168" fontId="65" fillId="0" borderId="150" xfId="1" applyNumberFormat="1" applyFont="1" applyBorder="1" applyAlignment="1" applyProtection="1">
      <alignment vertical="center"/>
    </xf>
    <xf numFmtId="171" fontId="65" fillId="0" borderId="151" xfId="1" applyNumberFormat="1" applyFont="1" applyBorder="1" applyAlignment="1" applyProtection="1">
      <alignment vertical="center"/>
    </xf>
    <xf numFmtId="0" fontId="10" fillId="0" borderId="0" xfId="1745"/>
    <xf numFmtId="0" fontId="44" fillId="0" borderId="0" xfId="1745" applyFont="1"/>
    <xf numFmtId="0" fontId="88" fillId="4" borderId="0" xfId="5" applyFont="1" applyFill="1" applyAlignment="1">
      <alignment wrapText="1"/>
    </xf>
    <xf numFmtId="0" fontId="88" fillId="4" borderId="0" xfId="5" applyFont="1" applyFill="1"/>
    <xf numFmtId="2" fontId="88" fillId="4" borderId="0" xfId="5" applyNumberFormat="1" applyFont="1" applyFill="1" applyAlignment="1">
      <alignment horizontal="center" vertical="center"/>
    </xf>
    <xf numFmtId="2" fontId="89" fillId="4" borderId="0" xfId="5" applyNumberFormat="1" applyFont="1" applyFill="1" applyAlignment="1">
      <alignment horizontal="center"/>
    </xf>
    <xf numFmtId="2" fontId="48" fillId="0" borderId="150" xfId="553" applyNumberFormat="1" applyBorder="1" applyAlignment="1">
      <alignment horizontal="center" shrinkToFit="1"/>
    </xf>
    <xf numFmtId="0" fontId="65" fillId="0" borderId="166" xfId="0" applyFont="1" applyBorder="1" applyAlignment="1">
      <alignment wrapText="1"/>
    </xf>
    <xf numFmtId="0" fontId="65" fillId="0" borderId="166" xfId="0" applyFont="1" applyBorder="1"/>
    <xf numFmtId="0" fontId="65" fillId="0" borderId="162" xfId="0" applyFont="1" applyBorder="1" applyAlignment="1">
      <alignment wrapText="1"/>
    </xf>
    <xf numFmtId="0" fontId="65" fillId="0" borderId="111" xfId="0" applyFont="1" applyBorder="1" applyAlignment="1">
      <alignment wrapText="1"/>
    </xf>
    <xf numFmtId="0" fontId="65" fillId="0" borderId="112" xfId="0" applyFont="1" applyBorder="1" applyAlignment="1">
      <alignment wrapText="1"/>
    </xf>
    <xf numFmtId="0" fontId="65" fillId="0" borderId="114" xfId="0" applyFont="1" applyBorder="1" applyAlignment="1">
      <alignment wrapText="1"/>
    </xf>
    <xf numFmtId="172" fontId="62" fillId="0" borderId="0" xfId="0" applyNumberFormat="1" applyFont="1" applyAlignment="1" applyProtection="1">
      <alignment horizontal="center" vertical="center" wrapText="1"/>
      <protection locked="0"/>
    </xf>
    <xf numFmtId="43" fontId="62" fillId="0" borderId="0" xfId="1" applyFont="1" applyBorder="1" applyAlignment="1" applyProtection="1">
      <alignment vertical="center"/>
      <protection locked="0"/>
    </xf>
    <xf numFmtId="43" fontId="64" fillId="0" borderId="0" xfId="1" applyFont="1" applyBorder="1" applyAlignment="1" applyProtection="1">
      <alignment horizontal="left" vertical="center" wrapText="1"/>
      <protection locked="0"/>
    </xf>
    <xf numFmtId="0" fontId="62" fillId="0" borderId="141" xfId="0" applyFont="1" applyBorder="1" applyAlignment="1" applyProtection="1">
      <alignment horizontal="center" vertical="center"/>
      <protection locked="0"/>
    </xf>
    <xf numFmtId="0" fontId="99" fillId="14" borderId="37" xfId="5" applyFont="1" applyFill="1" applyBorder="1" applyAlignment="1">
      <alignment horizontal="center" vertical="center" wrapText="1"/>
    </xf>
    <xf numFmtId="2" fontId="99" fillId="14" borderId="18" xfId="1" applyNumberFormat="1" applyFont="1" applyFill="1" applyBorder="1" applyAlignment="1">
      <alignment horizontal="center" vertical="center" wrapText="1"/>
    </xf>
    <xf numFmtId="2" fontId="100" fillId="14" borderId="26" xfId="1" applyNumberFormat="1" applyFont="1" applyFill="1" applyBorder="1" applyAlignment="1">
      <alignment horizontal="center" vertical="center" wrapText="1"/>
    </xf>
    <xf numFmtId="0" fontId="99" fillId="14" borderId="17" xfId="5" applyFont="1" applyFill="1" applyBorder="1" applyAlignment="1" applyProtection="1">
      <alignment horizontal="center" vertical="center" wrapText="1"/>
      <protection locked="0"/>
    </xf>
    <xf numFmtId="0" fontId="99" fillId="14" borderId="32" xfId="5" applyFont="1" applyFill="1" applyBorder="1" applyAlignment="1">
      <alignment horizontal="center" vertical="center" wrapText="1"/>
    </xf>
    <xf numFmtId="0" fontId="86" fillId="4" borderId="7" xfId="5" applyFont="1" applyFill="1" applyBorder="1" applyAlignment="1">
      <alignment horizontal="center" vertical="center" wrapText="1"/>
    </xf>
    <xf numFmtId="0" fontId="86" fillId="4" borderId="26" xfId="5" applyFont="1" applyFill="1" applyBorder="1" applyAlignment="1">
      <alignment horizontal="center" vertical="center" wrapText="1"/>
    </xf>
    <xf numFmtId="166" fontId="86" fillId="4" borderId="7" xfId="5" applyNumberFormat="1" applyFont="1" applyFill="1" applyBorder="1" applyAlignment="1">
      <alignment horizontal="center" vertical="center" wrapText="1"/>
    </xf>
    <xf numFmtId="2" fontId="87" fillId="4" borderId="7" xfId="5" applyNumberFormat="1" applyFont="1" applyFill="1" applyBorder="1" applyAlignment="1">
      <alignment horizontal="center" vertical="center" wrapText="1"/>
    </xf>
    <xf numFmtId="0" fontId="86" fillId="4" borderId="7" xfId="5" applyFont="1" applyFill="1" applyBorder="1" applyAlignment="1" applyProtection="1">
      <alignment horizontal="center" vertical="center" wrapText="1"/>
      <protection locked="0"/>
    </xf>
    <xf numFmtId="171" fontId="62" fillId="0" borderId="169" xfId="1" applyNumberFormat="1" applyFont="1" applyBorder="1" applyAlignment="1" applyProtection="1">
      <alignment horizontal="center" vertical="center"/>
    </xf>
    <xf numFmtId="171" fontId="62" fillId="0" borderId="170" xfId="1" applyNumberFormat="1" applyFont="1" applyBorder="1" applyAlignment="1" applyProtection="1">
      <alignment horizontal="center" vertical="center"/>
    </xf>
    <xf numFmtId="171" fontId="62" fillId="0" borderId="171" xfId="1" applyNumberFormat="1" applyFont="1" applyBorder="1" applyAlignment="1" applyProtection="1">
      <alignment horizontal="center" vertical="center"/>
    </xf>
    <xf numFmtId="0" fontId="62" fillId="0" borderId="169" xfId="0" applyFont="1" applyBorder="1" applyAlignment="1">
      <alignment horizontal="center" vertical="center"/>
    </xf>
    <xf numFmtId="0" fontId="62" fillId="0" borderId="170" xfId="0" applyFont="1" applyBorder="1" applyAlignment="1">
      <alignment vertical="center"/>
    </xf>
    <xf numFmtId="0" fontId="62" fillId="0" borderId="171" xfId="0" applyFont="1" applyBorder="1" applyAlignment="1">
      <alignment horizontal="center" vertical="center"/>
    </xf>
    <xf numFmtId="176" fontId="62" fillId="0" borderId="170" xfId="1" applyNumberFormat="1" applyFont="1" applyBorder="1" applyAlignment="1" applyProtection="1">
      <alignment horizontal="center" vertical="center"/>
    </xf>
    <xf numFmtId="9" fontId="62" fillId="0" borderId="171" xfId="3" applyFont="1" applyFill="1" applyBorder="1" applyAlignment="1" applyProtection="1">
      <alignment horizontal="center" vertical="center"/>
    </xf>
    <xf numFmtId="168" fontId="65" fillId="0" borderId="173" xfId="1" applyNumberFormat="1" applyFont="1" applyBorder="1" applyAlignment="1" applyProtection="1">
      <alignment vertical="center"/>
    </xf>
    <xf numFmtId="168" fontId="65" fillId="0" borderId="169" xfId="1" applyNumberFormat="1" applyFont="1" applyBorder="1" applyAlignment="1" applyProtection="1">
      <alignment vertical="center"/>
    </xf>
    <xf numFmtId="43" fontId="65" fillId="0" borderId="170" xfId="1" applyFont="1" applyBorder="1" applyAlignment="1" applyProtection="1">
      <alignment vertical="center"/>
    </xf>
    <xf numFmtId="177" fontId="62" fillId="0" borderId="174" xfId="1" applyNumberFormat="1" applyFont="1" applyBorder="1" applyAlignment="1" applyProtection="1">
      <alignment horizontal="center"/>
    </xf>
    <xf numFmtId="165" fontId="62" fillId="0" borderId="174" xfId="1" applyNumberFormat="1" applyFont="1" applyBorder="1" applyAlignment="1" applyProtection="1">
      <alignment horizontal="center"/>
    </xf>
    <xf numFmtId="176" fontId="62" fillId="0" borderId="174" xfId="1" applyNumberFormat="1" applyFont="1" applyBorder="1" applyAlignment="1" applyProtection="1">
      <alignment horizontal="center"/>
    </xf>
    <xf numFmtId="9" fontId="65" fillId="15" borderId="169" xfId="0" applyNumberFormat="1" applyFont="1" applyFill="1" applyBorder="1" applyAlignment="1">
      <alignment vertical="center"/>
    </xf>
    <xf numFmtId="9" fontId="65" fillId="15" borderId="170" xfId="0" applyNumberFormat="1" applyFont="1" applyFill="1" applyBorder="1" applyAlignment="1">
      <alignment vertical="center"/>
    </xf>
    <xf numFmtId="9" fontId="65" fillId="15" borderId="171" xfId="0" applyNumberFormat="1" applyFont="1" applyFill="1" applyBorder="1" applyAlignment="1">
      <alignment vertical="center"/>
    </xf>
    <xf numFmtId="177" fontId="62" fillId="0" borderId="174" xfId="1" applyNumberFormat="1" applyFont="1" applyBorder="1" applyAlignment="1">
      <alignment horizontal="center"/>
    </xf>
    <xf numFmtId="165" fontId="62" fillId="0" borderId="174" xfId="1" applyNumberFormat="1" applyFont="1" applyBorder="1" applyAlignment="1">
      <alignment horizontal="center"/>
    </xf>
    <xf numFmtId="176" fontId="62" fillId="0" borderId="174" xfId="1" applyNumberFormat="1" applyFont="1" applyBorder="1" applyAlignment="1">
      <alignment horizontal="center"/>
    </xf>
    <xf numFmtId="171" fontId="65" fillId="0" borderId="175" xfId="1" applyNumberFormat="1" applyFont="1" applyBorder="1" applyAlignment="1" applyProtection="1">
      <alignment vertical="center"/>
    </xf>
    <xf numFmtId="171" fontId="65" fillId="0" borderId="171" xfId="1" applyNumberFormat="1" applyFont="1" applyBorder="1" applyAlignment="1" applyProtection="1">
      <alignment vertical="center"/>
    </xf>
    <xf numFmtId="177" fontId="62" fillId="0" borderId="169" xfId="1" applyNumberFormat="1" applyFont="1" applyBorder="1" applyAlignment="1" applyProtection="1">
      <alignment horizontal="center"/>
    </xf>
    <xf numFmtId="176" fontId="62" fillId="0" borderId="175" xfId="1" applyNumberFormat="1" applyFont="1" applyBorder="1" applyAlignment="1" applyProtection="1">
      <alignment horizontal="center"/>
    </xf>
    <xf numFmtId="177" fontId="62" fillId="0" borderId="175" xfId="1" applyNumberFormat="1" applyFont="1" applyBorder="1" applyAlignment="1" applyProtection="1">
      <alignment horizontal="center"/>
    </xf>
    <xf numFmtId="43" fontId="64" fillId="0" borderId="174" xfId="1" applyFont="1" applyFill="1" applyBorder="1" applyAlignment="1" applyProtection="1">
      <alignment horizontal="center"/>
    </xf>
    <xf numFmtId="9" fontId="64" fillId="0" borderId="175" xfId="3" applyFont="1" applyFill="1" applyBorder="1" applyAlignment="1" applyProtection="1">
      <alignment horizontal="center"/>
    </xf>
    <xf numFmtId="0" fontId="73" fillId="23" borderId="169" xfId="0" applyFont="1" applyFill="1" applyBorder="1" applyProtection="1">
      <protection locked="0"/>
    </xf>
    <xf numFmtId="171" fontId="64" fillId="0" borderId="170" xfId="1" applyNumberFormat="1" applyFont="1" applyBorder="1" applyAlignment="1" applyProtection="1">
      <alignment horizontal="center"/>
      <protection locked="0"/>
    </xf>
    <xf numFmtId="9" fontId="64" fillId="23" borderId="175" xfId="0" applyNumberFormat="1" applyFont="1" applyFill="1" applyBorder="1" applyProtection="1">
      <protection locked="0"/>
    </xf>
    <xf numFmtId="166" fontId="73" fillId="16" borderId="173" xfId="0" applyNumberFormat="1" applyFont="1" applyFill="1" applyBorder="1"/>
    <xf numFmtId="43" fontId="73" fillId="24" borderId="169" xfId="1" applyFont="1" applyFill="1" applyBorder="1" applyProtection="1"/>
    <xf numFmtId="43" fontId="64" fillId="0" borderId="174" xfId="1" applyFont="1" applyFill="1" applyBorder="1" applyAlignment="1" applyProtection="1">
      <alignment horizontal="center" wrapText="1"/>
    </xf>
    <xf numFmtId="0" fontId="64" fillId="0" borderId="175" xfId="0" applyFont="1" applyBorder="1" applyProtection="1">
      <protection locked="0"/>
    </xf>
    <xf numFmtId="0" fontId="73" fillId="24" borderId="173" xfId="0" applyFont="1" applyFill="1" applyBorder="1" applyAlignment="1" applyProtection="1">
      <alignment vertical="center" wrapText="1"/>
      <protection locked="0"/>
    </xf>
    <xf numFmtId="168" fontId="64" fillId="0" borderId="170" xfId="1" applyNumberFormat="1" applyFont="1" applyBorder="1" applyAlignment="1" applyProtection="1">
      <alignment horizontal="center"/>
      <protection locked="0"/>
    </xf>
    <xf numFmtId="9" fontId="64" fillId="23" borderId="176" xfId="0" applyNumberFormat="1" applyFont="1" applyFill="1" applyBorder="1" applyProtection="1">
      <protection locked="0"/>
    </xf>
    <xf numFmtId="0" fontId="73" fillId="0" borderId="173" xfId="0" applyFont="1" applyBorder="1" applyProtection="1">
      <protection locked="0"/>
    </xf>
    <xf numFmtId="9" fontId="64" fillId="0" borderId="175" xfId="0" applyNumberFormat="1" applyFont="1" applyBorder="1" applyProtection="1">
      <protection locked="0"/>
    </xf>
    <xf numFmtId="1" fontId="64" fillId="0" borderId="170" xfId="0" applyNumberFormat="1" applyFont="1" applyBorder="1" applyAlignment="1" applyProtection="1">
      <alignment horizontal="center"/>
      <protection locked="0"/>
    </xf>
    <xf numFmtId="1" fontId="64" fillId="0" borderId="177" xfId="0" applyNumberFormat="1" applyFont="1" applyBorder="1" applyAlignment="1" applyProtection="1">
      <alignment horizontal="center"/>
      <protection locked="0"/>
    </xf>
    <xf numFmtId="177" fontId="76" fillId="0" borderId="170" xfId="1" applyNumberFormat="1" applyFont="1" applyBorder="1" applyProtection="1">
      <protection locked="0"/>
    </xf>
    <xf numFmtId="177" fontId="76" fillId="0" borderId="171" xfId="1" applyNumberFormat="1" applyFont="1" applyBorder="1" applyProtection="1">
      <protection locked="0"/>
    </xf>
    <xf numFmtId="177" fontId="73" fillId="23" borderId="174" xfId="1" applyNumberFormat="1" applyFont="1" applyFill="1" applyBorder="1" applyProtection="1">
      <protection locked="0"/>
    </xf>
    <xf numFmtId="168" fontId="73" fillId="24" borderId="177" xfId="1" applyNumberFormat="1" applyFont="1" applyFill="1" applyBorder="1" applyProtection="1">
      <protection locked="0"/>
    </xf>
    <xf numFmtId="176" fontId="76" fillId="0" borderId="169" xfId="1" applyNumberFormat="1" applyFont="1" applyBorder="1" applyProtection="1">
      <protection locked="0"/>
    </xf>
    <xf numFmtId="176" fontId="76" fillId="0" borderId="170" xfId="1" applyNumberFormat="1" applyFont="1" applyBorder="1" applyProtection="1">
      <protection locked="0"/>
    </xf>
    <xf numFmtId="168" fontId="64" fillId="0" borderId="173" xfId="1" applyNumberFormat="1" applyFont="1" applyBorder="1" applyAlignment="1" applyProtection="1">
      <alignment horizontal="center"/>
    </xf>
    <xf numFmtId="0" fontId="67" fillId="10" borderId="177" xfId="7" applyFont="1" applyFill="1" applyBorder="1"/>
    <xf numFmtId="0" fontId="97" fillId="10" borderId="176" xfId="7" applyFont="1" applyFill="1" applyBorder="1"/>
    <xf numFmtId="0" fontId="97" fillId="0" borderId="176" xfId="7" applyFont="1" applyBorder="1"/>
    <xf numFmtId="0" fontId="62" fillId="0" borderId="170" xfId="7" applyFont="1" applyBorder="1" applyAlignment="1">
      <alignment horizontal="center"/>
    </xf>
    <xf numFmtId="179" fontId="67" fillId="0" borderId="170" xfId="7" applyNumberFormat="1" applyFont="1" applyBorder="1" applyAlignment="1">
      <alignment horizontal="center" vertical="center"/>
    </xf>
    <xf numFmtId="172" fontId="67" fillId="0" borderId="176" xfId="7" applyNumberFormat="1" applyFont="1" applyBorder="1" applyAlignment="1">
      <alignment horizontal="center" vertical="center"/>
    </xf>
    <xf numFmtId="172" fontId="67" fillId="0" borderId="174" xfId="7" applyNumberFormat="1" applyFont="1" applyBorder="1" applyAlignment="1">
      <alignment horizontal="center" vertical="center"/>
    </xf>
    <xf numFmtId="174" fontId="67" fillId="0" borderId="170" xfId="7" applyNumberFormat="1" applyFont="1" applyBorder="1" applyAlignment="1">
      <alignment horizontal="center" vertical="center"/>
    </xf>
    <xf numFmtId="0" fontId="67" fillId="10" borderId="176" xfId="7" applyFont="1" applyFill="1" applyBorder="1"/>
    <xf numFmtId="0" fontId="67" fillId="0" borderId="176" xfId="7" applyFont="1" applyBorder="1"/>
    <xf numFmtId="0" fontId="62" fillId="0" borderId="176" xfId="7" applyFont="1" applyBorder="1" applyAlignment="1">
      <alignment horizontal="right"/>
    </xf>
    <xf numFmtId="0" fontId="64" fillId="0" borderId="170" xfId="7" applyFont="1" applyBorder="1" applyAlignment="1">
      <alignment horizontal="center"/>
    </xf>
    <xf numFmtId="0" fontId="58" fillId="4" borderId="170" xfId="5" applyFont="1" applyFill="1" applyBorder="1"/>
    <xf numFmtId="0" fontId="44" fillId="4" borderId="176" xfId="0" applyFont="1" applyFill="1" applyBorder="1" applyAlignment="1">
      <alignment horizontal="center" vertical="center"/>
    </xf>
    <xf numFmtId="0" fontId="44" fillId="4" borderId="176" xfId="0" applyFont="1" applyFill="1" applyBorder="1" applyAlignment="1">
      <alignment horizontal="center"/>
    </xf>
    <xf numFmtId="43" fontId="55" fillId="4" borderId="176" xfId="1" applyFont="1" applyFill="1" applyBorder="1" applyAlignment="1">
      <alignment horizontal="center"/>
    </xf>
    <xf numFmtId="2" fontId="44" fillId="4" borderId="176" xfId="0" applyNumberFormat="1" applyFont="1" applyFill="1" applyBorder="1" applyAlignment="1">
      <alignment horizontal="center"/>
    </xf>
    <xf numFmtId="0" fontId="44" fillId="32" borderId="176" xfId="0" applyFont="1" applyFill="1" applyBorder="1" applyAlignment="1">
      <alignment horizontal="center" vertical="center"/>
    </xf>
    <xf numFmtId="0" fontId="44" fillId="32" borderId="176" xfId="0" applyFont="1" applyFill="1" applyBorder="1" applyAlignment="1">
      <alignment horizontal="center"/>
    </xf>
    <xf numFmtId="43" fontId="55" fillId="32" borderId="176" xfId="1" applyFont="1" applyFill="1" applyBorder="1" applyAlignment="1">
      <alignment horizontal="center"/>
    </xf>
    <xf numFmtId="2" fontId="44" fillId="32" borderId="176" xfId="0" applyNumberFormat="1" applyFont="1" applyFill="1" applyBorder="1" applyAlignment="1">
      <alignment horizontal="center"/>
    </xf>
    <xf numFmtId="0" fontId="62" fillId="0" borderId="172" xfId="0" applyFont="1" applyBorder="1" applyAlignment="1" applyProtection="1">
      <alignment wrapText="1"/>
      <protection locked="0"/>
    </xf>
    <xf numFmtId="0" fontId="62" fillId="0" borderId="169" xfId="0" applyFont="1" applyBorder="1" applyAlignment="1">
      <alignment horizontal="center"/>
    </xf>
    <xf numFmtId="0" fontId="62" fillId="0" borderId="170" xfId="0" applyFont="1" applyBorder="1"/>
    <xf numFmtId="0" fontId="62" fillId="0" borderId="171" xfId="0" applyFont="1" applyBorder="1" applyAlignment="1">
      <alignment horizontal="center"/>
    </xf>
    <xf numFmtId="171" fontId="62" fillId="0" borderId="169" xfId="1" applyNumberFormat="1" applyFont="1" applyBorder="1" applyAlignment="1">
      <alignment horizontal="center"/>
    </xf>
    <xf numFmtId="171" fontId="62" fillId="0" borderId="170" xfId="1" applyNumberFormat="1" applyFont="1" applyBorder="1" applyAlignment="1">
      <alignment horizontal="center"/>
    </xf>
    <xf numFmtId="176" fontId="62" fillId="0" borderId="170" xfId="1" applyNumberFormat="1" applyFont="1" applyBorder="1" applyAlignment="1" applyProtection="1">
      <alignment horizontal="center"/>
    </xf>
    <xf numFmtId="9" fontId="62" fillId="0" borderId="171" xfId="3" applyFont="1" applyFill="1" applyBorder="1" applyAlignment="1" applyProtection="1">
      <alignment horizontal="center"/>
    </xf>
    <xf numFmtId="168" fontId="64" fillId="0" borderId="154" xfId="1" applyNumberFormat="1" applyFont="1" applyBorder="1" applyAlignment="1" applyProtection="1">
      <alignment horizontal="center" wrapText="1"/>
      <protection locked="0"/>
    </xf>
    <xf numFmtId="0" fontId="51" fillId="0" borderId="154" xfId="5" applyFont="1" applyBorder="1" applyProtection="1">
      <protection locked="0"/>
    </xf>
    <xf numFmtId="0" fontId="88" fillId="4" borderId="154" xfId="5" applyFont="1" applyFill="1" applyBorder="1" applyAlignment="1">
      <alignment horizontal="center"/>
    </xf>
    <xf numFmtId="2" fontId="48" fillId="0" borderId="170" xfId="8" applyNumberFormat="1" applyBorder="1" applyAlignment="1">
      <alignment horizontal="center" vertical="center"/>
    </xf>
    <xf numFmtId="43" fontId="64" fillId="0" borderId="144" xfId="1" applyFont="1" applyBorder="1" applyAlignment="1" applyProtection="1">
      <alignment horizontal="center"/>
    </xf>
    <xf numFmtId="168" fontId="64" fillId="4" borderId="150" xfId="1" applyNumberFormat="1" applyFont="1" applyFill="1" applyBorder="1" applyAlignment="1" applyProtection="1">
      <alignment horizontal="center"/>
      <protection locked="0"/>
    </xf>
    <xf numFmtId="43" fontId="62" fillId="0" borderId="83" xfId="1" applyFont="1" applyBorder="1" applyAlignment="1" applyProtection="1">
      <alignment vertical="center"/>
      <protection locked="0"/>
    </xf>
    <xf numFmtId="43" fontId="62" fillId="0" borderId="153" xfId="1" applyFont="1" applyBorder="1" applyAlignment="1" applyProtection="1">
      <alignment vertical="center"/>
      <protection locked="0"/>
    </xf>
    <xf numFmtId="43" fontId="62" fillId="0" borderId="145" xfId="1" applyFont="1" applyBorder="1" applyAlignment="1" applyProtection="1">
      <alignment vertical="center"/>
      <protection locked="0"/>
    </xf>
    <xf numFmtId="0" fontId="62" fillId="0" borderId="150" xfId="0" applyFont="1" applyBorder="1" applyAlignment="1" applyProtection="1">
      <alignment horizontal="center" vertical="center"/>
      <protection locked="0"/>
    </xf>
    <xf numFmtId="0" fontId="62" fillId="0" borderId="155" xfId="0" applyFont="1" applyBorder="1" applyAlignment="1" applyProtection="1">
      <alignment horizontal="center" vertical="center"/>
      <protection locked="0"/>
    </xf>
    <xf numFmtId="0" fontId="88" fillId="4" borderId="170" xfId="5" applyFont="1" applyFill="1" applyBorder="1"/>
    <xf numFmtId="0" fontId="88" fillId="4" borderId="150" xfId="5" applyFont="1" applyFill="1" applyBorder="1" applyAlignment="1">
      <alignment horizontal="center"/>
    </xf>
    <xf numFmtId="166" fontId="88" fillId="4" borderId="150" xfId="5" applyNumberFormat="1" applyFont="1" applyFill="1" applyBorder="1" applyAlignment="1">
      <alignment horizontal="center"/>
    </xf>
    <xf numFmtId="0" fontId="88" fillId="4" borderId="170" xfId="5" applyFont="1" applyFill="1" applyBorder="1" applyAlignment="1">
      <alignment horizontal="center"/>
    </xf>
    <xf numFmtId="0" fontId="88" fillId="4" borderId="39" xfId="5" applyFont="1" applyFill="1" applyBorder="1"/>
    <xf numFmtId="0" fontId="51" fillId="0" borderId="170" xfId="5" applyFont="1" applyBorder="1"/>
    <xf numFmtId="0" fontId="51" fillId="0" borderId="170" xfId="5" applyFont="1" applyBorder="1" applyProtection="1">
      <protection locked="0"/>
    </xf>
    <xf numFmtId="0" fontId="48" fillId="0" borderId="170" xfId="8" applyBorder="1" applyAlignment="1">
      <alignment horizontal="center"/>
    </xf>
    <xf numFmtId="0" fontId="88" fillId="4" borderId="183" xfId="5" applyFont="1" applyFill="1" applyBorder="1"/>
    <xf numFmtId="2" fontId="48" fillId="0" borderId="150" xfId="553" applyNumberFormat="1" applyBorder="1" applyAlignment="1">
      <alignment horizontal="center" vertical="center" shrinkToFit="1"/>
    </xf>
    <xf numFmtId="0" fontId="88" fillId="4" borderId="0" xfId="5" applyFont="1" applyFill="1" applyAlignment="1">
      <alignment horizontal="center"/>
    </xf>
    <xf numFmtId="166" fontId="88" fillId="4" borderId="0" xfId="5" applyNumberFormat="1" applyFont="1" applyFill="1" applyAlignment="1">
      <alignment horizontal="center"/>
    </xf>
    <xf numFmtId="0" fontId="62" fillId="0" borderId="179" xfId="0" applyFont="1" applyBorder="1"/>
    <xf numFmtId="0" fontId="51" fillId="0" borderId="179" xfId="5" applyFont="1" applyBorder="1"/>
    <xf numFmtId="0" fontId="51" fillId="0" borderId="159" xfId="5" applyFont="1" applyBorder="1"/>
    <xf numFmtId="0" fontId="51" fillId="0" borderId="183" xfId="5" applyFont="1" applyBorder="1"/>
    <xf numFmtId="0" fontId="51" fillId="0" borderId="183" xfId="5" applyFont="1" applyBorder="1" applyProtection="1">
      <protection locked="0"/>
    </xf>
    <xf numFmtId="0" fontId="88" fillId="4" borderId="39" xfId="5" applyFont="1" applyFill="1" applyBorder="1" applyAlignment="1">
      <alignment horizontal="center"/>
    </xf>
    <xf numFmtId="0" fontId="88" fillId="4" borderId="183" xfId="5" applyFont="1" applyFill="1" applyBorder="1" applyAlignment="1">
      <alignment horizontal="center"/>
    </xf>
    <xf numFmtId="166" fontId="88" fillId="4" borderId="183" xfId="5" applyNumberFormat="1" applyFont="1" applyFill="1" applyBorder="1" applyAlignment="1">
      <alignment horizontal="center"/>
    </xf>
    <xf numFmtId="166" fontId="88" fillId="4" borderId="39" xfId="5" applyNumberFormat="1" applyFont="1" applyFill="1" applyBorder="1" applyAlignment="1">
      <alignment horizontal="center"/>
    </xf>
    <xf numFmtId="166" fontId="88" fillId="4" borderId="170" xfId="5" applyNumberFormat="1" applyFont="1" applyFill="1" applyBorder="1" applyAlignment="1">
      <alignment horizontal="center"/>
    </xf>
    <xf numFmtId="0" fontId="88" fillId="4" borderId="159" xfId="5" applyFont="1" applyFill="1" applyBorder="1" applyAlignment="1">
      <alignment horizontal="center"/>
    </xf>
    <xf numFmtId="0" fontId="88" fillId="4" borderId="184" xfId="5" applyFont="1" applyFill="1" applyBorder="1" applyAlignment="1">
      <alignment horizontal="center"/>
    </xf>
    <xf numFmtId="0" fontId="88" fillId="4" borderId="139" xfId="5" applyFont="1" applyFill="1" applyBorder="1" applyAlignment="1">
      <alignment horizontal="center"/>
    </xf>
    <xf numFmtId="0" fontId="88" fillId="4" borderId="181" xfId="5" applyFont="1" applyFill="1" applyBorder="1" applyAlignment="1">
      <alignment horizontal="center"/>
    </xf>
    <xf numFmtId="0" fontId="137" fillId="4" borderId="2" xfId="5" applyFont="1" applyFill="1" applyBorder="1" applyAlignment="1">
      <alignment horizontal="center" vertical="center" wrapText="1"/>
    </xf>
    <xf numFmtId="0" fontId="63" fillId="0" borderId="170" xfId="0" applyFont="1" applyBorder="1"/>
    <xf numFmtId="2" fontId="48" fillId="0" borderId="170" xfId="553" applyNumberFormat="1" applyBorder="1" applyAlignment="1">
      <alignment horizontal="center" vertical="center" shrinkToFit="1"/>
    </xf>
    <xf numFmtId="0" fontId="88" fillId="4" borderId="42" xfId="5" applyFont="1" applyFill="1" applyBorder="1" applyAlignment="1">
      <alignment horizontal="center"/>
    </xf>
    <xf numFmtId="166" fontId="88" fillId="4" borderId="42" xfId="5" applyNumberFormat="1" applyFont="1" applyFill="1" applyBorder="1" applyAlignment="1">
      <alignment horizontal="center"/>
    </xf>
    <xf numFmtId="0" fontId="88" fillId="4" borderId="6" xfId="5" applyFont="1" applyFill="1" applyBorder="1" applyAlignment="1">
      <alignment horizontal="center"/>
    </xf>
    <xf numFmtId="0" fontId="88" fillId="4" borderId="151" xfId="5" applyFont="1" applyFill="1" applyBorder="1" applyAlignment="1">
      <alignment horizontal="center"/>
    </xf>
    <xf numFmtId="0" fontId="88" fillId="4" borderId="141" xfId="5" applyFont="1" applyFill="1" applyBorder="1" applyAlignment="1">
      <alignment horizontal="center"/>
    </xf>
    <xf numFmtId="166" fontId="88" fillId="4" borderId="141" xfId="5" applyNumberFormat="1" applyFont="1" applyFill="1" applyBorder="1" applyAlignment="1">
      <alignment horizontal="center"/>
    </xf>
    <xf numFmtId="0" fontId="51" fillId="0" borderId="179" xfId="5" applyFont="1" applyBorder="1" applyProtection="1">
      <protection locked="0"/>
    </xf>
    <xf numFmtId="0" fontId="51" fillId="0" borderId="180" xfId="5" applyFont="1" applyBorder="1"/>
    <xf numFmtId="2" fontId="143" fillId="0" borderId="150" xfId="8" applyNumberFormat="1" applyFont="1" applyBorder="1" applyAlignment="1">
      <alignment horizontal="center" wrapText="1"/>
    </xf>
    <xf numFmtId="2" fontId="142" fillId="0" borderId="150" xfId="8" applyNumberFormat="1" applyFont="1" applyBorder="1" applyAlignment="1">
      <alignment horizontal="center" wrapText="1"/>
    </xf>
    <xf numFmtId="0" fontId="51" fillId="0" borderId="39" xfId="5" applyFont="1" applyBorder="1"/>
    <xf numFmtId="0" fontId="51" fillId="0" borderId="39" xfId="5" applyFont="1" applyBorder="1" applyProtection="1">
      <protection locked="0"/>
    </xf>
    <xf numFmtId="1" fontId="60" fillId="4" borderId="150" xfId="0" applyNumberFormat="1" applyFont="1" applyFill="1" applyBorder="1"/>
    <xf numFmtId="1" fontId="60" fillId="4" borderId="154" xfId="0" applyNumberFormat="1" applyFont="1" applyFill="1" applyBorder="1"/>
    <xf numFmtId="2" fontId="143" fillId="0" borderId="39" xfId="8" applyNumberFormat="1" applyFont="1" applyBorder="1" applyAlignment="1">
      <alignment horizontal="center" wrapText="1"/>
    </xf>
    <xf numFmtId="0" fontId="83" fillId="0" borderId="0" xfId="0" applyFont="1"/>
    <xf numFmtId="0" fontId="48" fillId="0" borderId="0" xfId="0" applyFont="1"/>
    <xf numFmtId="0" fontId="62" fillId="0" borderId="183" xfId="0" applyFont="1" applyBorder="1"/>
    <xf numFmtId="0" fontId="48" fillId="0" borderId="183" xfId="8" applyBorder="1" applyAlignment="1">
      <alignment horizontal="center"/>
    </xf>
    <xf numFmtId="0" fontId="62" fillId="0" borderId="39" xfId="0" applyFont="1" applyBorder="1"/>
    <xf numFmtId="0" fontId="63" fillId="0" borderId="179" xfId="0" applyFont="1" applyBorder="1"/>
    <xf numFmtId="0" fontId="51" fillId="0" borderId="42" xfId="5" applyFont="1" applyBorder="1"/>
    <xf numFmtId="0" fontId="51" fillId="0" borderId="42" xfId="5" applyFont="1" applyBorder="1" applyProtection="1">
      <protection locked="0"/>
    </xf>
    <xf numFmtId="0" fontId="51" fillId="0" borderId="6" xfId="5" applyFont="1" applyBorder="1"/>
    <xf numFmtId="2" fontId="48" fillId="0" borderId="141" xfId="8" applyNumberFormat="1" applyBorder="1" applyAlignment="1">
      <alignment horizontal="center" vertical="center"/>
    </xf>
    <xf numFmtId="172" fontId="99" fillId="14" borderId="2" xfId="5" applyNumberFormat="1" applyFont="1" applyFill="1" applyBorder="1" applyAlignment="1">
      <alignment horizontal="center" vertical="center" wrapText="1"/>
    </xf>
    <xf numFmtId="0" fontId="51" fillId="0" borderId="20" xfId="5" applyFont="1" applyBorder="1"/>
    <xf numFmtId="0" fontId="51" fillId="0" borderId="171" xfId="5" applyFont="1" applyBorder="1"/>
    <xf numFmtId="0" fontId="88" fillId="4" borderId="171" xfId="5" applyFont="1" applyFill="1" applyBorder="1" applyAlignment="1">
      <alignment horizontal="center"/>
    </xf>
    <xf numFmtId="0" fontId="88" fillId="4" borderId="40" xfId="5" applyFont="1" applyFill="1" applyBorder="1"/>
    <xf numFmtId="168" fontId="62" fillId="23" borderId="27" xfId="1" applyNumberFormat="1" applyFont="1" applyFill="1" applyBorder="1" applyAlignment="1">
      <alignment horizontal="center"/>
    </xf>
    <xf numFmtId="177" fontId="62" fillId="0" borderId="154" xfId="1" applyNumberFormat="1" applyFont="1" applyBorder="1" applyAlignment="1" applyProtection="1">
      <alignment horizontal="center"/>
    </xf>
    <xf numFmtId="168" fontId="67" fillId="21" borderId="30" xfId="1" applyNumberFormat="1" applyFont="1" applyFill="1" applyBorder="1" applyAlignment="1" applyProtection="1">
      <alignment horizontal="center" vertical="center"/>
    </xf>
    <xf numFmtId="43" fontId="67" fillId="21" borderId="37" xfId="1" applyFont="1" applyFill="1" applyBorder="1" applyAlignment="1" applyProtection="1">
      <alignment horizontal="center" vertical="center"/>
    </xf>
    <xf numFmtId="171" fontId="67" fillId="21" borderId="32" xfId="1" applyNumberFormat="1" applyFont="1" applyFill="1" applyBorder="1" applyAlignment="1" applyProtection="1">
      <alignment vertical="center"/>
    </xf>
    <xf numFmtId="168" fontId="65" fillId="0" borderId="83" xfId="1" applyNumberFormat="1" applyFont="1" applyBorder="1" applyAlignment="1" applyProtection="1">
      <alignment vertical="center"/>
    </xf>
    <xf numFmtId="43" fontId="62" fillId="0" borderId="42" xfId="1" applyFont="1" applyBorder="1" applyAlignment="1" applyProtection="1">
      <alignment horizontal="center"/>
    </xf>
    <xf numFmtId="171" fontId="65" fillId="0" borderId="2" xfId="1" applyNumberFormat="1" applyFont="1" applyBorder="1" applyAlignment="1" applyProtection="1">
      <alignment vertical="center"/>
    </xf>
    <xf numFmtId="43" fontId="65" fillId="0" borderId="158" xfId="1" applyFont="1" applyBorder="1" applyAlignment="1" applyProtection="1">
      <alignment horizontal="left" vertical="center"/>
    </xf>
    <xf numFmtId="43" fontId="65" fillId="0" borderId="176" xfId="1" applyFont="1" applyBorder="1" applyAlignment="1" applyProtection="1">
      <alignment horizontal="left" vertical="center"/>
    </xf>
    <xf numFmtId="0" fontId="51" fillId="0" borderId="150" xfId="5" applyFont="1" applyBorder="1" applyAlignment="1">
      <alignment horizontal="right"/>
    </xf>
    <xf numFmtId="0" fontId="51" fillId="0" borderId="147" xfId="5" applyFont="1" applyBorder="1"/>
    <xf numFmtId="0" fontId="51" fillId="0" borderId="175" xfId="5" applyFont="1" applyBorder="1"/>
    <xf numFmtId="0" fontId="62" fillId="0" borderId="150" xfId="0" applyFont="1" applyBorder="1" applyAlignment="1">
      <alignment horizontal="left"/>
    </xf>
    <xf numFmtId="2" fontId="86" fillId="4" borderId="26" xfId="5" applyNumberFormat="1" applyFont="1" applyFill="1" applyBorder="1" applyAlignment="1">
      <alignment horizontal="center" vertical="center" wrapText="1"/>
    </xf>
    <xf numFmtId="16" fontId="86" fillId="4" borderId="26" xfId="5" applyNumberFormat="1" applyFont="1" applyFill="1" applyBorder="1" applyAlignment="1">
      <alignment horizontal="center" vertical="center" wrapText="1"/>
    </xf>
    <xf numFmtId="0" fontId="51" fillId="0" borderId="141" xfId="5" applyFont="1" applyBorder="1"/>
    <xf numFmtId="0" fontId="51" fillId="0" borderId="141" xfId="5" applyFont="1" applyBorder="1" applyProtection="1">
      <protection locked="0"/>
    </xf>
    <xf numFmtId="0" fontId="51" fillId="0" borderId="142" xfId="5" applyFont="1" applyBorder="1"/>
    <xf numFmtId="0" fontId="44" fillId="13" borderId="150" xfId="5" applyFont="1" applyFill="1" applyBorder="1"/>
    <xf numFmtId="0" fontId="88" fillId="4" borderId="155" xfId="5" applyFont="1" applyFill="1" applyBorder="1" applyAlignment="1">
      <alignment horizontal="center"/>
    </xf>
    <xf numFmtId="2" fontId="48" fillId="0" borderId="150" xfId="8" applyNumberFormat="1" applyBorder="1" applyAlignment="1">
      <alignment vertical="center"/>
    </xf>
    <xf numFmtId="168" fontId="65" fillId="0" borderId="153" xfId="1" applyNumberFormat="1" applyFont="1" applyFill="1" applyBorder="1" applyAlignment="1">
      <alignment vertical="center"/>
    </xf>
    <xf numFmtId="43" fontId="62" fillId="0" borderId="150" xfId="1" applyFont="1" applyFill="1" applyBorder="1" applyAlignment="1">
      <alignment horizontal="center"/>
    </xf>
    <xf numFmtId="171" fontId="65" fillId="0" borderId="175" xfId="1" applyNumberFormat="1" applyFont="1" applyFill="1" applyBorder="1" applyAlignment="1">
      <alignment vertical="center"/>
    </xf>
    <xf numFmtId="168" fontId="67" fillId="0" borderId="149" xfId="1" applyNumberFormat="1" applyFont="1" applyFill="1" applyBorder="1" applyAlignment="1" applyProtection="1">
      <alignment horizontal="center" vertical="center"/>
    </xf>
    <xf numFmtId="43" fontId="67" fillId="0" borderId="150" xfId="1" applyFont="1" applyFill="1" applyBorder="1" applyAlignment="1" applyProtection="1">
      <alignment horizontal="center" vertical="center"/>
    </xf>
    <xf numFmtId="177" fontId="62" fillId="0" borderId="169" xfId="1" applyNumberFormat="1" applyFont="1" applyFill="1" applyBorder="1" applyAlignment="1" applyProtection="1">
      <alignment horizontal="center"/>
    </xf>
    <xf numFmtId="165" fontId="62" fillId="0" borderId="174" xfId="1" applyNumberFormat="1" applyFont="1" applyFill="1" applyBorder="1" applyAlignment="1">
      <alignment horizontal="center"/>
    </xf>
    <xf numFmtId="176" fontId="62" fillId="0" borderId="175" xfId="1" applyNumberFormat="1" applyFont="1" applyFill="1" applyBorder="1" applyAlignment="1">
      <alignment horizontal="center"/>
    </xf>
    <xf numFmtId="9" fontId="65" fillId="0" borderId="154" xfId="0" applyNumberFormat="1" applyFont="1" applyBorder="1" applyAlignment="1">
      <alignment vertical="center"/>
    </xf>
    <xf numFmtId="9" fontId="65" fillId="0" borderId="150" xfId="0" applyNumberFormat="1" applyFont="1" applyBorder="1" applyAlignment="1">
      <alignment vertical="center"/>
    </xf>
    <xf numFmtId="9" fontId="65" fillId="0" borderId="151" xfId="0" applyNumberFormat="1" applyFont="1" applyBorder="1" applyAlignment="1">
      <alignment vertical="center"/>
    </xf>
    <xf numFmtId="172" fontId="62" fillId="0" borderId="93" xfId="0" quotePrefix="1" applyNumberFormat="1" applyFont="1" applyBorder="1" applyAlignment="1" applyProtection="1">
      <alignment horizontal="center" vertical="center" wrapText="1"/>
      <protection locked="0"/>
    </xf>
    <xf numFmtId="0" fontId="88" fillId="4" borderId="150" xfId="5" applyFont="1" applyFill="1" applyBorder="1" applyAlignment="1" applyProtection="1">
      <alignment horizontal="center"/>
      <protection locked="0"/>
    </xf>
    <xf numFmtId="0" fontId="88" fillId="4" borderId="183" xfId="5" applyFont="1" applyFill="1" applyBorder="1" applyAlignment="1" applyProtection="1">
      <alignment horizontal="center"/>
      <protection locked="0"/>
    </xf>
    <xf numFmtId="0" fontId="88" fillId="4" borderId="20" xfId="5" applyFont="1" applyFill="1" applyBorder="1" applyAlignment="1" applyProtection="1">
      <alignment horizontal="center"/>
      <protection locked="0"/>
    </xf>
    <xf numFmtId="0" fontId="88" fillId="4" borderId="154" xfId="5" applyFont="1" applyFill="1" applyBorder="1" applyAlignment="1" applyProtection="1">
      <alignment horizontal="center"/>
      <protection locked="0"/>
    </xf>
    <xf numFmtId="0" fontId="88" fillId="4" borderId="170" xfId="5" applyFont="1" applyFill="1" applyBorder="1" applyAlignment="1" applyProtection="1">
      <alignment horizontal="center"/>
      <protection locked="0"/>
    </xf>
    <xf numFmtId="0" fontId="88" fillId="4" borderId="39" xfId="5" applyFont="1" applyFill="1" applyBorder="1" applyAlignment="1" applyProtection="1">
      <alignment horizontal="center"/>
      <protection locked="0"/>
    </xf>
    <xf numFmtId="0" fontId="88" fillId="4" borderId="42" xfId="5" applyFont="1" applyFill="1" applyBorder="1" applyAlignment="1" applyProtection="1">
      <alignment horizontal="center"/>
      <protection locked="0"/>
    </xf>
    <xf numFmtId="0" fontId="88" fillId="4" borderId="0" xfId="5" applyFont="1" applyFill="1" applyAlignment="1" applyProtection="1">
      <alignment horizontal="center"/>
      <protection locked="0"/>
    </xf>
    <xf numFmtId="1" fontId="66" fillId="25" borderId="0" xfId="0" applyNumberFormat="1" applyFont="1" applyFill="1" applyAlignment="1" applyProtection="1">
      <alignment horizontal="center" vertical="center"/>
      <protection locked="0"/>
    </xf>
    <xf numFmtId="16" fontId="88" fillId="4" borderId="152" xfId="5" applyNumberFormat="1" applyFont="1" applyFill="1" applyBorder="1" applyAlignment="1">
      <alignment horizontal="right"/>
    </xf>
    <xf numFmtId="0" fontId="51" fillId="2" borderId="150" xfId="5" applyFont="1" applyFill="1" applyBorder="1"/>
    <xf numFmtId="171" fontId="76" fillId="23" borderId="27" xfId="1" applyNumberFormat="1" applyFont="1" applyFill="1" applyBorder="1" applyProtection="1"/>
    <xf numFmtId="16" fontId="88" fillId="4" borderId="172" xfId="5" applyNumberFormat="1" applyFont="1" applyFill="1" applyBorder="1" applyAlignment="1">
      <alignment horizontal="right"/>
    </xf>
    <xf numFmtId="2" fontId="83" fillId="0" borderId="150" xfId="553" applyNumberFormat="1" applyFont="1" applyBorder="1" applyAlignment="1">
      <alignment horizontal="center" shrinkToFit="1"/>
    </xf>
    <xf numFmtId="0" fontId="63" fillId="0" borderId="0" xfId="0" applyFont="1" applyAlignment="1">
      <alignment wrapText="1"/>
    </xf>
    <xf numFmtId="0" fontId="63" fillId="0" borderId="41" xfId="0" applyFont="1" applyBorder="1"/>
    <xf numFmtId="0" fontId="63" fillId="0" borderId="199" xfId="0" applyFont="1" applyBorder="1"/>
    <xf numFmtId="2" fontId="48" fillId="0" borderId="41" xfId="553" applyNumberFormat="1" applyBorder="1" applyAlignment="1">
      <alignment horizontal="center" vertical="center" shrinkToFit="1"/>
    </xf>
    <xf numFmtId="168" fontId="62" fillId="0" borderId="170" xfId="1" applyNumberFormat="1" applyFont="1" applyBorder="1" applyProtection="1">
      <protection locked="0"/>
    </xf>
    <xf numFmtId="168" fontId="62" fillId="0" borderId="205" xfId="1" applyNumberFormat="1" applyFont="1" applyBorder="1" applyProtection="1">
      <protection locked="0"/>
    </xf>
    <xf numFmtId="2" fontId="83" fillId="0" borderId="170" xfId="553" applyNumberFormat="1" applyFont="1" applyBorder="1" applyAlignment="1">
      <alignment horizontal="center" shrinkToFit="1"/>
    </xf>
    <xf numFmtId="166" fontId="88" fillId="4" borderId="155" xfId="5" applyNumberFormat="1" applyFont="1" applyFill="1" applyBorder="1" applyAlignment="1">
      <alignment horizontal="center"/>
    </xf>
    <xf numFmtId="168" fontId="67" fillId="0" borderId="40" xfId="1" applyNumberFormat="1" applyFont="1" applyBorder="1" applyAlignment="1" applyProtection="1">
      <alignment horizontal="center"/>
      <protection locked="0"/>
    </xf>
    <xf numFmtId="177" fontId="62" fillId="0" borderId="0" xfId="0" applyNumberFormat="1" applyFont="1"/>
    <xf numFmtId="0" fontId="88" fillId="4" borderId="142" xfId="5" applyFont="1" applyFill="1" applyBorder="1" applyAlignment="1">
      <alignment horizontal="center"/>
    </xf>
    <xf numFmtId="168" fontId="73" fillId="37" borderId="42" xfId="1" applyNumberFormat="1" applyFont="1" applyFill="1" applyBorder="1" applyProtection="1">
      <protection locked="0"/>
    </xf>
    <xf numFmtId="168" fontId="67" fillId="37" borderId="40" xfId="1" applyNumberFormat="1" applyFont="1" applyFill="1" applyBorder="1" applyProtection="1">
      <protection locked="0"/>
    </xf>
    <xf numFmtId="184" fontId="80" fillId="0" borderId="0" xfId="0" applyNumberFormat="1" applyFont="1" applyProtection="1">
      <protection locked="0"/>
    </xf>
    <xf numFmtId="0" fontId="62" fillId="0" borderId="0" xfId="4" applyFont="1" applyAlignment="1">
      <alignment horizontal="left"/>
    </xf>
    <xf numFmtId="3" fontId="67" fillId="0" borderId="0" xfId="0" applyNumberFormat="1" applyFont="1"/>
    <xf numFmtId="0" fontId="63" fillId="0" borderId="0" xfId="0" applyFont="1" applyAlignment="1">
      <alignment horizontal="center"/>
    </xf>
    <xf numFmtId="1" fontId="73" fillId="0" borderId="5" xfId="0" applyNumberFormat="1" applyFont="1" applyBorder="1" applyAlignment="1">
      <alignment horizontal="center" vertical="center"/>
    </xf>
    <xf numFmtId="1" fontId="73" fillId="0" borderId="27" xfId="0" applyNumberFormat="1" applyFont="1" applyBorder="1" applyAlignment="1">
      <alignment horizontal="center" vertical="center"/>
    </xf>
    <xf numFmtId="1" fontId="73" fillId="0" borderId="81" xfId="0" applyNumberFormat="1" applyFont="1" applyBorder="1" applyAlignment="1">
      <alignment horizontal="center" vertical="center"/>
    </xf>
    <xf numFmtId="0" fontId="62" fillId="0" borderId="0" xfId="4" applyFont="1" applyAlignment="1">
      <alignment horizontal="left" vertical="center"/>
    </xf>
    <xf numFmtId="169" fontId="64" fillId="0" borderId="43" xfId="0" applyNumberFormat="1" applyFont="1" applyBorder="1" applyAlignment="1">
      <alignment horizontal="center" vertical="center"/>
    </xf>
    <xf numFmtId="169" fontId="64" fillId="0" borderId="156" xfId="0" applyNumberFormat="1" applyFont="1" applyBorder="1" applyAlignment="1">
      <alignment horizontal="center" vertical="center"/>
    </xf>
    <xf numFmtId="169" fontId="64" fillId="0" borderId="141" xfId="0" applyNumberFormat="1" applyFont="1" applyBorder="1" applyAlignment="1">
      <alignment horizontal="center" vertical="center"/>
    </xf>
    <xf numFmtId="169" fontId="64" fillId="0" borderId="142" xfId="0" applyNumberFormat="1" applyFont="1" applyBorder="1" applyAlignment="1">
      <alignment horizontal="center" vertical="center"/>
    </xf>
    <xf numFmtId="16" fontId="73" fillId="0" borderId="43" xfId="0" applyNumberFormat="1" applyFont="1" applyBorder="1" applyAlignment="1">
      <alignment horizontal="center" vertical="center"/>
    </xf>
    <xf numFmtId="0" fontId="64" fillId="0" borderId="0" xfId="4" applyFont="1" applyAlignment="1">
      <alignment horizontal="left" vertical="center"/>
    </xf>
    <xf numFmtId="43" fontId="62" fillId="0" borderId="34" xfId="1" applyFont="1" applyBorder="1" applyAlignment="1" applyProtection="1">
      <alignment horizontal="left" vertical="center"/>
    </xf>
    <xf numFmtId="171" fontId="64" fillId="0" borderId="5" xfId="1" applyNumberFormat="1" applyFont="1" applyBorder="1" applyAlignment="1" applyProtection="1">
      <alignment horizontal="center" vertical="center"/>
    </xf>
    <xf numFmtId="171" fontId="64" fillId="0" borderId="42" xfId="1" applyNumberFormat="1" applyFont="1" applyBorder="1" applyAlignment="1" applyProtection="1">
      <alignment horizontal="left" vertical="center"/>
    </xf>
    <xf numFmtId="9" fontId="62" fillId="0" borderId="81" xfId="3" applyFont="1" applyBorder="1" applyAlignment="1" applyProtection="1">
      <alignment horizontal="center"/>
    </xf>
    <xf numFmtId="171" fontId="62" fillId="0" borderId="42" xfId="1" applyNumberFormat="1" applyFont="1" applyBorder="1" applyAlignment="1" applyProtection="1">
      <alignment horizontal="center" vertical="center"/>
    </xf>
    <xf numFmtId="171" fontId="62" fillId="0" borderId="6" xfId="1" applyNumberFormat="1" applyFont="1" applyBorder="1" applyAlignment="1" applyProtection="1">
      <alignment horizontal="center" vertical="center"/>
    </xf>
    <xf numFmtId="43" fontId="62" fillId="0" borderId="56" xfId="1" applyFont="1" applyBorder="1" applyAlignment="1" applyProtection="1">
      <alignment horizontal="left" vertical="center"/>
    </xf>
    <xf numFmtId="171" fontId="64" fillId="0" borderId="39" xfId="1" applyNumberFormat="1" applyFont="1" applyBorder="1" applyAlignment="1" applyProtection="1">
      <alignment horizontal="left" vertical="center"/>
    </xf>
    <xf numFmtId="9" fontId="62" fillId="0" borderId="14" xfId="3" applyFont="1" applyBorder="1" applyAlignment="1" applyProtection="1">
      <alignment horizontal="center"/>
    </xf>
    <xf numFmtId="171" fontId="62" fillId="0" borderId="10" xfId="1" applyNumberFormat="1" applyFont="1" applyBorder="1" applyAlignment="1" applyProtection="1">
      <alignment horizontal="center" vertical="center"/>
    </xf>
    <xf numFmtId="171" fontId="62" fillId="0" borderId="39" xfId="1" applyNumberFormat="1" applyFont="1" applyBorder="1" applyAlignment="1" applyProtection="1">
      <alignment horizontal="center" vertical="center"/>
    </xf>
    <xf numFmtId="171" fontId="62" fillId="0" borderId="11" xfId="1" applyNumberFormat="1" applyFont="1" applyBorder="1" applyAlignment="1" applyProtection="1">
      <alignment horizontal="center" vertical="center"/>
    </xf>
    <xf numFmtId="171" fontId="62" fillId="0" borderId="0" xfId="1" applyNumberFormat="1" applyFont="1" applyFill="1" applyAlignment="1" applyProtection="1">
      <alignment horizontal="left" vertical="center"/>
    </xf>
    <xf numFmtId="9" fontId="0" fillId="0" borderId="0" xfId="3" applyFont="1" applyProtection="1"/>
    <xf numFmtId="171" fontId="77" fillId="0" borderId="0" xfId="1" applyNumberFormat="1" applyFont="1" applyFill="1" applyAlignment="1" applyProtection="1">
      <alignment horizontal="left" vertical="center"/>
    </xf>
    <xf numFmtId="0" fontId="93" fillId="0" borderId="0" xfId="4" applyFont="1" applyAlignment="1">
      <alignment horizontal="left"/>
    </xf>
    <xf numFmtId="0" fontId="77" fillId="0" borderId="0" xfId="4" applyFont="1" applyAlignment="1">
      <alignment horizontal="left"/>
    </xf>
    <xf numFmtId="0" fontId="94" fillId="0" borderId="0" xfId="4" applyFont="1" applyAlignment="1">
      <alignment horizontal="left"/>
    </xf>
    <xf numFmtId="171" fontId="94" fillId="0" borderId="0" xfId="1" applyNumberFormat="1" applyFont="1" applyFill="1" applyAlignment="1" applyProtection="1">
      <alignment horizontal="left" vertical="center"/>
    </xf>
    <xf numFmtId="171" fontId="94" fillId="0" borderId="0" xfId="1" applyNumberFormat="1" applyFont="1" applyFill="1" applyAlignment="1" applyProtection="1">
      <alignment horizontal="left"/>
    </xf>
    <xf numFmtId="171" fontId="94" fillId="0" borderId="0" xfId="1" applyNumberFormat="1" applyFont="1" applyFill="1" applyProtection="1"/>
    <xf numFmtId="43" fontId="94" fillId="0" borderId="0" xfId="1" applyFont="1" applyFill="1" applyAlignment="1" applyProtection="1">
      <alignment horizontal="left"/>
    </xf>
    <xf numFmtId="43" fontId="65" fillId="0" borderId="0" xfId="1" applyFont="1" applyFill="1" applyAlignment="1" applyProtection="1">
      <alignment horizontal="left"/>
    </xf>
    <xf numFmtId="0" fontId="94" fillId="0" borderId="0" xfId="4" applyFont="1" applyAlignment="1">
      <alignment vertical="center"/>
    </xf>
    <xf numFmtId="168" fontId="94" fillId="0" borderId="0" xfId="1" applyNumberFormat="1" applyFont="1" applyFill="1" applyAlignment="1" applyProtection="1">
      <alignment horizontal="left" vertical="center"/>
    </xf>
    <xf numFmtId="168" fontId="94" fillId="0" borderId="0" xfId="1" applyNumberFormat="1" applyFont="1" applyFill="1" applyAlignment="1" applyProtection="1">
      <alignment horizontal="left"/>
    </xf>
    <xf numFmtId="168" fontId="94" fillId="0" borderId="0" xfId="1" applyNumberFormat="1" applyFont="1" applyFill="1" applyProtection="1"/>
    <xf numFmtId="43" fontId="67" fillId="0" borderId="0" xfId="1" applyFont="1" applyProtection="1"/>
    <xf numFmtId="0" fontId="68" fillId="0" borderId="0" xfId="0" applyFont="1"/>
    <xf numFmtId="0" fontId="88" fillId="4" borderId="11" xfId="5" applyFont="1" applyFill="1" applyBorder="1" applyAlignment="1">
      <alignment horizontal="center"/>
    </xf>
    <xf numFmtId="166" fontId="88" fillId="4" borderId="55" xfId="5" applyNumberFormat="1" applyFont="1" applyFill="1" applyBorder="1" applyAlignment="1">
      <alignment horizontal="center"/>
    </xf>
    <xf numFmtId="168" fontId="0" fillId="2" borderId="86" xfId="1" applyNumberFormat="1" applyFont="1" applyFill="1" applyBorder="1"/>
    <xf numFmtId="0" fontId="0" fillId="4" borderId="150" xfId="0" applyFill="1" applyBorder="1"/>
    <xf numFmtId="0" fontId="0" fillId="6" borderId="150" xfId="0" applyFill="1" applyBorder="1"/>
    <xf numFmtId="168" fontId="55" fillId="12" borderId="46" xfId="1" applyNumberFormat="1" applyFont="1" applyFill="1" applyBorder="1" applyAlignment="1">
      <alignment horizontal="right"/>
    </xf>
    <xf numFmtId="168" fontId="44" fillId="3" borderId="44" xfId="1" applyNumberFormat="1" applyFont="1" applyFill="1" applyBorder="1" applyAlignment="1">
      <alignment horizontal="right"/>
    </xf>
    <xf numFmtId="168" fontId="55" fillId="4" borderId="46" xfId="1" applyNumberFormat="1" applyFont="1" applyFill="1" applyBorder="1" applyAlignment="1">
      <alignment vertical="center"/>
    </xf>
    <xf numFmtId="0" fontId="0" fillId="4" borderId="176" xfId="0" applyFill="1" applyBorder="1"/>
    <xf numFmtId="0" fontId="0" fillId="32" borderId="176" xfId="0" applyFill="1" applyBorder="1"/>
    <xf numFmtId="0" fontId="88" fillId="4" borderId="155" xfId="5" applyFont="1" applyFill="1" applyBorder="1"/>
    <xf numFmtId="0" fontId="88" fillId="4" borderId="154" xfId="5" applyFont="1" applyFill="1" applyBorder="1"/>
    <xf numFmtId="2" fontId="138" fillId="0" borderId="150" xfId="8" applyNumberFormat="1" applyFont="1" applyBorder="1" applyAlignment="1">
      <alignment horizontal="center" vertical="center"/>
    </xf>
    <xf numFmtId="168" fontId="0" fillId="0" borderId="150" xfId="1746" applyNumberFormat="1" applyFont="1" applyBorder="1"/>
    <xf numFmtId="168" fontId="0" fillId="0" borderId="151" xfId="1746" applyNumberFormat="1" applyFont="1" applyBorder="1"/>
    <xf numFmtId="168" fontId="0" fillId="0" borderId="141" xfId="1746" applyNumberFormat="1" applyFont="1" applyBorder="1"/>
    <xf numFmtId="168" fontId="0" fillId="0" borderId="142" xfId="1746" applyNumberFormat="1" applyFont="1" applyBorder="1"/>
    <xf numFmtId="0" fontId="0" fillId="0" borderId="150" xfId="1745" applyFont="1" applyBorder="1"/>
    <xf numFmtId="168" fontId="0" fillId="0" borderId="21" xfId="1746" applyNumberFormat="1" applyFont="1" applyBorder="1"/>
    <xf numFmtId="168" fontId="0" fillId="0" borderId="154" xfId="1746" applyNumberFormat="1" applyFont="1" applyBorder="1"/>
    <xf numFmtId="168" fontId="0" fillId="0" borderId="174" xfId="1746" applyNumberFormat="1" applyFont="1" applyBorder="1"/>
    <xf numFmtId="168" fontId="0" fillId="0" borderId="170" xfId="1746" applyNumberFormat="1" applyFont="1" applyBorder="1"/>
    <xf numFmtId="168" fontId="0" fillId="85" borderId="35" xfId="1746" applyNumberFormat="1" applyFont="1" applyFill="1" applyBorder="1"/>
    <xf numFmtId="0" fontId="0" fillId="0" borderId="39" xfId="1745" applyFont="1" applyBorder="1"/>
    <xf numFmtId="168" fontId="0" fillId="0" borderId="39" xfId="1746" applyNumberFormat="1" applyFont="1" applyBorder="1"/>
    <xf numFmtId="168" fontId="0" fillId="0" borderId="20" xfId="1746" applyNumberFormat="1" applyFont="1" applyBorder="1"/>
    <xf numFmtId="168" fontId="0" fillId="0" borderId="40" xfId="1746" applyNumberFormat="1" applyFont="1" applyBorder="1"/>
    <xf numFmtId="168" fontId="0" fillId="0" borderId="155" xfId="1746" applyNumberFormat="1" applyFont="1" applyBorder="1"/>
    <xf numFmtId="168" fontId="0" fillId="0" borderId="35" xfId="1746" applyNumberFormat="1" applyFont="1" applyBorder="1"/>
    <xf numFmtId="168" fontId="0" fillId="85" borderId="150" xfId="1746" applyNumberFormat="1" applyFont="1" applyFill="1" applyBorder="1"/>
    <xf numFmtId="168" fontId="0" fillId="0" borderId="42" xfId="1746" applyNumberFormat="1" applyFont="1" applyBorder="1"/>
    <xf numFmtId="168" fontId="0" fillId="0" borderId="0" xfId="1746" applyNumberFormat="1" applyFont="1"/>
    <xf numFmtId="0" fontId="50" fillId="0" borderId="0" xfId="1745" applyFont="1"/>
    <xf numFmtId="0" fontId="146" fillId="0" borderId="0" xfId="1745" applyFont="1"/>
    <xf numFmtId="0" fontId="0" fillId="0" borderId="0" xfId="1745" applyFont="1"/>
    <xf numFmtId="17" fontId="147" fillId="0" borderId="0" xfId="1745" applyNumberFormat="1" applyFont="1" applyAlignment="1">
      <alignment horizontal="left"/>
    </xf>
    <xf numFmtId="0" fontId="50" fillId="0" borderId="42" xfId="1745" applyFont="1" applyBorder="1"/>
    <xf numFmtId="0" fontId="50" fillId="0" borderId="6" xfId="1745" applyFont="1" applyBorder="1"/>
    <xf numFmtId="0" fontId="0" fillId="0" borderId="149" xfId="1745" applyFont="1" applyBorder="1"/>
    <xf numFmtId="0" fontId="144" fillId="0" borderId="0" xfId="1745" applyFont="1"/>
    <xf numFmtId="168" fontId="50" fillId="0" borderId="150" xfId="1746" applyNumberFormat="1" applyFont="1" applyBorder="1"/>
    <xf numFmtId="168" fontId="50" fillId="0" borderId="151" xfId="1746" applyNumberFormat="1" applyFont="1" applyBorder="1"/>
    <xf numFmtId="17" fontId="0" fillId="0" borderId="0" xfId="1745" applyNumberFormat="1" applyFont="1"/>
    <xf numFmtId="0" fontId="50" fillId="0" borderId="1" xfId="1745" applyFont="1" applyBorder="1"/>
    <xf numFmtId="0" fontId="50" fillId="0" borderId="7" xfId="1745" applyFont="1" applyBorder="1"/>
    <xf numFmtId="0" fontId="148" fillId="0" borderId="7" xfId="1745" applyFont="1" applyBorder="1"/>
    <xf numFmtId="0" fontId="148" fillId="0" borderId="2" xfId="1745" applyFont="1" applyBorder="1"/>
    <xf numFmtId="0" fontId="50" fillId="0" borderId="144" xfId="1745" applyFont="1" applyBorder="1"/>
    <xf numFmtId="0" fontId="50" fillId="0" borderId="141" xfId="1745" applyFont="1" applyBorder="1"/>
    <xf numFmtId="0" fontId="50" fillId="0" borderId="146" xfId="1745" applyFont="1" applyBorder="1"/>
    <xf numFmtId="16" fontId="50" fillId="0" borderId="156" xfId="1745" applyNumberFormat="1" applyFont="1" applyBorder="1"/>
    <xf numFmtId="16" fontId="50" fillId="0" borderId="148" xfId="1745" applyNumberFormat="1" applyFont="1" applyBorder="1"/>
    <xf numFmtId="0" fontId="0" fillId="80" borderId="10" xfId="1745" applyFont="1" applyFill="1" applyBorder="1"/>
    <xf numFmtId="0" fontId="0" fillId="0" borderId="11" xfId="1745" applyFont="1" applyBorder="1"/>
    <xf numFmtId="0" fontId="0" fillId="0" borderId="155" xfId="1745" applyFont="1" applyBorder="1"/>
    <xf numFmtId="0" fontId="0" fillId="0" borderId="151" xfId="1745" applyFont="1" applyBorder="1"/>
    <xf numFmtId="0" fontId="0" fillId="0" borderId="141" xfId="1745" applyFont="1" applyBorder="1"/>
    <xf numFmtId="0" fontId="0" fillId="85" borderId="29" xfId="1745" applyFont="1" applyFill="1" applyBorder="1"/>
    <xf numFmtId="0" fontId="0" fillId="85" borderId="35" xfId="1745" applyFont="1" applyFill="1" applyBorder="1"/>
    <xf numFmtId="168" fontId="0" fillId="85" borderId="16" xfId="1746" applyNumberFormat="1" applyFont="1" applyFill="1" applyBorder="1"/>
    <xf numFmtId="168" fontId="0" fillId="85" borderId="34" xfId="1746" applyNumberFormat="1" applyFont="1" applyFill="1" applyBorder="1"/>
    <xf numFmtId="49" fontId="0" fillId="0" borderId="214" xfId="1745" applyNumberFormat="1" applyFont="1" applyBorder="1"/>
    <xf numFmtId="0" fontId="0" fillId="0" borderId="169" xfId="1745" applyFont="1" applyBorder="1"/>
    <xf numFmtId="49" fontId="0" fillId="0" borderId="215" xfId="1745" applyNumberFormat="1" applyFont="1" applyBorder="1"/>
    <xf numFmtId="0" fontId="0" fillId="0" borderId="40" xfId="1745" applyFont="1" applyBorder="1"/>
    <xf numFmtId="168" fontId="0" fillId="0" borderId="177" xfId="1746" applyNumberFormat="1" applyFont="1" applyBorder="1"/>
    <xf numFmtId="0" fontId="0" fillId="0" borderId="171" xfId="1745" applyFont="1" applyBorder="1"/>
    <xf numFmtId="0" fontId="0" fillId="0" borderId="22" xfId="1745" applyFont="1" applyBorder="1"/>
    <xf numFmtId="0" fontId="0" fillId="0" borderId="24" xfId="1745" applyFont="1" applyBorder="1"/>
    <xf numFmtId="168" fontId="50" fillId="0" borderId="7" xfId="1746" applyNumberFormat="1" applyFont="1" applyBorder="1"/>
    <xf numFmtId="0" fontId="50" fillId="0" borderId="2" xfId="1745" applyFont="1" applyBorder="1"/>
    <xf numFmtId="16" fontId="50" fillId="0" borderId="141" xfId="1745" applyNumberFormat="1" applyFont="1" applyBorder="1"/>
    <xf numFmtId="16" fontId="50" fillId="0" borderId="142" xfId="1745" applyNumberFormat="1" applyFont="1" applyBorder="1"/>
    <xf numFmtId="11" fontId="0" fillId="0" borderId="21" xfId="1745" applyNumberFormat="1" applyFont="1" applyBorder="1"/>
    <xf numFmtId="0" fontId="0" fillId="0" borderId="191" xfId="1745" applyFont="1" applyBorder="1"/>
    <xf numFmtId="168" fontId="50" fillId="0" borderId="11" xfId="1746" applyNumberFormat="1" applyFont="1" applyBorder="1"/>
    <xf numFmtId="0" fontId="0" fillId="0" borderId="216" xfId="1745" applyFont="1" applyBorder="1"/>
    <xf numFmtId="168" fontId="149" fillId="0" borderId="150" xfId="1746" applyNumberFormat="1" applyFont="1" applyBorder="1"/>
    <xf numFmtId="168" fontId="149" fillId="0" borderId="170" xfId="1746" applyNumberFormat="1" applyFont="1" applyBorder="1"/>
    <xf numFmtId="0" fontId="0" fillId="0" borderId="170" xfId="1745" applyFont="1" applyBorder="1"/>
    <xf numFmtId="168" fontId="50" fillId="85" borderId="34" xfId="1746" applyNumberFormat="1" applyFont="1" applyFill="1" applyBorder="1"/>
    <xf numFmtId="49" fontId="0" fillId="0" borderId="39" xfId="1745" applyNumberFormat="1" applyFont="1" applyBorder="1"/>
    <xf numFmtId="49" fontId="0" fillId="0" borderId="150" xfId="1745" applyNumberFormat="1" applyFont="1" applyBorder="1"/>
    <xf numFmtId="49" fontId="0" fillId="0" borderId="170" xfId="1745" applyNumberFormat="1" applyFont="1" applyBorder="1"/>
    <xf numFmtId="168" fontId="50" fillId="0" borderId="171" xfId="1746" applyNumberFormat="1" applyFont="1" applyBorder="1"/>
    <xf numFmtId="168" fontId="0" fillId="0" borderId="216" xfId="1746" applyNumberFormat="1" applyFont="1" applyBorder="1" applyAlignment="1">
      <alignment horizontal="center"/>
    </xf>
    <xf numFmtId="168" fontId="0" fillId="0" borderId="170" xfId="1746" applyNumberFormat="1" applyFont="1" applyBorder="1" applyAlignment="1">
      <alignment horizontal="center"/>
    </xf>
    <xf numFmtId="0" fontId="50" fillId="0" borderId="29" xfId="1745" applyFont="1" applyBorder="1"/>
    <xf numFmtId="0" fontId="0" fillId="0" borderId="35" xfId="1745" applyFont="1" applyBorder="1"/>
    <xf numFmtId="168" fontId="50" fillId="0" borderId="34" xfId="1746" applyNumberFormat="1" applyFont="1" applyBorder="1"/>
    <xf numFmtId="168" fontId="50" fillId="0" borderId="35" xfId="1746" applyNumberFormat="1" applyFont="1" applyBorder="1"/>
    <xf numFmtId="168" fontId="50" fillId="0" borderId="16" xfId="1746" applyNumberFormat="1" applyFont="1" applyBorder="1"/>
    <xf numFmtId="16" fontId="50" fillId="0" borderId="146" xfId="1745" applyNumberFormat="1" applyFont="1" applyBorder="1"/>
    <xf numFmtId="0" fontId="0" fillId="0" borderId="10" xfId="1745" applyFont="1" applyBorder="1"/>
    <xf numFmtId="0" fontId="50" fillId="0" borderId="82" xfId="1745" applyFont="1" applyBorder="1"/>
    <xf numFmtId="0" fontId="50" fillId="0" borderId="85" xfId="1745" applyFont="1" applyBorder="1"/>
    <xf numFmtId="0" fontId="50" fillId="0" borderId="40" xfId="1745" applyFont="1" applyBorder="1"/>
    <xf numFmtId="16" fontId="50" fillId="0" borderId="40" xfId="1745" applyNumberFormat="1" applyFont="1" applyBorder="1"/>
    <xf numFmtId="0" fontId="0" fillId="85" borderId="149" xfId="1745" applyFont="1" applyFill="1" applyBorder="1"/>
    <xf numFmtId="0" fontId="0" fillId="85" borderId="150" xfId="1745" applyFont="1" applyFill="1" applyBorder="1"/>
    <xf numFmtId="168" fontId="0" fillId="85" borderId="155" xfId="1746" applyNumberFormat="1" applyFont="1" applyFill="1" applyBorder="1"/>
    <xf numFmtId="168" fontId="50" fillId="0" borderId="141" xfId="1746" applyNumberFormat="1" applyFont="1" applyBorder="1"/>
    <xf numFmtId="168" fontId="50" fillId="0" borderId="146" xfId="1746" applyNumberFormat="1" applyFont="1" applyBorder="1"/>
    <xf numFmtId="168" fontId="50" fillId="0" borderId="0" xfId="1746" applyNumberFormat="1" applyFont="1"/>
    <xf numFmtId="0" fontId="0" fillId="0" borderId="5" xfId="1745" applyFont="1" applyBorder="1"/>
    <xf numFmtId="0" fontId="0" fillId="0" borderId="42" xfId="1745" applyFont="1" applyBorder="1"/>
    <xf numFmtId="168" fontId="0" fillId="0" borderId="38" xfId="1746" applyNumberFormat="1" applyFont="1" applyBorder="1"/>
    <xf numFmtId="0" fontId="50" fillId="29" borderId="43" xfId="1745" applyFont="1" applyFill="1" applyBorder="1"/>
    <xf numFmtId="0" fontId="50" fillId="29" borderId="55" xfId="1745" applyFont="1" applyFill="1" applyBorder="1"/>
    <xf numFmtId="168" fontId="50" fillId="29" borderId="55" xfId="1746" applyNumberFormat="1" applyFont="1" applyFill="1" applyBorder="1"/>
    <xf numFmtId="168" fontId="50" fillId="29" borderId="94" xfId="1746" applyNumberFormat="1" applyFont="1" applyFill="1" applyBorder="1"/>
    <xf numFmtId="16" fontId="88" fillId="4" borderId="26" xfId="5" applyNumberFormat="1" applyFont="1" applyFill="1" applyBorder="1" applyAlignment="1">
      <alignment horizontal="right"/>
    </xf>
    <xf numFmtId="16" fontId="88" fillId="4" borderId="58" xfId="5" applyNumberFormat="1" applyFont="1" applyFill="1" applyBorder="1" applyAlignment="1">
      <alignment horizontal="right"/>
    </xf>
    <xf numFmtId="16" fontId="88" fillId="4" borderId="152" xfId="5" applyNumberFormat="1" applyFont="1" applyFill="1" applyBorder="1" applyAlignment="1">
      <alignment vertical="center"/>
    </xf>
    <xf numFmtId="16" fontId="88" fillId="4" borderId="143" xfId="5" applyNumberFormat="1" applyFont="1" applyFill="1" applyBorder="1" applyAlignment="1">
      <alignment horizontal="right"/>
    </xf>
    <xf numFmtId="16" fontId="88" fillId="4" borderId="58" xfId="5" applyNumberFormat="1" applyFont="1" applyFill="1" applyBorder="1" applyAlignment="1">
      <alignment horizontal="center"/>
    </xf>
    <xf numFmtId="16" fontId="88" fillId="4" borderId="152" xfId="5" applyNumberFormat="1" applyFont="1" applyFill="1" applyBorder="1" applyAlignment="1">
      <alignment horizontal="center"/>
    </xf>
    <xf numFmtId="16" fontId="88" fillId="4" borderId="31" xfId="5" applyNumberFormat="1" applyFont="1" applyFill="1" applyBorder="1" applyAlignment="1">
      <alignment horizontal="center"/>
    </xf>
    <xf numFmtId="2" fontId="139" fillId="0" borderId="150" xfId="8" applyNumberFormat="1" applyFont="1" applyBorder="1" applyAlignment="1">
      <alignment horizontal="center" vertical="center"/>
    </xf>
    <xf numFmtId="2" fontId="83" fillId="0" borderId="42" xfId="553" applyNumberFormat="1" applyFont="1" applyBorder="1" applyAlignment="1">
      <alignment horizontal="center" shrinkToFit="1"/>
    </xf>
    <xf numFmtId="0" fontId="64" fillId="4" borderId="31" xfId="0" applyFont="1" applyFill="1" applyBorder="1" applyAlignment="1" applyProtection="1">
      <alignment horizontal="center" vertical="center"/>
      <protection locked="0"/>
    </xf>
    <xf numFmtId="0" fontId="153" fillId="0" borderId="0" xfId="8" applyFont="1"/>
    <xf numFmtId="0" fontId="154" fillId="0" borderId="0" xfId="8" applyFont="1" applyAlignment="1">
      <alignment vertical="center" wrapText="1"/>
    </xf>
    <xf numFmtId="0" fontId="155" fillId="0" borderId="0" xfId="8" applyFont="1" applyAlignment="1">
      <alignment vertical="center"/>
    </xf>
    <xf numFmtId="0" fontId="155" fillId="2" borderId="0" xfId="8" applyFont="1" applyFill="1" applyAlignment="1">
      <alignment vertical="center"/>
    </xf>
    <xf numFmtId="0" fontId="155" fillId="4" borderId="0" xfId="8" applyFont="1" applyFill="1" applyAlignment="1">
      <alignment vertical="center"/>
    </xf>
    <xf numFmtId="0" fontId="155" fillId="0" borderId="0" xfId="8" applyFont="1"/>
    <xf numFmtId="186" fontId="153" fillId="0" borderId="0" xfId="8" applyNumberFormat="1" applyFont="1"/>
    <xf numFmtId="0" fontId="157" fillId="0" borderId="0" xfId="8" applyFont="1" applyAlignment="1">
      <alignment horizontal="left" vertical="top"/>
    </xf>
    <xf numFmtId="0" fontId="153" fillId="0" borderId="0" xfId="8" applyFont="1" applyAlignment="1">
      <alignment vertical="top" wrapText="1"/>
    </xf>
    <xf numFmtId="0" fontId="153" fillId="0" borderId="0" xfId="8" applyFont="1" applyAlignment="1">
      <alignment horizontal="center" vertical="top" wrapText="1"/>
    </xf>
    <xf numFmtId="0" fontId="153" fillId="0" borderId="0" xfId="8" applyFont="1" applyAlignment="1">
      <alignment horizontal="center" vertical="center"/>
    </xf>
    <xf numFmtId="0" fontId="153" fillId="0" borderId="0" xfId="8" applyFont="1" applyAlignment="1">
      <alignment horizontal="right"/>
    </xf>
    <xf numFmtId="0" fontId="153" fillId="0" borderId="0" xfId="8" applyFont="1" applyAlignment="1">
      <alignment horizontal="center"/>
    </xf>
    <xf numFmtId="0" fontId="159" fillId="0" borderId="0" xfId="8" applyFont="1" applyAlignment="1" applyProtection="1">
      <alignment vertical="center" wrapText="1"/>
      <protection locked="0"/>
    </xf>
    <xf numFmtId="0" fontId="160" fillId="0" borderId="0" xfId="8" applyFont="1" applyAlignment="1">
      <alignment horizontal="right"/>
    </xf>
    <xf numFmtId="0" fontId="164" fillId="0" borderId="113" xfId="8" applyFont="1" applyBorder="1" applyAlignment="1" applyProtection="1">
      <alignment horizontal="left" vertical="top" wrapText="1"/>
      <protection locked="0"/>
    </xf>
    <xf numFmtId="0" fontId="165" fillId="0" borderId="217" xfId="8" applyFont="1" applyBorder="1" applyAlignment="1" applyProtection="1">
      <alignment horizontal="center" vertical="center" wrapText="1"/>
      <protection locked="0"/>
    </xf>
    <xf numFmtId="0" fontId="164" fillId="4" borderId="113" xfId="8" applyFont="1" applyFill="1" applyBorder="1" applyAlignment="1" applyProtection="1">
      <alignment horizontal="center" vertical="center" wrapText="1"/>
      <protection locked="0"/>
    </xf>
    <xf numFmtId="187" fontId="164" fillId="4" borderId="113" xfId="8" applyNumberFormat="1" applyFont="1" applyFill="1" applyBorder="1" applyAlignment="1" applyProtection="1">
      <alignment horizontal="center" vertical="center" wrapText="1"/>
      <protection locked="0"/>
    </xf>
    <xf numFmtId="188" fontId="164" fillId="4" borderId="218" xfId="8" applyNumberFormat="1" applyFont="1" applyFill="1" applyBorder="1" applyAlignment="1" applyProtection="1">
      <alignment horizontal="center" vertical="center" wrapText="1"/>
      <protection locked="0"/>
    </xf>
    <xf numFmtId="0" fontId="166" fillId="0" borderId="113" xfId="0" applyFont="1" applyBorder="1" applyAlignment="1">
      <alignment horizontal="center" vertical="center"/>
    </xf>
    <xf numFmtId="0" fontId="165" fillId="4" borderId="114" xfId="8" applyFont="1" applyFill="1" applyBorder="1" applyAlignment="1" applyProtection="1">
      <alignment horizontal="left" vertical="top" wrapText="1"/>
      <protection locked="0"/>
    </xf>
    <xf numFmtId="0" fontId="155" fillId="4" borderId="0" xfId="8" applyFont="1" applyFill="1"/>
    <xf numFmtId="0" fontId="156" fillId="86" borderId="220" xfId="8" applyFont="1" applyFill="1" applyBorder="1" applyAlignment="1">
      <alignment horizontal="left" vertical="center"/>
    </xf>
    <xf numFmtId="0" fontId="164" fillId="0" borderId="113" xfId="8" applyFont="1" applyBorder="1" applyAlignment="1" applyProtection="1">
      <alignment horizontal="center" vertical="center" wrapText="1"/>
      <protection locked="0"/>
    </xf>
    <xf numFmtId="187" fontId="164" fillId="0" borderId="113" xfId="8" applyNumberFormat="1" applyFont="1" applyBorder="1" applyAlignment="1" applyProtection="1">
      <alignment horizontal="center" vertical="center" wrapText="1"/>
      <protection locked="0"/>
    </xf>
    <xf numFmtId="188" fontId="164" fillId="0" borderId="218" xfId="8" applyNumberFormat="1" applyFont="1" applyBorder="1" applyAlignment="1" applyProtection="1">
      <alignment horizontal="center" vertical="center" wrapText="1"/>
      <protection locked="0"/>
    </xf>
    <xf numFmtId="0" fontId="165" fillId="0" borderId="114" xfId="8" applyFont="1" applyBorder="1" applyAlignment="1" applyProtection="1">
      <alignment horizontal="left" vertical="top" wrapText="1"/>
      <protection locked="0"/>
    </xf>
    <xf numFmtId="22" fontId="163" fillId="0" borderId="113" xfId="8" applyNumberFormat="1" applyFont="1" applyBorder="1" applyAlignment="1">
      <alignment horizontal="center" vertical="center" wrapText="1"/>
    </xf>
    <xf numFmtId="188" fontId="164" fillId="0" borderId="113" xfId="8" applyNumberFormat="1" applyFont="1" applyBorder="1" applyAlignment="1" applyProtection="1">
      <alignment horizontal="center" vertical="center" wrapText="1"/>
      <protection locked="0"/>
    </xf>
    <xf numFmtId="0" fontId="165" fillId="0" borderId="118" xfId="8" applyFont="1" applyBorder="1" applyAlignment="1" applyProtection="1">
      <alignment horizontal="left" vertical="top" wrapText="1"/>
      <protection locked="0"/>
    </xf>
    <xf numFmtId="0" fontId="156" fillId="86" borderId="221" xfId="8" applyFont="1" applyFill="1" applyBorder="1" applyAlignment="1">
      <alignment horizontal="left" vertical="center"/>
    </xf>
    <xf numFmtId="0" fontId="164" fillId="0" borderId="120" xfId="8" applyFont="1" applyBorder="1" applyAlignment="1" applyProtection="1">
      <alignment horizontal="left" vertical="top" wrapText="1"/>
      <protection locked="0"/>
    </xf>
    <xf numFmtId="0" fontId="164" fillId="0" borderId="120" xfId="8" applyFont="1" applyBorder="1" applyAlignment="1" applyProtection="1">
      <alignment horizontal="center" vertical="center" wrapText="1"/>
      <protection locked="0"/>
    </xf>
    <xf numFmtId="187" fontId="164" fillId="0" borderId="120" xfId="8" applyNumberFormat="1" applyFont="1" applyBorder="1" applyAlignment="1" applyProtection="1">
      <alignment horizontal="center" vertical="center" wrapText="1"/>
      <protection locked="0"/>
    </xf>
    <xf numFmtId="188" fontId="164" fillId="0" borderId="120" xfId="8" applyNumberFormat="1" applyFont="1" applyBorder="1" applyAlignment="1" applyProtection="1">
      <alignment horizontal="center" vertical="center" wrapText="1"/>
      <protection locked="0"/>
    </xf>
    <xf numFmtId="22" fontId="163" fillId="0" borderId="120" xfId="8" applyNumberFormat="1" applyFont="1" applyBorder="1" applyAlignment="1">
      <alignment horizontal="center" vertical="center" wrapText="1"/>
    </xf>
    <xf numFmtId="0" fontId="165" fillId="0" borderId="121" xfId="8" applyFont="1" applyBorder="1" applyAlignment="1" applyProtection="1">
      <alignment horizontal="left" vertical="top" wrapText="1"/>
      <protection locked="0"/>
    </xf>
    <xf numFmtId="0" fontId="156" fillId="86" borderId="0" xfId="8" applyFont="1" applyFill="1" applyAlignment="1">
      <alignment horizontal="left" vertical="center"/>
    </xf>
    <xf numFmtId="170" fontId="164" fillId="0" borderId="113" xfId="8" applyNumberFormat="1" applyFont="1" applyBorder="1" applyAlignment="1" applyProtection="1">
      <alignment horizontal="center" vertical="center" wrapText="1"/>
      <protection locked="0"/>
    </xf>
    <xf numFmtId="0" fontId="165" fillId="0" borderId="114" xfId="8" applyFont="1" applyBorder="1" applyAlignment="1" applyProtection="1">
      <alignment horizontal="left" vertical="center" wrapText="1"/>
      <protection locked="0"/>
    </xf>
    <xf numFmtId="0" fontId="165" fillId="0" borderId="113" xfId="8" applyFont="1" applyBorder="1" applyAlignment="1" applyProtection="1">
      <alignment horizontal="left" vertical="center" wrapText="1"/>
      <protection locked="0"/>
    </xf>
    <xf numFmtId="0" fontId="165" fillId="0" borderId="113" xfId="8" applyFont="1" applyBorder="1" applyAlignment="1" applyProtection="1">
      <alignment horizontal="center" vertical="center" wrapText="1"/>
      <protection locked="0"/>
    </xf>
    <xf numFmtId="0" fontId="63" fillId="0" borderId="196" xfId="0" applyFont="1" applyBorder="1"/>
    <xf numFmtId="2" fontId="48" fillId="0" borderId="39" xfId="553" applyNumberFormat="1" applyBorder="1" applyAlignment="1">
      <alignment horizontal="center" shrinkToFit="1"/>
    </xf>
    <xf numFmtId="2" fontId="48" fillId="0" borderId="42" xfId="553" applyNumberFormat="1" applyBorder="1" applyAlignment="1">
      <alignment horizontal="center" shrinkToFit="1"/>
    </xf>
    <xf numFmtId="0" fontId="88" fillId="4" borderId="158" xfId="5" applyFont="1" applyFill="1" applyBorder="1" applyAlignment="1">
      <alignment horizontal="center"/>
    </xf>
    <xf numFmtId="0" fontId="48" fillId="0" borderId="179" xfId="8" applyBorder="1" applyAlignment="1">
      <alignment horizontal="center"/>
    </xf>
    <xf numFmtId="43" fontId="167" fillId="83" borderId="149" xfId="1" applyFont="1" applyFill="1" applyBorder="1" applyAlignment="1" applyProtection="1">
      <alignment horizontal="center"/>
      <protection locked="0"/>
    </xf>
    <xf numFmtId="2" fontId="48" fillId="0" borderId="170" xfId="553" applyNumberFormat="1" applyBorder="1" applyAlignment="1">
      <alignment horizontal="center" shrinkToFit="1"/>
    </xf>
    <xf numFmtId="0" fontId="51" fillId="0" borderId="41" xfId="5" applyFont="1" applyBorder="1"/>
    <xf numFmtId="2" fontId="140" fillId="0" borderId="150" xfId="0" applyNumberFormat="1" applyFont="1" applyBorder="1" applyAlignment="1">
      <alignment horizontal="center" vertical="center"/>
    </xf>
    <xf numFmtId="0" fontId="143" fillId="0" borderId="150" xfId="0" applyFont="1" applyBorder="1" applyAlignment="1">
      <alignment horizontal="center" wrapText="1"/>
    </xf>
    <xf numFmtId="2" fontId="48" fillId="0" borderId="170" xfId="7" applyNumberFormat="1" applyBorder="1" applyAlignment="1">
      <alignment horizontal="center" shrinkToFit="1"/>
    </xf>
    <xf numFmtId="2" fontId="48" fillId="0" borderId="39" xfId="7" applyNumberFormat="1" applyBorder="1" applyAlignment="1">
      <alignment horizontal="center" shrinkToFit="1"/>
    </xf>
    <xf numFmtId="0" fontId="88" fillId="4" borderId="205" xfId="5" applyFont="1" applyFill="1" applyBorder="1" applyAlignment="1">
      <alignment horizontal="center"/>
    </xf>
    <xf numFmtId="0" fontId="88" fillId="4" borderId="205" xfId="5" applyFont="1" applyFill="1" applyBorder="1"/>
    <xf numFmtId="0" fontId="88" fillId="4" borderId="223" xfId="5" applyFont="1" applyFill="1" applyBorder="1" applyAlignment="1">
      <alignment horizontal="center"/>
    </xf>
    <xf numFmtId="2" fontId="48" fillId="0" borderId="183" xfId="7" applyNumberFormat="1" applyBorder="1" applyAlignment="1">
      <alignment horizontal="center" shrinkToFit="1"/>
    </xf>
    <xf numFmtId="2" fontId="48" fillId="0" borderId="170" xfId="7" applyNumberFormat="1" applyBorder="1" applyAlignment="1">
      <alignment horizontal="center" vertical="center" shrinkToFit="1"/>
    </xf>
    <xf numFmtId="2" fontId="48" fillId="0" borderId="150" xfId="7" applyNumberFormat="1" applyBorder="1" applyAlignment="1">
      <alignment horizontal="center" vertical="center" shrinkToFit="1"/>
    </xf>
    <xf numFmtId="16" fontId="88" fillId="4" borderId="5" xfId="5" applyNumberFormat="1" applyFont="1" applyFill="1" applyBorder="1" applyAlignment="1">
      <alignment vertical="center"/>
    </xf>
    <xf numFmtId="16" fontId="88" fillId="4" borderId="149" xfId="5" applyNumberFormat="1" applyFont="1" applyFill="1" applyBorder="1" applyAlignment="1">
      <alignment vertical="center"/>
    </xf>
    <xf numFmtId="2" fontId="48" fillId="0" borderId="42" xfId="7" applyNumberFormat="1" applyBorder="1" applyAlignment="1">
      <alignment horizontal="center" shrinkToFit="1"/>
    </xf>
    <xf numFmtId="0" fontId="66" fillId="87" borderId="43" xfId="0" applyFont="1" applyFill="1" applyBorder="1" applyAlignment="1">
      <alignment horizontal="center" vertical="center" wrapText="1"/>
    </xf>
    <xf numFmtId="0" fontId="113" fillId="87" borderId="0" xfId="0" applyFont="1" applyFill="1" applyAlignment="1" applyProtection="1">
      <alignment horizontal="center" vertical="center" wrapText="1"/>
      <protection locked="0"/>
    </xf>
    <xf numFmtId="0" fontId="113" fillId="87" borderId="0" xfId="0" applyFont="1" applyFill="1" applyAlignment="1" applyProtection="1">
      <alignment horizontal="center" vertical="center"/>
      <protection locked="0"/>
    </xf>
    <xf numFmtId="0" fontId="113" fillId="4" borderId="0" xfId="0" applyFont="1" applyFill="1" applyAlignment="1" applyProtection="1">
      <alignment horizontal="center" vertical="center" wrapText="1"/>
      <protection locked="0"/>
    </xf>
    <xf numFmtId="0" fontId="113" fillId="4" borderId="0" xfId="0" applyFont="1" applyFill="1" applyAlignment="1">
      <alignment horizontal="center" vertical="center" wrapText="1"/>
    </xf>
    <xf numFmtId="16" fontId="88" fillId="4" borderId="169" xfId="5" applyNumberFormat="1" applyFont="1" applyFill="1" applyBorder="1" applyAlignment="1">
      <alignment vertical="center"/>
    </xf>
    <xf numFmtId="0" fontId="162" fillId="0" borderId="0" xfId="8" applyFont="1" applyAlignment="1">
      <alignment horizontal="center" vertical="center" wrapText="1"/>
    </xf>
    <xf numFmtId="0" fontId="153" fillId="0" borderId="0" xfId="8" applyFont="1" applyAlignment="1">
      <alignment horizontal="right" vertical="center"/>
    </xf>
    <xf numFmtId="0" fontId="164" fillId="0" borderId="113" xfId="8" applyFont="1" applyBorder="1" applyAlignment="1" applyProtection="1">
      <alignment horizontal="left" vertical="center" wrapText="1"/>
      <protection locked="0"/>
    </xf>
    <xf numFmtId="0" fontId="165" fillId="4" borderId="114" xfId="8" applyFont="1" applyFill="1" applyBorder="1" applyAlignment="1" applyProtection="1">
      <alignment horizontal="left" vertical="center" wrapText="1"/>
      <protection locked="0"/>
    </xf>
    <xf numFmtId="0" fontId="165" fillId="0" borderId="115" xfId="8" applyFont="1" applyBorder="1" applyAlignment="1">
      <alignment horizontal="left" vertical="center"/>
    </xf>
    <xf numFmtId="0" fontId="165" fillId="0" borderId="116" xfId="8" applyFont="1" applyBorder="1" applyAlignment="1">
      <alignment horizontal="center" vertical="center"/>
    </xf>
    <xf numFmtId="0" fontId="165" fillId="0" borderId="117" xfId="8" applyFont="1" applyBorder="1" applyAlignment="1">
      <alignment horizontal="center" vertical="center" wrapText="1"/>
    </xf>
    <xf numFmtId="0" fontId="165" fillId="0" borderId="111" xfId="8" applyFont="1" applyBorder="1" applyAlignment="1">
      <alignment horizontal="left" vertical="center"/>
    </xf>
    <xf numFmtId="0" fontId="165" fillId="0" borderId="113" xfId="8" applyFont="1" applyBorder="1" applyAlignment="1">
      <alignment horizontal="center" vertical="center"/>
    </xf>
    <xf numFmtId="9" fontId="165" fillId="8" borderId="118" xfId="3" applyFont="1" applyFill="1" applyBorder="1" applyAlignment="1">
      <alignment horizontal="center" vertical="center"/>
    </xf>
    <xf numFmtId="9" fontId="165" fillId="2" borderId="118" xfId="3" applyFont="1" applyFill="1" applyBorder="1" applyAlignment="1">
      <alignment horizontal="center" vertical="center"/>
    </xf>
    <xf numFmtId="9" fontId="165" fillId="9" borderId="118" xfId="3" applyFont="1" applyFill="1" applyBorder="1" applyAlignment="1">
      <alignment horizontal="center" vertical="center"/>
    </xf>
    <xf numFmtId="0" fontId="165" fillId="0" borderId="119" xfId="8" applyFont="1" applyBorder="1" applyAlignment="1">
      <alignment horizontal="left" vertical="center"/>
    </xf>
    <xf numFmtId="0" fontId="165" fillId="0" borderId="120" xfId="8" applyFont="1" applyBorder="1" applyAlignment="1">
      <alignment horizontal="center" vertical="center"/>
    </xf>
    <xf numFmtId="9" fontId="165" fillId="0" borderId="121" xfId="3" applyFont="1" applyBorder="1" applyAlignment="1">
      <alignment horizontal="center" vertical="center"/>
    </xf>
    <xf numFmtId="0" fontId="161" fillId="86" borderId="16" xfId="8" applyFont="1" applyFill="1" applyBorder="1" applyAlignment="1" applyProtection="1">
      <alignment horizontal="left" vertical="center" wrapText="1"/>
      <protection locked="0"/>
    </xf>
    <xf numFmtId="0" fontId="158" fillId="0" borderId="0" xfId="8" applyFont="1" applyAlignment="1">
      <alignment horizontal="center"/>
    </xf>
    <xf numFmtId="0" fontId="156" fillId="0" borderId="0" xfId="8" applyFont="1" applyAlignment="1">
      <alignment horizontal="center" vertical="top"/>
    </xf>
    <xf numFmtId="0" fontId="163" fillId="0" borderId="113" xfId="8" applyFont="1" applyBorder="1" applyAlignment="1" applyProtection="1">
      <alignment horizontal="center" vertical="center" wrapText="1"/>
      <protection locked="0"/>
    </xf>
    <xf numFmtId="0" fontId="163" fillId="0" borderId="113" xfId="8" applyFont="1" applyBorder="1" applyAlignment="1" applyProtection="1">
      <alignment horizontal="center" vertical="top" wrapText="1"/>
      <protection locked="0"/>
    </xf>
    <xf numFmtId="0" fontId="156" fillId="86" borderId="219" xfId="8" applyFont="1" applyFill="1" applyBorder="1" applyAlignment="1">
      <alignment horizontal="center" vertical="center"/>
    </xf>
    <xf numFmtId="2" fontId="88" fillId="4" borderId="150" xfId="5" applyNumberFormat="1" applyFont="1" applyFill="1" applyBorder="1" applyAlignment="1">
      <alignment horizontal="center"/>
    </xf>
    <xf numFmtId="0" fontId="64" fillId="0" borderId="141" xfId="1" applyNumberFormat="1" applyFont="1" applyBorder="1" applyAlignment="1" applyProtection="1">
      <alignment horizontal="center"/>
      <protection locked="0"/>
    </xf>
    <xf numFmtId="0" fontId="88" fillId="4" borderId="39" xfId="5" applyFont="1" applyFill="1" applyBorder="1" applyAlignment="1">
      <alignment horizontal="center" vertical="center"/>
    </xf>
    <xf numFmtId="0" fontId="88" fillId="4" borderId="150" xfId="5" applyFont="1" applyFill="1" applyBorder="1" applyAlignment="1">
      <alignment horizontal="center" vertical="center"/>
    </xf>
    <xf numFmtId="43" fontId="53" fillId="83" borderId="20" xfId="1" applyFont="1" applyFill="1" applyBorder="1" applyAlignment="1" applyProtection="1">
      <alignment horizontal="center"/>
      <protection locked="0"/>
    </xf>
    <xf numFmtId="43" fontId="53" fillId="83" borderId="102" xfId="1" applyFont="1" applyFill="1" applyBorder="1" applyAlignment="1" applyProtection="1">
      <alignment horizontal="center"/>
      <protection locked="0"/>
    </xf>
    <xf numFmtId="0" fontId="62" fillId="0" borderId="170" xfId="0" applyFont="1" applyBorder="1" applyAlignment="1" applyProtection="1">
      <alignment horizontal="center" vertical="center" wrapText="1"/>
      <protection locked="0"/>
    </xf>
    <xf numFmtId="0" fontId="62" fillId="0" borderId="93" xfId="0" applyFont="1" applyBorder="1" applyAlignment="1" applyProtection="1">
      <alignment horizontal="center" vertical="center" wrapText="1"/>
      <protection locked="0"/>
    </xf>
    <xf numFmtId="0" fontId="64" fillId="0" borderId="93" xfId="0" applyFont="1" applyBorder="1" applyAlignment="1" applyProtection="1">
      <alignment horizontal="center" vertical="center" wrapText="1"/>
      <protection locked="0"/>
    </xf>
    <xf numFmtId="0" fontId="64" fillId="0" borderId="150" xfId="0" applyFont="1" applyBorder="1" applyAlignment="1" applyProtection="1">
      <alignment horizontal="center" vertical="center" wrapText="1"/>
      <protection locked="0"/>
    </xf>
    <xf numFmtId="16" fontId="88" fillId="4" borderId="30" xfId="5" applyNumberFormat="1" applyFont="1" applyFill="1" applyBorder="1" applyAlignment="1">
      <alignment vertical="center"/>
    </xf>
    <xf numFmtId="2" fontId="48" fillId="0" borderId="155" xfId="7" applyNumberFormat="1" applyBorder="1" applyAlignment="1">
      <alignment horizontal="center" shrinkToFit="1"/>
    </xf>
    <xf numFmtId="16" fontId="88" fillId="4" borderId="10" xfId="5" applyNumberFormat="1" applyFont="1" applyFill="1" applyBorder="1" applyAlignment="1">
      <alignment vertical="center"/>
    </xf>
    <xf numFmtId="16" fontId="88" fillId="4" borderId="224" xfId="5" applyNumberFormat="1" applyFont="1" applyFill="1" applyBorder="1" applyAlignment="1">
      <alignment vertical="center"/>
    </xf>
    <xf numFmtId="0" fontId="88" fillId="4" borderId="225" xfId="5" applyFont="1" applyFill="1" applyBorder="1" applyAlignment="1">
      <alignment horizontal="center"/>
    </xf>
    <xf numFmtId="0" fontId="88" fillId="4" borderId="225" xfId="5" applyFont="1" applyFill="1" applyBorder="1"/>
    <xf numFmtId="166" fontId="88" fillId="4" borderId="225" xfId="5" applyNumberFormat="1" applyFont="1" applyFill="1" applyBorder="1" applyAlignment="1">
      <alignment horizontal="center"/>
    </xf>
    <xf numFmtId="2" fontId="48" fillId="0" borderId="225" xfId="7" applyNumberFormat="1" applyBorder="1" applyAlignment="1">
      <alignment horizontal="center" shrinkToFit="1"/>
    </xf>
    <xf numFmtId="0" fontId="88" fillId="4" borderId="225" xfId="5" applyFont="1" applyFill="1" applyBorder="1" applyAlignment="1" applyProtection="1">
      <alignment horizontal="center"/>
      <protection locked="0"/>
    </xf>
    <xf numFmtId="0" fontId="88" fillId="4" borderId="227" xfId="5" applyFont="1" applyFill="1" applyBorder="1" applyAlignment="1">
      <alignment horizontal="center"/>
    </xf>
    <xf numFmtId="16" fontId="88" fillId="4" borderId="228" xfId="5" applyNumberFormat="1" applyFont="1" applyFill="1" applyBorder="1" applyAlignment="1">
      <alignment vertical="center"/>
    </xf>
    <xf numFmtId="0" fontId="88" fillId="4" borderId="229" xfId="5" applyFont="1" applyFill="1" applyBorder="1" applyAlignment="1">
      <alignment horizontal="center"/>
    </xf>
    <xf numFmtId="16" fontId="88" fillId="4" borderId="85" xfId="5" applyNumberFormat="1" applyFont="1" applyFill="1" applyBorder="1" applyAlignment="1">
      <alignment vertical="center"/>
    </xf>
    <xf numFmtId="166" fontId="88" fillId="4" borderId="40" xfId="5" applyNumberFormat="1" applyFont="1" applyFill="1" applyBorder="1" applyAlignment="1">
      <alignment horizontal="center"/>
    </xf>
    <xf numFmtId="0" fontId="48" fillId="0" borderId="39" xfId="8" applyBorder="1" applyAlignment="1">
      <alignment horizontal="center"/>
    </xf>
    <xf numFmtId="0" fontId="51" fillId="0" borderId="40" xfId="5" applyFont="1" applyBorder="1"/>
    <xf numFmtId="0" fontId="63" fillId="0" borderId="150" xfId="0" applyFont="1" applyBorder="1" applyAlignment="1">
      <alignment horizontal="center"/>
    </xf>
    <xf numFmtId="16" fontId="88" fillId="4" borderId="173" xfId="5" applyNumberFormat="1" applyFont="1" applyFill="1" applyBorder="1" applyAlignment="1">
      <alignment vertical="center"/>
    </xf>
    <xf numFmtId="166" fontId="88" fillId="4" borderId="226" xfId="5" applyNumberFormat="1" applyFont="1" applyFill="1" applyBorder="1" applyAlignment="1">
      <alignment horizontal="center"/>
    </xf>
    <xf numFmtId="0" fontId="88" fillId="4" borderId="226" xfId="5" applyFont="1" applyFill="1" applyBorder="1"/>
    <xf numFmtId="0" fontId="51" fillId="0" borderId="225" xfId="5" applyFont="1" applyBorder="1" applyProtection="1">
      <protection locked="0"/>
    </xf>
    <xf numFmtId="2" fontId="48" fillId="0" borderId="226" xfId="7" applyNumberFormat="1" applyBorder="1" applyAlignment="1">
      <alignment horizontal="center" shrinkToFit="1"/>
    </xf>
    <xf numFmtId="0" fontId="62" fillId="0" borderId="42" xfId="0" applyFont="1" applyBorder="1" applyAlignment="1">
      <alignment horizontal="center"/>
    </xf>
    <xf numFmtId="0" fontId="51" fillId="0" borderId="227" xfId="5" applyFont="1" applyBorder="1"/>
    <xf numFmtId="168" fontId="65" fillId="0" borderId="176" xfId="1" applyNumberFormat="1" applyFont="1" applyBorder="1" applyAlignment="1">
      <alignment vertical="center"/>
    </xf>
    <xf numFmtId="43" fontId="62" fillId="0" borderId="170" xfId="1" applyFont="1" applyBorder="1" applyAlignment="1">
      <alignment horizontal="center"/>
    </xf>
    <xf numFmtId="171" fontId="65" fillId="0" borderId="176" xfId="1" applyNumberFormat="1" applyFont="1" applyBorder="1" applyAlignment="1">
      <alignment vertical="center"/>
    </xf>
    <xf numFmtId="168" fontId="65" fillId="0" borderId="169" xfId="1" applyNumberFormat="1" applyFont="1" applyBorder="1" applyAlignment="1">
      <alignment vertical="center"/>
    </xf>
    <xf numFmtId="43" fontId="65" fillId="0" borderId="170" xfId="1" applyFont="1" applyBorder="1" applyAlignment="1">
      <alignment vertical="center"/>
    </xf>
    <xf numFmtId="171" fontId="65" fillId="0" borderId="171" xfId="1" applyNumberFormat="1" applyFont="1" applyBorder="1" applyAlignment="1">
      <alignment vertical="center"/>
    </xf>
    <xf numFmtId="177" fontId="62" fillId="0" borderId="169" xfId="1" applyNumberFormat="1" applyFont="1" applyBorder="1" applyAlignment="1">
      <alignment horizontal="center"/>
    </xf>
    <xf numFmtId="176" fontId="62" fillId="0" borderId="175" xfId="1" applyNumberFormat="1" applyFont="1" applyBorder="1" applyAlignment="1">
      <alignment horizontal="center"/>
    </xf>
    <xf numFmtId="9" fontId="65" fillId="15" borderId="174" xfId="0" applyNumberFormat="1" applyFont="1" applyFill="1" applyBorder="1" applyAlignment="1">
      <alignment vertical="center"/>
    </xf>
    <xf numFmtId="168" fontId="65" fillId="0" borderId="158" xfId="1" applyNumberFormat="1" applyFont="1" applyBorder="1" applyAlignment="1" applyProtection="1">
      <alignment vertical="center"/>
    </xf>
    <xf numFmtId="171" fontId="65" fillId="0" borderId="158" xfId="1" applyNumberFormat="1" applyFont="1" applyBorder="1" applyAlignment="1" applyProtection="1">
      <alignment vertical="center"/>
    </xf>
    <xf numFmtId="177" fontId="62" fillId="0" borderId="149" xfId="1" applyNumberFormat="1" applyFont="1" applyBorder="1" applyAlignment="1" applyProtection="1">
      <alignment horizontal="center"/>
    </xf>
    <xf numFmtId="165" fontId="62" fillId="0" borderId="154" xfId="1" applyNumberFormat="1" applyFont="1" applyBorder="1" applyAlignment="1" applyProtection="1">
      <alignment horizontal="center"/>
    </xf>
    <xf numFmtId="176" fontId="62" fillId="0" borderId="147" xfId="1" applyNumberFormat="1" applyFont="1" applyBorder="1" applyAlignment="1" applyProtection="1">
      <alignment horizontal="center"/>
    </xf>
    <xf numFmtId="43" fontId="65" fillId="0" borderId="80" xfId="1" applyFont="1" applyBorder="1" applyAlignment="1" applyProtection="1">
      <alignment vertical="top"/>
    </xf>
    <xf numFmtId="43" fontId="65" fillId="0" borderId="175" xfId="1" applyFont="1" applyBorder="1" applyAlignment="1" applyProtection="1">
      <alignment vertical="top"/>
    </xf>
    <xf numFmtId="43" fontId="67" fillId="21" borderId="13" xfId="1" applyFont="1" applyFill="1" applyBorder="1" applyAlignment="1" applyProtection="1">
      <alignment vertical="top"/>
    </xf>
    <xf numFmtId="0" fontId="67" fillId="12" borderId="1" xfId="0" applyFont="1" applyFill="1" applyBorder="1" applyAlignment="1">
      <alignment horizontal="center" vertical="center"/>
    </xf>
    <xf numFmtId="43" fontId="65" fillId="0" borderId="175" xfId="1" applyFont="1" applyBorder="1" applyAlignment="1">
      <alignment vertical="top"/>
    </xf>
    <xf numFmtId="1" fontId="62" fillId="0" borderId="147" xfId="0" applyNumberFormat="1" applyFont="1" applyBorder="1" applyAlignment="1">
      <alignment vertical="top"/>
    </xf>
    <xf numFmtId="43" fontId="65" fillId="0" borderId="80" xfId="1" applyFont="1" applyBorder="1" applyAlignment="1">
      <alignment horizontal="left" vertical="center"/>
    </xf>
    <xf numFmtId="43" fontId="65" fillId="0" borderId="147" xfId="1" applyFont="1" applyBorder="1" applyAlignment="1">
      <alignment horizontal="left" vertical="center"/>
    </xf>
    <xf numFmtId="43" fontId="65" fillId="0" borderId="80" xfId="1" applyFont="1" applyBorder="1" applyAlignment="1" applyProtection="1">
      <alignment horizontal="left" vertical="center"/>
    </xf>
    <xf numFmtId="43" fontId="65" fillId="0" borderId="147" xfId="1" applyFont="1" applyBorder="1" applyAlignment="1" applyProtection="1">
      <alignment horizontal="left" vertical="center"/>
    </xf>
    <xf numFmtId="43" fontId="65" fillId="0" borderId="147" xfId="1" applyFont="1" applyFill="1" applyBorder="1" applyAlignment="1" applyProtection="1">
      <alignment horizontal="left" vertical="center"/>
    </xf>
    <xf numFmtId="43" fontId="67" fillId="4" borderId="147" xfId="1" applyFont="1" applyFill="1" applyBorder="1" applyAlignment="1" applyProtection="1">
      <alignment horizontal="left" vertical="center"/>
    </xf>
    <xf numFmtId="43" fontId="67" fillId="4" borderId="148" xfId="1" applyFont="1" applyFill="1" applyBorder="1" applyAlignment="1" applyProtection="1">
      <alignment horizontal="left" vertical="center"/>
    </xf>
    <xf numFmtId="9" fontId="64" fillId="0" borderId="170" xfId="1" applyNumberFormat="1" applyFont="1" applyBorder="1" applyAlignment="1" applyProtection="1">
      <alignment horizontal="center"/>
      <protection locked="0"/>
    </xf>
    <xf numFmtId="9" fontId="64" fillId="0" borderId="170" xfId="1" applyNumberFormat="1" applyFont="1" applyBorder="1" applyAlignment="1" applyProtection="1">
      <alignment horizontal="center" wrapText="1"/>
      <protection locked="0"/>
    </xf>
    <xf numFmtId="168" fontId="76" fillId="24" borderId="155" xfId="1" applyNumberFormat="1" applyFont="1" applyFill="1" applyBorder="1" applyProtection="1">
      <protection locked="0"/>
    </xf>
    <xf numFmtId="168" fontId="76" fillId="24" borderId="177" xfId="1" applyNumberFormat="1" applyFont="1" applyFill="1" applyBorder="1" applyProtection="1">
      <protection locked="0"/>
    </xf>
    <xf numFmtId="16" fontId="64" fillId="0" borderId="100" xfId="0" applyNumberFormat="1" applyFont="1" applyBorder="1"/>
    <xf numFmtId="177" fontId="76" fillId="0" borderId="169" xfId="1" applyNumberFormat="1" applyFont="1" applyBorder="1" applyProtection="1">
      <protection locked="0"/>
    </xf>
    <xf numFmtId="177" fontId="73" fillId="23" borderId="169" xfId="1" applyNumberFormat="1" applyFont="1" applyFill="1" applyBorder="1" applyProtection="1">
      <protection locked="0"/>
    </xf>
    <xf numFmtId="177" fontId="76" fillId="0" borderId="149" xfId="1" applyNumberFormat="1" applyFont="1" applyBorder="1" applyProtection="1">
      <protection locked="0"/>
    </xf>
    <xf numFmtId="2" fontId="48" fillId="0" borderId="154" xfId="7" applyNumberFormat="1" applyBorder="1" applyAlignment="1">
      <alignment horizontal="center" shrinkToFit="1"/>
    </xf>
    <xf numFmtId="0" fontId="62" fillId="0" borderId="170" xfId="0" applyFont="1" applyBorder="1" applyAlignment="1">
      <alignment horizontal="center"/>
    </xf>
    <xf numFmtId="2" fontId="51" fillId="0" borderId="0" xfId="5" applyNumberFormat="1" applyFont="1"/>
    <xf numFmtId="0" fontId="51" fillId="0" borderId="146" xfId="5" applyFont="1" applyBorder="1"/>
    <xf numFmtId="0" fontId="63" fillId="0" borderId="0" xfId="0" applyFont="1" applyAlignment="1">
      <alignment horizontal="right"/>
    </xf>
    <xf numFmtId="0" fontId="62" fillId="9" borderId="0" xfId="0" applyFont="1" applyFill="1" applyAlignment="1" applyProtection="1">
      <alignment horizontal="center" vertical="center" wrapText="1"/>
      <protection locked="0"/>
    </xf>
    <xf numFmtId="0" fontId="64" fillId="9" borderId="37" xfId="0" applyFont="1" applyFill="1" applyBorder="1" applyAlignment="1">
      <alignment horizontal="center" vertical="center" wrapText="1"/>
    </xf>
    <xf numFmtId="0" fontId="62" fillId="9" borderId="42" xfId="0" applyFont="1" applyFill="1" applyBorder="1" applyAlignment="1">
      <alignment horizontal="center" vertical="center" wrapText="1"/>
    </xf>
    <xf numFmtId="0" fontId="64" fillId="9" borderId="55" xfId="0" applyFont="1" applyFill="1" applyBorder="1" applyAlignment="1">
      <alignment horizontal="center" vertical="center" wrapText="1"/>
    </xf>
    <xf numFmtId="0" fontId="62" fillId="9" borderId="42" xfId="0" applyFont="1" applyFill="1" applyBorder="1" applyAlignment="1" applyProtection="1">
      <alignment horizontal="center" vertical="center" wrapText="1"/>
      <protection locked="0"/>
    </xf>
    <xf numFmtId="0" fontId="62" fillId="9" borderId="150" xfId="0" applyFont="1" applyFill="1" applyBorder="1" applyAlignment="1" applyProtection="1">
      <alignment horizontal="center" vertical="center" wrapText="1"/>
      <protection locked="0"/>
    </xf>
    <xf numFmtId="0" fontId="64" fillId="9" borderId="153" xfId="0" applyFont="1" applyFill="1" applyBorder="1" applyAlignment="1" applyProtection="1">
      <alignment horizontal="center" vertical="center" wrapText="1"/>
      <protection locked="0"/>
    </xf>
    <xf numFmtId="0" fontId="62" fillId="9" borderId="39" xfId="0" applyFont="1" applyFill="1" applyBorder="1" applyAlignment="1" applyProtection="1">
      <alignment horizontal="center" vertical="center" wrapText="1"/>
      <protection locked="0"/>
    </xf>
    <xf numFmtId="0" fontId="62" fillId="9" borderId="141" xfId="0" applyFont="1" applyFill="1" applyBorder="1" applyAlignment="1" applyProtection="1">
      <alignment horizontal="center" vertical="center" wrapText="1"/>
      <protection locked="0"/>
    </xf>
    <xf numFmtId="0" fontId="62" fillId="9" borderId="20" xfId="0" applyFont="1" applyFill="1" applyBorder="1" applyAlignment="1" applyProtection="1">
      <alignment horizontal="center" vertical="center" wrapText="1"/>
      <protection locked="0"/>
    </xf>
    <xf numFmtId="172" fontId="62" fillId="9" borderId="93" xfId="0" applyNumberFormat="1" applyFont="1" applyFill="1" applyBorder="1" applyAlignment="1" applyProtection="1">
      <alignment horizontal="center" vertical="center" wrapText="1"/>
      <protection locked="0"/>
    </xf>
    <xf numFmtId="0" fontId="62" fillId="9" borderId="37" xfId="0" applyFont="1" applyFill="1" applyBorder="1" applyAlignment="1" applyProtection="1">
      <alignment horizontal="center" vertical="center" wrapText="1"/>
      <protection locked="0"/>
    </xf>
    <xf numFmtId="0" fontId="62" fillId="9" borderId="154" xfId="0" applyFont="1" applyFill="1" applyBorder="1" applyAlignment="1" applyProtection="1">
      <alignment horizontal="center" vertical="center" wrapText="1"/>
      <protection locked="0"/>
    </xf>
    <xf numFmtId="172" fontId="62" fillId="9" borderId="0" xfId="0" applyNumberFormat="1" applyFont="1" applyFill="1" applyAlignment="1" applyProtection="1">
      <alignment horizontal="center" vertical="center" wrapText="1"/>
      <protection locked="0"/>
    </xf>
    <xf numFmtId="0" fontId="62" fillId="9" borderId="141" xfId="0" applyFont="1" applyFill="1" applyBorder="1" applyAlignment="1" applyProtection="1">
      <alignment horizontal="center" vertical="center"/>
      <protection locked="0"/>
    </xf>
    <xf numFmtId="0" fontId="62" fillId="9" borderId="150" xfId="0" applyFont="1" applyFill="1" applyBorder="1" applyAlignment="1" applyProtection="1">
      <alignment horizontal="center" vertical="center"/>
      <protection locked="0"/>
    </xf>
    <xf numFmtId="0" fontId="62" fillId="9" borderId="0" xfId="0" applyFont="1" applyFill="1" applyAlignment="1" applyProtection="1">
      <alignment horizontal="center" vertical="center"/>
      <protection locked="0"/>
    </xf>
    <xf numFmtId="0" fontId="62" fillId="4" borderId="0" xfId="0" applyFont="1" applyFill="1" applyAlignment="1" applyProtection="1">
      <alignment horizontal="center" vertical="center" wrapText="1"/>
      <protection locked="0"/>
    </xf>
    <xf numFmtId="0" fontId="62" fillId="4" borderId="0" xfId="0" applyFont="1" applyFill="1" applyAlignment="1">
      <alignment horizontal="center" vertical="center" wrapText="1"/>
    </xf>
    <xf numFmtId="16" fontId="88" fillId="4" borderId="149" xfId="5" applyNumberFormat="1" applyFont="1" applyFill="1" applyBorder="1" applyAlignment="1">
      <alignment horizontal="right"/>
    </xf>
    <xf numFmtId="0" fontId="62" fillId="0" borderId="39" xfId="0" applyFont="1" applyBorder="1" applyAlignment="1">
      <alignment horizontal="center"/>
    </xf>
    <xf numFmtId="43" fontId="167" fillId="83" borderId="231" xfId="1" applyFont="1" applyFill="1" applyBorder="1" applyAlignment="1" applyProtection="1">
      <alignment horizontal="center"/>
      <protection locked="0"/>
    </xf>
    <xf numFmtId="166" fontId="88" fillId="4" borderId="205" xfId="5" applyNumberFormat="1" applyFont="1" applyFill="1" applyBorder="1" applyAlignment="1">
      <alignment horizontal="center"/>
    </xf>
    <xf numFmtId="2" fontId="48" fillId="0" borderId="205" xfId="7" applyNumberFormat="1" applyBorder="1" applyAlignment="1">
      <alignment horizontal="center" shrinkToFit="1"/>
    </xf>
    <xf numFmtId="0" fontId="88" fillId="4" borderId="205" xfId="5" applyFont="1" applyFill="1" applyBorder="1" applyAlignment="1" applyProtection="1">
      <alignment horizontal="center"/>
      <protection locked="0"/>
    </xf>
    <xf numFmtId="16" fontId="88" fillId="4" borderId="169" xfId="5" applyNumberFormat="1" applyFont="1" applyFill="1" applyBorder="1" applyAlignment="1">
      <alignment horizontal="right"/>
    </xf>
    <xf numFmtId="16" fontId="88" fillId="4" borderId="153" xfId="5" applyNumberFormat="1" applyFont="1" applyFill="1" applyBorder="1" applyAlignment="1">
      <alignment horizontal="right"/>
    </xf>
    <xf numFmtId="0" fontId="88" fillId="4" borderId="21" xfId="5" applyFont="1" applyFill="1" applyBorder="1"/>
    <xf numFmtId="0" fontId="88" fillId="4" borderId="177" xfId="5" applyFont="1" applyFill="1" applyBorder="1"/>
    <xf numFmtId="0" fontId="88" fillId="4" borderId="38" xfId="5" applyFont="1" applyFill="1" applyBorder="1"/>
    <xf numFmtId="0" fontId="88" fillId="4" borderId="146" xfId="5" applyFont="1" applyFill="1" applyBorder="1"/>
    <xf numFmtId="0" fontId="88" fillId="4" borderId="27" xfId="5" applyFont="1" applyFill="1" applyBorder="1" applyAlignment="1" applyProtection="1">
      <alignment horizontal="center"/>
      <protection locked="0"/>
    </xf>
    <xf numFmtId="0" fontId="88" fillId="4" borderId="174" xfId="5" applyFont="1" applyFill="1" applyBorder="1" applyAlignment="1" applyProtection="1">
      <alignment horizontal="center"/>
      <protection locked="0"/>
    </xf>
    <xf numFmtId="0" fontId="88" fillId="4" borderId="156" xfId="5" applyFont="1" applyFill="1" applyBorder="1" applyAlignment="1" applyProtection="1">
      <alignment horizontal="center"/>
      <protection locked="0"/>
    </xf>
    <xf numFmtId="2" fontId="48" fillId="0" borderId="41" xfId="7" applyNumberFormat="1" applyBorder="1" applyAlignment="1">
      <alignment horizontal="center" shrinkToFit="1"/>
    </xf>
    <xf numFmtId="2" fontId="48" fillId="0" borderId="191" xfId="7" applyNumberFormat="1" applyBorder="1" applyAlignment="1">
      <alignment horizontal="center" shrinkToFit="1"/>
    </xf>
    <xf numFmtId="2" fontId="168" fillId="0" borderId="42" xfId="553" applyNumberFormat="1" applyFont="1" applyBorder="1" applyAlignment="1">
      <alignment horizontal="center" vertical="center" shrinkToFit="1"/>
    </xf>
    <xf numFmtId="2" fontId="168" fillId="0" borderId="150" xfId="553" applyNumberFormat="1" applyFont="1" applyBorder="1" applyAlignment="1">
      <alignment horizontal="center" vertical="center" shrinkToFit="1"/>
    </xf>
    <xf numFmtId="2" fontId="100" fillId="0" borderId="150" xfId="1" applyNumberFormat="1" applyFont="1" applyBorder="1" applyAlignment="1">
      <alignment horizontal="center" vertical="center"/>
    </xf>
    <xf numFmtId="2" fontId="168" fillId="0" borderId="170" xfId="553" applyNumberFormat="1" applyFont="1" applyBorder="1" applyAlignment="1">
      <alignment horizontal="center" vertical="center" shrinkToFit="1"/>
    </xf>
    <xf numFmtId="2" fontId="168" fillId="0" borderId="150" xfId="8" applyNumberFormat="1" applyFont="1" applyBorder="1" applyAlignment="1">
      <alignment horizontal="center"/>
    </xf>
    <xf numFmtId="2" fontId="168" fillId="0" borderId="170" xfId="8" applyNumberFormat="1" applyFont="1" applyBorder="1" applyAlignment="1">
      <alignment horizontal="center"/>
    </xf>
    <xf numFmtId="2" fontId="168" fillId="0" borderId="42" xfId="8" applyNumberFormat="1" applyFont="1" applyBorder="1" applyAlignment="1">
      <alignment horizontal="center"/>
    </xf>
    <xf numFmtId="2" fontId="168" fillId="0" borderId="150" xfId="8" applyNumberFormat="1" applyFont="1" applyBorder="1" applyAlignment="1">
      <alignment horizontal="center" vertical="center"/>
    </xf>
    <xf numFmtId="2" fontId="173" fillId="0" borderId="150" xfId="8" applyNumberFormat="1" applyFont="1" applyBorder="1" applyAlignment="1">
      <alignment horizontal="center" wrapText="1"/>
    </xf>
    <xf numFmtId="2" fontId="173" fillId="0" borderId="170" xfId="8" applyNumberFormat="1" applyFont="1" applyBorder="1" applyAlignment="1">
      <alignment horizontal="center" wrapText="1"/>
    </xf>
    <xf numFmtId="2" fontId="168" fillId="0" borderId="179" xfId="8" applyNumberFormat="1" applyFont="1" applyBorder="1" applyAlignment="1">
      <alignment horizontal="center"/>
    </xf>
    <xf numFmtId="2" fontId="168" fillId="0" borderId="183" xfId="8" applyNumberFormat="1" applyFont="1" applyBorder="1" applyAlignment="1">
      <alignment horizontal="center"/>
    </xf>
    <xf numFmtId="2" fontId="174" fillId="0" borderId="150" xfId="8" applyNumberFormat="1" applyFont="1" applyBorder="1" applyAlignment="1">
      <alignment horizontal="center"/>
    </xf>
    <xf numFmtId="2" fontId="174" fillId="0" borderId="150" xfId="8" applyNumberFormat="1" applyFont="1" applyBorder="1" applyAlignment="1">
      <alignment horizontal="center" wrapText="1"/>
    </xf>
    <xf numFmtId="2" fontId="173" fillId="0" borderId="155" xfId="8" applyNumberFormat="1" applyFont="1" applyBorder="1" applyAlignment="1">
      <alignment horizontal="center" wrapText="1"/>
    </xf>
    <xf numFmtId="2" fontId="174" fillId="0" borderId="155" xfId="8" applyNumberFormat="1" applyFont="1" applyBorder="1" applyAlignment="1">
      <alignment horizontal="center"/>
    </xf>
    <xf numFmtId="2" fontId="168" fillId="0" borderId="141" xfId="8" applyNumberFormat="1" applyFont="1" applyBorder="1" applyAlignment="1">
      <alignment horizontal="center"/>
    </xf>
    <xf numFmtId="2" fontId="173" fillId="0" borderId="42" xfId="8" applyNumberFormat="1" applyFont="1" applyBorder="1" applyAlignment="1">
      <alignment horizontal="center" wrapText="1"/>
    </xf>
    <xf numFmtId="2" fontId="168" fillId="0" borderId="39" xfId="8" applyNumberFormat="1" applyFont="1" applyBorder="1" applyAlignment="1">
      <alignment horizontal="center"/>
    </xf>
    <xf numFmtId="2" fontId="99" fillId="0" borderId="0" xfId="1" applyNumberFormat="1" applyFont="1" applyAlignment="1">
      <alignment horizontal="center" vertical="center"/>
    </xf>
    <xf numFmtId="2" fontId="100" fillId="0" borderId="0" xfId="1" applyNumberFormat="1" applyFont="1" applyAlignment="1">
      <alignment horizontal="center" vertical="center"/>
    </xf>
    <xf numFmtId="172" fontId="113" fillId="4" borderId="93" xfId="0" applyNumberFormat="1" applyFont="1" applyFill="1" applyBorder="1" applyAlignment="1" applyProtection="1">
      <alignment horizontal="center" vertical="center" wrapText="1"/>
      <protection locked="0"/>
    </xf>
    <xf numFmtId="172" fontId="62" fillId="4" borderId="93" xfId="0" applyNumberFormat="1" applyFont="1" applyFill="1" applyBorder="1" applyAlignment="1" applyProtection="1">
      <alignment horizontal="center" vertical="center" wrapText="1"/>
      <protection locked="0"/>
    </xf>
    <xf numFmtId="0" fontId="113" fillId="4" borderId="40" xfId="0" applyFont="1" applyFill="1" applyBorder="1" applyAlignment="1" applyProtection="1">
      <alignment horizontal="center" vertical="center" wrapText="1"/>
      <protection locked="0"/>
    </xf>
    <xf numFmtId="0" fontId="62" fillId="4" borderId="40" xfId="0" applyFont="1" applyFill="1" applyBorder="1" applyAlignment="1" applyProtection="1">
      <alignment horizontal="center" vertical="center" wrapText="1"/>
      <protection locked="0"/>
    </xf>
    <xf numFmtId="0" fontId="76" fillId="4" borderId="93" xfId="0" applyFont="1" applyFill="1" applyBorder="1" applyAlignment="1" applyProtection="1">
      <alignment horizontal="center" vertical="center" wrapText="1"/>
      <protection locked="0"/>
    </xf>
    <xf numFmtId="16" fontId="88" fillId="4" borderId="173" xfId="5" applyNumberFormat="1" applyFont="1" applyFill="1" applyBorder="1" applyAlignment="1">
      <alignment horizontal="right"/>
    </xf>
    <xf numFmtId="16" fontId="88" fillId="4" borderId="5" xfId="5" applyNumberFormat="1" applyFont="1" applyFill="1" applyBorder="1" applyAlignment="1">
      <alignment horizontal="right"/>
    </xf>
    <xf numFmtId="16" fontId="88" fillId="4" borderId="149" xfId="5" applyNumberFormat="1" applyFont="1" applyFill="1" applyBorder="1"/>
    <xf numFmtId="16" fontId="88" fillId="4" borderId="144" xfId="5" applyNumberFormat="1" applyFont="1" applyFill="1" applyBorder="1"/>
    <xf numFmtId="2" fontId="48" fillId="0" borderId="141" xfId="7" applyNumberFormat="1" applyBorder="1" applyAlignment="1">
      <alignment horizontal="center" shrinkToFit="1"/>
    </xf>
    <xf numFmtId="0" fontId="88" fillId="4" borderId="141" xfId="5" applyFont="1" applyFill="1" applyBorder="1" applyAlignment="1" applyProtection="1">
      <alignment horizontal="center"/>
      <protection locked="0"/>
    </xf>
    <xf numFmtId="0" fontId="51" fillId="0" borderId="205" xfId="5" applyFont="1" applyBorder="1"/>
    <xf numFmtId="0" fontId="51" fillId="0" borderId="205" xfId="5" applyFont="1" applyBorder="1" applyProtection="1">
      <protection locked="0"/>
    </xf>
    <xf numFmtId="0" fontId="51" fillId="0" borderId="232" xfId="5" applyFont="1" applyBorder="1"/>
    <xf numFmtId="0" fontId="51" fillId="0" borderId="177" xfId="5" applyFont="1" applyBorder="1"/>
    <xf numFmtId="2" fontId="48" fillId="0" borderId="177" xfId="7" applyNumberFormat="1" applyBorder="1" applyAlignment="1">
      <alignment horizontal="center" shrinkToFit="1"/>
    </xf>
    <xf numFmtId="2" fontId="168" fillId="0" borderId="155" xfId="8" applyNumberFormat="1" applyFont="1" applyBorder="1" applyAlignment="1">
      <alignment horizontal="center"/>
    </xf>
    <xf numFmtId="2" fontId="168" fillId="0" borderId="177" xfId="8" applyNumberFormat="1" applyFont="1" applyBorder="1" applyAlignment="1">
      <alignment horizontal="center"/>
    </xf>
    <xf numFmtId="0" fontId="51" fillId="0" borderId="174" xfId="5" applyFont="1" applyBorder="1" applyProtection="1">
      <protection locked="0"/>
    </xf>
    <xf numFmtId="2" fontId="48" fillId="0" borderId="155" xfId="553" applyNumberFormat="1" applyBorder="1" applyAlignment="1">
      <alignment horizontal="center" shrinkToFit="1"/>
    </xf>
    <xf numFmtId="16" fontId="88" fillId="4" borderId="169" xfId="5" applyNumberFormat="1" applyFont="1" applyFill="1" applyBorder="1"/>
    <xf numFmtId="16" fontId="88" fillId="4" borderId="5" xfId="5" applyNumberFormat="1" applyFont="1" applyFill="1" applyBorder="1"/>
    <xf numFmtId="2" fontId="168" fillId="0" borderId="21" xfId="8" applyNumberFormat="1" applyFont="1" applyBorder="1" applyAlignment="1">
      <alignment horizontal="center"/>
    </xf>
    <xf numFmtId="0" fontId="51" fillId="0" borderId="20" xfId="5" applyFont="1" applyBorder="1" applyProtection="1">
      <protection locked="0"/>
    </xf>
    <xf numFmtId="0" fontId="62" fillId="0" borderId="179" xfId="0" applyFont="1" applyBorder="1" applyAlignment="1">
      <alignment horizontal="center"/>
    </xf>
    <xf numFmtId="2" fontId="63" fillId="0" borderId="150" xfId="0" applyNumberFormat="1" applyFont="1" applyBorder="1" applyAlignment="1">
      <alignment horizontal="center"/>
    </xf>
    <xf numFmtId="2" fontId="48" fillId="0" borderId="150" xfId="553" applyNumberFormat="1" applyBorder="1" applyAlignment="1">
      <alignment vertical="center" shrinkToFit="1"/>
    </xf>
    <xf numFmtId="2" fontId="0" fillId="0" borderId="150" xfId="1785" applyNumberFormat="1" applyFont="1" applyBorder="1"/>
    <xf numFmtId="0" fontId="58" fillId="2" borderId="150" xfId="5" applyFont="1" applyFill="1" applyBorder="1"/>
    <xf numFmtId="0" fontId="58" fillId="0" borderId="150" xfId="5" applyFont="1" applyBorder="1"/>
    <xf numFmtId="0" fontId="58" fillId="0" borderId="155" xfId="5" applyFont="1" applyBorder="1"/>
    <xf numFmtId="0" fontId="51" fillId="0" borderId="42" xfId="5" applyFont="1" applyBorder="1" applyAlignment="1">
      <alignment horizontal="center"/>
    </xf>
    <xf numFmtId="2" fontId="168" fillId="0" borderId="40" xfId="8" applyNumberFormat="1" applyFont="1" applyBorder="1" applyAlignment="1">
      <alignment horizontal="center" vertical="center"/>
    </xf>
    <xf numFmtId="2" fontId="83" fillId="4" borderId="150" xfId="553" applyNumberFormat="1" applyFont="1" applyFill="1" applyBorder="1" applyAlignment="1">
      <alignment horizontal="center" shrinkToFit="1"/>
    </xf>
    <xf numFmtId="0" fontId="88" fillId="4" borderId="234" xfId="5" applyFont="1" applyFill="1" applyBorder="1"/>
    <xf numFmtId="0" fontId="88" fillId="4" borderId="230" xfId="5" applyFont="1" applyFill="1" applyBorder="1" applyAlignment="1" applyProtection="1">
      <alignment horizontal="center"/>
      <protection locked="0"/>
    </xf>
    <xf numFmtId="0" fontId="62" fillId="2" borderId="170" xfId="0" applyFont="1" applyFill="1" applyBorder="1"/>
    <xf numFmtId="0" fontId="62" fillId="2" borderId="170" xfId="0" applyFont="1" applyFill="1" applyBorder="1" applyAlignment="1">
      <alignment horizontal="center"/>
    </xf>
    <xf numFmtId="0" fontId="62" fillId="2" borderId="141" xfId="0" applyFont="1" applyFill="1" applyBorder="1"/>
    <xf numFmtId="0" fontId="62" fillId="2" borderId="141" xfId="0" applyFont="1" applyFill="1" applyBorder="1" applyAlignment="1">
      <alignment horizontal="center"/>
    </xf>
    <xf numFmtId="0" fontId="62" fillId="2" borderId="150" xfId="0" applyFont="1" applyFill="1" applyBorder="1"/>
    <xf numFmtId="0" fontId="62" fillId="2" borderId="150" xfId="0" applyFont="1" applyFill="1" applyBorder="1" applyAlignment="1">
      <alignment horizontal="center"/>
    </xf>
    <xf numFmtId="16" fontId="88" fillId="4" borderId="235" xfId="5" applyNumberFormat="1" applyFont="1" applyFill="1" applyBorder="1"/>
    <xf numFmtId="16" fontId="88" fillId="4" borderId="236" xfId="5" applyNumberFormat="1" applyFont="1" applyFill="1" applyBorder="1"/>
    <xf numFmtId="2" fontId="48" fillId="0" borderId="196" xfId="7" applyNumberFormat="1" applyBorder="1" applyAlignment="1">
      <alignment horizontal="center" shrinkToFit="1"/>
    </xf>
    <xf numFmtId="2" fontId="48" fillId="0" borderId="41" xfId="553" applyNumberFormat="1" applyBorder="1" applyAlignment="1">
      <alignment horizontal="center" shrinkToFit="1"/>
    </xf>
    <xf numFmtId="2" fontId="48" fillId="0" borderId="179" xfId="553" applyNumberFormat="1" applyBorder="1" applyAlignment="1">
      <alignment horizontal="center" shrinkToFit="1"/>
    </xf>
    <xf numFmtId="2" fontId="48" fillId="0" borderId="199" xfId="553" applyNumberFormat="1" applyBorder="1" applyAlignment="1">
      <alignment horizontal="center" shrinkToFit="1"/>
    </xf>
    <xf numFmtId="2" fontId="142" fillId="0" borderId="150" xfId="8" applyNumberFormat="1" applyFont="1" applyBorder="1" applyAlignment="1">
      <alignment horizontal="center"/>
    </xf>
    <xf numFmtId="2" fontId="175" fillId="0" borderId="42" xfId="5" applyNumberFormat="1" applyFont="1" applyBorder="1" applyAlignment="1">
      <alignment horizontal="center"/>
    </xf>
    <xf numFmtId="2" fontId="175" fillId="0" borderId="150" xfId="5" applyNumberFormat="1" applyFont="1" applyBorder="1" applyAlignment="1">
      <alignment horizontal="center"/>
    </xf>
    <xf numFmtId="2" fontId="48" fillId="0" borderId="196" xfId="553" applyNumberFormat="1" applyBorder="1" applyAlignment="1">
      <alignment horizontal="center" shrinkToFit="1"/>
    </xf>
    <xf numFmtId="16" fontId="88" fillId="4" borderId="144" xfId="5" applyNumberFormat="1" applyFont="1" applyFill="1" applyBorder="1" applyAlignment="1">
      <alignment horizontal="right"/>
    </xf>
    <xf numFmtId="170" fontId="62" fillId="0" borderId="159" xfId="0" applyNumberFormat="1" applyFont="1" applyBorder="1" applyAlignment="1">
      <alignment vertical="center"/>
    </xf>
    <xf numFmtId="170" fontId="62" fillId="0" borderId="187" xfId="0" applyNumberFormat="1" applyFont="1" applyBorder="1" applyAlignment="1">
      <alignment vertical="center"/>
    </xf>
    <xf numFmtId="0" fontId="142" fillId="0" borderId="150" xfId="8" applyFont="1" applyBorder="1" applyAlignment="1">
      <alignment horizontal="center"/>
    </xf>
    <xf numFmtId="2" fontId="48" fillId="0" borderId="21" xfId="8" applyNumberFormat="1" applyBorder="1" applyAlignment="1">
      <alignment horizontal="center"/>
    </xf>
    <xf numFmtId="2" fontId="83" fillId="0" borderId="179" xfId="553" applyNumberFormat="1" applyFont="1" applyBorder="1" applyAlignment="1">
      <alignment horizontal="center" shrinkToFit="1"/>
    </xf>
    <xf numFmtId="173" fontId="64" fillId="0" borderId="173" xfId="3" applyNumberFormat="1" applyFont="1" applyBorder="1" applyAlignment="1" applyProtection="1">
      <alignment horizontal="center"/>
      <protection locked="0"/>
    </xf>
    <xf numFmtId="173" fontId="64" fillId="0" borderId="170" xfId="3" applyNumberFormat="1" applyFont="1" applyBorder="1" applyAlignment="1" applyProtection="1">
      <alignment horizontal="center"/>
      <protection locked="0"/>
    </xf>
    <xf numFmtId="10" fontId="64" fillId="0" borderId="170" xfId="3" applyNumberFormat="1" applyFont="1" applyBorder="1" applyAlignment="1" applyProtection="1">
      <alignment horizontal="center"/>
      <protection locked="0"/>
    </xf>
    <xf numFmtId="10" fontId="64" fillId="0" borderId="171" xfId="3" applyNumberFormat="1" applyFont="1" applyBorder="1" applyAlignment="1" applyProtection="1">
      <alignment horizontal="center"/>
      <protection locked="0"/>
    </xf>
    <xf numFmtId="168" fontId="64" fillId="23" borderId="173" xfId="1" applyNumberFormat="1" applyFont="1" applyFill="1" applyBorder="1" applyAlignment="1" applyProtection="1">
      <protection locked="0"/>
    </xf>
    <xf numFmtId="43" fontId="65" fillId="0" borderId="24" xfId="1" applyFont="1" applyBorder="1" applyAlignment="1" applyProtection="1">
      <alignment horizontal="left" vertical="center"/>
    </xf>
    <xf numFmtId="43" fontId="62" fillId="0" borderId="40" xfId="1" applyFont="1" applyBorder="1" applyAlignment="1" applyProtection="1">
      <alignment horizontal="center"/>
    </xf>
    <xf numFmtId="171" fontId="65" fillId="0" borderId="0" xfId="1" applyNumberFormat="1" applyFont="1" applyBorder="1" applyAlignment="1" applyProtection="1">
      <alignment vertical="center"/>
    </xf>
    <xf numFmtId="168" fontId="65" fillId="0" borderId="85" xfId="1" applyNumberFormat="1" applyFont="1" applyBorder="1" applyAlignment="1" applyProtection="1">
      <alignment vertical="center"/>
    </xf>
    <xf numFmtId="43" fontId="65" fillId="0" borderId="40" xfId="1" applyFont="1" applyBorder="1" applyAlignment="1" applyProtection="1">
      <alignment vertical="center"/>
    </xf>
    <xf numFmtId="171" fontId="65" fillId="0" borderId="33" xfId="1" applyNumberFormat="1" applyFont="1" applyBorder="1" applyAlignment="1" applyProtection="1">
      <alignment vertical="center"/>
    </xf>
    <xf numFmtId="177" fontId="62" fillId="0" borderId="85" xfId="1" applyNumberFormat="1" applyFont="1" applyBorder="1" applyAlignment="1" applyProtection="1">
      <alignment horizontal="center"/>
    </xf>
    <xf numFmtId="165" fontId="62" fillId="0" borderId="19" xfId="1" applyNumberFormat="1" applyFont="1" applyBorder="1" applyAlignment="1" applyProtection="1">
      <alignment horizontal="center"/>
    </xf>
    <xf numFmtId="176" fontId="62" fillId="0" borderId="24" xfId="1" applyNumberFormat="1" applyFont="1" applyBorder="1" applyAlignment="1" applyProtection="1">
      <alignment horizontal="center"/>
    </xf>
    <xf numFmtId="9" fontId="65" fillId="15" borderId="19" xfId="0" applyNumberFormat="1" applyFont="1" applyFill="1" applyBorder="1" applyAlignment="1">
      <alignment vertical="center"/>
    </xf>
    <xf numFmtId="9" fontId="65" fillId="15" borderId="40" xfId="0" applyNumberFormat="1" applyFont="1" applyFill="1" applyBorder="1" applyAlignment="1">
      <alignment vertical="center"/>
    </xf>
    <xf numFmtId="9" fontId="65" fillId="15" borderId="33" xfId="0" applyNumberFormat="1" applyFont="1" applyFill="1" applyBorder="1" applyAlignment="1">
      <alignment vertical="center"/>
    </xf>
    <xf numFmtId="43" fontId="62" fillId="0" borderId="154" xfId="0" applyNumberFormat="1" applyFont="1" applyBorder="1"/>
    <xf numFmtId="165" fontId="62" fillId="0" borderId="170" xfId="1" applyNumberFormat="1" applyFont="1" applyBorder="1" applyAlignment="1" applyProtection="1">
      <alignment horizontal="center"/>
    </xf>
    <xf numFmtId="171" fontId="67" fillId="21" borderId="94" xfId="1" applyNumberFormat="1" applyFont="1" applyFill="1" applyBorder="1" applyAlignment="1" applyProtection="1">
      <alignment vertical="center"/>
    </xf>
    <xf numFmtId="9" fontId="67" fillId="22" borderId="43" xfId="0" applyNumberFormat="1" applyFont="1" applyFill="1" applyBorder="1" applyAlignment="1">
      <alignment vertical="center"/>
    </xf>
    <xf numFmtId="9" fontId="67" fillId="22" borderId="55" xfId="0" applyNumberFormat="1" applyFont="1" applyFill="1" applyBorder="1" applyAlignment="1">
      <alignment vertical="center"/>
    </xf>
    <xf numFmtId="9" fontId="67" fillId="22" borderId="56" xfId="0" applyNumberFormat="1" applyFont="1" applyFill="1" applyBorder="1" applyAlignment="1">
      <alignment vertical="center"/>
    </xf>
    <xf numFmtId="43" fontId="65" fillId="0" borderId="176" xfId="1" applyFont="1" applyBorder="1" applyAlignment="1">
      <alignment horizontal="left" vertical="center"/>
    </xf>
    <xf numFmtId="165" fontId="62" fillId="0" borderId="170" xfId="1" applyNumberFormat="1" applyFont="1" applyBorder="1" applyAlignment="1">
      <alignment horizontal="center"/>
    </xf>
    <xf numFmtId="168" fontId="65" fillId="0" borderId="8" xfId="1" applyNumberFormat="1" applyFont="1" applyBorder="1" applyAlignment="1">
      <alignment vertical="center"/>
    </xf>
    <xf numFmtId="43" fontId="62" fillId="0" borderId="55" xfId="1" applyFont="1" applyBorder="1" applyAlignment="1">
      <alignment horizontal="center"/>
    </xf>
    <xf numFmtId="171" fontId="65" fillId="0" borderId="56" xfId="1" applyNumberFormat="1" applyFont="1" applyBorder="1" applyAlignment="1">
      <alignment vertical="center"/>
    </xf>
    <xf numFmtId="168" fontId="65" fillId="0" borderId="55" xfId="1" applyNumberFormat="1" applyFont="1" applyBorder="1" applyAlignment="1">
      <alignment vertical="center"/>
    </xf>
    <xf numFmtId="43" fontId="65" fillId="0" borderId="55" xfId="1" applyFont="1" applyBorder="1" applyAlignment="1">
      <alignment vertical="center"/>
    </xf>
    <xf numFmtId="43" fontId="62" fillId="0" borderId="170" xfId="1" applyFont="1" applyBorder="1" applyAlignment="1" applyProtection="1">
      <alignment horizontal="center"/>
    </xf>
    <xf numFmtId="168" fontId="65" fillId="0" borderId="170" xfId="1" applyNumberFormat="1" applyFont="1" applyBorder="1" applyAlignment="1" applyProtection="1">
      <alignment vertical="center"/>
    </xf>
    <xf numFmtId="176" fontId="62" fillId="0" borderId="176" xfId="1" applyNumberFormat="1" applyFont="1" applyBorder="1" applyAlignment="1" applyProtection="1">
      <alignment horizontal="center"/>
    </xf>
    <xf numFmtId="176" fontId="62" fillId="0" borderId="155" xfId="1" applyNumberFormat="1" applyFont="1" applyBorder="1" applyAlignment="1" applyProtection="1">
      <alignment horizontal="center"/>
    </xf>
    <xf numFmtId="176" fontId="62" fillId="0" borderId="177" xfId="1" applyNumberFormat="1" applyFont="1" applyBorder="1" applyAlignment="1" applyProtection="1">
      <alignment horizontal="center"/>
    </xf>
    <xf numFmtId="176" fontId="62" fillId="0" borderId="177" xfId="1" applyNumberFormat="1" applyFont="1" applyBorder="1" applyAlignment="1">
      <alignment horizontal="center"/>
    </xf>
    <xf numFmtId="9" fontId="65" fillId="15" borderId="5" xfId="0" applyNumberFormat="1" applyFont="1" applyFill="1" applyBorder="1" applyAlignment="1">
      <alignment vertical="center"/>
    </xf>
    <xf numFmtId="9" fontId="65" fillId="15" borderId="42" xfId="0" applyNumberFormat="1" applyFont="1" applyFill="1" applyBorder="1" applyAlignment="1">
      <alignment vertical="center"/>
    </xf>
    <xf numFmtId="9" fontId="65" fillId="15" borderId="6" xfId="0" applyNumberFormat="1" applyFont="1" applyFill="1" applyBorder="1" applyAlignment="1">
      <alignment vertical="center"/>
    </xf>
    <xf numFmtId="9" fontId="65" fillId="15" borderId="144" xfId="0" applyNumberFormat="1" applyFont="1" applyFill="1" applyBorder="1" applyAlignment="1">
      <alignment vertical="center"/>
    </xf>
    <xf numFmtId="9" fontId="65" fillId="15" borderId="141" xfId="0" applyNumberFormat="1" applyFont="1" applyFill="1" applyBorder="1" applyAlignment="1">
      <alignment vertical="center"/>
    </xf>
    <xf numFmtId="9" fontId="65" fillId="15" borderId="142" xfId="0" applyNumberFormat="1" applyFont="1" applyFill="1" applyBorder="1" applyAlignment="1">
      <alignment vertical="center"/>
    </xf>
    <xf numFmtId="9" fontId="67" fillId="22" borderId="30" xfId="0" applyNumberFormat="1" applyFont="1" applyFill="1" applyBorder="1" applyAlignment="1">
      <alignment vertical="center"/>
    </xf>
    <xf numFmtId="9" fontId="67" fillId="22" borderId="37" xfId="0" applyNumberFormat="1" applyFont="1" applyFill="1" applyBorder="1" applyAlignment="1">
      <alignment vertical="center"/>
    </xf>
    <xf numFmtId="9" fontId="67" fillId="22" borderId="32" xfId="0" applyNumberFormat="1" applyFont="1" applyFill="1" applyBorder="1" applyAlignment="1">
      <alignment vertical="center"/>
    </xf>
    <xf numFmtId="0" fontId="67" fillId="12" borderId="43" xfId="0" applyFont="1" applyFill="1" applyBorder="1" applyAlignment="1">
      <alignment horizontal="center" vertical="center"/>
    </xf>
    <xf numFmtId="0" fontId="67" fillId="12" borderId="55" xfId="0" applyFont="1" applyFill="1" applyBorder="1" applyAlignment="1">
      <alignment horizontal="center" vertical="center"/>
    </xf>
    <xf numFmtId="0" fontId="67" fillId="12" borderId="56" xfId="0" applyFont="1" applyFill="1" applyBorder="1" applyAlignment="1">
      <alignment horizontal="center" vertical="center"/>
    </xf>
    <xf numFmtId="43" fontId="67" fillId="21" borderId="35" xfId="1" applyFont="1" applyFill="1" applyBorder="1" applyAlignment="1">
      <alignment horizontal="center" vertical="center"/>
    </xf>
    <xf numFmtId="171" fontId="67" fillId="21" borderId="34" xfId="1" applyNumberFormat="1" applyFont="1" applyFill="1" applyBorder="1" applyAlignment="1">
      <alignment vertical="center"/>
    </xf>
    <xf numFmtId="168" fontId="64" fillId="23" borderId="174" xfId="1" applyNumberFormat="1" applyFont="1" applyFill="1" applyBorder="1" applyAlignment="1" applyProtection="1">
      <protection locked="0"/>
    </xf>
    <xf numFmtId="0" fontId="73" fillId="0" borderId="240" xfId="0" applyFont="1" applyBorder="1" applyProtection="1">
      <protection locked="0"/>
    </xf>
    <xf numFmtId="0" fontId="73" fillId="0" borderId="241" xfId="0" applyFont="1" applyBorder="1" applyProtection="1">
      <protection locked="0"/>
    </xf>
    <xf numFmtId="0" fontId="67" fillId="0" borderId="137" xfId="0" applyFont="1" applyBorder="1"/>
    <xf numFmtId="0" fontId="67" fillId="0" borderId="165" xfId="0" applyFont="1" applyBorder="1"/>
    <xf numFmtId="0" fontId="64" fillId="23" borderId="153" xfId="0" applyFont="1" applyFill="1" applyBorder="1"/>
    <xf numFmtId="0" fontId="64" fillId="23" borderId="154" xfId="0" applyFont="1" applyFill="1" applyBorder="1"/>
    <xf numFmtId="177" fontId="64" fillId="23" borderId="154" xfId="1" applyNumberFormat="1" applyFont="1" applyFill="1" applyBorder="1" applyAlignment="1" applyProtection="1">
      <protection locked="0"/>
    </xf>
    <xf numFmtId="0" fontId="73" fillId="23" borderId="153" xfId="0" applyFont="1" applyFill="1" applyBorder="1"/>
    <xf numFmtId="177" fontId="64" fillId="23" borderId="174" xfId="1" applyNumberFormat="1" applyFont="1" applyFill="1" applyBorder="1" applyAlignment="1" applyProtection="1">
      <protection locked="0"/>
    </xf>
    <xf numFmtId="0" fontId="64" fillId="23" borderId="158" xfId="0" applyFont="1" applyFill="1" applyBorder="1"/>
    <xf numFmtId="177" fontId="64" fillId="23" borderId="20" xfId="1" applyNumberFormat="1" applyFont="1" applyFill="1" applyBorder="1" applyAlignment="1" applyProtection="1">
      <protection locked="0"/>
    </xf>
    <xf numFmtId="0" fontId="64" fillId="23" borderId="173" xfId="0" applyFont="1" applyFill="1" applyBorder="1"/>
    <xf numFmtId="0" fontId="64" fillId="23" borderId="174" xfId="0" applyFont="1" applyFill="1" applyBorder="1"/>
    <xf numFmtId="173" fontId="64" fillId="0" borderId="170" xfId="3" applyNumberFormat="1" applyFont="1" applyBorder="1" applyAlignment="1" applyProtection="1">
      <protection locked="0"/>
    </xf>
    <xf numFmtId="0" fontId="67" fillId="0" borderId="3" xfId="0" applyFont="1" applyBorder="1" applyAlignment="1">
      <alignment horizontal="center"/>
    </xf>
    <xf numFmtId="0" fontId="67" fillId="0" borderId="13" xfId="0" applyFont="1" applyBorder="1"/>
    <xf numFmtId="15" fontId="76" fillId="0" borderId="113" xfId="0" applyNumberFormat="1" applyFont="1" applyBorder="1" applyAlignment="1">
      <alignment horizontal="center" wrapText="1"/>
    </xf>
    <xf numFmtId="15" fontId="65" fillId="0" borderId="112" xfId="0" applyNumberFormat="1" applyFont="1" applyBorder="1" applyAlignment="1">
      <alignment horizontal="center" wrapText="1"/>
    </xf>
    <xf numFmtId="15" fontId="65" fillId="0" borderId="162" xfId="0" applyNumberFormat="1" applyFont="1" applyBorder="1" applyAlignment="1">
      <alignment horizontal="center" wrapText="1"/>
    </xf>
    <xf numFmtId="0" fontId="65" fillId="0" borderId="166" xfId="0" applyFont="1" applyBorder="1" applyAlignment="1">
      <alignment horizontal="center"/>
    </xf>
    <xf numFmtId="0" fontId="76" fillId="0" borderId="113" xfId="0" applyFont="1" applyBorder="1" applyAlignment="1">
      <alignment horizontal="center" wrapText="1"/>
    </xf>
    <xf numFmtId="15" fontId="76" fillId="0" borderId="167" xfId="0" applyNumberFormat="1" applyFont="1" applyBorder="1" applyAlignment="1">
      <alignment horizontal="center" wrapText="1"/>
    </xf>
    <xf numFmtId="0" fontId="76" fillId="0" borderId="162" xfId="0" applyFont="1" applyBorder="1" applyAlignment="1">
      <alignment horizontal="center" wrapText="1"/>
    </xf>
    <xf numFmtId="0" fontId="103" fillId="37" borderId="113" xfId="0" applyFont="1" applyFill="1" applyBorder="1" applyAlignment="1">
      <alignment horizontal="center"/>
    </xf>
    <xf numFmtId="0" fontId="103" fillId="37" borderId="166" xfId="0" applyFont="1" applyFill="1" applyBorder="1" applyAlignment="1">
      <alignment horizontal="center"/>
    </xf>
    <xf numFmtId="0" fontId="103" fillId="37" borderId="164" xfId="0" applyFont="1" applyFill="1" applyBorder="1" applyAlignment="1">
      <alignment horizontal="center"/>
    </xf>
    <xf numFmtId="0" fontId="103" fillId="37" borderId="162" xfId="0" applyFont="1" applyFill="1" applyBorder="1" applyAlignment="1">
      <alignment horizontal="center" vertical="center"/>
    </xf>
    <xf numFmtId="0" fontId="65" fillId="0" borderId="164" xfId="8" applyFont="1" applyBorder="1" applyAlignment="1">
      <alignment vertical="top" wrapText="1"/>
    </xf>
    <xf numFmtId="0" fontId="65" fillId="0" borderId="243" xfId="0" applyFont="1" applyBorder="1"/>
    <xf numFmtId="0" fontId="65" fillId="0" borderId="163" xfId="0" applyFont="1" applyBorder="1" applyAlignment="1">
      <alignment wrapText="1"/>
    </xf>
    <xf numFmtId="15" fontId="65" fillId="0" borderId="243" xfId="0" applyNumberFormat="1" applyFont="1" applyBorder="1" applyAlignment="1">
      <alignment horizontal="center"/>
    </xf>
    <xf numFmtId="0" fontId="65" fillId="0" borderId="244" xfId="0" applyFont="1" applyBorder="1" applyAlignment="1">
      <alignment wrapText="1"/>
    </xf>
    <xf numFmtId="0" fontId="67" fillId="0" borderId="0" xfId="0" applyFont="1" applyAlignment="1">
      <alignment horizontal="left"/>
    </xf>
    <xf numFmtId="166" fontId="73" fillId="16" borderId="29" xfId="0" applyNumberFormat="1" applyFont="1" applyFill="1" applyBorder="1" applyAlignment="1">
      <alignment horizontal="left"/>
    </xf>
    <xf numFmtId="0" fontId="74" fillId="0" borderId="0" xfId="0" applyFont="1" applyAlignment="1">
      <alignment horizontal="left"/>
    </xf>
    <xf numFmtId="166" fontId="73" fillId="34" borderId="23" xfId="0" applyNumberFormat="1" applyFont="1" applyFill="1" applyBorder="1" applyAlignment="1">
      <alignment horizontal="left"/>
    </xf>
    <xf numFmtId="0" fontId="69" fillId="0" borderId="0" xfId="0" applyFont="1" applyAlignment="1">
      <alignment horizontal="left"/>
    </xf>
    <xf numFmtId="14" fontId="73" fillId="0" borderId="0" xfId="0" applyNumberFormat="1" applyFont="1" applyAlignment="1">
      <alignment horizontal="left"/>
    </xf>
    <xf numFmtId="166" fontId="73" fillId="34" borderId="8" xfId="0" applyNumberFormat="1" applyFont="1" applyFill="1" applyBorder="1" applyAlignment="1">
      <alignment horizontal="left"/>
    </xf>
    <xf numFmtId="2" fontId="48" fillId="0" borderId="39" xfId="553" applyNumberFormat="1" applyBorder="1" applyAlignment="1">
      <alignment shrinkToFit="1"/>
    </xf>
    <xf numFmtId="2" fontId="48" fillId="0" borderId="40" xfId="553" applyNumberFormat="1" applyBorder="1" applyAlignment="1">
      <alignment shrinkToFit="1"/>
    </xf>
    <xf numFmtId="2" fontId="51" fillId="0" borderId="150" xfId="5" applyNumberFormat="1" applyFont="1" applyBorder="1"/>
    <xf numFmtId="189" fontId="62" fillId="0" borderId="141" xfId="1" applyNumberFormat="1" applyFont="1" applyFill="1" applyBorder="1" applyProtection="1">
      <protection locked="0"/>
    </xf>
    <xf numFmtId="189" fontId="62" fillId="0" borderId="142" xfId="1" applyNumberFormat="1" applyFont="1" applyFill="1" applyBorder="1" applyProtection="1">
      <protection locked="0"/>
    </xf>
    <xf numFmtId="189" fontId="109" fillId="0" borderId="0" xfId="0" applyNumberFormat="1" applyFont="1"/>
    <xf numFmtId="189" fontId="62" fillId="0" borderId="141" xfId="1" applyNumberFormat="1" applyFont="1" applyBorder="1" applyProtection="1">
      <protection locked="0"/>
    </xf>
    <xf numFmtId="189" fontId="62" fillId="0" borderId="170" xfId="1" applyNumberFormat="1" applyFont="1" applyFill="1" applyBorder="1" applyProtection="1">
      <protection locked="0"/>
    </xf>
    <xf numFmtId="189" fontId="62" fillId="0" borderId="171" xfId="1" applyNumberFormat="1" applyFont="1" applyFill="1" applyBorder="1" applyProtection="1">
      <protection locked="0"/>
    </xf>
    <xf numFmtId="189" fontId="76" fillId="0" borderId="5" xfId="1" applyNumberFormat="1" applyFont="1" applyFill="1" applyBorder="1" applyAlignment="1" applyProtection="1">
      <alignment horizontal="center"/>
    </xf>
    <xf numFmtId="189" fontId="76" fillId="0" borderId="42" xfId="1" applyNumberFormat="1" applyFont="1" applyFill="1" applyBorder="1" applyAlignment="1" applyProtection="1">
      <alignment horizontal="center"/>
    </xf>
    <xf numFmtId="0" fontId="51" fillId="0" borderId="225" xfId="5" applyFont="1" applyBorder="1"/>
    <xf numFmtId="2" fontId="168" fillId="0" borderId="225" xfId="8" applyNumberFormat="1" applyFont="1" applyBorder="1" applyAlignment="1">
      <alignment horizontal="center"/>
    </xf>
    <xf numFmtId="0" fontId="51" fillId="0" borderId="229" xfId="5" applyFont="1" applyBorder="1"/>
    <xf numFmtId="0" fontId="51" fillId="0" borderId="39" xfId="5" applyFont="1" applyBorder="1" applyAlignment="1">
      <alignment horizontal="center"/>
    </xf>
    <xf numFmtId="0" fontId="88" fillId="4" borderId="154" xfId="5" applyFont="1" applyFill="1" applyBorder="1" applyAlignment="1">
      <alignment horizontal="center" vertical="center"/>
    </xf>
    <xf numFmtId="0" fontId="51" fillId="0" borderId="150" xfId="5" applyFont="1" applyBorder="1" applyAlignment="1">
      <alignment horizontal="center" vertical="center"/>
    </xf>
    <xf numFmtId="2" fontId="48" fillId="0" borderId="191" xfId="553" applyNumberFormat="1" applyBorder="1" applyAlignment="1">
      <alignment horizontal="center" vertical="center" shrinkToFit="1"/>
    </xf>
    <xf numFmtId="0" fontId="88" fillId="4" borderId="182" xfId="5" applyFont="1" applyFill="1" applyBorder="1" applyAlignment="1">
      <alignment horizontal="center" vertical="center"/>
    </xf>
    <xf numFmtId="0" fontId="88" fillId="4" borderId="20" xfId="5" applyFont="1" applyFill="1" applyBorder="1" applyAlignment="1">
      <alignment horizontal="center" vertical="center"/>
    </xf>
    <xf numFmtId="0" fontId="88" fillId="4" borderId="174" xfId="5" applyFont="1" applyFill="1" applyBorder="1" applyAlignment="1">
      <alignment horizontal="center" vertical="center"/>
    </xf>
    <xf numFmtId="0" fontId="88" fillId="4" borderId="222" xfId="5" applyFont="1" applyFill="1" applyBorder="1" applyAlignment="1">
      <alignment horizontal="center" vertical="center"/>
    </xf>
    <xf numFmtId="0" fontId="88" fillId="4" borderId="230" xfId="5" applyFont="1" applyFill="1" applyBorder="1" applyAlignment="1">
      <alignment horizontal="center" vertical="center"/>
    </xf>
    <xf numFmtId="0" fontId="88" fillId="4" borderId="170" xfId="5" applyFont="1" applyFill="1" applyBorder="1" applyAlignment="1">
      <alignment horizontal="center" vertical="center"/>
    </xf>
    <xf numFmtId="0" fontId="88" fillId="4" borderId="225" xfId="5" applyFont="1" applyFill="1" applyBorder="1" applyAlignment="1">
      <alignment horizontal="center" vertical="center"/>
    </xf>
    <xf numFmtId="0" fontId="88" fillId="4" borderId="183" xfId="5" applyFont="1" applyFill="1" applyBorder="1" applyAlignment="1">
      <alignment horizontal="center" vertical="center"/>
    </xf>
    <xf numFmtId="0" fontId="88" fillId="4" borderId="27" xfId="5" applyFont="1" applyFill="1" applyBorder="1" applyAlignment="1">
      <alignment horizontal="center" vertical="center"/>
    </xf>
    <xf numFmtId="0" fontId="88" fillId="4" borderId="42" xfId="5" applyFont="1" applyFill="1" applyBorder="1" applyAlignment="1">
      <alignment horizontal="center" vertical="center"/>
    </xf>
    <xf numFmtId="0" fontId="88" fillId="4" borderId="141" xfId="5" applyFont="1" applyFill="1" applyBorder="1" applyAlignment="1">
      <alignment horizontal="center" vertical="center"/>
    </xf>
    <xf numFmtId="0" fontId="51" fillId="0" borderId="42" xfId="5" applyFont="1" applyBorder="1" applyAlignment="1">
      <alignment horizontal="center" vertical="center"/>
    </xf>
    <xf numFmtId="0" fontId="88" fillId="4" borderId="156" xfId="5" applyFont="1" applyFill="1" applyBorder="1" applyAlignment="1">
      <alignment horizontal="center" vertical="center"/>
    </xf>
    <xf numFmtId="0" fontId="88" fillId="4" borderId="0" xfId="5" applyFont="1" applyFill="1" applyAlignment="1">
      <alignment horizontal="center" vertical="center"/>
    </xf>
    <xf numFmtId="16" fontId="88" fillId="4" borderId="246" xfId="5" applyNumberFormat="1" applyFont="1" applyFill="1" applyBorder="1"/>
    <xf numFmtId="16" fontId="88" fillId="4" borderId="247" xfId="5" applyNumberFormat="1" applyFont="1" applyFill="1" applyBorder="1"/>
    <xf numFmtId="2" fontId="48" fillId="0" borderId="42" xfId="553" applyNumberFormat="1" applyBorder="1" applyAlignment="1">
      <alignment horizontal="center" vertical="center" shrinkToFit="1"/>
    </xf>
    <xf numFmtId="0" fontId="63" fillId="0" borderId="205" xfId="0" applyFont="1" applyBorder="1"/>
    <xf numFmtId="2" fontId="48" fillId="0" borderId="205" xfId="553" applyNumberFormat="1" applyBorder="1" applyAlignment="1">
      <alignment horizontal="center" shrinkToFit="1"/>
    </xf>
    <xf numFmtId="2" fontId="48" fillId="0" borderId="205" xfId="553" applyNumberFormat="1" applyBorder="1" applyAlignment="1">
      <alignment horizontal="center" vertical="center" shrinkToFit="1"/>
    </xf>
    <xf numFmtId="0" fontId="142" fillId="0" borderId="150" xfId="0" applyFont="1" applyBorder="1" applyAlignment="1">
      <alignment horizontal="center"/>
    </xf>
    <xf numFmtId="0" fontId="142" fillId="0" borderId="39" xfId="0" applyFont="1" applyBorder="1" applyAlignment="1">
      <alignment horizontal="center"/>
    </xf>
    <xf numFmtId="1" fontId="53" fillId="83" borderId="21" xfId="0" applyNumberFormat="1" applyFont="1" applyFill="1" applyBorder="1" applyAlignment="1" applyProtection="1">
      <alignment wrapText="1"/>
      <protection locked="0"/>
    </xf>
    <xf numFmtId="0" fontId="62" fillId="0" borderId="20" xfId="0" applyFont="1" applyBorder="1" applyAlignment="1">
      <alignment horizontal="center"/>
    </xf>
    <xf numFmtId="0" fontId="88" fillId="4" borderId="249" xfId="5" applyFont="1" applyFill="1" applyBorder="1" applyAlignment="1">
      <alignment horizontal="center"/>
    </xf>
    <xf numFmtId="0" fontId="88" fillId="4" borderId="41" xfId="5" applyFont="1" applyFill="1" applyBorder="1" applyAlignment="1">
      <alignment horizontal="center"/>
    </xf>
    <xf numFmtId="0" fontId="88" fillId="4" borderId="37" xfId="5" applyFont="1" applyFill="1" applyBorder="1" applyAlignment="1">
      <alignment horizontal="center"/>
    </xf>
    <xf numFmtId="0" fontId="88" fillId="4" borderId="41" xfId="5" applyFont="1" applyFill="1" applyBorder="1"/>
    <xf numFmtId="0" fontId="88" fillId="4" borderId="251" xfId="5" applyFont="1" applyFill="1" applyBorder="1" applyAlignment="1">
      <alignment horizontal="center"/>
    </xf>
    <xf numFmtId="0" fontId="88" fillId="4" borderId="174" xfId="5" applyFont="1" applyFill="1" applyBorder="1"/>
    <xf numFmtId="0" fontId="62" fillId="0" borderId="19" xfId="0" applyFont="1" applyBorder="1" applyAlignment="1">
      <alignment horizontal="center"/>
    </xf>
    <xf numFmtId="0" fontId="62" fillId="0" borderId="27" xfId="0" applyFont="1" applyBorder="1" applyAlignment="1">
      <alignment horizontal="center"/>
    </xf>
    <xf numFmtId="2" fontId="63" fillId="0" borderId="150" xfId="0" applyNumberFormat="1" applyFont="1" applyBorder="1" applyAlignment="1">
      <alignment horizontal="center" vertical="center"/>
    </xf>
    <xf numFmtId="2" fontId="63" fillId="0" borderId="170" xfId="0" applyNumberFormat="1" applyFont="1" applyBorder="1" applyAlignment="1">
      <alignment horizontal="center" vertical="center"/>
    </xf>
    <xf numFmtId="16" fontId="88" fillId="4" borderId="10" xfId="5" applyNumberFormat="1" applyFont="1" applyFill="1" applyBorder="1" applyAlignment="1">
      <alignment horizontal="right"/>
    </xf>
    <xf numFmtId="16" fontId="88" fillId="4" borderId="228" xfId="5" applyNumberFormat="1" applyFont="1" applyFill="1" applyBorder="1" applyAlignment="1">
      <alignment horizontal="right"/>
    </xf>
    <xf numFmtId="2" fontId="48" fillId="0" borderId="155" xfId="553" applyNumberFormat="1" applyBorder="1" applyAlignment="1">
      <alignment horizontal="center" vertical="center" shrinkToFit="1"/>
    </xf>
    <xf numFmtId="1" fontId="66" fillId="25" borderId="0" xfId="0" applyNumberFormat="1" applyFont="1" applyFill="1" applyAlignment="1">
      <alignment horizontal="center" vertical="center"/>
    </xf>
    <xf numFmtId="2" fontId="176" fillId="0" borderId="150" xfId="553" applyNumberFormat="1" applyFont="1" applyBorder="1" applyAlignment="1">
      <alignment horizontal="center" shrinkToFit="1"/>
    </xf>
    <xf numFmtId="2" fontId="173" fillId="0" borderId="39" xfId="8" applyNumberFormat="1" applyFont="1" applyBorder="1" applyAlignment="1">
      <alignment horizontal="center" wrapText="1"/>
    </xf>
    <xf numFmtId="2" fontId="174" fillId="0" borderId="177" xfId="8" applyNumberFormat="1" applyFont="1" applyBorder="1" applyAlignment="1">
      <alignment horizontal="center"/>
    </xf>
    <xf numFmtId="2" fontId="48" fillId="0" borderId="39" xfId="7" applyNumberFormat="1" applyBorder="1" applyAlignment="1">
      <alignment horizontal="center" vertical="center" shrinkToFit="1"/>
    </xf>
    <xf numFmtId="2" fontId="48" fillId="0" borderId="42" xfId="7" applyNumberFormat="1" applyBorder="1" applyAlignment="1">
      <alignment horizontal="center" vertical="center" shrinkToFit="1"/>
    </xf>
    <xf numFmtId="2" fontId="48" fillId="0" borderId="41" xfId="7" applyNumberFormat="1" applyBorder="1" applyAlignment="1">
      <alignment horizontal="center" vertical="center" shrinkToFit="1"/>
    </xf>
    <xf numFmtId="2" fontId="48" fillId="0" borderId="196" xfId="7" applyNumberFormat="1" applyBorder="1" applyAlignment="1">
      <alignment horizontal="center" vertical="center" shrinkToFit="1"/>
    </xf>
    <xf numFmtId="2" fontId="48" fillId="0" borderId="191" xfId="7" applyNumberFormat="1" applyBorder="1" applyAlignment="1">
      <alignment horizontal="center" vertical="center" shrinkToFit="1"/>
    </xf>
    <xf numFmtId="2" fontId="48" fillId="0" borderId="179" xfId="553" applyNumberFormat="1" applyBorder="1" applyAlignment="1">
      <alignment horizontal="center" vertical="center" shrinkToFit="1"/>
    </xf>
    <xf numFmtId="2" fontId="48" fillId="0" borderId="39" xfId="553" applyNumberFormat="1" applyBorder="1" applyAlignment="1">
      <alignment horizontal="center" vertical="center" shrinkToFit="1"/>
    </xf>
    <xf numFmtId="2" fontId="48" fillId="0" borderId="183" xfId="7" applyNumberFormat="1" applyBorder="1" applyAlignment="1">
      <alignment horizontal="center" vertical="center" shrinkToFit="1"/>
    </xf>
    <xf numFmtId="2" fontId="48" fillId="0" borderId="141" xfId="7" applyNumberFormat="1" applyBorder="1" applyAlignment="1">
      <alignment horizontal="center" vertical="center" shrinkToFit="1"/>
    </xf>
    <xf numFmtId="0" fontId="103" fillId="4" borderId="162" xfId="0" applyFont="1" applyFill="1" applyBorder="1" applyAlignment="1">
      <alignment horizontal="center" vertical="center"/>
    </xf>
    <xf numFmtId="0" fontId="51" fillId="0" borderId="155" xfId="5" applyFont="1" applyBorder="1"/>
    <xf numFmtId="2" fontId="168" fillId="0" borderId="154" xfId="8" applyNumberFormat="1" applyFont="1" applyBorder="1" applyAlignment="1">
      <alignment horizontal="center"/>
    </xf>
    <xf numFmtId="0" fontId="51" fillId="0" borderId="37" xfId="5" applyFont="1" applyBorder="1"/>
    <xf numFmtId="2" fontId="112" fillId="0" borderId="150" xfId="8" applyNumberFormat="1" applyFont="1" applyBorder="1" applyAlignment="1">
      <alignment horizontal="center"/>
    </xf>
    <xf numFmtId="2" fontId="99" fillId="0" borderId="150" xfId="1" applyNumberFormat="1" applyFont="1" applyBorder="1" applyAlignment="1">
      <alignment horizontal="center" vertical="center"/>
    </xf>
    <xf numFmtId="15" fontId="76" fillId="0" borderId="206" xfId="0" applyNumberFormat="1" applyFont="1" applyBorder="1" applyAlignment="1">
      <alignment wrapText="1"/>
    </xf>
    <xf numFmtId="15" fontId="65" fillId="0" borderId="166" xfId="0" applyNumberFormat="1" applyFont="1" applyBorder="1"/>
    <xf numFmtId="15" fontId="65" fillId="0" borderId="162" xfId="8" applyNumberFormat="1" applyFont="1" applyBorder="1"/>
    <xf numFmtId="0" fontId="51" fillId="0" borderId="27" xfId="5" applyFont="1" applyBorder="1"/>
    <xf numFmtId="0" fontId="51" fillId="0" borderId="154" xfId="5" applyFont="1" applyBorder="1"/>
    <xf numFmtId="0" fontId="51" fillId="0" borderId="174" xfId="5" applyFont="1" applyBorder="1"/>
    <xf numFmtId="2" fontId="99" fillId="0" borderId="141" xfId="1" applyNumberFormat="1" applyFont="1" applyBorder="1" applyAlignment="1">
      <alignment horizontal="center" vertical="center"/>
    </xf>
    <xf numFmtId="2" fontId="100" fillId="0" borderId="141" xfId="1" applyNumberFormat="1" applyFont="1" applyBorder="1" applyAlignment="1">
      <alignment horizontal="center" vertical="center"/>
    </xf>
    <xf numFmtId="0" fontId="88" fillId="4" borderId="146" xfId="5" applyFont="1" applyFill="1" applyBorder="1" applyAlignment="1">
      <alignment horizontal="center"/>
    </xf>
    <xf numFmtId="0" fontId="88" fillId="4" borderId="156" xfId="5" applyFont="1" applyFill="1" applyBorder="1"/>
    <xf numFmtId="0" fontId="51" fillId="0" borderId="179" xfId="5" applyFont="1" applyBorder="1" applyAlignment="1">
      <alignment horizontal="center"/>
    </xf>
    <xf numFmtId="0" fontId="51" fillId="0" borderId="179" xfId="5" applyFont="1" applyBorder="1" applyAlignment="1">
      <alignment horizontal="right"/>
    </xf>
    <xf numFmtId="0" fontId="51" fillId="0" borderId="181" xfId="5" applyFont="1" applyBorder="1"/>
    <xf numFmtId="2" fontId="99" fillId="0" borderId="42" xfId="1" applyNumberFormat="1" applyFont="1" applyBorder="1" applyAlignment="1">
      <alignment horizontal="center" vertical="center"/>
    </xf>
    <xf numFmtId="2" fontId="100" fillId="0" borderId="42" xfId="1" applyNumberFormat="1" applyFont="1" applyBorder="1" applyAlignment="1">
      <alignment horizontal="center" vertical="center"/>
    </xf>
    <xf numFmtId="16" fontId="88" fillId="4" borderId="25" xfId="5" applyNumberFormat="1" applyFont="1" applyFill="1" applyBorder="1" applyAlignment="1">
      <alignment horizontal="right"/>
    </xf>
    <xf numFmtId="2" fontId="48" fillId="0" borderId="255" xfId="7" applyNumberFormat="1" applyBorder="1" applyAlignment="1">
      <alignment horizontal="center" shrinkToFit="1"/>
    </xf>
    <xf numFmtId="2" fontId="48" fillId="0" borderId="255" xfId="7" applyNumberFormat="1" applyBorder="1" applyAlignment="1">
      <alignment horizontal="center" vertical="center" shrinkToFit="1"/>
    </xf>
    <xf numFmtId="2" fontId="48" fillId="0" borderId="256" xfId="7" applyNumberFormat="1" applyBorder="1" applyAlignment="1">
      <alignment horizontal="center" shrinkToFit="1"/>
    </xf>
    <xf numFmtId="2" fontId="48" fillId="0" borderId="256" xfId="7" applyNumberFormat="1" applyBorder="1" applyAlignment="1">
      <alignment horizontal="center" vertical="center" shrinkToFit="1"/>
    </xf>
    <xf numFmtId="0" fontId="63" fillId="0" borderId="141" xfId="0" applyFont="1" applyBorder="1"/>
    <xf numFmtId="2" fontId="48" fillId="0" borderId="141" xfId="553" applyNumberFormat="1" applyBorder="1" applyAlignment="1">
      <alignment horizontal="center" vertical="center" shrinkToFit="1"/>
    </xf>
    <xf numFmtId="0" fontId="99" fillId="0" borderId="150" xfId="5" applyFont="1" applyBorder="1"/>
    <xf numFmtId="2" fontId="48" fillId="0" borderId="150" xfId="8" applyNumberFormat="1" applyBorder="1" applyAlignment="1">
      <alignment horizontal="center"/>
    </xf>
    <xf numFmtId="0" fontId="44" fillId="31" borderId="0" xfId="0" applyFont="1" applyFill="1"/>
    <xf numFmtId="15" fontId="44" fillId="31" borderId="0" xfId="0" applyNumberFormat="1" applyFont="1" applyFill="1"/>
    <xf numFmtId="15" fontId="44" fillId="6" borderId="44" xfId="0" applyNumberFormat="1" applyFont="1" applyFill="1" applyBorder="1" applyAlignment="1">
      <alignment horizontal="center"/>
    </xf>
    <xf numFmtId="1" fontId="44" fillId="6" borderId="45" xfId="0" applyNumberFormat="1" applyFont="1" applyFill="1" applyBorder="1" applyAlignment="1">
      <alignment horizontal="center"/>
    </xf>
    <xf numFmtId="2" fontId="44" fillId="6" borderId="51" xfId="0" applyNumberFormat="1" applyFont="1" applyFill="1" applyBorder="1" applyAlignment="1">
      <alignment horizontal="center"/>
    </xf>
    <xf numFmtId="2" fontId="44" fillId="6" borderId="52" xfId="0" applyNumberFormat="1" applyFont="1" applyFill="1" applyBorder="1" applyAlignment="1">
      <alignment horizontal="center"/>
    </xf>
    <xf numFmtId="2" fontId="44" fillId="6" borderId="53" xfId="0" applyNumberFormat="1" applyFont="1" applyFill="1" applyBorder="1" applyAlignment="1">
      <alignment horizontal="center"/>
    </xf>
    <xf numFmtId="2" fontId="44" fillId="6" borderId="63" xfId="0" applyNumberFormat="1" applyFont="1" applyFill="1" applyBorder="1" applyAlignment="1">
      <alignment horizontal="center"/>
    </xf>
    <xf numFmtId="0" fontId="0" fillId="6" borderId="46" xfId="0" applyFill="1" applyBorder="1" applyAlignment="1">
      <alignment horizontal="center"/>
    </xf>
    <xf numFmtId="2" fontId="0" fillId="6" borderId="44" xfId="1" applyNumberFormat="1" applyFont="1" applyFill="1" applyBorder="1" applyAlignment="1">
      <alignment horizontal="center"/>
    </xf>
    <xf numFmtId="1" fontId="44" fillId="6" borderId="44" xfId="0" applyNumberFormat="1" applyFont="1" applyFill="1" applyBorder="1" applyAlignment="1">
      <alignment horizontal="center"/>
    </xf>
    <xf numFmtId="2" fontId="44" fillId="6" borderId="44" xfId="0" applyNumberFormat="1" applyFont="1" applyFill="1" applyBorder="1" applyAlignment="1">
      <alignment horizontal="center"/>
    </xf>
    <xf numFmtId="0" fontId="0" fillId="6" borderId="44" xfId="0" applyFill="1" applyBorder="1" applyAlignment="1">
      <alignment horizontal="center"/>
    </xf>
    <xf numFmtId="2" fontId="0" fillId="6" borderId="44" xfId="0" applyNumberFormat="1" applyFill="1" applyBorder="1" applyAlignment="1">
      <alignment horizontal="center"/>
    </xf>
    <xf numFmtId="0" fontId="0" fillId="6" borderId="46" xfId="0" applyFill="1" applyBorder="1" applyAlignment="1">
      <alignment horizontal="center" vertical="center"/>
    </xf>
    <xf numFmtId="2" fontId="0" fillId="6" borderId="44" xfId="1" applyNumberFormat="1" applyFont="1" applyFill="1" applyBorder="1" applyAlignment="1">
      <alignment horizontal="center" vertical="center"/>
    </xf>
    <xf numFmtId="0" fontId="44" fillId="6" borderId="44" xfId="0" applyFont="1" applyFill="1" applyBorder="1" applyAlignment="1">
      <alignment horizontal="center"/>
    </xf>
    <xf numFmtId="0" fontId="43" fillId="6" borderId="44" xfId="0" applyFont="1" applyFill="1" applyBorder="1" applyAlignment="1">
      <alignment horizontal="center"/>
    </xf>
    <xf numFmtId="2" fontId="43" fillId="6" borderId="44" xfId="0" applyNumberFormat="1" applyFont="1" applyFill="1" applyBorder="1" applyAlignment="1">
      <alignment horizontal="center" vertical="center"/>
    </xf>
    <xf numFmtId="1" fontId="0" fillId="6" borderId="44" xfId="0" applyNumberFormat="1" applyFill="1" applyBorder="1" applyAlignment="1">
      <alignment horizontal="center"/>
    </xf>
    <xf numFmtId="0" fontId="44" fillId="2" borderId="44" xfId="0" applyFont="1" applyFill="1" applyBorder="1" applyAlignment="1">
      <alignment horizontal="center"/>
    </xf>
    <xf numFmtId="168" fontId="55" fillId="2" borderId="46" xfId="1" applyNumberFormat="1" applyFont="1" applyFill="1" applyBorder="1" applyAlignment="1">
      <alignment vertical="center"/>
    </xf>
    <xf numFmtId="166" fontId="0" fillId="2" borderId="44" xfId="0" applyNumberFormat="1" applyFill="1" applyBorder="1" applyAlignment="1">
      <alignment horizontal="center"/>
    </xf>
    <xf numFmtId="0" fontId="0" fillId="2" borderId="0" xfId="0" applyFill="1" applyAlignment="1">
      <alignment horizontal="center"/>
    </xf>
    <xf numFmtId="43" fontId="44" fillId="2" borderId="44" xfId="0" applyNumberFormat="1" applyFont="1" applyFill="1" applyBorder="1" applyAlignment="1">
      <alignment vertical="center"/>
    </xf>
    <xf numFmtId="2" fontId="0" fillId="2" borderId="44" xfId="0" applyNumberFormat="1" applyFill="1" applyBorder="1" applyAlignment="1">
      <alignment horizontal="center"/>
    </xf>
    <xf numFmtId="0" fontId="0" fillId="6" borderId="44" xfId="0" applyFill="1" applyBorder="1" applyAlignment="1">
      <alignment horizontal="center" vertical="center"/>
    </xf>
    <xf numFmtId="1" fontId="44" fillId="6" borderId="44" xfId="0" applyNumberFormat="1" applyFont="1" applyFill="1" applyBorder="1" applyAlignment="1">
      <alignment horizontal="center" vertical="center"/>
    </xf>
    <xf numFmtId="2" fontId="44" fillId="6" borderId="44" xfId="0" applyNumberFormat="1" applyFont="1" applyFill="1" applyBorder="1" applyAlignment="1">
      <alignment horizontal="center" vertical="center"/>
    </xf>
    <xf numFmtId="0" fontId="0" fillId="6" borderId="54" xfId="0" applyFill="1" applyBorder="1" applyAlignment="1">
      <alignment horizontal="center" vertical="center"/>
    </xf>
    <xf numFmtId="0" fontId="0" fillId="6" borderId="59" xfId="0" applyFill="1" applyBorder="1"/>
    <xf numFmtId="2" fontId="44" fillId="6" borderId="46" xfId="0" applyNumberFormat="1" applyFont="1" applyFill="1" applyBorder="1" applyAlignment="1">
      <alignment horizontal="center" vertical="center"/>
    </xf>
    <xf numFmtId="43" fontId="0" fillId="6" borderId="44" xfId="1" applyFont="1" applyFill="1" applyBorder="1" applyAlignment="1">
      <alignment horizontal="center" vertical="center"/>
    </xf>
    <xf numFmtId="43" fontId="0" fillId="6" borderId="54" xfId="1" applyFont="1" applyFill="1" applyBorder="1" applyAlignment="1">
      <alignment horizontal="center" vertical="center"/>
    </xf>
    <xf numFmtId="43" fontId="0" fillId="6" borderId="72" xfId="1" applyFont="1" applyFill="1" applyBorder="1" applyAlignment="1">
      <alignment horizontal="center" vertical="center"/>
    </xf>
    <xf numFmtId="0" fontId="0" fillId="6" borderId="72" xfId="0" applyFill="1" applyBorder="1"/>
    <xf numFmtId="43" fontId="0" fillId="6" borderId="46" xfId="1" applyFont="1" applyFill="1" applyBorder="1" applyAlignment="1">
      <alignment horizontal="center" vertical="center"/>
    </xf>
    <xf numFmtId="2" fontId="44" fillId="6" borderId="54" xfId="0" applyNumberFormat="1" applyFont="1" applyFill="1" applyBorder="1" applyAlignment="1">
      <alignment horizontal="center" vertical="center"/>
    </xf>
    <xf numFmtId="43" fontId="44" fillId="6" borderId="52" xfId="0" applyNumberFormat="1" applyFont="1" applyFill="1" applyBorder="1" applyAlignment="1">
      <alignment horizontal="center" vertical="center"/>
    </xf>
    <xf numFmtId="168" fontId="55" fillId="6" borderId="47" xfId="1" applyNumberFormat="1" applyFont="1" applyFill="1" applyBorder="1" applyAlignment="1">
      <alignment horizontal="center"/>
    </xf>
    <xf numFmtId="9" fontId="0" fillId="0" borderId="86" xfId="0" applyNumberFormat="1" applyBorder="1"/>
    <xf numFmtId="43" fontId="46" fillId="0" borderId="86" xfId="0" applyNumberFormat="1" applyFont="1" applyBorder="1"/>
    <xf numFmtId="0" fontId="44" fillId="6" borderId="0" xfId="0" applyFont="1" applyFill="1" applyAlignment="1">
      <alignment horizontal="center"/>
    </xf>
    <xf numFmtId="1" fontId="95" fillId="6" borderId="105" xfId="0" applyNumberFormat="1" applyFont="1" applyFill="1" applyBorder="1" applyAlignment="1">
      <alignment horizontal="center"/>
    </xf>
    <xf numFmtId="2" fontId="44" fillId="6" borderId="105" xfId="0" applyNumberFormat="1" applyFont="1" applyFill="1" applyBorder="1" applyAlignment="1">
      <alignment horizontal="center"/>
    </xf>
    <xf numFmtId="2" fontId="44" fillId="6" borderId="106" xfId="0" applyNumberFormat="1" applyFont="1" applyFill="1" applyBorder="1" applyAlignment="1">
      <alignment horizontal="center"/>
    </xf>
    <xf numFmtId="2" fontId="48" fillId="0" borderId="170" xfId="7" applyNumberFormat="1" applyBorder="1" applyAlignment="1">
      <alignment vertical="center" shrinkToFit="1"/>
    </xf>
    <xf numFmtId="2" fontId="48" fillId="0" borderId="39" xfId="7" applyNumberFormat="1" applyBorder="1" applyAlignment="1">
      <alignment vertical="center" shrinkToFit="1"/>
    </xf>
    <xf numFmtId="2" fontId="48" fillId="0" borderId="38" xfId="7" applyNumberFormat="1" applyBorder="1" applyAlignment="1">
      <alignment horizontal="center" shrinkToFit="1"/>
    </xf>
    <xf numFmtId="2" fontId="143" fillId="0" borderId="155" xfId="8" applyNumberFormat="1" applyFont="1" applyBorder="1" applyAlignment="1">
      <alignment horizontal="center" wrapText="1"/>
    </xf>
    <xf numFmtId="2" fontId="142" fillId="0" borderId="155" xfId="8" applyNumberFormat="1" applyFont="1" applyBorder="1" applyAlignment="1">
      <alignment horizontal="center" wrapText="1"/>
    </xf>
    <xf numFmtId="0" fontId="51" fillId="0" borderId="156" xfId="5" applyFont="1" applyBorder="1"/>
    <xf numFmtId="172" fontId="51" fillId="0" borderId="150" xfId="5" applyNumberFormat="1" applyFont="1" applyBorder="1" applyAlignment="1">
      <alignment vertical="center"/>
    </xf>
    <xf numFmtId="0" fontId="63" fillId="0" borderId="39" xfId="0" applyFont="1" applyBorder="1"/>
    <xf numFmtId="2" fontId="48" fillId="0" borderId="21" xfId="553" applyNumberFormat="1" applyBorder="1" applyAlignment="1">
      <alignment horizontal="center" shrinkToFit="1"/>
    </xf>
    <xf numFmtId="170" fontId="63" fillId="0" borderId="150" xfId="0" applyNumberFormat="1" applyFont="1" applyBorder="1" applyAlignment="1">
      <alignment vertical="center"/>
    </xf>
    <xf numFmtId="2" fontId="142" fillId="0" borderId="150" xfId="8" applyNumberFormat="1" applyFont="1" applyBorder="1" applyAlignment="1">
      <alignment vertical="center"/>
    </xf>
    <xf numFmtId="2" fontId="138" fillId="0" borderId="150" xfId="8" applyNumberFormat="1" applyFont="1" applyBorder="1" applyAlignment="1">
      <alignment vertical="center"/>
    </xf>
    <xf numFmtId="2" fontId="150" fillId="0" borderId="150" xfId="0" applyNumberFormat="1" applyFont="1" applyBorder="1" applyAlignment="1">
      <alignment vertical="center"/>
    </xf>
    <xf numFmtId="0" fontId="48" fillId="0" borderId="150" xfId="0" applyFont="1" applyBorder="1" applyAlignment="1">
      <alignment horizontal="center"/>
    </xf>
    <xf numFmtId="0" fontId="140" fillId="0" borderId="150" xfId="0" applyFont="1" applyBorder="1" applyAlignment="1">
      <alignment vertical="center"/>
    </xf>
    <xf numFmtId="2" fontId="140" fillId="0" borderId="150" xfId="0" applyNumberFormat="1" applyFont="1" applyBorder="1" applyAlignment="1">
      <alignment vertical="center"/>
    </xf>
    <xf numFmtId="0" fontId="83" fillId="0" borderId="150" xfId="0" applyFont="1" applyBorder="1" applyAlignment="1">
      <alignment horizontal="center"/>
    </xf>
    <xf numFmtId="0" fontId="63" fillId="0" borderId="150" xfId="0" applyFont="1" applyBorder="1" applyAlignment="1">
      <alignment horizontal="center" vertical="center"/>
    </xf>
    <xf numFmtId="2" fontId="63" fillId="0" borderId="150" xfId="0" applyNumberFormat="1" applyFont="1" applyBorder="1" applyAlignment="1">
      <alignment vertical="center"/>
    </xf>
    <xf numFmtId="2" fontId="151" fillId="0" borderId="150" xfId="0" applyNumberFormat="1" applyFont="1" applyBorder="1" applyAlignment="1">
      <alignment vertical="center"/>
    </xf>
    <xf numFmtId="0" fontId="138" fillId="0" borderId="150" xfId="0" applyFont="1" applyBorder="1" applyAlignment="1">
      <alignment horizontal="center"/>
    </xf>
    <xf numFmtId="0" fontId="151" fillId="0" borderId="150" xfId="0" applyFont="1" applyBorder="1" applyAlignment="1">
      <alignment vertical="center"/>
    </xf>
    <xf numFmtId="16" fontId="63" fillId="0" borderId="150" xfId="0" applyNumberFormat="1" applyFont="1" applyBorder="1" applyAlignment="1">
      <alignment vertical="center"/>
    </xf>
    <xf numFmtId="170" fontId="62" fillId="0" borderId="5" xfId="0" applyNumberFormat="1" applyFont="1" applyBorder="1" applyAlignment="1">
      <alignment vertical="center"/>
    </xf>
    <xf numFmtId="170" fontId="62" fillId="0" borderId="149" xfId="0" applyNumberFormat="1" applyFont="1" applyBorder="1" applyAlignment="1">
      <alignment vertical="center"/>
    </xf>
    <xf numFmtId="170" fontId="62" fillId="0" borderId="169" xfId="0" applyNumberFormat="1" applyFont="1" applyBorder="1" applyAlignment="1">
      <alignment vertical="center"/>
    </xf>
    <xf numFmtId="170" fontId="62" fillId="0" borderId="144" xfId="0" applyNumberFormat="1" applyFont="1" applyBorder="1" applyAlignment="1">
      <alignment vertical="center"/>
    </xf>
    <xf numFmtId="170" fontId="62" fillId="0" borderId="6" xfId="0" applyNumberFormat="1" applyFont="1" applyBorder="1" applyAlignment="1">
      <alignment vertical="center"/>
    </xf>
    <xf numFmtId="170" fontId="62" fillId="0" borderId="151" xfId="0" applyNumberFormat="1" applyFont="1" applyBorder="1" applyAlignment="1">
      <alignment vertical="center"/>
    </xf>
    <xf numFmtId="170" fontId="62" fillId="0" borderId="171" xfId="0" applyNumberFormat="1" applyFont="1" applyBorder="1" applyAlignment="1">
      <alignment vertical="center"/>
    </xf>
    <xf numFmtId="170" fontId="62" fillId="0" borderId="142" xfId="0" applyNumberFormat="1" applyFont="1" applyBorder="1" applyAlignment="1">
      <alignment vertical="center"/>
    </xf>
    <xf numFmtId="170" fontId="62" fillId="0" borderId="30" xfId="0" applyNumberFormat="1" applyFont="1" applyBorder="1" applyAlignment="1">
      <alignment vertical="center"/>
    </xf>
    <xf numFmtId="170" fontId="62" fillId="0" borderId="85" xfId="0" applyNumberFormat="1" applyFont="1" applyBorder="1" applyAlignment="1">
      <alignment vertical="center"/>
    </xf>
    <xf numFmtId="170" fontId="62" fillId="0" borderId="32" xfId="0" applyNumberFormat="1" applyFont="1" applyBorder="1" applyAlignment="1">
      <alignment vertical="center"/>
    </xf>
    <xf numFmtId="170" fontId="62" fillId="0" borderId="33" xfId="0" applyNumberFormat="1" applyFont="1" applyBorder="1" applyAlignment="1">
      <alignment vertical="center"/>
    </xf>
    <xf numFmtId="170" fontId="62" fillId="0" borderId="81" xfId="0" applyNumberFormat="1" applyFont="1" applyBorder="1" applyAlignment="1">
      <alignment vertical="center"/>
    </xf>
    <xf numFmtId="170" fontId="62" fillId="0" borderId="147" xfId="0" applyNumberFormat="1" applyFont="1" applyBorder="1" applyAlignment="1">
      <alignment vertical="center"/>
    </xf>
    <xf numFmtId="170" fontId="62" fillId="0" borderId="180" xfId="0" applyNumberFormat="1" applyFont="1" applyBorder="1" applyAlignment="1">
      <alignment vertical="center"/>
    </xf>
    <xf numFmtId="170" fontId="62" fillId="0" borderId="184" xfId="0" applyNumberFormat="1" applyFont="1" applyBorder="1" applyAlignment="1">
      <alignment vertical="center"/>
    </xf>
    <xf numFmtId="170" fontId="62" fillId="0" borderId="185" xfId="0" applyNumberFormat="1" applyFont="1" applyBorder="1" applyAlignment="1">
      <alignment vertical="center"/>
    </xf>
    <xf numFmtId="170" fontId="62" fillId="0" borderId="192" xfId="0" applyNumberFormat="1" applyFont="1" applyBorder="1" applyAlignment="1">
      <alignment vertical="center"/>
    </xf>
    <xf numFmtId="170" fontId="62" fillId="0" borderId="10" xfId="0" applyNumberFormat="1" applyFont="1" applyBorder="1" applyAlignment="1">
      <alignment vertical="center"/>
    </xf>
    <xf numFmtId="170" fontId="62" fillId="0" borderId="11" xfId="0" applyNumberFormat="1" applyFont="1" applyBorder="1" applyAlignment="1">
      <alignment vertical="center"/>
    </xf>
    <xf numFmtId="170" fontId="62" fillId="0" borderId="233" xfId="0" applyNumberFormat="1" applyFont="1" applyBorder="1" applyAlignment="1">
      <alignment vertical="center"/>
    </xf>
    <xf numFmtId="170" fontId="62" fillId="0" borderId="181" xfId="0" applyNumberFormat="1" applyFont="1" applyBorder="1" applyAlignment="1">
      <alignment vertical="center"/>
    </xf>
    <xf numFmtId="170" fontId="62" fillId="0" borderId="2" xfId="0" applyNumberFormat="1" applyFont="1" applyBorder="1" applyAlignment="1">
      <alignment vertical="center"/>
    </xf>
    <xf numFmtId="170" fontId="62" fillId="0" borderId="24" xfId="0" applyNumberFormat="1" applyFont="1" applyBorder="1" applyAlignment="1">
      <alignment vertical="center"/>
    </xf>
    <xf numFmtId="170" fontId="62" fillId="0" borderId="242" xfId="0" applyNumberFormat="1" applyFont="1" applyBorder="1" applyAlignment="1">
      <alignment vertical="center"/>
    </xf>
    <xf numFmtId="170" fontId="62" fillId="0" borderId="253" xfId="0" applyNumberFormat="1" applyFont="1" applyBorder="1" applyAlignment="1">
      <alignment vertical="center"/>
    </xf>
    <xf numFmtId="170" fontId="62" fillId="0" borderId="254" xfId="0" applyNumberFormat="1" applyFont="1" applyBorder="1" applyAlignment="1">
      <alignment vertical="center"/>
    </xf>
    <xf numFmtId="172" fontId="99" fillId="14" borderId="170" xfId="5" applyNumberFormat="1" applyFont="1" applyFill="1" applyBorder="1" applyAlignment="1">
      <alignment horizontal="center" vertical="center" wrapText="1"/>
    </xf>
    <xf numFmtId="0" fontId="64" fillId="4" borderId="37" xfId="0" applyFont="1" applyFill="1" applyBorder="1" applyAlignment="1">
      <alignment horizontal="center" vertical="center" wrapText="1"/>
    </xf>
    <xf numFmtId="0" fontId="62" fillId="4" borderId="42" xfId="0" applyFont="1" applyFill="1" applyBorder="1" applyAlignment="1">
      <alignment horizontal="center" vertical="center" wrapText="1"/>
    </xf>
    <xf numFmtId="0" fontId="62" fillId="4" borderId="42" xfId="0" applyFont="1" applyFill="1" applyBorder="1" applyAlignment="1" applyProtection="1">
      <alignment horizontal="center" vertical="center" wrapText="1"/>
      <protection locked="0"/>
    </xf>
    <xf numFmtId="0" fontId="62" fillId="4" borderId="150" xfId="0" applyFont="1" applyFill="1" applyBorder="1" applyAlignment="1" applyProtection="1">
      <alignment horizontal="center" vertical="center" wrapText="1"/>
      <protection locked="0"/>
    </xf>
    <xf numFmtId="0" fontId="64" fillId="4" borderId="153" xfId="0" applyFont="1" applyFill="1" applyBorder="1" applyAlignment="1" applyProtection="1">
      <alignment horizontal="center" vertical="center" wrapText="1"/>
      <protection locked="0"/>
    </xf>
    <xf numFmtId="0" fontId="62" fillId="4" borderId="20" xfId="0" applyFont="1" applyFill="1" applyBorder="1" applyAlignment="1" applyProtection="1">
      <alignment horizontal="center" vertical="center" wrapText="1"/>
      <protection locked="0"/>
    </xf>
    <xf numFmtId="0" fontId="62" fillId="4" borderId="141" xfId="0" applyFont="1" applyFill="1" applyBorder="1" applyAlignment="1" applyProtection="1">
      <alignment horizontal="center" vertical="center" wrapText="1"/>
      <protection locked="0"/>
    </xf>
    <xf numFmtId="0" fontId="113" fillId="4" borderId="42" xfId="0" applyFont="1" applyFill="1" applyBorder="1" applyAlignment="1" applyProtection="1">
      <alignment horizontal="center" vertical="center" wrapText="1"/>
      <protection locked="0"/>
    </xf>
    <xf numFmtId="0" fontId="113" fillId="4" borderId="150" xfId="0" applyFont="1" applyFill="1" applyBorder="1" applyAlignment="1" applyProtection="1">
      <alignment horizontal="center" vertical="center" wrapText="1"/>
      <protection locked="0"/>
    </xf>
    <xf numFmtId="0" fontId="66" fillId="4" borderId="153" xfId="0" applyFont="1" applyFill="1" applyBorder="1" applyAlignment="1" applyProtection="1">
      <alignment horizontal="center" vertical="center" wrapText="1"/>
      <protection locked="0"/>
    </xf>
    <xf numFmtId="0" fontId="113" fillId="4" borderId="20" xfId="0" applyFont="1" applyFill="1" applyBorder="1" applyAlignment="1" applyProtection="1">
      <alignment horizontal="center" vertical="center" wrapText="1"/>
      <protection locked="0"/>
    </xf>
    <xf numFmtId="0" fontId="113" fillId="4" borderId="141" xfId="0" applyFont="1" applyFill="1" applyBorder="1" applyAlignment="1" applyProtection="1">
      <alignment horizontal="center" vertical="center" wrapText="1"/>
      <protection locked="0"/>
    </xf>
    <xf numFmtId="0" fontId="113" fillId="4" borderId="39" xfId="0" applyFont="1" applyFill="1" applyBorder="1" applyAlignment="1" applyProtection="1">
      <alignment horizontal="center" vertical="center" wrapText="1"/>
      <protection locked="0"/>
    </xf>
    <xf numFmtId="172" fontId="113" fillId="4" borderId="0" xfId="0" applyNumberFormat="1" applyFont="1" applyFill="1" applyAlignment="1" applyProtection="1">
      <alignment horizontal="center" vertical="center" wrapText="1"/>
      <protection locked="0"/>
    </xf>
    <xf numFmtId="0" fontId="113" fillId="4" borderId="150" xfId="0" applyFont="1" applyFill="1" applyBorder="1" applyAlignment="1" applyProtection="1">
      <alignment horizontal="center" vertical="center"/>
      <protection locked="0"/>
    </xf>
    <xf numFmtId="0" fontId="113" fillId="4" borderId="0" xfId="0" applyFont="1" applyFill="1" applyAlignment="1" applyProtection="1">
      <alignment horizontal="center" vertical="center"/>
      <protection locked="0"/>
    </xf>
    <xf numFmtId="0" fontId="51" fillId="0" borderId="42" xfId="5" applyFont="1" applyBorder="1" applyAlignment="1">
      <alignment vertical="center"/>
    </xf>
    <xf numFmtId="170" fontId="63" fillId="0" borderId="39" xfId="0" applyNumberFormat="1" applyFont="1" applyBorder="1" applyAlignment="1">
      <alignment vertical="center"/>
    </xf>
    <xf numFmtId="2" fontId="150" fillId="0" borderId="42" xfId="0" applyNumberFormat="1" applyFont="1" applyBorder="1" applyAlignment="1">
      <alignment vertical="center"/>
    </xf>
    <xf numFmtId="168" fontId="62" fillId="0" borderId="144" xfId="1" applyNumberFormat="1" applyFont="1" applyFill="1" applyBorder="1" applyAlignment="1" applyProtection="1">
      <alignment horizontal="center"/>
      <protection locked="0"/>
    </xf>
    <xf numFmtId="168" fontId="62" fillId="85" borderId="169" xfId="1" applyNumberFormat="1" applyFont="1" applyFill="1" applyBorder="1" applyAlignment="1" applyProtection="1">
      <alignment horizontal="center"/>
      <protection locked="0"/>
    </xf>
    <xf numFmtId="168" fontId="64" fillId="0" borderId="10" xfId="1" applyNumberFormat="1" applyFont="1" applyBorder="1" applyAlignment="1" applyProtection="1">
      <alignment horizontal="center"/>
      <protection locked="0"/>
    </xf>
    <xf numFmtId="168" fontId="62" fillId="0" borderId="169" xfId="1" applyNumberFormat="1" applyFont="1" applyFill="1" applyBorder="1" applyAlignment="1" applyProtection="1">
      <alignment horizontal="center"/>
      <protection locked="0"/>
    </xf>
    <xf numFmtId="0" fontId="65" fillId="0" borderId="243" xfId="0" applyFont="1" applyBorder="1" applyAlignment="1">
      <alignment wrapText="1"/>
    </xf>
    <xf numFmtId="172" fontId="63" fillId="0" borderId="258" xfId="0" applyNumberFormat="1" applyFont="1" applyBorder="1" applyAlignment="1">
      <alignment vertical="center"/>
    </xf>
    <xf numFmtId="172" fontId="63" fillId="0" borderId="259" xfId="0" applyNumberFormat="1" applyFont="1" applyBorder="1" applyAlignment="1">
      <alignment vertical="center"/>
    </xf>
    <xf numFmtId="170" fontId="63" fillId="0" borderId="150" xfId="0" applyNumberFormat="1" applyFont="1" applyBorder="1" applyAlignment="1">
      <alignment horizontal="left"/>
    </xf>
    <xf numFmtId="0" fontId="63" fillId="0" borderId="5" xfId="0" applyFont="1" applyBorder="1"/>
    <xf numFmtId="0" fontId="63" fillId="0" borderId="149" xfId="0" applyFont="1" applyBorder="1"/>
    <xf numFmtId="0" fontId="63" fillId="0" borderId="144" xfId="0" applyFont="1" applyBorder="1"/>
    <xf numFmtId="0" fontId="62" fillId="0" borderId="38" xfId="0" applyFont="1" applyBorder="1"/>
    <xf numFmtId="0" fontId="62" fillId="0" borderId="155" xfId="0" applyFont="1" applyBorder="1"/>
    <xf numFmtId="0" fontId="62" fillId="0" borderId="146" xfId="0" applyFont="1" applyBorder="1"/>
    <xf numFmtId="170" fontId="63" fillId="0" borderId="39" xfId="0" applyNumberFormat="1" applyFont="1" applyBorder="1" applyAlignment="1">
      <alignment horizontal="left"/>
    </xf>
    <xf numFmtId="172" fontId="63" fillId="0" borderId="6" xfId="0" applyNumberFormat="1" applyFont="1" applyBorder="1" applyAlignment="1">
      <alignment vertical="center"/>
    </xf>
    <xf numFmtId="172" fontId="63" fillId="0" borderId="151" xfId="0" applyNumberFormat="1" applyFont="1" applyBorder="1" applyAlignment="1">
      <alignment vertical="center"/>
    </xf>
    <xf numFmtId="170" fontId="63" fillId="0" borderId="151" xfId="0" applyNumberFormat="1" applyFont="1" applyBorder="1" applyAlignment="1">
      <alignment horizontal="left"/>
    </xf>
    <xf numFmtId="170" fontId="63" fillId="0" borderId="142" xfId="0" applyNumberFormat="1" applyFont="1" applyBorder="1" applyAlignment="1">
      <alignment horizontal="left"/>
    </xf>
    <xf numFmtId="0" fontId="63" fillId="0" borderId="150" xfId="0" applyFont="1" applyBorder="1" applyAlignment="1">
      <alignment vertical="center"/>
    </xf>
    <xf numFmtId="0" fontId="141" fillId="0" borderId="170" xfId="0" applyFont="1" applyBorder="1" applyAlignment="1">
      <alignment horizontal="center"/>
    </xf>
    <xf numFmtId="2" fontId="48" fillId="0" borderId="170" xfId="553" applyNumberFormat="1" applyBorder="1" applyAlignment="1">
      <alignment vertical="center" shrinkToFit="1"/>
    </xf>
    <xf numFmtId="2" fontId="141" fillId="0" borderId="150" xfId="0" applyNumberFormat="1" applyFont="1" applyBorder="1" applyAlignment="1">
      <alignment horizontal="center"/>
    </xf>
    <xf numFmtId="2" fontId="138" fillId="0" borderId="150" xfId="0" applyNumberFormat="1" applyFont="1" applyBorder="1" applyAlignment="1">
      <alignment horizontal="center"/>
    </xf>
    <xf numFmtId="2" fontId="141" fillId="0" borderId="170" xfId="0" applyNumberFormat="1" applyFont="1" applyBorder="1" applyAlignment="1">
      <alignment horizontal="center"/>
    </xf>
    <xf numFmtId="2" fontId="48" fillId="0" borderId="141" xfId="553" applyNumberFormat="1" applyBorder="1" applyAlignment="1">
      <alignment horizontal="center" shrinkToFit="1"/>
    </xf>
    <xf numFmtId="2" fontId="141" fillId="0" borderId="150" xfId="553" applyNumberFormat="1" applyFont="1" applyBorder="1" applyAlignment="1">
      <alignment horizontal="center" shrinkToFit="1"/>
    </xf>
    <xf numFmtId="0" fontId="148" fillId="0" borderId="1" xfId="1745" applyFont="1" applyBorder="1"/>
    <xf numFmtId="0" fontId="148" fillId="0" borderId="0" xfId="1745" applyFont="1"/>
    <xf numFmtId="16" fontId="50" fillId="0" borderId="144" xfId="1745" applyNumberFormat="1" applyFont="1" applyBorder="1"/>
    <xf numFmtId="16" fontId="50" fillId="0" borderId="0" xfId="1745" applyNumberFormat="1" applyFont="1"/>
    <xf numFmtId="168" fontId="50" fillId="0" borderId="21" xfId="1746" applyNumberFormat="1" applyFont="1" applyBorder="1"/>
    <xf numFmtId="168" fontId="0" fillId="0" borderId="10" xfId="1746" applyNumberFormat="1" applyFont="1" applyBorder="1"/>
    <xf numFmtId="168" fontId="0" fillId="0" borderId="149" xfId="1746" applyNumberFormat="1" applyFont="1" applyBorder="1"/>
    <xf numFmtId="168" fontId="50" fillId="85" borderId="35" xfId="1746" applyNumberFormat="1" applyFont="1" applyFill="1" applyBorder="1"/>
    <xf numFmtId="168" fontId="50" fillId="85" borderId="16" xfId="1746" applyNumberFormat="1" applyFont="1" applyFill="1" applyBorder="1"/>
    <xf numFmtId="168" fontId="0" fillId="85" borderId="29" xfId="1746" applyNumberFormat="1" applyFont="1" applyFill="1" applyBorder="1"/>
    <xf numFmtId="168" fontId="0" fillId="85" borderId="32" xfId="1746" applyNumberFormat="1" applyFont="1" applyFill="1" applyBorder="1"/>
    <xf numFmtId="168" fontId="0" fillId="0" borderId="169" xfId="1746" applyNumberFormat="1" applyFont="1" applyBorder="1"/>
    <xf numFmtId="168" fontId="0" fillId="85" borderId="55" xfId="1746" applyNumberFormat="1" applyFont="1" applyFill="1" applyBorder="1"/>
    <xf numFmtId="168" fontId="0" fillId="85" borderId="56" xfId="1746" applyNumberFormat="1" applyFont="1" applyFill="1" applyBorder="1"/>
    <xf numFmtId="168" fontId="0" fillId="2" borderId="39" xfId="1746" applyNumberFormat="1" applyFont="1" applyFill="1" applyBorder="1"/>
    <xf numFmtId="168" fontId="0" fillId="85" borderId="43" xfId="1746" applyNumberFormat="1" applyFont="1" applyFill="1" applyBorder="1"/>
    <xf numFmtId="168" fontId="0" fillId="85" borderId="94" xfId="1746" applyNumberFormat="1" applyFont="1" applyFill="1" applyBorder="1"/>
    <xf numFmtId="0" fontId="0" fillId="80" borderId="5" xfId="1745" applyFont="1" applyFill="1" applyBorder="1"/>
    <xf numFmtId="168" fontId="50" fillId="0" borderId="6" xfId="1746" applyNumberFormat="1" applyFont="1" applyBorder="1"/>
    <xf numFmtId="168" fontId="0" fillId="0" borderId="171" xfId="1746" applyNumberFormat="1" applyFont="1" applyBorder="1"/>
    <xf numFmtId="168" fontId="50" fillId="0" borderId="170" xfId="1746" applyNumberFormat="1" applyFont="1" applyBorder="1"/>
    <xf numFmtId="0" fontId="0" fillId="7" borderId="43" xfId="1745" applyFont="1" applyFill="1" applyBorder="1"/>
    <xf numFmtId="0" fontId="0" fillId="7" borderId="55" xfId="1745" applyFont="1" applyFill="1" applyBorder="1"/>
    <xf numFmtId="168" fontId="50" fillId="7" borderId="55" xfId="1746" applyNumberFormat="1" applyFont="1" applyFill="1" applyBorder="1"/>
    <xf numFmtId="168" fontId="50" fillId="7" borderId="56" xfId="1746" applyNumberFormat="1" applyFont="1" applyFill="1" applyBorder="1"/>
    <xf numFmtId="168" fontId="0" fillId="7" borderId="19" xfId="1746" applyNumberFormat="1" applyFont="1" applyFill="1" applyBorder="1"/>
    <xf numFmtId="168" fontId="0" fillId="7" borderId="40" xfId="1746" applyNumberFormat="1" applyFont="1" applyFill="1" applyBorder="1"/>
    <xf numFmtId="168" fontId="0" fillId="7" borderId="82" xfId="1746" applyNumberFormat="1" applyFont="1" applyFill="1" applyBorder="1"/>
    <xf numFmtId="168" fontId="0" fillId="7" borderId="33" xfId="1746" applyNumberFormat="1" applyFont="1" applyFill="1" applyBorder="1"/>
    <xf numFmtId="0" fontId="50" fillId="0" borderId="35" xfId="1745" applyFont="1" applyBorder="1"/>
    <xf numFmtId="168" fontId="50" fillId="0" borderId="29" xfId="1746" applyNumberFormat="1" applyFont="1" applyBorder="1"/>
    <xf numFmtId="168" fontId="0" fillId="4" borderId="150" xfId="1746" applyNumberFormat="1" applyFont="1" applyFill="1" applyBorder="1"/>
    <xf numFmtId="168" fontId="50" fillId="0" borderId="177" xfId="1746" applyNumberFormat="1" applyFont="1" applyBorder="1"/>
    <xf numFmtId="0" fontId="0" fillId="0" borderId="37" xfId="1745" applyFont="1" applyBorder="1"/>
    <xf numFmtId="0" fontId="0" fillId="0" borderId="7" xfId="0" applyBorder="1"/>
    <xf numFmtId="0" fontId="0" fillId="0" borderId="7" xfId="1745" applyFont="1" applyBorder="1"/>
    <xf numFmtId="168" fontId="0" fillId="0" borderId="7" xfId="1746" applyNumberFormat="1" applyFont="1" applyBorder="1"/>
    <xf numFmtId="0" fontId="0" fillId="0" borderId="1" xfId="1745" applyFont="1" applyBorder="1"/>
    <xf numFmtId="0" fontId="0" fillId="0" borderId="6" xfId="1745" applyFont="1" applyBorder="1"/>
    <xf numFmtId="16" fontId="50" fillId="0" borderId="22" xfId="1745" applyNumberFormat="1" applyFont="1" applyBorder="1"/>
    <xf numFmtId="168" fontId="50" fillId="85" borderId="155" xfId="1746" applyNumberFormat="1" applyFont="1" applyFill="1" applyBorder="1"/>
    <xf numFmtId="168" fontId="0" fillId="85" borderId="149" xfId="1746" applyNumberFormat="1" applyFont="1" applyFill="1" applyBorder="1"/>
    <xf numFmtId="168" fontId="50" fillId="0" borderId="155" xfId="1746" applyNumberFormat="1" applyFont="1" applyBorder="1"/>
    <xf numFmtId="168" fontId="50" fillId="0" borderId="144" xfId="1746" applyNumberFormat="1" applyFont="1" applyBorder="1"/>
    <xf numFmtId="168" fontId="0" fillId="0" borderId="22" xfId="1746" applyNumberFormat="1" applyFont="1" applyBorder="1"/>
    <xf numFmtId="168" fontId="50" fillId="0" borderId="38" xfId="1746" applyNumberFormat="1" applyFont="1" applyBorder="1"/>
    <xf numFmtId="168" fontId="0" fillId="0" borderId="5" xfId="1746" applyNumberFormat="1" applyFont="1" applyBorder="1"/>
    <xf numFmtId="168" fontId="50" fillId="29" borderId="43" xfId="1746" applyNumberFormat="1" applyFont="1" applyFill="1" applyBorder="1"/>
    <xf numFmtId="168" fontId="50" fillId="29" borderId="56" xfId="1746" applyNumberFormat="1" applyFont="1" applyFill="1" applyBorder="1"/>
    <xf numFmtId="168" fontId="64" fillId="0" borderId="149" xfId="1" applyNumberFormat="1" applyFont="1" applyBorder="1" applyAlignment="1">
      <alignment horizontal="center"/>
    </xf>
    <xf numFmtId="168" fontId="64" fillId="0" borderId="43" xfId="1" applyNumberFormat="1" applyFont="1" applyBorder="1" applyProtection="1">
      <protection locked="0"/>
    </xf>
    <xf numFmtId="168" fontId="108" fillId="0" borderId="94" xfId="1" applyNumberFormat="1" applyFont="1" applyBorder="1" applyProtection="1">
      <protection locked="0"/>
    </xf>
    <xf numFmtId="168" fontId="108" fillId="0" borderId="14" xfId="1" applyNumberFormat="1" applyFont="1" applyBorder="1" applyProtection="1">
      <protection locked="0"/>
    </xf>
    <xf numFmtId="168" fontId="62" fillId="0" borderId="144" xfId="1" applyNumberFormat="1" applyFont="1" applyBorder="1" applyAlignment="1" applyProtection="1">
      <alignment horizontal="center"/>
      <protection locked="0"/>
    </xf>
    <xf numFmtId="189" fontId="62" fillId="0" borderId="142" xfId="1" applyNumberFormat="1" applyFont="1" applyBorder="1" applyProtection="1">
      <protection locked="0"/>
    </xf>
    <xf numFmtId="168" fontId="64" fillId="23" borderId="19" xfId="1" applyNumberFormat="1" applyFont="1" applyFill="1" applyBorder="1" applyAlignment="1" applyProtection="1">
      <protection locked="0"/>
    </xf>
    <xf numFmtId="9" fontId="64" fillId="23" borderId="0" xfId="0" applyNumberFormat="1" applyFont="1" applyFill="1" applyProtection="1">
      <protection locked="0"/>
    </xf>
    <xf numFmtId="9" fontId="64" fillId="23" borderId="41" xfId="0" applyNumberFormat="1" applyFont="1" applyFill="1" applyBorder="1" applyProtection="1">
      <protection locked="0"/>
    </xf>
    <xf numFmtId="168" fontId="64" fillId="23" borderId="176" xfId="1" applyNumberFormat="1" applyFont="1" applyFill="1" applyBorder="1" applyAlignment="1" applyProtection="1">
      <protection locked="0"/>
    </xf>
    <xf numFmtId="176" fontId="76" fillId="0" borderId="19" xfId="1" applyNumberFormat="1" applyFont="1" applyBorder="1" applyProtection="1">
      <protection locked="0"/>
    </xf>
    <xf numFmtId="168" fontId="64" fillId="23" borderId="262" xfId="1" applyNumberFormat="1" applyFont="1" applyFill="1" applyBorder="1" applyAlignment="1" applyProtection="1">
      <protection locked="0"/>
    </xf>
    <xf numFmtId="168" fontId="64" fillId="23" borderId="178" xfId="1" applyNumberFormat="1" applyFont="1" applyFill="1" applyBorder="1" applyAlignment="1" applyProtection="1">
      <protection locked="0"/>
    </xf>
    <xf numFmtId="176" fontId="76" fillId="0" borderId="181" xfId="1" applyNumberFormat="1" applyFont="1" applyBorder="1" applyProtection="1">
      <protection locked="0"/>
    </xf>
    <xf numFmtId="176" fontId="76" fillId="0" borderId="159" xfId="1" applyNumberFormat="1" applyFont="1" applyBorder="1" applyProtection="1">
      <protection locked="0"/>
    </xf>
    <xf numFmtId="0" fontId="64" fillId="23" borderId="266" xfId="0" applyFont="1" applyFill="1" applyBorder="1"/>
    <xf numFmtId="176" fontId="64" fillId="0" borderId="174" xfId="1" applyNumberFormat="1" applyFont="1" applyBorder="1" applyAlignment="1" applyProtection="1">
      <protection locked="0"/>
    </xf>
    <xf numFmtId="176" fontId="64" fillId="0" borderId="169" xfId="1" applyNumberFormat="1" applyFont="1" applyBorder="1" applyAlignment="1" applyProtection="1">
      <alignment horizontal="center"/>
      <protection locked="0"/>
    </xf>
    <xf numFmtId="176" fontId="64" fillId="0" borderId="174" xfId="1" applyNumberFormat="1" applyFont="1" applyBorder="1" applyAlignment="1" applyProtection="1">
      <alignment horizontal="center"/>
      <protection locked="0"/>
    </xf>
    <xf numFmtId="176" fontId="76" fillId="0" borderId="10" xfId="1" applyNumberFormat="1" applyFont="1" applyBorder="1" applyProtection="1">
      <protection locked="0"/>
    </xf>
    <xf numFmtId="176" fontId="76" fillId="0" borderId="139" xfId="1" applyNumberFormat="1" applyFont="1" applyBorder="1" applyProtection="1">
      <protection locked="0"/>
    </xf>
    <xf numFmtId="0" fontId="62" fillId="0" borderId="100" xfId="0" applyFont="1" applyBorder="1" applyProtection="1">
      <protection locked="0"/>
    </xf>
    <xf numFmtId="0" fontId="64" fillId="23" borderId="267" xfId="0" applyFont="1" applyFill="1" applyBorder="1"/>
    <xf numFmtId="177" fontId="64" fillId="23" borderId="183" xfId="1" applyNumberFormat="1" applyFont="1" applyFill="1" applyBorder="1" applyAlignment="1" applyProtection="1">
      <protection locked="0"/>
    </xf>
    <xf numFmtId="168" fontId="76" fillId="24" borderId="209" xfId="1" applyNumberFormat="1" applyFont="1" applyFill="1" applyBorder="1" applyProtection="1">
      <protection locked="0"/>
    </xf>
    <xf numFmtId="177" fontId="64" fillId="23" borderId="270" xfId="1" applyNumberFormat="1" applyFont="1" applyFill="1" applyBorder="1" applyAlignment="1" applyProtection="1">
      <alignment horizontal="center"/>
      <protection locked="0"/>
    </xf>
    <xf numFmtId="177" fontId="64" fillId="23" borderId="271" xfId="1" applyNumberFormat="1" applyFont="1" applyFill="1" applyBorder="1" applyAlignment="1" applyProtection="1">
      <alignment horizontal="center"/>
      <protection locked="0"/>
    </xf>
    <xf numFmtId="0" fontId="62" fillId="0" borderId="188" xfId="0" applyFont="1" applyBorder="1" applyProtection="1">
      <protection locked="0"/>
    </xf>
    <xf numFmtId="0" fontId="67" fillId="0" borderId="1" xfId="0" applyFont="1" applyBorder="1"/>
    <xf numFmtId="0" fontId="64" fillId="0" borderId="272" xfId="0" applyFont="1" applyBorder="1"/>
    <xf numFmtId="0" fontId="64" fillId="0" borderId="273" xfId="0" applyFont="1" applyBorder="1" applyAlignment="1">
      <alignment horizontal="center"/>
    </xf>
    <xf numFmtId="16" fontId="73" fillId="0" borderId="1" xfId="0" applyNumberFormat="1" applyFont="1" applyBorder="1" applyAlignment="1">
      <alignment horizontal="center"/>
    </xf>
    <xf numFmtId="168" fontId="64" fillId="23" borderId="268" xfId="1" applyNumberFormat="1" applyFont="1" applyFill="1" applyBorder="1" applyAlignment="1" applyProtection="1">
      <protection locked="0"/>
    </xf>
    <xf numFmtId="173" fontId="73" fillId="24" borderId="178" xfId="1" applyNumberFormat="1" applyFont="1" applyFill="1" applyBorder="1" applyAlignment="1" applyProtection="1">
      <protection locked="0"/>
    </xf>
    <xf numFmtId="171" fontId="73" fillId="24" borderId="263" xfId="0" applyNumberFormat="1" applyFont="1" applyFill="1" applyBorder="1" applyProtection="1">
      <protection locked="0"/>
    </xf>
    <xf numFmtId="9" fontId="62" fillId="23" borderId="264" xfId="1" applyNumberFormat="1" applyFont="1" applyFill="1" applyBorder="1" applyAlignment="1" applyProtection="1">
      <alignment horizontal="center"/>
      <protection locked="0"/>
    </xf>
    <xf numFmtId="9" fontId="62" fillId="23" borderId="179" xfId="1" applyNumberFormat="1" applyFont="1" applyFill="1" applyBorder="1" applyAlignment="1" applyProtection="1">
      <alignment horizontal="center"/>
      <protection locked="0"/>
    </xf>
    <xf numFmtId="168" fontId="64" fillId="23" borderId="266" xfId="1" applyNumberFormat="1" applyFont="1" applyFill="1" applyBorder="1" applyAlignment="1" applyProtection="1">
      <protection locked="0"/>
    </xf>
    <xf numFmtId="168" fontId="64" fillId="23" borderId="182" xfId="1" applyNumberFormat="1" applyFont="1" applyFill="1" applyBorder="1" applyAlignment="1" applyProtection="1">
      <protection locked="0"/>
    </xf>
    <xf numFmtId="9" fontId="64" fillId="23" borderId="274" xfId="0" applyNumberFormat="1" applyFont="1" applyFill="1" applyBorder="1" applyProtection="1">
      <protection locked="0"/>
    </xf>
    <xf numFmtId="9" fontId="64" fillId="0" borderId="173" xfId="1" applyNumberFormat="1" applyFont="1" applyBorder="1" applyAlignment="1" applyProtection="1">
      <alignment horizontal="center"/>
      <protection locked="0"/>
    </xf>
    <xf numFmtId="9" fontId="62" fillId="0" borderId="170" xfId="1" applyNumberFormat="1" applyFont="1" applyBorder="1" applyAlignment="1" applyProtection="1">
      <alignment horizontal="center"/>
      <protection locked="0"/>
    </xf>
    <xf numFmtId="9" fontId="64" fillId="0" borderId="171" xfId="1" applyNumberFormat="1" applyFont="1" applyBorder="1" applyAlignment="1" applyProtection="1">
      <alignment horizontal="center"/>
      <protection locked="0"/>
    </xf>
    <xf numFmtId="168" fontId="64" fillId="23" borderId="268" xfId="1" applyNumberFormat="1" applyFont="1" applyFill="1" applyBorder="1" applyProtection="1">
      <protection locked="0"/>
    </xf>
    <xf numFmtId="168" fontId="64" fillId="23" borderId="272" xfId="1" applyNumberFormat="1" applyFont="1" applyFill="1" applyBorder="1" applyAlignment="1" applyProtection="1">
      <protection locked="0"/>
    </xf>
    <xf numFmtId="173" fontId="73" fillId="24" borderId="262" xfId="1" applyNumberFormat="1" applyFont="1" applyFill="1" applyBorder="1" applyProtection="1">
      <protection locked="0"/>
    </xf>
    <xf numFmtId="9" fontId="64" fillId="23" borderId="199" xfId="0" applyNumberFormat="1" applyFont="1" applyFill="1" applyBorder="1" applyProtection="1">
      <protection locked="0"/>
    </xf>
    <xf numFmtId="9" fontId="62" fillId="23" borderId="178" xfId="1" applyNumberFormat="1" applyFont="1" applyFill="1" applyBorder="1" applyAlignment="1" applyProtection="1">
      <alignment horizontal="center"/>
      <protection locked="0"/>
    </xf>
    <xf numFmtId="168" fontId="64" fillId="23" borderId="173" xfId="1" applyNumberFormat="1" applyFont="1" applyFill="1" applyBorder="1" applyProtection="1">
      <protection locked="0"/>
    </xf>
    <xf numFmtId="173" fontId="64" fillId="0" borderId="170" xfId="3" applyNumberFormat="1" applyFont="1" applyBorder="1" applyProtection="1">
      <protection locked="0"/>
    </xf>
    <xf numFmtId="9" fontId="64" fillId="0" borderId="196" xfId="1" applyNumberFormat="1" applyFont="1" applyBorder="1" applyAlignment="1" applyProtection="1">
      <alignment horizontal="center"/>
      <protection locked="0"/>
    </xf>
    <xf numFmtId="9" fontId="64" fillId="0" borderId="196" xfId="1" applyNumberFormat="1" applyFont="1" applyBorder="1" applyAlignment="1" applyProtection="1">
      <alignment horizontal="center" wrapText="1"/>
      <protection locked="0"/>
    </xf>
    <xf numFmtId="9" fontId="62" fillId="0" borderId="196" xfId="1" applyNumberFormat="1" applyFont="1" applyBorder="1" applyAlignment="1" applyProtection="1">
      <alignment horizontal="center"/>
      <protection locked="0"/>
    </xf>
    <xf numFmtId="176" fontId="73" fillId="24" borderId="178" xfId="1" applyNumberFormat="1" applyFont="1" applyFill="1" applyBorder="1" applyAlignment="1" applyProtection="1">
      <protection locked="0"/>
    </xf>
    <xf numFmtId="176" fontId="62" fillId="23" borderId="264" xfId="1" applyNumberFormat="1" applyFont="1" applyFill="1" applyBorder="1" applyProtection="1">
      <protection locked="0"/>
    </xf>
    <xf numFmtId="176" fontId="62" fillId="23" borderId="178" xfId="1" applyNumberFormat="1" applyFont="1" applyFill="1" applyBorder="1" applyProtection="1">
      <protection locked="0"/>
    </xf>
    <xf numFmtId="176" fontId="64" fillId="0" borderId="182" xfId="1" applyNumberFormat="1" applyFont="1" applyBorder="1" applyAlignment="1" applyProtection="1">
      <protection locked="0"/>
    </xf>
    <xf numFmtId="176" fontId="64" fillId="0" borderId="228" xfId="1" applyNumberFormat="1" applyFont="1" applyBorder="1" applyAlignment="1" applyProtection="1">
      <alignment horizontal="center"/>
      <protection locked="0"/>
    </xf>
    <xf numFmtId="176" fontId="64" fillId="0" borderId="182" xfId="1" applyNumberFormat="1" applyFont="1" applyBorder="1" applyAlignment="1" applyProtection="1">
      <alignment horizontal="center"/>
      <protection locked="0"/>
    </xf>
    <xf numFmtId="176" fontId="64" fillId="0" borderId="175" xfId="1" applyNumberFormat="1" applyFont="1" applyBorder="1" applyAlignment="1" applyProtection="1">
      <alignment horizontal="center"/>
      <protection locked="0"/>
    </xf>
    <xf numFmtId="0" fontId="73" fillId="0" borderId="138" xfId="0" applyFont="1" applyBorder="1" applyProtection="1">
      <protection locked="0"/>
    </xf>
    <xf numFmtId="0" fontId="64" fillId="23" borderId="23" xfId="0" applyFont="1" applyFill="1" applyBorder="1"/>
    <xf numFmtId="0" fontId="64" fillId="23" borderId="20" xfId="0" applyFont="1" applyFill="1" applyBorder="1"/>
    <xf numFmtId="168" fontId="76" fillId="24" borderId="21" xfId="1" applyNumberFormat="1" applyFont="1" applyFill="1" applyBorder="1" applyProtection="1">
      <protection locked="0"/>
    </xf>
    <xf numFmtId="177" fontId="76" fillId="0" borderId="39" xfId="1" applyNumberFormat="1" applyFont="1" applyBorder="1" applyProtection="1">
      <protection locked="0"/>
    </xf>
    <xf numFmtId="177" fontId="76" fillId="0" borderId="11" xfId="1" applyNumberFormat="1" applyFont="1" applyBorder="1" applyProtection="1">
      <protection locked="0"/>
    </xf>
    <xf numFmtId="177" fontId="64" fillId="23" borderId="176" xfId="1" applyNumberFormat="1" applyFont="1" applyFill="1" applyBorder="1" applyAlignment="1" applyProtection="1">
      <protection locked="0"/>
    </xf>
    <xf numFmtId="168" fontId="73" fillId="24" borderId="196" xfId="1" applyNumberFormat="1" applyFont="1" applyFill="1" applyBorder="1" applyProtection="1">
      <protection locked="0"/>
    </xf>
    <xf numFmtId="176" fontId="76" fillId="0" borderId="140" xfId="1" applyNumberFormat="1" applyFont="1" applyBorder="1" applyProtection="1">
      <protection locked="0"/>
    </xf>
    <xf numFmtId="168" fontId="62" fillId="23" borderId="178" xfId="1" applyNumberFormat="1" applyFont="1" applyFill="1" applyBorder="1" applyAlignment="1" applyProtection="1">
      <protection locked="0"/>
    </xf>
    <xf numFmtId="171" fontId="62" fillId="23" borderId="263" xfId="1" applyNumberFormat="1" applyFont="1" applyFill="1" applyBorder="1" applyAlignment="1" applyProtection="1">
      <alignment horizontal="right"/>
      <protection locked="0"/>
    </xf>
    <xf numFmtId="173" fontId="62" fillId="23" borderId="264" xfId="3" applyNumberFormat="1" applyFont="1" applyFill="1" applyBorder="1" applyAlignment="1" applyProtection="1">
      <alignment horizontal="center"/>
      <protection locked="0"/>
    </xf>
    <xf numFmtId="168" fontId="64" fillId="23" borderId="278" xfId="1" applyNumberFormat="1" applyFont="1" applyFill="1" applyBorder="1" applyAlignment="1" applyProtection="1">
      <protection locked="0"/>
    </xf>
    <xf numFmtId="166" fontId="73" fillId="24" borderId="178" xfId="1" applyNumberFormat="1" applyFont="1" applyFill="1" applyBorder="1" applyAlignment="1" applyProtection="1">
      <protection locked="0"/>
    </xf>
    <xf numFmtId="166" fontId="64" fillId="23" borderId="279" xfId="3" applyNumberFormat="1" applyFont="1" applyFill="1" applyBorder="1" applyAlignment="1" applyProtection="1">
      <alignment horizontal="right"/>
      <protection locked="0"/>
    </xf>
    <xf numFmtId="166" fontId="62" fillId="23" borderId="178" xfId="3" applyNumberFormat="1" applyFont="1" applyFill="1" applyBorder="1" applyAlignment="1" applyProtection="1">
      <alignment horizontal="center"/>
      <protection locked="0"/>
    </xf>
    <xf numFmtId="166" fontId="62" fillId="23" borderId="179" xfId="3" applyNumberFormat="1" applyFont="1" applyFill="1" applyBorder="1" applyAlignment="1" applyProtection="1">
      <alignment horizontal="center"/>
      <protection locked="0"/>
    </xf>
    <xf numFmtId="166" fontId="62" fillId="23" borderId="179" xfId="1" applyNumberFormat="1" applyFont="1" applyFill="1" applyBorder="1" applyAlignment="1" applyProtection="1">
      <alignment horizontal="center"/>
      <protection locked="0"/>
    </xf>
    <xf numFmtId="166" fontId="62" fillId="23" borderId="269" xfId="3" applyNumberFormat="1" applyFont="1" applyFill="1" applyBorder="1" applyAlignment="1" applyProtection="1">
      <alignment horizontal="center"/>
      <protection locked="0"/>
    </xf>
    <xf numFmtId="168" fontId="64" fillId="23" borderId="271" xfId="1" applyNumberFormat="1" applyFont="1" applyFill="1" applyBorder="1" applyAlignment="1" applyProtection="1">
      <protection locked="0"/>
    </xf>
    <xf numFmtId="166" fontId="64" fillId="0" borderId="190" xfId="3" applyNumberFormat="1" applyFont="1" applyBorder="1" applyAlignment="1" applyProtection="1">
      <protection locked="0"/>
    </xf>
    <xf numFmtId="166" fontId="64" fillId="23" borderId="274" xfId="0" applyNumberFormat="1" applyFont="1" applyFill="1" applyBorder="1" applyProtection="1">
      <protection locked="0"/>
    </xf>
    <xf numFmtId="166" fontId="64" fillId="0" borderId="228" xfId="0" applyNumberFormat="1" applyFont="1" applyBorder="1" applyAlignment="1" applyProtection="1">
      <alignment horizontal="center"/>
      <protection locked="0"/>
    </xf>
    <xf numFmtId="166" fontId="64" fillId="0" borderId="183" xfId="0" applyNumberFormat="1" applyFont="1" applyBorder="1" applyAlignment="1" applyProtection="1">
      <alignment horizontal="center"/>
      <protection locked="0"/>
    </xf>
    <xf numFmtId="166" fontId="64" fillId="0" borderId="183" xfId="3" applyNumberFormat="1" applyFont="1" applyBorder="1" applyAlignment="1" applyProtection="1">
      <alignment horizontal="center"/>
      <protection locked="0"/>
    </xf>
    <xf numFmtId="166" fontId="64" fillId="0" borderId="229" xfId="3" applyNumberFormat="1" applyFont="1" applyBorder="1" applyAlignment="1" applyProtection="1">
      <alignment horizontal="center"/>
      <protection locked="0"/>
    </xf>
    <xf numFmtId="168" fontId="64" fillId="23" borderId="270" xfId="1" applyNumberFormat="1" applyFont="1" applyFill="1" applyBorder="1" applyProtection="1">
      <protection locked="0"/>
    </xf>
    <xf numFmtId="168" fontId="64" fillId="23" borderId="41" xfId="1" applyNumberFormat="1" applyFont="1" applyFill="1" applyBorder="1" applyAlignment="1" applyProtection="1">
      <protection locked="0"/>
    </xf>
    <xf numFmtId="171" fontId="62" fillId="23" borderId="41" xfId="1" applyNumberFormat="1" applyFont="1" applyFill="1" applyBorder="1" applyAlignment="1" applyProtection="1">
      <alignment horizontal="right"/>
      <protection locked="0"/>
    </xf>
    <xf numFmtId="2" fontId="64" fillId="0" borderId="41" xfId="3" applyNumberFormat="1" applyFont="1" applyBorder="1" applyAlignment="1" applyProtection="1">
      <protection locked="0"/>
    </xf>
    <xf numFmtId="171" fontId="64" fillId="0" borderId="41" xfId="1" applyNumberFormat="1" applyFont="1" applyBorder="1" applyAlignment="1" applyProtection="1">
      <alignment horizontal="right"/>
      <protection locked="0"/>
    </xf>
    <xf numFmtId="168" fontId="62" fillId="23" borderId="41" xfId="1" applyNumberFormat="1" applyFont="1" applyFill="1" applyBorder="1" applyAlignment="1" applyProtection="1">
      <protection locked="0"/>
    </xf>
    <xf numFmtId="2" fontId="64" fillId="23" borderId="41" xfId="3" applyNumberFormat="1" applyFont="1" applyFill="1" applyBorder="1" applyAlignment="1" applyProtection="1">
      <protection locked="0"/>
    </xf>
    <xf numFmtId="2" fontId="62" fillId="23" borderId="41" xfId="1" applyNumberFormat="1" applyFont="1" applyFill="1" applyBorder="1" applyAlignment="1" applyProtection="1">
      <alignment horizontal="right"/>
      <protection locked="0"/>
    </xf>
    <xf numFmtId="171" fontId="62" fillId="23" borderId="41" xfId="1" applyNumberFormat="1" applyFont="1" applyFill="1" applyBorder="1" applyAlignment="1" applyProtection="1">
      <alignment horizontal="left"/>
      <protection locked="0"/>
    </xf>
    <xf numFmtId="168" fontId="64" fillId="23" borderId="199" xfId="1" applyNumberFormat="1" applyFont="1" applyFill="1" applyBorder="1" applyAlignment="1" applyProtection="1">
      <protection locked="0"/>
    </xf>
    <xf numFmtId="2" fontId="73" fillId="24" borderId="199" xfId="3" applyNumberFormat="1" applyFont="1" applyFill="1" applyBorder="1" applyAlignment="1" applyProtection="1">
      <protection locked="0"/>
    </xf>
    <xf numFmtId="2" fontId="73" fillId="24" borderId="199" xfId="0" applyNumberFormat="1" applyFont="1" applyFill="1" applyBorder="1" applyProtection="1">
      <protection locked="0"/>
    </xf>
    <xf numFmtId="171" fontId="62" fillId="23" borderId="199" xfId="1" applyNumberFormat="1" applyFont="1" applyFill="1" applyBorder="1" applyAlignment="1" applyProtection="1">
      <alignment horizontal="right"/>
      <protection locked="0"/>
    </xf>
    <xf numFmtId="0" fontId="62" fillId="0" borderId="200" xfId="0" applyFont="1" applyBorder="1" applyProtection="1">
      <protection locked="0"/>
    </xf>
    <xf numFmtId="0" fontId="73" fillId="0" borderId="202" xfId="0" applyFont="1" applyBorder="1" applyProtection="1">
      <protection locked="0"/>
    </xf>
    <xf numFmtId="0" fontId="62" fillId="0" borderId="202" xfId="0" applyFont="1" applyBorder="1" applyProtection="1">
      <protection locked="0"/>
    </xf>
    <xf numFmtId="168" fontId="64" fillId="23" borderId="207" xfId="1" applyNumberFormat="1" applyFont="1" applyFill="1" applyBorder="1" applyAlignment="1" applyProtection="1">
      <protection locked="0"/>
    </xf>
    <xf numFmtId="2" fontId="64" fillId="0" borderId="207" xfId="3" applyNumberFormat="1" applyFont="1" applyBorder="1" applyAlignment="1" applyProtection="1">
      <protection locked="0"/>
    </xf>
    <xf numFmtId="9" fontId="64" fillId="23" borderId="207" xfId="0" applyNumberFormat="1" applyFont="1" applyFill="1" applyBorder="1" applyProtection="1">
      <protection locked="0"/>
    </xf>
    <xf numFmtId="171" fontId="64" fillId="0" borderId="207" xfId="1" applyNumberFormat="1" applyFont="1" applyBorder="1" applyAlignment="1" applyProtection="1">
      <alignment horizontal="right"/>
      <protection locked="0"/>
    </xf>
    <xf numFmtId="171" fontId="62" fillId="0" borderId="207" xfId="1" applyNumberFormat="1" applyFont="1" applyBorder="1" applyAlignment="1" applyProtection="1">
      <alignment horizontal="right"/>
      <protection locked="0"/>
    </xf>
    <xf numFmtId="171" fontId="64" fillId="0" borderId="207" xfId="1" applyNumberFormat="1" applyFont="1" applyBorder="1" applyAlignment="1" applyProtection="1">
      <alignment horizontal="left"/>
      <protection locked="0"/>
    </xf>
    <xf numFmtId="0" fontId="73" fillId="0" borderId="280" xfId="0" applyFont="1" applyBorder="1" applyProtection="1">
      <protection locked="0"/>
    </xf>
    <xf numFmtId="168" fontId="62" fillId="23" borderId="199" xfId="1" applyNumberFormat="1" applyFont="1" applyFill="1" applyBorder="1" applyAlignment="1" applyProtection="1">
      <alignment horizontal="right"/>
      <protection locked="0"/>
    </xf>
    <xf numFmtId="171" fontId="64" fillId="0" borderId="149" xfId="1" applyNumberFormat="1" applyFont="1" applyBorder="1" applyAlignment="1">
      <alignment horizontal="center"/>
    </xf>
    <xf numFmtId="168" fontId="53" fillId="83" borderId="21" xfId="1" applyNumberFormat="1" applyFont="1" applyFill="1" applyBorder="1" applyAlignment="1" applyProtection="1">
      <alignment horizontal="center"/>
      <protection locked="0"/>
    </xf>
    <xf numFmtId="0" fontId="103" fillId="8" borderId="162" xfId="0" applyFont="1" applyFill="1" applyBorder="1" applyAlignment="1">
      <alignment horizontal="center" vertical="center"/>
    </xf>
    <xf numFmtId="2" fontId="48" fillId="0" borderId="41" xfId="7" applyNumberFormat="1" applyBorder="1" applyAlignment="1">
      <alignment vertical="center" shrinkToFit="1"/>
    </xf>
    <xf numFmtId="2" fontId="48" fillId="0" borderId="226" xfId="7" applyNumberFormat="1" applyBorder="1" applyAlignment="1">
      <alignment vertical="center" shrinkToFit="1"/>
    </xf>
    <xf numFmtId="2" fontId="48" fillId="0" borderId="40" xfId="7" applyNumberFormat="1" applyBorder="1" applyAlignment="1">
      <alignment vertical="center" shrinkToFit="1"/>
    </xf>
    <xf numFmtId="2" fontId="48" fillId="0" borderId="196" xfId="7" applyNumberFormat="1" applyBorder="1" applyAlignment="1">
      <alignment vertical="center" shrinkToFit="1"/>
    </xf>
    <xf numFmtId="2" fontId="48" fillId="0" borderId="191" xfId="7" applyNumberFormat="1" applyBorder="1" applyAlignment="1">
      <alignment vertical="center" shrinkToFit="1"/>
    </xf>
    <xf numFmtId="2" fontId="48" fillId="0" borderId="161" xfId="7" applyNumberFormat="1" applyBorder="1" applyAlignment="1">
      <alignment vertical="center" shrinkToFit="1"/>
    </xf>
    <xf numFmtId="2" fontId="48" fillId="0" borderId="190" xfId="7" applyNumberFormat="1" applyBorder="1" applyAlignment="1">
      <alignment vertical="center" shrinkToFit="1"/>
    </xf>
    <xf numFmtId="2" fontId="48" fillId="0" borderId="37" xfId="7" applyNumberFormat="1" applyBorder="1" applyAlignment="1">
      <alignment vertical="center" shrinkToFit="1"/>
    </xf>
    <xf numFmtId="2" fontId="48" fillId="0" borderId="150" xfId="7" applyNumberFormat="1" applyBorder="1" applyAlignment="1">
      <alignment vertical="center" shrinkToFit="1"/>
    </xf>
    <xf numFmtId="16" fontId="88" fillId="4" borderId="25" xfId="5" applyNumberFormat="1" applyFont="1" applyFill="1" applyBorder="1" applyAlignment="1">
      <alignment vertical="center"/>
    </xf>
    <xf numFmtId="16" fontId="63" fillId="0" borderId="39" xfId="0" applyNumberFormat="1" applyFont="1" applyBorder="1" applyAlignment="1">
      <alignment vertical="center"/>
    </xf>
    <xf numFmtId="0" fontId="150" fillId="0" borderId="150" xfId="8" applyFont="1" applyBorder="1" applyAlignment="1">
      <alignment horizontal="left"/>
    </xf>
    <xf numFmtId="0" fontId="150" fillId="0" borderId="42" xfId="8" applyFont="1" applyBorder="1" applyAlignment="1">
      <alignment horizontal="left"/>
    </xf>
    <xf numFmtId="0" fontId="150" fillId="0" borderId="141" xfId="8" applyFont="1" applyBorder="1" applyAlignment="1">
      <alignment horizontal="left"/>
    </xf>
    <xf numFmtId="0" fontId="150" fillId="0" borderId="170" xfId="8" applyFont="1" applyBorder="1" applyAlignment="1">
      <alignment horizontal="left"/>
    </xf>
    <xf numFmtId="2" fontId="168" fillId="0" borderId="39" xfId="8" applyNumberFormat="1" applyFont="1" applyBorder="1" applyAlignment="1">
      <alignment horizontal="center" vertical="center"/>
    </xf>
    <xf numFmtId="16" fontId="88" fillId="4" borderId="172" xfId="5" applyNumberFormat="1" applyFont="1" applyFill="1" applyBorder="1" applyAlignment="1">
      <alignment vertical="center"/>
    </xf>
    <xf numFmtId="2" fontId="48" fillId="0" borderId="42" xfId="7" applyNumberFormat="1" applyBorder="1" applyAlignment="1">
      <alignment vertical="center" shrinkToFit="1"/>
    </xf>
    <xf numFmtId="0" fontId="63" fillId="0" borderId="96" xfId="0" applyFont="1" applyBorder="1"/>
    <xf numFmtId="2" fontId="63" fillId="0" borderId="96" xfId="0" applyNumberFormat="1" applyFont="1" applyBorder="1" applyAlignment="1">
      <alignment horizontal="center"/>
    </xf>
    <xf numFmtId="2" fontId="48" fillId="0" borderId="179" xfId="553" applyNumberFormat="1" applyBorder="1" applyAlignment="1">
      <alignment vertical="center" shrinkToFit="1"/>
    </xf>
    <xf numFmtId="0" fontId="63" fillId="0" borderId="225" xfId="0" applyFont="1" applyBorder="1"/>
    <xf numFmtId="0" fontId="150" fillId="0" borderId="225" xfId="8" applyFont="1" applyBorder="1" applyAlignment="1">
      <alignment horizontal="left"/>
    </xf>
    <xf numFmtId="2" fontId="48" fillId="0" borderId="225" xfId="553" applyNumberFormat="1" applyBorder="1" applyAlignment="1">
      <alignment horizontal="center" shrinkToFit="1"/>
    </xf>
    <xf numFmtId="2" fontId="138" fillId="0" borderId="170" xfId="8" applyNumberFormat="1" applyFont="1" applyBorder="1" applyAlignment="1">
      <alignment horizontal="center" vertical="center"/>
    </xf>
    <xf numFmtId="189" fontId="76" fillId="0" borderId="42" xfId="1" applyNumberFormat="1" applyFont="1" applyBorder="1" applyAlignment="1">
      <alignment horizontal="center"/>
    </xf>
    <xf numFmtId="37" fontId="64" fillId="0" borderId="144" xfId="1" applyNumberFormat="1" applyFont="1" applyBorder="1" applyAlignment="1" applyProtection="1">
      <alignment horizontal="center"/>
    </xf>
    <xf numFmtId="37" fontId="64" fillId="0" borderId="141" xfId="1" applyNumberFormat="1" applyFont="1" applyBorder="1" applyAlignment="1" applyProtection="1">
      <alignment horizontal="center"/>
    </xf>
    <xf numFmtId="37" fontId="64" fillId="0" borderId="141" xfId="1" applyNumberFormat="1" applyFont="1" applyBorder="1" applyAlignment="1">
      <alignment horizontal="center"/>
    </xf>
    <xf numFmtId="37" fontId="64" fillId="0" borderId="142" xfId="1" applyNumberFormat="1" applyFont="1" applyBorder="1" applyAlignment="1" applyProtection="1">
      <alignment horizontal="center"/>
    </xf>
    <xf numFmtId="0" fontId="88" fillId="4" borderId="155" xfId="5" applyFont="1" applyFill="1" applyBorder="1" applyAlignment="1">
      <alignment vertical="center"/>
    </xf>
    <xf numFmtId="0" fontId="88" fillId="4" borderId="154" xfId="5" applyFont="1" applyFill="1" applyBorder="1" applyAlignment="1">
      <alignment vertical="center"/>
    </xf>
    <xf numFmtId="2" fontId="175" fillId="0" borderId="170" xfId="5" applyNumberFormat="1" applyFont="1" applyBorder="1" applyAlignment="1">
      <alignment vertical="center"/>
    </xf>
    <xf numFmtId="2" fontId="175" fillId="0" borderId="39" xfId="5" applyNumberFormat="1" applyFont="1" applyBorder="1" applyAlignment="1">
      <alignment vertical="center"/>
    </xf>
    <xf numFmtId="2" fontId="51" fillId="0" borderId="42" xfId="5" applyNumberFormat="1" applyFont="1" applyBorder="1" applyAlignment="1">
      <alignment vertical="center"/>
    </xf>
    <xf numFmtId="2" fontId="51" fillId="0" borderId="150" xfId="5" applyNumberFormat="1" applyFont="1" applyBorder="1" applyAlignment="1">
      <alignment vertical="center"/>
    </xf>
    <xf numFmtId="2" fontId="51" fillId="0" borderId="170" xfId="5" applyNumberFormat="1" applyFont="1" applyBorder="1" applyAlignment="1">
      <alignment vertical="center"/>
    </xf>
    <xf numFmtId="0" fontId="51" fillId="0" borderId="40" xfId="5" applyFont="1" applyBorder="1" applyAlignment="1">
      <alignment vertical="center"/>
    </xf>
    <xf numFmtId="0" fontId="51" fillId="0" borderId="39" xfId="5" applyFont="1" applyBorder="1" applyAlignment="1">
      <alignment vertical="center"/>
    </xf>
    <xf numFmtId="2" fontId="48" fillId="0" borderId="245" xfId="7" applyNumberFormat="1" applyBorder="1" applyAlignment="1">
      <alignment vertical="center" shrinkToFit="1"/>
    </xf>
    <xf numFmtId="2" fontId="48" fillId="0" borderId="237" xfId="7" applyNumberFormat="1" applyBorder="1" applyAlignment="1">
      <alignment vertical="center" shrinkToFit="1"/>
    </xf>
    <xf numFmtId="2" fontId="48" fillId="0" borderId="55" xfId="7" applyNumberFormat="1" applyBorder="1" applyAlignment="1">
      <alignment vertical="center" shrinkToFit="1"/>
    </xf>
    <xf numFmtId="16" fontId="88" fillId="4" borderId="41" xfId="5" applyNumberFormat="1" applyFont="1" applyFill="1" applyBorder="1" applyAlignment="1">
      <alignment vertical="center"/>
    </xf>
    <xf numFmtId="0" fontId="88" fillId="4" borderId="41" xfId="5" applyFont="1" applyFill="1" applyBorder="1" applyAlignment="1">
      <alignment horizontal="center" vertical="center"/>
    </xf>
    <xf numFmtId="0" fontId="88" fillId="4" borderId="41" xfId="5" applyFont="1" applyFill="1" applyBorder="1" applyAlignment="1" applyProtection="1">
      <alignment horizontal="center"/>
      <protection locked="0"/>
    </xf>
    <xf numFmtId="2" fontId="173" fillId="0" borderId="41" xfId="8" applyNumberFormat="1" applyFont="1" applyBorder="1" applyAlignment="1">
      <alignment horizontal="center" wrapText="1"/>
    </xf>
    <xf numFmtId="2" fontId="168" fillId="0" borderId="41" xfId="8" applyNumberFormat="1" applyFont="1" applyBorder="1" applyAlignment="1">
      <alignment horizontal="center"/>
    </xf>
    <xf numFmtId="0" fontId="51" fillId="0" borderId="41" xfId="5" applyFont="1" applyBorder="1" applyProtection="1">
      <protection locked="0"/>
    </xf>
    <xf numFmtId="16" fontId="88" fillId="4" borderId="58" xfId="5" applyNumberFormat="1" applyFont="1" applyFill="1" applyBorder="1" applyAlignment="1">
      <alignment vertical="center"/>
    </xf>
    <xf numFmtId="172" fontId="51" fillId="0" borderId="21" xfId="5" applyNumberFormat="1" applyFont="1" applyBorder="1" applyAlignment="1">
      <alignment vertical="center"/>
    </xf>
    <xf numFmtId="2" fontId="168" fillId="0" borderId="20" xfId="8" applyNumberFormat="1" applyFont="1" applyBorder="1" applyAlignment="1">
      <alignment horizontal="center"/>
    </xf>
    <xf numFmtId="2" fontId="174" fillId="0" borderId="41" xfId="8" applyNumberFormat="1" applyFont="1" applyBorder="1" applyAlignment="1">
      <alignment horizontal="center"/>
    </xf>
    <xf numFmtId="2" fontId="174" fillId="0" borderId="41" xfId="8" applyNumberFormat="1" applyFont="1" applyBorder="1" applyAlignment="1">
      <alignment horizontal="center" wrapText="1"/>
    </xf>
    <xf numFmtId="0" fontId="51" fillId="0" borderId="178" xfId="5" applyFont="1" applyBorder="1"/>
    <xf numFmtId="0" fontId="51" fillId="0" borderId="207" xfId="5" applyFont="1" applyBorder="1"/>
    <xf numFmtId="2" fontId="173" fillId="0" borderId="207" xfId="8" applyNumberFormat="1" applyFont="1" applyBorder="1" applyAlignment="1">
      <alignment horizontal="center" wrapText="1"/>
    </xf>
    <xf numFmtId="2" fontId="168" fillId="0" borderId="182" xfId="8" applyNumberFormat="1" applyFont="1" applyBorder="1" applyAlignment="1">
      <alignment horizontal="center"/>
    </xf>
    <xf numFmtId="0" fontId="51" fillId="0" borderId="184" xfId="5" applyFont="1" applyBorder="1"/>
    <xf numFmtId="0" fontId="51" fillId="0" borderId="191" xfId="5" applyFont="1" applyBorder="1"/>
    <xf numFmtId="2" fontId="173" fillId="0" borderId="191" xfId="8" applyNumberFormat="1" applyFont="1" applyBorder="1" applyAlignment="1">
      <alignment horizontal="center" wrapText="1"/>
    </xf>
    <xf numFmtId="0" fontId="51" fillId="4" borderId="150" xfId="5" applyFont="1" applyFill="1" applyBorder="1" applyAlignment="1">
      <alignment vertical="center"/>
    </xf>
    <xf numFmtId="0" fontId="51" fillId="4" borderId="150" xfId="5" applyFont="1" applyFill="1" applyBorder="1" applyAlignment="1">
      <alignment horizontal="center"/>
    </xf>
    <xf numFmtId="0" fontId="51" fillId="4" borderId="150" xfId="5" applyFont="1" applyFill="1" applyBorder="1"/>
    <xf numFmtId="0" fontId="51" fillId="4" borderId="150" xfId="5" applyFont="1" applyFill="1" applyBorder="1" applyAlignment="1">
      <alignment horizontal="right"/>
    </xf>
    <xf numFmtId="166" fontId="51" fillId="4" borderId="150" xfId="5" applyNumberFormat="1" applyFont="1" applyFill="1" applyBorder="1" applyAlignment="1">
      <alignment horizontal="center"/>
    </xf>
    <xf numFmtId="0" fontId="1" fillId="4" borderId="0" xfId="5" applyFont="1" applyFill="1"/>
    <xf numFmtId="0" fontId="1" fillId="0" borderId="0" xfId="5" applyFont="1"/>
    <xf numFmtId="2" fontId="1" fillId="0" borderId="0" xfId="5" applyNumberFormat="1" applyFont="1"/>
    <xf numFmtId="2" fontId="1" fillId="0" borderId="150" xfId="5" applyNumberFormat="1" applyFont="1" applyBorder="1"/>
    <xf numFmtId="0" fontId="1" fillId="0" borderId="0" xfId="0" applyFont="1"/>
    <xf numFmtId="43" fontId="1" fillId="0" borderId="86" xfId="1" applyFont="1" applyFill="1" applyBorder="1" applyAlignment="1">
      <alignment horizontal="left"/>
    </xf>
    <xf numFmtId="168" fontId="1" fillId="0" borderId="86" xfId="1" applyNumberFormat="1" applyFont="1" applyFill="1" applyBorder="1"/>
    <xf numFmtId="43" fontId="1" fillId="0" borderId="86" xfId="1" applyFont="1" applyFill="1" applyBorder="1"/>
    <xf numFmtId="168" fontId="1" fillId="0" borderId="86" xfId="119" applyNumberFormat="1" applyFont="1" applyFill="1" applyBorder="1" applyAlignment="1">
      <alignment vertical="center"/>
    </xf>
    <xf numFmtId="43" fontId="1" fillId="0" borderId="86" xfId="119" applyFont="1" applyFill="1" applyBorder="1" applyAlignment="1">
      <alignment vertical="center"/>
    </xf>
    <xf numFmtId="43" fontId="1" fillId="17" borderId="86" xfId="1" applyFont="1" applyFill="1" applyBorder="1"/>
    <xf numFmtId="43" fontId="1" fillId="0" borderId="86" xfId="1" applyFont="1" applyBorder="1" applyAlignment="1">
      <alignment horizontal="left" vertical="center"/>
    </xf>
    <xf numFmtId="168" fontId="1" fillId="0" borderId="86" xfId="1" applyNumberFormat="1" applyFont="1" applyBorder="1"/>
    <xf numFmtId="43" fontId="1" fillId="0" borderId="86" xfId="1" applyFont="1" applyBorder="1"/>
    <xf numFmtId="168" fontId="1" fillId="0" borderId="86" xfId="1" applyNumberFormat="1" applyFont="1" applyBorder="1" applyAlignment="1">
      <alignment horizontal="left" vertical="center"/>
    </xf>
    <xf numFmtId="43" fontId="1" fillId="18" borderId="86" xfId="1" applyFont="1" applyFill="1" applyBorder="1" applyAlignment="1">
      <alignment horizontal="left" vertical="center"/>
    </xf>
    <xf numFmtId="168" fontId="1" fillId="18" borderId="86" xfId="1" applyNumberFormat="1" applyFont="1" applyFill="1" applyBorder="1"/>
    <xf numFmtId="43" fontId="1" fillId="18" borderId="86" xfId="1" applyFont="1" applyFill="1" applyBorder="1"/>
    <xf numFmtId="168" fontId="1" fillId="18" borderId="86" xfId="1" applyNumberFormat="1" applyFont="1" applyFill="1" applyBorder="1" applyAlignment="1">
      <alignment horizontal="left" vertical="center"/>
    </xf>
    <xf numFmtId="43" fontId="1" fillId="4" borderId="86" xfId="1" applyFont="1" applyFill="1" applyBorder="1" applyAlignment="1">
      <alignment horizontal="left" vertical="center"/>
    </xf>
    <xf numFmtId="168" fontId="1" fillId="4" borderId="86" xfId="1" applyNumberFormat="1" applyFont="1" applyFill="1" applyBorder="1"/>
    <xf numFmtId="43" fontId="1" fillId="4" borderId="86" xfId="1" applyFont="1" applyFill="1" applyBorder="1"/>
    <xf numFmtId="168" fontId="1" fillId="4" borderId="86" xfId="1" applyNumberFormat="1" applyFont="1" applyFill="1" applyBorder="1" applyAlignment="1">
      <alignment horizontal="left" vertical="center"/>
    </xf>
    <xf numFmtId="0" fontId="93" fillId="0" borderId="0" xfId="4" applyFont="1" applyAlignment="1">
      <alignment horizontal="center"/>
    </xf>
    <xf numFmtId="0" fontId="62" fillId="0" borderId="1" xfId="4" applyFont="1" applyBorder="1" applyAlignment="1">
      <alignment horizontal="center"/>
    </xf>
    <xf numFmtId="0" fontId="62" fillId="0" borderId="2" xfId="4" applyFont="1" applyBorder="1" applyAlignment="1">
      <alignment horizontal="center"/>
    </xf>
    <xf numFmtId="0" fontId="78" fillId="0" borderId="22" xfId="4" applyFont="1" applyBorder="1" applyAlignment="1">
      <alignment horizontal="center"/>
    </xf>
    <xf numFmtId="0" fontId="78" fillId="0" borderId="24" xfId="4" applyFont="1" applyBorder="1" applyAlignment="1">
      <alignment horizontal="center"/>
    </xf>
    <xf numFmtId="0" fontId="85" fillId="0" borderId="22" xfId="4" applyFont="1" applyBorder="1" applyAlignment="1">
      <alignment horizontal="center"/>
    </xf>
    <xf numFmtId="0" fontId="85" fillId="0" borderId="24" xfId="4" applyFont="1" applyBorder="1" applyAlignment="1">
      <alignment horizontal="center"/>
    </xf>
    <xf numFmtId="0" fontId="84" fillId="0" borderId="8" xfId="4" applyFont="1" applyBorder="1" applyAlignment="1">
      <alignment horizontal="center"/>
    </xf>
    <xf numFmtId="0" fontId="84" fillId="0" borderId="14" xfId="4" applyFont="1" applyBorder="1" applyAlignment="1">
      <alignment horizontal="center"/>
    </xf>
    <xf numFmtId="43" fontId="64" fillId="0" borderId="30" xfId="1" applyFont="1" applyBorder="1" applyAlignment="1" applyProtection="1">
      <alignment horizontal="center" vertical="center"/>
    </xf>
    <xf numFmtId="43" fontId="64" fillId="0" borderId="43" xfId="1" applyFont="1" applyBorder="1" applyAlignment="1" applyProtection="1">
      <alignment horizontal="center" vertical="center"/>
    </xf>
    <xf numFmtId="169" fontId="64" fillId="0" borderId="83" xfId="0" applyNumberFormat="1" applyFont="1" applyBorder="1" applyAlignment="1">
      <alignment horizontal="center" vertical="center"/>
    </xf>
    <xf numFmtId="169" fontId="64" fillId="0" borderId="84" xfId="0" applyNumberFormat="1" applyFont="1" applyBorder="1" applyAlignment="1">
      <alignment horizontal="center" vertical="center"/>
    </xf>
    <xf numFmtId="169" fontId="64" fillId="0" borderId="81" xfId="0" applyNumberFormat="1" applyFont="1" applyBorder="1" applyAlignment="1">
      <alignment horizontal="center" vertical="center"/>
    </xf>
    <xf numFmtId="43" fontId="64" fillId="0" borderId="30" xfId="1" applyFont="1" applyBorder="1" applyAlignment="1" applyProtection="1">
      <alignment horizontal="left" vertical="center"/>
    </xf>
    <xf numFmtId="43" fontId="64" fillId="0" borderId="43" xfId="1" applyFont="1" applyBorder="1" applyAlignment="1" applyProtection="1">
      <alignment horizontal="left" vertical="center"/>
    </xf>
    <xf numFmtId="0" fontId="74" fillId="12" borderId="3" xfId="4" applyFont="1" applyFill="1" applyBorder="1" applyAlignment="1">
      <alignment horizontal="center"/>
    </xf>
    <xf numFmtId="0" fontId="74" fillId="12" borderId="13" xfId="4" applyFont="1" applyFill="1" applyBorder="1" applyAlignment="1">
      <alignment horizontal="center"/>
    </xf>
    <xf numFmtId="0" fontId="62" fillId="28" borderId="83" xfId="0" applyFont="1" applyFill="1" applyBorder="1" applyAlignment="1">
      <alignment horizontal="center" vertical="center"/>
    </xf>
    <xf numFmtId="0" fontId="62" fillId="28" borderId="81" xfId="0" applyFont="1" applyFill="1" applyBorder="1" applyAlignment="1">
      <alignment horizontal="center" vertical="center"/>
    </xf>
    <xf numFmtId="0" fontId="62" fillId="27" borderId="8" xfId="0" applyFont="1" applyFill="1" applyBorder="1" applyAlignment="1">
      <alignment horizontal="center" vertical="center"/>
    </xf>
    <xf numFmtId="0" fontId="62" fillId="27" borderId="14" xfId="0" applyFont="1" applyFill="1" applyBorder="1" applyAlignment="1">
      <alignment horizontal="center" vertical="center"/>
    </xf>
    <xf numFmtId="43" fontId="64" fillId="19" borderId="30" xfId="1" applyFont="1" applyFill="1" applyBorder="1" applyAlignment="1" applyProtection="1">
      <alignment horizontal="center" vertical="center"/>
    </xf>
    <xf numFmtId="43" fontId="64" fillId="19" borderId="85" xfId="1" applyFont="1" applyFill="1" applyBorder="1" applyAlignment="1" applyProtection="1">
      <alignment horizontal="center" vertical="center"/>
    </xf>
    <xf numFmtId="43" fontId="64" fillId="19" borderId="43" xfId="1" applyFont="1" applyFill="1" applyBorder="1" applyAlignment="1" applyProtection="1">
      <alignment horizontal="center" vertical="center"/>
    </xf>
    <xf numFmtId="43" fontId="64" fillId="0" borderId="94" xfId="1" applyFont="1" applyBorder="1" applyAlignment="1" applyProtection="1">
      <alignment horizontal="left" vertical="center"/>
    </xf>
    <xf numFmtId="43" fontId="64" fillId="0" borderId="30" xfId="1" applyFont="1" applyFill="1" applyBorder="1" applyAlignment="1" applyProtection="1">
      <alignment horizontal="center" vertical="center"/>
    </xf>
    <xf numFmtId="43" fontId="64" fillId="0" borderId="85" xfId="1" applyFont="1" applyFill="1" applyBorder="1" applyAlignment="1" applyProtection="1">
      <alignment horizontal="center" vertical="center"/>
    </xf>
    <xf numFmtId="43" fontId="64" fillId="0" borderId="43" xfId="1" applyFont="1" applyFill="1" applyBorder="1" applyAlignment="1" applyProtection="1">
      <alignment horizontal="center" vertical="center"/>
    </xf>
    <xf numFmtId="0" fontId="64" fillId="0" borderId="30" xfId="0" applyFont="1" applyBorder="1" applyAlignment="1">
      <alignment horizontal="center" vertical="center"/>
    </xf>
    <xf numFmtId="0" fontId="64" fillId="0" borderId="37" xfId="0" applyFont="1" applyBorder="1" applyAlignment="1">
      <alignment horizontal="center" vertical="center"/>
    </xf>
    <xf numFmtId="0" fontId="64" fillId="0" borderId="32" xfId="0" applyFont="1" applyBorder="1" applyAlignment="1">
      <alignment horizontal="center" vertical="center"/>
    </xf>
    <xf numFmtId="0" fontId="101" fillId="10" borderId="3" xfId="8" applyFont="1" applyFill="1" applyBorder="1" applyAlignment="1">
      <alignment horizontal="center" vertical="top" wrapText="1"/>
    </xf>
    <xf numFmtId="0" fontId="101" fillId="10" borderId="4" xfId="8" applyFont="1" applyFill="1" applyBorder="1" applyAlignment="1">
      <alignment horizontal="center" vertical="top" wrapText="1"/>
    </xf>
    <xf numFmtId="0" fontId="101" fillId="10" borderId="13" xfId="8" applyFont="1" applyFill="1" applyBorder="1" applyAlignment="1">
      <alignment horizontal="center" vertical="top" wrapText="1"/>
    </xf>
    <xf numFmtId="43" fontId="64" fillId="0" borderId="26" xfId="1" applyFont="1" applyBorder="1" applyAlignment="1" applyProtection="1">
      <alignment horizontal="left" vertical="center" wrapText="1"/>
      <protection locked="0"/>
    </xf>
    <xf numFmtId="43" fontId="64" fillId="0" borderId="31" xfId="1" applyFont="1" applyBorder="1" applyAlignment="1" applyProtection="1">
      <alignment horizontal="left" vertical="center" wrapText="1"/>
      <protection locked="0"/>
    </xf>
    <xf numFmtId="43" fontId="64" fillId="0" borderId="36" xfId="1" applyFont="1" applyBorder="1" applyAlignment="1" applyProtection="1">
      <alignment horizontal="left" vertical="center" wrapText="1"/>
      <protection locked="0"/>
    </xf>
    <xf numFmtId="0" fontId="64" fillId="0" borderId="26" xfId="1" applyNumberFormat="1" applyFont="1" applyFill="1" applyBorder="1" applyAlignment="1" applyProtection="1">
      <alignment horizontal="center" vertical="center"/>
      <protection locked="0"/>
    </xf>
    <xf numFmtId="0" fontId="64" fillId="0" borderId="31" xfId="1" applyNumberFormat="1" applyFont="1" applyFill="1" applyBorder="1" applyAlignment="1" applyProtection="1">
      <alignment horizontal="center" vertical="center"/>
      <protection locked="0"/>
    </xf>
    <xf numFmtId="0" fontId="64" fillId="0" borderId="36" xfId="1" applyNumberFormat="1" applyFont="1" applyFill="1" applyBorder="1" applyAlignment="1" applyProtection="1">
      <alignment horizontal="center" vertical="center"/>
      <protection locked="0"/>
    </xf>
    <xf numFmtId="0" fontId="64" fillId="0" borderId="26" xfId="1" applyNumberFormat="1" applyFont="1" applyBorder="1" applyAlignment="1" applyProtection="1">
      <alignment horizontal="center" vertical="center"/>
      <protection locked="0"/>
    </xf>
    <xf numFmtId="0" fontId="64" fillId="0" borderId="31" xfId="1" applyNumberFormat="1" applyFont="1" applyBorder="1" applyAlignment="1" applyProtection="1">
      <alignment horizontal="center" vertical="center"/>
      <protection locked="0"/>
    </xf>
    <xf numFmtId="0" fontId="64" fillId="0" borderId="36" xfId="1" applyNumberFormat="1" applyFont="1" applyBorder="1" applyAlignment="1" applyProtection="1">
      <alignment horizontal="center" vertical="center"/>
      <protection locked="0"/>
    </xf>
    <xf numFmtId="43" fontId="64" fillId="0" borderId="1" xfId="1" applyFont="1" applyBorder="1" applyAlignment="1" applyProtection="1">
      <alignment horizontal="left" vertical="center" wrapText="1"/>
      <protection locked="0"/>
    </xf>
    <xf numFmtId="43" fontId="64" fillId="0" borderId="22" xfId="1" applyFont="1" applyBorder="1" applyAlignment="1" applyProtection="1">
      <alignment horizontal="left" vertical="center" wrapText="1"/>
      <protection locked="0"/>
    </xf>
    <xf numFmtId="43" fontId="64" fillId="0" borderId="8" xfId="1" applyFont="1" applyBorder="1" applyAlignment="1" applyProtection="1">
      <alignment horizontal="left" vertical="center" wrapText="1"/>
      <protection locked="0"/>
    </xf>
    <xf numFmtId="43" fontId="64" fillId="0" borderId="3" xfId="1" applyFont="1" applyBorder="1" applyAlignment="1" applyProtection="1">
      <alignment horizontal="left" vertical="center"/>
    </xf>
    <xf numFmtId="43" fontId="64" fillId="0" borderId="15" xfId="1" applyFont="1" applyBorder="1" applyAlignment="1" applyProtection="1">
      <alignment horizontal="left" vertical="center"/>
    </xf>
    <xf numFmtId="43" fontId="64" fillId="0" borderId="26" xfId="1" applyFont="1" applyBorder="1" applyAlignment="1" applyProtection="1">
      <alignment horizontal="left" vertical="center"/>
    </xf>
    <xf numFmtId="43" fontId="64" fillId="0" borderId="36" xfId="1" applyFont="1" applyBorder="1" applyAlignment="1" applyProtection="1">
      <alignment horizontal="left" vertical="center"/>
    </xf>
    <xf numFmtId="0" fontId="159" fillId="0" borderId="0" xfId="8" applyFont="1" applyAlignment="1" applyProtection="1">
      <alignment horizontal="center" vertical="center" wrapText="1"/>
      <protection locked="0"/>
    </xf>
    <xf numFmtId="0" fontId="74" fillId="12" borderId="28" xfId="4" applyFont="1" applyFill="1" applyBorder="1" applyAlignment="1">
      <alignment horizontal="center"/>
    </xf>
    <xf numFmtId="0" fontId="64" fillId="28" borderId="83" xfId="0" applyFont="1" applyFill="1" applyBorder="1" applyAlignment="1">
      <alignment horizontal="center" vertical="center"/>
    </xf>
    <xf numFmtId="0" fontId="64" fillId="28" borderId="25" xfId="0" applyFont="1" applyFill="1" applyBorder="1" applyAlignment="1">
      <alignment horizontal="center" vertical="center"/>
    </xf>
    <xf numFmtId="0" fontId="73" fillId="0" borderId="2" xfId="0" applyFont="1" applyBorder="1" applyAlignment="1" applyProtection="1">
      <alignment horizontal="center" vertical="center" wrapText="1"/>
      <protection locked="0"/>
    </xf>
    <xf numFmtId="0" fontId="73" fillId="0" borderId="2" xfId="0" applyFont="1" applyBorder="1" applyAlignment="1" applyProtection="1">
      <alignment horizontal="left" vertical="center" wrapText="1"/>
      <protection locked="0"/>
    </xf>
    <xf numFmtId="0" fontId="64" fillId="27" borderId="145" xfId="0" applyFont="1" applyFill="1" applyBorder="1" applyAlignment="1">
      <alignment horizontal="center" vertical="center"/>
    </xf>
    <xf numFmtId="0" fontId="64" fillId="27" borderId="143" xfId="0" applyFont="1" applyFill="1" applyBorder="1" applyAlignment="1">
      <alignment horizontal="center" vertical="center"/>
    </xf>
    <xf numFmtId="0" fontId="64" fillId="0" borderId="1" xfId="0" applyFont="1" applyBorder="1" applyAlignment="1" applyProtection="1">
      <alignment horizontal="left" vertical="center"/>
      <protection locked="0"/>
    </xf>
    <xf numFmtId="0" fontId="64" fillId="0" borderId="22" xfId="0" applyFont="1" applyBorder="1" applyAlignment="1" applyProtection="1">
      <alignment horizontal="left" vertical="center"/>
      <protection locked="0"/>
    </xf>
    <xf numFmtId="0" fontId="64" fillId="0" borderId="31" xfId="0" applyFont="1" applyBorder="1" applyAlignment="1" applyProtection="1">
      <alignment horizontal="left" vertical="center"/>
      <protection locked="0"/>
    </xf>
    <xf numFmtId="0" fontId="64" fillId="0" borderId="8" xfId="0" applyFont="1" applyBorder="1" applyAlignment="1" applyProtection="1">
      <alignment horizontal="left" vertical="center"/>
      <protection locked="0"/>
    </xf>
    <xf numFmtId="0" fontId="73" fillId="33" borderId="2" xfId="0" applyFont="1" applyFill="1" applyBorder="1" applyAlignment="1">
      <alignment horizontal="left" vertical="center"/>
    </xf>
    <xf numFmtId="0" fontId="73" fillId="33" borderId="14" xfId="0" applyFont="1" applyFill="1" applyBorder="1" applyAlignment="1">
      <alignment horizontal="left" vertical="center"/>
    </xf>
    <xf numFmtId="0" fontId="73" fillId="0" borderId="31" xfId="0" applyFont="1" applyBorder="1" applyAlignment="1" applyProtection="1">
      <alignment horizontal="left" vertical="center"/>
      <protection locked="0"/>
    </xf>
    <xf numFmtId="0" fontId="73" fillId="0" borderId="36" xfId="0" applyFont="1" applyBorder="1" applyAlignment="1" applyProtection="1">
      <alignment horizontal="left" vertical="center"/>
      <protection locked="0"/>
    </xf>
    <xf numFmtId="0" fontId="73" fillId="0" borderId="26" xfId="0" applyFont="1" applyBorder="1" applyAlignment="1" applyProtection="1">
      <alignment horizontal="left" vertical="center"/>
      <protection locked="0"/>
    </xf>
    <xf numFmtId="168" fontId="67" fillId="0" borderId="1" xfId="1" applyNumberFormat="1" applyFont="1" applyBorder="1" applyAlignment="1">
      <alignment horizontal="left" vertical="center" wrapText="1"/>
    </xf>
    <xf numFmtId="168" fontId="67" fillId="0" borderId="2" xfId="1" applyNumberFormat="1" applyFont="1" applyBorder="1" applyAlignment="1">
      <alignment horizontal="left" vertical="center" wrapText="1"/>
    </xf>
    <xf numFmtId="168" fontId="67" fillId="0" borderId="22" xfId="1" applyNumberFormat="1" applyFont="1" applyBorder="1" applyAlignment="1">
      <alignment horizontal="left" vertical="center" wrapText="1"/>
    </xf>
    <xf numFmtId="168" fontId="67" fillId="0" borderId="24" xfId="1" applyNumberFormat="1" applyFont="1" applyBorder="1" applyAlignment="1">
      <alignment horizontal="left" vertical="center" wrapText="1"/>
    </xf>
    <xf numFmtId="168" fontId="67" fillId="0" borderId="8" xfId="1" applyNumberFormat="1" applyFont="1" applyBorder="1" applyAlignment="1">
      <alignment horizontal="left" vertical="center" wrapText="1"/>
    </xf>
    <xf numFmtId="168" fontId="67" fillId="0" borderId="14" xfId="1" applyNumberFormat="1" applyFont="1" applyBorder="1" applyAlignment="1">
      <alignment horizontal="left" vertical="center" wrapText="1"/>
    </xf>
    <xf numFmtId="168" fontId="64" fillId="23" borderId="83" xfId="1" applyNumberFormat="1" applyFont="1" applyFill="1" applyBorder="1" applyAlignment="1" applyProtection="1">
      <protection locked="0"/>
    </xf>
    <xf numFmtId="168" fontId="64" fillId="23" borderId="81" xfId="1" applyNumberFormat="1" applyFont="1" applyFill="1" applyBorder="1" applyAlignment="1" applyProtection="1">
      <protection locked="0"/>
    </xf>
    <xf numFmtId="168" fontId="64" fillId="23" borderId="153" xfId="1" applyNumberFormat="1" applyFont="1" applyFill="1" applyBorder="1" applyAlignment="1" applyProtection="1">
      <protection locked="0"/>
    </xf>
    <xf numFmtId="168" fontId="64" fillId="23" borderId="147" xfId="1" applyNumberFormat="1" applyFont="1" applyFill="1" applyBorder="1" applyAlignment="1" applyProtection="1">
      <protection locked="0"/>
    </xf>
    <xf numFmtId="168" fontId="64" fillId="23" borderId="145" xfId="1" applyNumberFormat="1" applyFont="1" applyFill="1" applyBorder="1" applyAlignment="1" applyProtection="1">
      <protection locked="0"/>
    </xf>
    <xf numFmtId="168" fontId="64" fillId="23" borderId="148" xfId="1" applyNumberFormat="1" applyFont="1" applyFill="1" applyBorder="1" applyAlignment="1" applyProtection="1">
      <protection locked="0"/>
    </xf>
    <xf numFmtId="168" fontId="67" fillId="0" borderId="7" xfId="1" applyNumberFormat="1" applyFont="1" applyBorder="1" applyAlignment="1">
      <alignment horizontal="left" vertical="center" wrapText="1"/>
    </xf>
    <xf numFmtId="168" fontId="67" fillId="0" borderId="0" xfId="1" applyNumberFormat="1" applyFont="1" applyBorder="1" applyAlignment="1">
      <alignment horizontal="left" vertical="center" wrapText="1"/>
    </xf>
    <xf numFmtId="168" fontId="67" fillId="0" borderId="9" xfId="1" applyNumberFormat="1" applyFont="1" applyBorder="1" applyAlignment="1">
      <alignment horizontal="left" vertical="center" wrapText="1"/>
    </xf>
    <xf numFmtId="0" fontId="64" fillId="28" borderId="81" xfId="0" applyFont="1" applyFill="1" applyBorder="1" applyAlignment="1">
      <alignment horizontal="center" vertical="center"/>
    </xf>
    <xf numFmtId="0" fontId="64" fillId="27" borderId="148" xfId="0" applyFont="1" applyFill="1" applyBorder="1" applyAlignment="1">
      <alignment horizontal="center" vertical="center"/>
    </xf>
    <xf numFmtId="16" fontId="73" fillId="0" borderId="1" xfId="0" applyNumberFormat="1" applyFont="1" applyBorder="1" applyAlignment="1">
      <alignment vertical="center"/>
    </xf>
    <xf numFmtId="16" fontId="73" fillId="0" borderId="2" xfId="0" applyNumberFormat="1" applyFont="1" applyBorder="1" applyAlignment="1">
      <alignment vertical="center"/>
    </xf>
    <xf numFmtId="168" fontId="64" fillId="23" borderId="1" xfId="1" applyNumberFormat="1" applyFont="1" applyFill="1" applyBorder="1" applyAlignment="1" applyProtection="1">
      <protection locked="0"/>
    </xf>
    <xf numFmtId="168" fontId="64" fillId="23" borderId="2" xfId="1" applyNumberFormat="1" applyFont="1" applyFill="1" applyBorder="1" applyAlignment="1" applyProtection="1">
      <protection locked="0"/>
    </xf>
    <xf numFmtId="168" fontId="64" fillId="23" borderId="173" xfId="1" applyNumberFormat="1" applyFont="1" applyFill="1" applyBorder="1" applyAlignment="1" applyProtection="1">
      <protection locked="0"/>
    </xf>
    <xf numFmtId="168" fontId="64" fillId="23" borderId="175" xfId="1" applyNumberFormat="1" applyFont="1" applyFill="1" applyBorder="1" applyAlignment="1" applyProtection="1">
      <protection locked="0"/>
    </xf>
    <xf numFmtId="168" fontId="62" fillId="0" borderId="146" xfId="1" applyNumberFormat="1" applyFont="1" applyBorder="1" applyAlignment="1" applyProtection="1">
      <alignment horizontal="center"/>
      <protection locked="0"/>
    </xf>
    <xf numFmtId="168" fontId="62" fillId="0" borderId="157" xfId="1" applyNumberFormat="1" applyFont="1" applyBorder="1" applyAlignment="1" applyProtection="1">
      <alignment horizontal="center"/>
      <protection locked="0"/>
    </xf>
    <xf numFmtId="168" fontId="62" fillId="0" borderId="148" xfId="1" applyNumberFormat="1" applyFont="1" applyBorder="1" applyAlignment="1" applyProtection="1">
      <alignment horizontal="center"/>
      <protection locked="0"/>
    </xf>
    <xf numFmtId="168" fontId="62" fillId="0" borderId="146" xfId="1" applyNumberFormat="1" applyFont="1" applyBorder="1" applyAlignment="1" applyProtection="1">
      <alignment horizontal="center" wrapText="1"/>
      <protection locked="0"/>
    </xf>
    <xf numFmtId="168" fontId="62" fillId="0" borderId="156" xfId="1" applyNumberFormat="1" applyFont="1" applyBorder="1" applyAlignment="1" applyProtection="1">
      <alignment horizontal="center" wrapText="1"/>
      <protection locked="0"/>
    </xf>
    <xf numFmtId="168" fontId="62" fillId="0" borderId="146" xfId="1" applyNumberFormat="1" applyFont="1" applyFill="1" applyBorder="1" applyAlignment="1" applyProtection="1">
      <alignment horizontal="center" wrapText="1"/>
      <protection locked="0"/>
    </xf>
    <xf numFmtId="168" fontId="62" fillId="0" borderId="156" xfId="1" applyNumberFormat="1" applyFont="1" applyFill="1" applyBorder="1" applyAlignment="1" applyProtection="1">
      <alignment horizontal="center" wrapText="1"/>
      <protection locked="0"/>
    </xf>
    <xf numFmtId="168" fontId="62" fillId="0" borderId="156" xfId="1" applyNumberFormat="1" applyFont="1" applyBorder="1" applyAlignment="1" applyProtection="1">
      <alignment horizontal="center"/>
      <protection locked="0"/>
    </xf>
    <xf numFmtId="168" fontId="62" fillId="0" borderId="146" xfId="1" applyNumberFormat="1" applyFont="1" applyFill="1" applyBorder="1" applyAlignment="1" applyProtection="1">
      <alignment horizontal="center"/>
      <protection locked="0"/>
    </xf>
    <xf numFmtId="168" fontId="62" fillId="0" borderId="156" xfId="1" applyNumberFormat="1" applyFont="1" applyFill="1" applyBorder="1" applyAlignment="1" applyProtection="1">
      <alignment horizontal="center"/>
      <protection locked="0"/>
    </xf>
    <xf numFmtId="168" fontId="67" fillId="0" borderId="1" xfId="1" applyNumberFormat="1" applyFont="1" applyBorder="1" applyAlignment="1" applyProtection="1">
      <alignment horizontal="left" vertical="center" wrapText="1"/>
      <protection locked="0"/>
    </xf>
    <xf numFmtId="168" fontId="67" fillId="0" borderId="2" xfId="1" applyNumberFormat="1" applyFont="1" applyBorder="1" applyAlignment="1" applyProtection="1">
      <alignment horizontal="left" vertical="center" wrapText="1"/>
      <protection locked="0"/>
    </xf>
    <xf numFmtId="168" fontId="67" fillId="0" borderId="22" xfId="1" applyNumberFormat="1" applyFont="1" applyBorder="1" applyAlignment="1" applyProtection="1">
      <alignment horizontal="left" vertical="center" wrapText="1"/>
      <protection locked="0"/>
    </xf>
    <xf numFmtId="168" fontId="67" fillId="0" borderId="24" xfId="1" applyNumberFormat="1" applyFont="1" applyBorder="1" applyAlignment="1" applyProtection="1">
      <alignment horizontal="left" vertical="center" wrapText="1"/>
      <protection locked="0"/>
    </xf>
    <xf numFmtId="168" fontId="67" fillId="0" borderId="8" xfId="1" applyNumberFormat="1" applyFont="1" applyBorder="1" applyAlignment="1" applyProtection="1">
      <alignment horizontal="left" vertical="center" wrapText="1"/>
      <protection locked="0"/>
    </xf>
    <xf numFmtId="168" fontId="67" fillId="0" borderId="14" xfId="1" applyNumberFormat="1" applyFont="1" applyBorder="1" applyAlignment="1" applyProtection="1">
      <alignment horizontal="left" vertical="center" wrapText="1"/>
      <protection locked="0"/>
    </xf>
    <xf numFmtId="168" fontId="67" fillId="0" borderId="0" xfId="1" applyNumberFormat="1" applyFont="1" applyAlignment="1">
      <alignment horizontal="left" vertical="center" wrapText="1"/>
    </xf>
    <xf numFmtId="0" fontId="64" fillId="31" borderId="4" xfId="1" applyNumberFormat="1" applyFont="1" applyFill="1" applyBorder="1" applyAlignment="1" applyProtection="1">
      <alignment vertical="center"/>
      <protection locked="0"/>
    </xf>
    <xf numFmtId="0" fontId="64" fillId="31" borderId="13" xfId="1" applyNumberFormat="1" applyFont="1" applyFill="1" applyBorder="1" applyAlignment="1" applyProtection="1">
      <alignment vertical="center"/>
      <protection locked="0"/>
    </xf>
    <xf numFmtId="168" fontId="67" fillId="0" borderId="7" xfId="1" applyNumberFormat="1" applyFont="1" applyBorder="1" applyAlignment="1" applyProtection="1">
      <alignment horizontal="left" vertical="center" wrapText="1"/>
      <protection locked="0"/>
    </xf>
    <xf numFmtId="168" fontId="67" fillId="0" borderId="0" xfId="1" applyNumberFormat="1" applyFont="1" applyBorder="1" applyAlignment="1" applyProtection="1">
      <alignment horizontal="left" vertical="center" wrapText="1"/>
      <protection locked="0"/>
    </xf>
    <xf numFmtId="168" fontId="67" fillId="0" borderId="9" xfId="1" applyNumberFormat="1" applyFont="1" applyBorder="1" applyAlignment="1" applyProtection="1">
      <alignment horizontal="left" vertical="center" wrapText="1"/>
      <protection locked="0"/>
    </xf>
    <xf numFmtId="0" fontId="62" fillId="0" borderId="26" xfId="4" applyFont="1" applyBorder="1" applyAlignment="1">
      <alignment horizontal="center"/>
    </xf>
    <xf numFmtId="0" fontId="78" fillId="0" borderId="31" xfId="4" applyFont="1" applyBorder="1" applyAlignment="1">
      <alignment horizontal="center"/>
    </xf>
    <xf numFmtId="0" fontId="85" fillId="0" borderId="31" xfId="4" applyFont="1" applyBorder="1" applyAlignment="1">
      <alignment horizontal="center"/>
    </xf>
    <xf numFmtId="0" fontId="84" fillId="0" borderId="36" xfId="4" applyFont="1" applyBorder="1" applyAlignment="1">
      <alignment horizontal="center"/>
    </xf>
    <xf numFmtId="0" fontId="67" fillId="0" borderId="26" xfId="0" applyFont="1" applyBorder="1" applyAlignment="1">
      <alignment horizontal="center" vertical="center"/>
    </xf>
    <xf numFmtId="0" fontId="67" fillId="0" borderId="31" xfId="0" applyFont="1" applyBorder="1" applyAlignment="1">
      <alignment horizontal="center" vertical="center"/>
    </xf>
    <xf numFmtId="0" fontId="67" fillId="0" borderId="36" xfId="0" applyFont="1" applyBorder="1" applyAlignment="1">
      <alignment horizontal="center" vertical="center"/>
    </xf>
    <xf numFmtId="0" fontId="67" fillId="12" borderId="3" xfId="0" applyFont="1" applyFill="1" applyBorder="1" applyAlignment="1">
      <alignment horizontal="center" vertical="center"/>
    </xf>
    <xf numFmtId="0" fontId="67" fillId="12" borderId="28" xfId="0" applyFont="1" applyFill="1" applyBorder="1" applyAlignment="1">
      <alignment horizontal="center" vertical="center"/>
    </xf>
    <xf numFmtId="0" fontId="67" fillId="12" borderId="3" xfId="0" applyFont="1" applyFill="1" applyBorder="1" applyAlignment="1">
      <alignment horizontal="left" vertical="center"/>
    </xf>
    <xf numFmtId="0" fontId="74" fillId="12" borderId="4" xfId="4" applyFont="1" applyFill="1" applyBorder="1" applyAlignment="1">
      <alignment horizontal="center"/>
    </xf>
    <xf numFmtId="0" fontId="64" fillId="0" borderId="1" xfId="4" applyFont="1" applyBorder="1" applyAlignment="1">
      <alignment horizontal="center"/>
    </xf>
    <xf numFmtId="0" fontId="64" fillId="0" borderId="7" xfId="4" applyFont="1" applyBorder="1" applyAlignment="1">
      <alignment horizontal="center"/>
    </xf>
    <xf numFmtId="0" fontId="64" fillId="0" borderId="2" xfId="4" applyFont="1" applyBorder="1" applyAlignment="1">
      <alignment horizontal="center"/>
    </xf>
    <xf numFmtId="0" fontId="79" fillId="0" borderId="22" xfId="4" applyFont="1" applyBorder="1" applyAlignment="1">
      <alignment horizontal="center"/>
    </xf>
    <xf numFmtId="0" fontId="79" fillId="0" borderId="0" xfId="4" applyFont="1" applyAlignment="1">
      <alignment horizontal="center"/>
    </xf>
    <xf numFmtId="0" fontId="79" fillId="0" borderId="24" xfId="4" applyFont="1" applyBorder="1" applyAlignment="1">
      <alignment horizontal="center"/>
    </xf>
    <xf numFmtId="0" fontId="64" fillId="0" borderId="189" xfId="1" applyNumberFormat="1" applyFont="1" applyFill="1" applyBorder="1" applyAlignment="1" applyProtection="1">
      <alignment horizontal="center" vertical="center"/>
      <protection locked="0"/>
    </xf>
    <xf numFmtId="0" fontId="64" fillId="0" borderId="193" xfId="1" applyNumberFormat="1" applyFont="1" applyFill="1" applyBorder="1" applyAlignment="1" applyProtection="1">
      <alignment horizontal="center" vertical="center"/>
      <protection locked="0"/>
    </xf>
    <xf numFmtId="0" fontId="64" fillId="0" borderId="194" xfId="1" applyNumberFormat="1" applyFont="1" applyFill="1" applyBorder="1" applyAlignment="1" applyProtection="1">
      <alignment horizontal="center" vertical="center"/>
      <protection locked="0"/>
    </xf>
    <xf numFmtId="0" fontId="73" fillId="0" borderId="24" xfId="0" applyFont="1" applyBorder="1" applyAlignment="1" applyProtection="1">
      <alignment horizontal="left" vertical="center" wrapText="1"/>
      <protection locked="0"/>
    </xf>
    <xf numFmtId="0" fontId="73" fillId="0" borderId="14" xfId="0" applyFont="1" applyBorder="1" applyAlignment="1" applyProtection="1">
      <alignment horizontal="left" vertical="center" wrapText="1"/>
      <protection locked="0"/>
    </xf>
    <xf numFmtId="0" fontId="73" fillId="0" borderId="26" xfId="0" applyFont="1" applyBorder="1" applyAlignment="1" applyProtection="1">
      <alignment horizontal="left" vertical="center" wrapText="1"/>
      <protection locked="0"/>
    </xf>
    <xf numFmtId="0" fontId="73" fillId="0" borderId="31" xfId="0" applyFont="1" applyBorder="1" applyAlignment="1" applyProtection="1">
      <alignment horizontal="left" vertical="center" wrapText="1"/>
      <protection locked="0"/>
    </xf>
    <xf numFmtId="0" fontId="73" fillId="0" borderId="36" xfId="0" applyFont="1" applyBorder="1" applyAlignment="1" applyProtection="1">
      <alignment horizontal="left" vertical="center" wrapText="1"/>
      <protection locked="0"/>
    </xf>
    <xf numFmtId="0" fontId="91" fillId="0" borderId="22" xfId="4" applyFont="1" applyBorder="1" applyAlignment="1">
      <alignment horizontal="center"/>
    </xf>
    <xf numFmtId="0" fontId="91" fillId="0" borderId="0" xfId="4" applyFont="1" applyAlignment="1">
      <alignment horizontal="center"/>
    </xf>
    <xf numFmtId="0" fontId="91" fillId="0" borderId="24" xfId="4" applyFont="1" applyBorder="1" applyAlignment="1">
      <alignment horizontal="center"/>
    </xf>
    <xf numFmtId="0" fontId="90" fillId="0" borderId="8" xfId="4" applyFont="1" applyBorder="1" applyAlignment="1">
      <alignment horizontal="center"/>
    </xf>
    <xf numFmtId="0" fontId="90" fillId="0" borderId="9" xfId="4" applyFont="1" applyBorder="1" applyAlignment="1">
      <alignment horizontal="center"/>
    </xf>
    <xf numFmtId="0" fontId="90" fillId="0" borderId="14" xfId="4" applyFont="1" applyBorder="1" applyAlignment="1">
      <alignment horizontal="center"/>
    </xf>
    <xf numFmtId="16" fontId="73" fillId="0" borderId="29" xfId="0" applyNumberFormat="1" applyFont="1" applyBorder="1" applyAlignment="1">
      <alignment horizontal="center" vertical="center"/>
    </xf>
    <xf numFmtId="0" fontId="73" fillId="24" borderId="172" xfId="0" applyFont="1" applyFill="1" applyBorder="1" applyAlignment="1" applyProtection="1">
      <alignment horizontal="left" vertical="center"/>
      <protection locked="0"/>
    </xf>
    <xf numFmtId="0" fontId="73" fillId="24" borderId="143" xfId="0" applyFont="1" applyFill="1" applyBorder="1" applyAlignment="1" applyProtection="1">
      <alignment horizontal="left" vertical="center"/>
      <protection locked="0"/>
    </xf>
    <xf numFmtId="0" fontId="73" fillId="24" borderId="2" xfId="0" applyFont="1" applyFill="1" applyBorder="1" applyAlignment="1" applyProtection="1">
      <alignment horizontal="left" vertical="center"/>
      <protection locked="0"/>
    </xf>
    <xf numFmtId="0" fontId="73" fillId="24" borderId="175" xfId="0" applyFont="1" applyFill="1" applyBorder="1" applyAlignment="1" applyProtection="1">
      <alignment horizontal="left" vertical="center"/>
      <protection locked="0"/>
    </xf>
    <xf numFmtId="0" fontId="73" fillId="24" borderId="148" xfId="0" applyFont="1" applyFill="1" applyBorder="1" applyAlignment="1" applyProtection="1">
      <alignment horizontal="left" vertical="center"/>
      <protection locked="0"/>
    </xf>
    <xf numFmtId="0" fontId="64" fillId="0" borderId="97" xfId="1" applyNumberFormat="1" applyFont="1" applyFill="1" applyBorder="1" applyAlignment="1" applyProtection="1">
      <alignment horizontal="center" vertical="center"/>
      <protection locked="0"/>
    </xf>
    <xf numFmtId="0" fontId="64" fillId="0" borderId="28" xfId="1" applyNumberFormat="1" applyFont="1" applyFill="1" applyBorder="1" applyAlignment="1" applyProtection="1">
      <alignment horizontal="center" vertical="center"/>
      <protection locked="0"/>
    </xf>
    <xf numFmtId="0" fontId="64" fillId="0" borderId="195" xfId="1" applyNumberFormat="1" applyFont="1" applyFill="1" applyBorder="1" applyAlignment="1" applyProtection="1">
      <alignment horizontal="center" vertical="center"/>
      <protection locked="0"/>
    </xf>
    <xf numFmtId="0" fontId="64" fillId="0" borderId="97" xfId="1" applyNumberFormat="1" applyFont="1" applyBorder="1" applyAlignment="1" applyProtection="1">
      <alignment horizontal="center" vertical="center"/>
      <protection locked="0"/>
    </xf>
    <xf numFmtId="0" fontId="64" fillId="0" borderId="193" xfId="1" applyNumberFormat="1" applyFont="1" applyBorder="1" applyAlignment="1" applyProtection="1">
      <alignment horizontal="center" vertical="center"/>
      <protection locked="0"/>
    </xf>
    <xf numFmtId="0" fontId="73" fillId="24" borderId="31" xfId="0" applyFont="1" applyFill="1" applyBorder="1" applyAlignment="1" applyProtection="1">
      <alignment horizontal="left" vertical="center"/>
      <protection locked="0"/>
    </xf>
    <xf numFmtId="0" fontId="73" fillId="24" borderId="26" xfId="0" applyFont="1" applyFill="1" applyBorder="1" applyAlignment="1" applyProtection="1">
      <alignment horizontal="left" vertical="center"/>
      <protection locked="0"/>
    </xf>
    <xf numFmtId="0" fontId="73" fillId="0" borderId="2" xfId="0" applyFont="1" applyBorder="1" applyAlignment="1" applyProtection="1">
      <alignment horizontal="center" vertical="center"/>
      <protection locked="0"/>
    </xf>
    <xf numFmtId="0" fontId="73" fillId="0" borderId="24" xfId="0" applyFont="1" applyBorder="1" applyAlignment="1" applyProtection="1">
      <alignment horizontal="center" vertical="center"/>
      <protection locked="0"/>
    </xf>
    <xf numFmtId="0" fontId="73" fillId="0" borderId="14" xfId="0" applyFont="1" applyBorder="1" applyAlignment="1" applyProtection="1">
      <alignment horizontal="center" vertical="center"/>
      <protection locked="0"/>
    </xf>
    <xf numFmtId="0" fontId="73" fillId="0" borderId="26" xfId="0" applyFont="1" applyBorder="1" applyAlignment="1" applyProtection="1">
      <alignment horizontal="center" vertical="center"/>
      <protection locked="0"/>
    </xf>
    <xf numFmtId="0" fontId="73" fillId="0" borderId="31" xfId="0" applyFont="1" applyBorder="1" applyAlignment="1" applyProtection="1">
      <alignment horizontal="center" vertical="center"/>
      <protection locked="0"/>
    </xf>
    <xf numFmtId="0" fontId="73" fillId="0" borderId="36" xfId="0" applyFont="1" applyBorder="1" applyAlignment="1" applyProtection="1">
      <alignment horizontal="center" vertical="center"/>
      <protection locked="0"/>
    </xf>
    <xf numFmtId="0" fontId="73" fillId="24" borderId="24" xfId="0" applyFont="1" applyFill="1" applyBorder="1" applyAlignment="1" applyProtection="1">
      <alignment horizontal="left" vertical="center"/>
      <protection locked="0"/>
    </xf>
    <xf numFmtId="1" fontId="73" fillId="0" borderId="26" xfId="0" applyNumberFormat="1" applyFont="1" applyBorder="1" applyAlignment="1" applyProtection="1">
      <alignment horizontal="center" vertical="center" wrapText="1"/>
      <protection locked="0"/>
    </xf>
    <xf numFmtId="1" fontId="73" fillId="0" borderId="31" xfId="0" applyNumberFormat="1" applyFont="1" applyBorder="1" applyAlignment="1" applyProtection="1">
      <alignment horizontal="center" vertical="center" wrapText="1"/>
      <protection locked="0"/>
    </xf>
    <xf numFmtId="1" fontId="73" fillId="0" borderId="36" xfId="0" applyNumberFormat="1" applyFont="1" applyBorder="1" applyAlignment="1" applyProtection="1">
      <alignment horizontal="center" vertical="center" wrapText="1"/>
      <protection locked="0"/>
    </xf>
    <xf numFmtId="0" fontId="67" fillId="0" borderId="26" xfId="0" applyFont="1" applyBorder="1" applyAlignment="1" applyProtection="1">
      <alignment horizontal="left" vertical="center" wrapText="1"/>
      <protection locked="0"/>
    </xf>
    <xf numFmtId="0" fontId="67" fillId="0" borderId="31" xfId="0" applyFont="1" applyBorder="1" applyAlignment="1" applyProtection="1">
      <alignment horizontal="left" vertical="center" wrapText="1"/>
      <protection locked="0"/>
    </xf>
    <xf numFmtId="0" fontId="67" fillId="0" borderId="36" xfId="0" applyFont="1" applyBorder="1" applyAlignment="1" applyProtection="1">
      <alignment horizontal="left" vertical="center" wrapText="1"/>
      <protection locked="0"/>
    </xf>
    <xf numFmtId="0" fontId="73" fillId="24" borderId="58" xfId="0" applyFont="1" applyFill="1" applyBorder="1" applyAlignment="1" applyProtection="1">
      <alignment horizontal="left" vertical="center"/>
      <protection locked="0"/>
    </xf>
    <xf numFmtId="0" fontId="73" fillId="24" borderId="36" xfId="0" applyFont="1" applyFill="1" applyBorder="1" applyAlignment="1" applyProtection="1">
      <alignment horizontal="left" vertical="center"/>
      <protection locked="0"/>
    </xf>
    <xf numFmtId="0" fontId="64" fillId="0" borderId="22" xfId="4" applyFont="1" applyBorder="1" applyAlignment="1">
      <alignment horizontal="center"/>
    </xf>
    <xf numFmtId="0" fontId="64" fillId="0" borderId="0" xfId="4" applyFont="1" applyAlignment="1">
      <alignment horizontal="center"/>
    </xf>
    <xf numFmtId="0" fontId="64" fillId="0" borderId="24" xfId="4" applyFont="1" applyBorder="1" applyAlignment="1">
      <alignment horizontal="center"/>
    </xf>
    <xf numFmtId="1" fontId="67" fillId="0" borderId="26" xfId="0" applyNumberFormat="1" applyFont="1" applyBorder="1" applyAlignment="1" applyProtection="1">
      <alignment horizontal="left" vertical="center" wrapText="1"/>
      <protection locked="0"/>
    </xf>
    <xf numFmtId="0" fontId="64" fillId="2" borderId="26" xfId="1" applyNumberFormat="1" applyFont="1" applyFill="1" applyBorder="1" applyAlignment="1" applyProtection="1">
      <alignment horizontal="center" vertical="center"/>
      <protection locked="0"/>
    </xf>
    <xf numFmtId="0" fontId="64" fillId="2" borderId="31" xfId="1" applyNumberFormat="1" applyFont="1" applyFill="1" applyBorder="1" applyAlignment="1" applyProtection="1">
      <alignment horizontal="center" vertical="center"/>
      <protection locked="0"/>
    </xf>
    <xf numFmtId="0" fontId="64" fillId="2" borderId="36" xfId="1" applyNumberFormat="1" applyFont="1" applyFill="1" applyBorder="1" applyAlignment="1" applyProtection="1">
      <alignment horizontal="center" vertical="center"/>
      <protection locked="0"/>
    </xf>
    <xf numFmtId="0" fontId="67" fillId="2" borderId="26" xfId="0" applyFont="1" applyFill="1" applyBorder="1" applyAlignment="1" applyProtection="1">
      <alignment horizontal="left" vertical="center" wrapText="1"/>
      <protection locked="0"/>
    </xf>
    <xf numFmtId="0" fontId="67" fillId="2" borderId="31" xfId="0" applyFont="1" applyFill="1" applyBorder="1" applyAlignment="1" applyProtection="1">
      <alignment horizontal="left" vertical="center" wrapText="1"/>
      <protection locked="0"/>
    </xf>
    <xf numFmtId="0" fontId="67" fillId="2" borderId="36" xfId="0" applyFont="1" applyFill="1" applyBorder="1" applyAlignment="1" applyProtection="1">
      <alignment horizontal="left" vertical="center" wrapText="1"/>
      <protection locked="0"/>
    </xf>
    <xf numFmtId="0" fontId="73" fillId="24" borderId="172" xfId="0" applyFont="1" applyFill="1" applyBorder="1" applyAlignment="1" applyProtection="1">
      <alignment horizontal="left" vertical="center" wrapText="1"/>
      <protection locked="0"/>
    </xf>
    <xf numFmtId="0" fontId="73" fillId="24" borderId="31" xfId="0" applyFont="1" applyFill="1" applyBorder="1" applyAlignment="1" applyProtection="1">
      <alignment horizontal="left" vertical="center" wrapText="1"/>
      <protection locked="0"/>
    </xf>
    <xf numFmtId="0" fontId="73" fillId="24" borderId="58" xfId="0" applyFont="1" applyFill="1" applyBorder="1" applyAlignment="1" applyProtection="1">
      <alignment horizontal="left" vertical="center" wrapText="1"/>
      <protection locked="0"/>
    </xf>
    <xf numFmtId="0" fontId="73" fillId="24" borderId="26" xfId="0" applyFont="1" applyFill="1" applyBorder="1" applyAlignment="1" applyProtection="1">
      <alignment horizontal="left" vertical="center" wrapText="1"/>
      <protection locked="0"/>
    </xf>
    <xf numFmtId="0" fontId="67" fillId="0" borderId="3" xfId="0" applyFont="1" applyBorder="1" applyAlignment="1" applyProtection="1">
      <alignment horizontal="left" vertical="center"/>
      <protection locked="0"/>
    </xf>
    <xf numFmtId="0" fontId="67" fillId="0" borderId="13" xfId="0" applyFont="1" applyBorder="1" applyAlignment="1" applyProtection="1">
      <alignment horizontal="left" vertical="center"/>
      <protection locked="0"/>
    </xf>
    <xf numFmtId="0" fontId="73" fillId="24" borderId="36" xfId="0" applyFont="1" applyFill="1" applyBorder="1" applyAlignment="1" applyProtection="1">
      <alignment horizontal="left" vertical="center" wrapText="1"/>
      <protection locked="0"/>
    </xf>
    <xf numFmtId="0" fontId="67" fillId="0" borderId="26" xfId="0" applyFont="1" applyBorder="1" applyAlignment="1" applyProtection="1">
      <alignment horizontal="center" vertical="center" wrapText="1"/>
      <protection locked="0"/>
    </xf>
    <xf numFmtId="0" fontId="67" fillId="0" borderId="31" xfId="0" applyFont="1" applyBorder="1" applyAlignment="1" applyProtection="1">
      <alignment horizontal="center" vertical="center" wrapText="1"/>
      <protection locked="0"/>
    </xf>
    <xf numFmtId="0" fontId="67" fillId="0" borderId="36" xfId="0" applyFont="1" applyBorder="1" applyAlignment="1" applyProtection="1">
      <alignment horizontal="center" vertical="center" wrapText="1"/>
      <protection locked="0"/>
    </xf>
    <xf numFmtId="0" fontId="64" fillId="0" borderId="277" xfId="0" applyFont="1" applyBorder="1" applyAlignment="1">
      <alignment vertical="center" wrapText="1"/>
    </xf>
    <xf numFmtId="0" fontId="64" fillId="0" borderId="168" xfId="0" applyFont="1" applyBorder="1" applyAlignment="1">
      <alignment vertical="center" wrapText="1"/>
    </xf>
    <xf numFmtId="0" fontId="73" fillId="0" borderId="277" xfId="0" applyFont="1" applyBorder="1" applyAlignment="1" applyProtection="1">
      <alignment vertical="center" wrapText="1"/>
      <protection locked="0"/>
    </xf>
    <xf numFmtId="0" fontId="73" fillId="0" borderId="168" xfId="0" applyFont="1" applyBorder="1" applyAlignment="1" applyProtection="1">
      <alignment vertical="center" wrapText="1"/>
      <protection locked="0"/>
    </xf>
    <xf numFmtId="0" fontId="73" fillId="0" borderId="41" xfId="0" applyFont="1" applyBorder="1" applyAlignment="1" applyProtection="1">
      <alignment vertical="center" wrapText="1"/>
      <protection locked="0"/>
    </xf>
    <xf numFmtId="0" fontId="73" fillId="0" borderId="207" xfId="0" applyFont="1" applyBorder="1" applyAlignment="1" applyProtection="1">
      <alignment vertical="center" wrapText="1"/>
      <protection locked="0"/>
    </xf>
    <xf numFmtId="0" fontId="73" fillId="0" borderId="199" xfId="0" applyFont="1" applyBorder="1" applyAlignment="1" applyProtection="1">
      <alignment horizontal="left" vertical="center" wrapText="1"/>
      <protection locked="0"/>
    </xf>
    <xf numFmtId="0" fontId="73" fillId="0" borderId="41" xfId="0" applyFont="1" applyBorder="1" applyAlignment="1" applyProtection="1">
      <alignment horizontal="left" vertical="center" wrapText="1"/>
      <protection locked="0"/>
    </xf>
    <xf numFmtId="0" fontId="64" fillId="0" borderId="107" xfId="0" applyFont="1" applyBorder="1" applyAlignment="1">
      <alignment horizontal="center" vertical="center"/>
    </xf>
    <xf numFmtId="0" fontId="64" fillId="0" borderId="276" xfId="0" applyFont="1" applyBorder="1" applyAlignment="1">
      <alignment horizontal="center" vertical="center"/>
    </xf>
    <xf numFmtId="0" fontId="64" fillId="0" borderId="275" xfId="0" applyFont="1" applyBorder="1" applyAlignment="1">
      <alignment horizontal="center" vertical="center"/>
    </xf>
    <xf numFmtId="0" fontId="64" fillId="0" borderId="107" xfId="0" applyFont="1" applyBorder="1" applyAlignment="1">
      <alignment horizontal="left" vertical="center"/>
    </xf>
    <xf numFmtId="0" fontId="64" fillId="0" borderId="276" xfId="0" applyFont="1" applyBorder="1" applyAlignment="1">
      <alignment horizontal="left" vertical="center"/>
    </xf>
    <xf numFmtId="0" fontId="73" fillId="0" borderId="261" xfId="0" applyFont="1" applyBorder="1" applyAlignment="1" applyProtection="1">
      <alignment vertical="center" wrapText="1"/>
      <protection locked="0"/>
    </xf>
    <xf numFmtId="0" fontId="73" fillId="0" borderId="260" xfId="0" applyFont="1" applyBorder="1" applyAlignment="1" applyProtection="1">
      <alignment vertical="center" wrapText="1"/>
      <protection locked="0"/>
    </xf>
    <xf numFmtId="0" fontId="73" fillId="0" borderId="124" xfId="0" applyFont="1" applyBorder="1" applyAlignment="1" applyProtection="1">
      <alignment vertical="center" wrapText="1"/>
      <protection locked="0"/>
    </xf>
    <xf numFmtId="0" fontId="73" fillId="0" borderId="265" xfId="0" applyFont="1" applyBorder="1" applyAlignment="1" applyProtection="1">
      <alignment vertical="center" wrapText="1"/>
      <protection locked="0"/>
    </xf>
    <xf numFmtId="0" fontId="73" fillId="0" borderId="199" xfId="0" applyFont="1" applyBorder="1" applyAlignment="1" applyProtection="1">
      <alignment vertical="center" wrapText="1"/>
      <protection locked="0"/>
    </xf>
    <xf numFmtId="0" fontId="73" fillId="0" borderId="196" xfId="0" applyFont="1" applyBorder="1" applyAlignment="1" applyProtection="1">
      <alignment vertical="center" wrapText="1"/>
      <protection locked="0"/>
    </xf>
    <xf numFmtId="166" fontId="73" fillId="16" borderId="30" xfId="0" applyNumberFormat="1" applyFont="1" applyFill="1" applyBorder="1" applyAlignment="1">
      <alignment horizontal="left" vertical="center" wrapText="1"/>
    </xf>
    <xf numFmtId="166" fontId="73" fillId="16" borderId="2" xfId="0" applyNumberFormat="1" applyFont="1" applyFill="1" applyBorder="1" applyAlignment="1">
      <alignment horizontal="center" vertical="center"/>
    </xf>
    <xf numFmtId="166" fontId="73" fillId="16" borderId="3" xfId="0" applyNumberFormat="1" applyFont="1" applyFill="1" applyBorder="1" applyAlignment="1">
      <alignment horizontal="left"/>
    </xf>
    <xf numFmtId="166" fontId="73" fillId="16" borderId="1" xfId="0" applyNumberFormat="1" applyFont="1" applyFill="1" applyBorder="1" applyAlignment="1">
      <alignment horizontal="left"/>
    </xf>
    <xf numFmtId="0" fontId="73" fillId="0" borderId="1" xfId="0" applyFont="1" applyBorder="1" applyAlignment="1" applyProtection="1">
      <alignment vertical="center" wrapText="1"/>
      <protection locked="0"/>
    </xf>
    <xf numFmtId="0" fontId="64" fillId="0" borderId="7" xfId="0" applyFont="1" applyBorder="1" applyAlignment="1" applyProtection="1">
      <alignment horizontal="left" vertical="center"/>
      <protection locked="0"/>
    </xf>
    <xf numFmtId="0" fontId="67" fillId="0" borderId="26" xfId="0" applyFont="1" applyBorder="1" applyAlignment="1" applyProtection="1">
      <alignment horizontal="center" vertical="center"/>
      <protection locked="0"/>
    </xf>
    <xf numFmtId="0" fontId="67" fillId="0" borderId="31" xfId="0" applyFont="1" applyBorder="1" applyAlignment="1" applyProtection="1">
      <alignment horizontal="center" vertical="center"/>
      <protection locked="0"/>
    </xf>
    <xf numFmtId="0" fontId="67" fillId="0" borderId="36" xfId="0" applyFont="1" applyBorder="1" applyAlignment="1" applyProtection="1">
      <alignment horizontal="center" vertical="center"/>
      <protection locked="0"/>
    </xf>
    <xf numFmtId="2" fontId="48" fillId="0" borderId="170" xfId="7" applyNumberFormat="1" applyBorder="1" applyAlignment="1">
      <alignment horizontal="center" vertical="center" shrinkToFit="1"/>
    </xf>
    <xf numFmtId="2" fontId="48" fillId="0" borderId="190" xfId="7" applyNumberFormat="1" applyBorder="1" applyAlignment="1">
      <alignment horizontal="center" vertical="center" shrinkToFit="1"/>
    </xf>
    <xf numFmtId="2" fontId="48" fillId="0" borderId="39" xfId="7" applyNumberFormat="1" applyBorder="1" applyAlignment="1">
      <alignment horizontal="center" vertical="center" shrinkToFit="1"/>
    </xf>
    <xf numFmtId="2" fontId="48" fillId="0" borderId="40" xfId="7" applyNumberFormat="1" applyBorder="1" applyAlignment="1">
      <alignment horizontal="center" vertical="center" shrinkToFit="1"/>
    </xf>
    <xf numFmtId="2" fontId="48" fillId="0" borderId="55" xfId="7" applyNumberFormat="1" applyBorder="1" applyAlignment="1">
      <alignment horizontal="center" vertical="center" shrinkToFit="1"/>
    </xf>
    <xf numFmtId="0" fontId="88" fillId="4" borderId="150" xfId="5" applyFont="1" applyFill="1" applyBorder="1" applyAlignment="1">
      <alignment horizontal="center"/>
    </xf>
    <xf numFmtId="0" fontId="88" fillId="4" borderId="155" xfId="5" applyFont="1" applyFill="1" applyBorder="1" applyAlignment="1">
      <alignment horizontal="center"/>
    </xf>
    <xf numFmtId="0" fontId="88" fillId="4" borderId="154" xfId="5" applyFont="1" applyFill="1" applyBorder="1" applyAlignment="1">
      <alignment horizontal="center"/>
    </xf>
    <xf numFmtId="2" fontId="48" fillId="0" borderId="250" xfId="7" applyNumberFormat="1" applyBorder="1" applyAlignment="1">
      <alignment horizontal="center" vertical="center" shrinkToFit="1"/>
    </xf>
    <xf numFmtId="2" fontId="48" fillId="0" borderId="161" xfId="7" applyNumberFormat="1" applyBorder="1" applyAlignment="1">
      <alignment horizontal="center" vertical="center" shrinkToFit="1"/>
    </xf>
    <xf numFmtId="2" fontId="48" fillId="0" borderId="191" xfId="7" applyNumberFormat="1" applyBorder="1" applyAlignment="1">
      <alignment horizontal="center" vertical="center" shrinkToFit="1"/>
    </xf>
    <xf numFmtId="2" fontId="48" fillId="0" borderId="215" xfId="7" applyNumberFormat="1" applyBorder="1" applyAlignment="1">
      <alignment horizontal="center" vertical="center" shrinkToFit="1"/>
    </xf>
    <xf numFmtId="2" fontId="48" fillId="0" borderId="252" xfId="7" applyNumberFormat="1" applyBorder="1" applyAlignment="1">
      <alignment horizontal="center" vertical="center" shrinkToFit="1"/>
    </xf>
    <xf numFmtId="2" fontId="48" fillId="0" borderId="150" xfId="7" applyNumberFormat="1" applyBorder="1" applyAlignment="1">
      <alignment horizontal="center" vertical="center" shrinkToFit="1"/>
    </xf>
    <xf numFmtId="2" fontId="48" fillId="0" borderId="37" xfId="7" applyNumberFormat="1" applyBorder="1" applyAlignment="1">
      <alignment horizontal="center" vertical="center" shrinkToFit="1"/>
    </xf>
    <xf numFmtId="2" fontId="88" fillId="4" borderId="170" xfId="5" applyNumberFormat="1" applyFont="1" applyFill="1" applyBorder="1" applyAlignment="1">
      <alignment horizontal="center" vertical="center"/>
    </xf>
    <xf numFmtId="2" fontId="88" fillId="4" borderId="39" xfId="5" applyNumberFormat="1" applyFont="1" applyFill="1" applyBorder="1" applyAlignment="1">
      <alignment horizontal="center" vertical="center"/>
    </xf>
    <xf numFmtId="2" fontId="48" fillId="0" borderId="42" xfId="7" applyNumberFormat="1" applyBorder="1" applyAlignment="1">
      <alignment horizontal="center" vertical="center" shrinkToFit="1"/>
    </xf>
    <xf numFmtId="2" fontId="88" fillId="4" borderId="40" xfId="5" applyNumberFormat="1" applyFont="1" applyFill="1" applyBorder="1" applyAlignment="1">
      <alignment horizontal="center" vertical="center"/>
    </xf>
    <xf numFmtId="2" fontId="48" fillId="0" borderId="248" xfId="7" applyNumberFormat="1" applyBorder="1" applyAlignment="1">
      <alignment horizontal="center" vertical="center" shrinkToFit="1"/>
    </xf>
    <xf numFmtId="2" fontId="88" fillId="4" borderId="55" xfId="5" applyNumberFormat="1" applyFont="1" applyFill="1" applyBorder="1" applyAlignment="1">
      <alignment horizontal="center" vertical="center"/>
    </xf>
    <xf numFmtId="2" fontId="88" fillId="4" borderId="37" xfId="5" applyNumberFormat="1" applyFont="1" applyFill="1" applyBorder="1" applyAlignment="1">
      <alignment horizontal="center" vertical="center"/>
    </xf>
    <xf numFmtId="2" fontId="178" fillId="4" borderId="170" xfId="5" applyNumberFormat="1" applyFont="1" applyFill="1" applyBorder="1" applyAlignment="1">
      <alignment horizontal="center" vertical="center"/>
    </xf>
    <xf numFmtId="2" fontId="178" fillId="4" borderId="40" xfId="5" applyNumberFormat="1" applyFont="1" applyFill="1" applyBorder="1" applyAlignment="1">
      <alignment horizontal="center" vertical="center"/>
    </xf>
    <xf numFmtId="2" fontId="178" fillId="4" borderId="39" xfId="5" applyNumberFormat="1" applyFont="1" applyFill="1" applyBorder="1" applyAlignment="1">
      <alignment horizontal="center" vertical="center"/>
    </xf>
    <xf numFmtId="2" fontId="88" fillId="4" borderId="190" xfId="5" applyNumberFormat="1" applyFont="1" applyFill="1" applyBorder="1" applyAlignment="1">
      <alignment horizontal="center" vertical="center"/>
    </xf>
    <xf numFmtId="172" fontId="51" fillId="0" borderId="5" xfId="5" applyNumberFormat="1" applyFont="1" applyBorder="1" applyAlignment="1">
      <alignment horizontal="center" vertical="center"/>
    </xf>
    <xf numFmtId="172" fontId="51" fillId="0" borderId="149" xfId="5" applyNumberFormat="1" applyFont="1" applyBorder="1" applyAlignment="1">
      <alignment horizontal="center" vertical="center"/>
    </xf>
    <xf numFmtId="172" fontId="51" fillId="0" borderId="169" xfId="5" applyNumberFormat="1" applyFont="1" applyBorder="1" applyAlignment="1">
      <alignment horizontal="center" vertical="center"/>
    </xf>
    <xf numFmtId="2" fontId="177" fillId="0" borderId="37" xfId="8" applyNumberFormat="1" applyFont="1" applyBorder="1" applyAlignment="1">
      <alignment horizontal="center" vertical="center"/>
    </xf>
    <xf numFmtId="2" fontId="177" fillId="0" borderId="40" xfId="8" applyNumberFormat="1" applyFont="1" applyBorder="1" applyAlignment="1">
      <alignment horizontal="center" vertical="center"/>
    </xf>
    <xf numFmtId="2" fontId="177" fillId="0" borderId="39" xfId="8" applyNumberFormat="1" applyFont="1" applyBorder="1" applyAlignment="1">
      <alignment horizontal="center" vertical="center"/>
    </xf>
    <xf numFmtId="2" fontId="171" fillId="0" borderId="37" xfId="553" applyNumberFormat="1" applyFont="1" applyBorder="1" applyAlignment="1">
      <alignment horizontal="center" vertical="center" shrinkToFit="1"/>
    </xf>
    <xf numFmtId="2" fontId="171" fillId="0" borderId="40" xfId="553" applyNumberFormat="1" applyFont="1" applyBorder="1" applyAlignment="1">
      <alignment horizontal="center" vertical="center" shrinkToFit="1"/>
    </xf>
    <xf numFmtId="2" fontId="171" fillId="0" borderId="39" xfId="553" applyNumberFormat="1" applyFont="1" applyBorder="1" applyAlignment="1">
      <alignment horizontal="center" vertical="center" shrinkToFit="1"/>
    </xf>
    <xf numFmtId="2" fontId="171" fillId="0" borderId="170" xfId="553" applyNumberFormat="1" applyFont="1" applyBorder="1" applyAlignment="1">
      <alignment horizontal="center" vertical="center" shrinkToFit="1"/>
    </xf>
    <xf numFmtId="2" fontId="168" fillId="0" borderId="170" xfId="553" applyNumberFormat="1" applyFont="1" applyBorder="1" applyAlignment="1">
      <alignment horizontal="center" vertical="center" shrinkToFit="1"/>
    </xf>
    <xf numFmtId="2" fontId="168" fillId="0" borderId="40" xfId="553" applyNumberFormat="1" applyFont="1" applyBorder="1" applyAlignment="1">
      <alignment horizontal="center" vertical="center" shrinkToFit="1"/>
    </xf>
    <xf numFmtId="2" fontId="168" fillId="0" borderId="39" xfId="553" applyNumberFormat="1" applyFont="1" applyBorder="1" applyAlignment="1">
      <alignment horizontal="center" vertical="center" shrinkToFit="1"/>
    </xf>
    <xf numFmtId="2" fontId="177" fillId="0" borderId="170" xfId="553" applyNumberFormat="1" applyFont="1" applyBorder="1" applyAlignment="1">
      <alignment horizontal="center" vertical="center" shrinkToFit="1"/>
    </xf>
    <xf numFmtId="2" fontId="177" fillId="0" borderId="40" xfId="553" applyNumberFormat="1" applyFont="1" applyBorder="1" applyAlignment="1">
      <alignment horizontal="center" vertical="center" shrinkToFit="1"/>
    </xf>
    <xf numFmtId="2" fontId="177" fillId="0" borderId="39" xfId="553" applyNumberFormat="1" applyFont="1" applyBorder="1" applyAlignment="1">
      <alignment horizontal="center" vertical="center" shrinkToFit="1"/>
    </xf>
    <xf numFmtId="2" fontId="171" fillId="0" borderId="170" xfId="8" applyNumberFormat="1" applyFont="1" applyBorder="1" applyAlignment="1">
      <alignment horizontal="center" vertical="center"/>
    </xf>
    <xf numFmtId="2" fontId="171" fillId="0" borderId="40" xfId="8" applyNumberFormat="1" applyFont="1" applyBorder="1" applyAlignment="1">
      <alignment horizontal="center" vertical="center"/>
    </xf>
    <xf numFmtId="2" fontId="171" fillId="0" borderId="39" xfId="8" applyNumberFormat="1" applyFont="1" applyBorder="1" applyAlignment="1">
      <alignment horizontal="center" vertical="center"/>
    </xf>
    <xf numFmtId="0" fontId="51" fillId="0" borderId="150" xfId="5" applyFont="1" applyBorder="1" applyAlignment="1">
      <alignment horizontal="center"/>
    </xf>
    <xf numFmtId="2" fontId="168" fillId="0" borderId="170" xfId="8" applyNumberFormat="1" applyFont="1" applyBorder="1" applyAlignment="1">
      <alignment horizontal="center" vertical="center"/>
    </xf>
    <xf numFmtId="2" fontId="168" fillId="0" borderId="40" xfId="8" applyNumberFormat="1" applyFont="1" applyBorder="1" applyAlignment="1">
      <alignment horizontal="center" vertical="center"/>
    </xf>
    <xf numFmtId="2" fontId="168" fillId="0" borderId="39" xfId="8" applyNumberFormat="1" applyFont="1" applyBorder="1" applyAlignment="1">
      <alignment horizontal="center" vertical="center"/>
    </xf>
    <xf numFmtId="2" fontId="168" fillId="0" borderId="37" xfId="8" applyNumberFormat="1" applyFont="1" applyBorder="1" applyAlignment="1">
      <alignment horizontal="center" vertical="center"/>
    </xf>
    <xf numFmtId="0" fontId="51" fillId="0" borderId="155" xfId="5" applyFont="1" applyBorder="1" applyAlignment="1">
      <alignment horizontal="center"/>
    </xf>
    <xf numFmtId="0" fontId="51" fillId="0" borderId="158" xfId="5" applyFont="1" applyBorder="1" applyAlignment="1">
      <alignment horizontal="center"/>
    </xf>
    <xf numFmtId="0" fontId="51" fillId="0" borderId="154" xfId="5" applyFont="1" applyBorder="1" applyAlignment="1">
      <alignment horizontal="center"/>
    </xf>
    <xf numFmtId="172" fontId="51" fillId="0" borderId="144" xfId="5" applyNumberFormat="1" applyFont="1" applyBorder="1" applyAlignment="1">
      <alignment horizontal="center" vertical="center"/>
    </xf>
    <xf numFmtId="2" fontId="168" fillId="0" borderId="150" xfId="8" applyNumberFormat="1" applyFont="1" applyBorder="1" applyAlignment="1">
      <alignment horizontal="center" vertical="center"/>
    </xf>
    <xf numFmtId="2" fontId="171" fillId="0" borderId="150" xfId="8" applyNumberFormat="1" applyFont="1" applyBorder="1" applyAlignment="1">
      <alignment horizontal="center" vertical="center"/>
    </xf>
    <xf numFmtId="2" fontId="168" fillId="0" borderId="226" xfId="8" applyNumberFormat="1" applyFont="1" applyBorder="1" applyAlignment="1">
      <alignment horizontal="center" vertical="center"/>
    </xf>
    <xf numFmtId="2" fontId="168" fillId="0" borderId="190" xfId="8" applyNumberFormat="1" applyFont="1" applyBorder="1" applyAlignment="1">
      <alignment horizontal="center" vertical="center"/>
    </xf>
    <xf numFmtId="2" fontId="48" fillId="0" borderId="31" xfId="8" applyNumberFormat="1" applyBorder="1" applyAlignment="1">
      <alignment horizontal="center" vertical="center"/>
    </xf>
    <xf numFmtId="2" fontId="48" fillId="0" borderId="172" xfId="8" applyNumberFormat="1" applyBorder="1" applyAlignment="1">
      <alignment horizontal="center" vertical="center"/>
    </xf>
    <xf numFmtId="0" fontId="51" fillId="0" borderId="3" xfId="5" applyFont="1" applyBorder="1" applyAlignment="1">
      <alignment horizontal="center"/>
    </xf>
    <xf numFmtId="0" fontId="51" fillId="0" borderId="22" xfId="5" applyFont="1" applyBorder="1" applyAlignment="1">
      <alignment horizontal="center" vertical="center"/>
    </xf>
    <xf numFmtId="0" fontId="51" fillId="0" borderId="170" xfId="5" applyFont="1" applyBorder="1" applyAlignment="1">
      <alignment horizontal="center"/>
    </xf>
    <xf numFmtId="172" fontId="51" fillId="0" borderId="10" xfId="5" applyNumberFormat="1" applyFont="1" applyBorder="1" applyAlignment="1">
      <alignment horizontal="center" vertical="center"/>
    </xf>
    <xf numFmtId="2" fontId="168" fillId="0" borderId="42" xfId="8" applyNumberFormat="1" applyFont="1" applyBorder="1" applyAlignment="1">
      <alignment horizontal="center" vertical="center"/>
    </xf>
    <xf numFmtId="172" fontId="51" fillId="0" borderId="153" xfId="5" applyNumberFormat="1" applyFont="1" applyBorder="1" applyAlignment="1">
      <alignment horizontal="center" vertical="center"/>
    </xf>
    <xf numFmtId="172" fontId="51" fillId="0" borderId="173" xfId="5" applyNumberFormat="1" applyFont="1" applyBorder="1" applyAlignment="1">
      <alignment horizontal="center" vertical="center"/>
    </xf>
    <xf numFmtId="0" fontId="51" fillId="0" borderId="183" xfId="5" applyFont="1" applyBorder="1" applyAlignment="1">
      <alignment horizontal="center"/>
    </xf>
    <xf numFmtId="0" fontId="51" fillId="0" borderId="150" xfId="5" applyFont="1" applyBorder="1" applyAlignment="1">
      <alignment horizontal="center" vertical="center"/>
    </xf>
    <xf numFmtId="2" fontId="168" fillId="0" borderId="183" xfId="8" applyNumberFormat="1" applyFont="1" applyBorder="1" applyAlignment="1">
      <alignment horizontal="center" vertical="center"/>
    </xf>
    <xf numFmtId="2" fontId="168" fillId="0" borderId="55" xfId="8" applyNumberFormat="1" applyFont="1" applyBorder="1" applyAlignment="1">
      <alignment horizontal="center" vertical="center"/>
    </xf>
    <xf numFmtId="2" fontId="171" fillId="0" borderId="41" xfId="8" applyNumberFormat="1" applyFont="1" applyBorder="1" applyAlignment="1">
      <alignment horizontal="center" vertical="center"/>
    </xf>
    <xf numFmtId="2" fontId="171" fillId="0" borderId="207" xfId="8" applyNumberFormat="1" applyFont="1" applyBorder="1" applyAlignment="1">
      <alignment horizontal="center" vertical="center"/>
    </xf>
    <xf numFmtId="2" fontId="168" fillId="0" borderId="248" xfId="8" applyNumberFormat="1" applyFont="1" applyBorder="1" applyAlignment="1">
      <alignment horizontal="center" vertical="center"/>
    </xf>
    <xf numFmtId="2" fontId="168" fillId="0" borderId="186" xfId="8" applyNumberFormat="1" applyFont="1" applyBorder="1" applyAlignment="1">
      <alignment horizontal="center" vertical="center"/>
    </xf>
    <xf numFmtId="172" fontId="51" fillId="0" borderId="185" xfId="5" applyNumberFormat="1" applyFont="1" applyBorder="1" applyAlignment="1">
      <alignment horizontal="center" vertical="center"/>
    </xf>
    <xf numFmtId="172" fontId="51" fillId="0" borderId="187" xfId="5" applyNumberFormat="1" applyFont="1" applyBorder="1" applyAlignment="1">
      <alignment horizontal="center" vertical="center"/>
    </xf>
    <xf numFmtId="172" fontId="51" fillId="0" borderId="233" xfId="5" applyNumberFormat="1" applyFont="1" applyBorder="1" applyAlignment="1">
      <alignment horizontal="center" vertical="center"/>
    </xf>
    <xf numFmtId="2" fontId="48" fillId="0" borderId="170" xfId="8" applyNumberFormat="1" applyBorder="1" applyAlignment="1">
      <alignment horizontal="center" vertical="center"/>
    </xf>
    <xf numFmtId="2" fontId="48" fillId="0" borderId="40" xfId="8" applyNumberFormat="1" applyBorder="1" applyAlignment="1">
      <alignment horizontal="center" vertical="center"/>
    </xf>
    <xf numFmtId="2" fontId="48" fillId="0" borderId="39" xfId="8" applyNumberFormat="1" applyBorder="1" applyAlignment="1">
      <alignment horizontal="center" vertical="center"/>
    </xf>
    <xf numFmtId="172" fontId="51" fillId="0" borderId="30" xfId="5" applyNumberFormat="1" applyFont="1" applyBorder="1" applyAlignment="1">
      <alignment horizontal="center" vertical="center"/>
    </xf>
    <xf numFmtId="172" fontId="51" fillId="0" borderId="85" xfId="5" applyNumberFormat="1" applyFont="1" applyBorder="1" applyAlignment="1">
      <alignment horizontal="center" vertical="center"/>
    </xf>
    <xf numFmtId="172" fontId="51" fillId="0" borderId="43" xfId="5" applyNumberFormat="1" applyFont="1" applyBorder="1" applyAlignment="1">
      <alignment horizontal="center" vertical="center"/>
    </xf>
    <xf numFmtId="2" fontId="169" fillId="0" borderId="170" xfId="1" applyNumberFormat="1" applyFont="1" applyBorder="1" applyAlignment="1">
      <alignment horizontal="center" vertical="center"/>
    </xf>
    <xf numFmtId="2" fontId="169" fillId="0" borderId="40" xfId="1" applyNumberFormat="1" applyFont="1" applyBorder="1" applyAlignment="1">
      <alignment horizontal="center" vertical="center"/>
    </xf>
    <xf numFmtId="2" fontId="169" fillId="0" borderId="39" xfId="1" applyNumberFormat="1" applyFont="1" applyBorder="1" applyAlignment="1">
      <alignment horizontal="center" vertical="center"/>
    </xf>
    <xf numFmtId="2" fontId="170" fillId="0" borderId="170" xfId="1" applyNumberFormat="1" applyFont="1" applyBorder="1" applyAlignment="1">
      <alignment horizontal="center" vertical="center"/>
    </xf>
    <xf numFmtId="2" fontId="170" fillId="0" borderId="40" xfId="1" applyNumberFormat="1" applyFont="1" applyBorder="1" applyAlignment="1">
      <alignment horizontal="center" vertical="center"/>
    </xf>
    <xf numFmtId="2" fontId="170" fillId="0" borderId="39" xfId="1" applyNumberFormat="1" applyFont="1" applyBorder="1" applyAlignment="1">
      <alignment horizontal="center" vertical="center"/>
    </xf>
    <xf numFmtId="2" fontId="169" fillId="0" borderId="37" xfId="1" applyNumberFormat="1" applyFont="1" applyBorder="1" applyAlignment="1">
      <alignment horizontal="center" vertical="center"/>
    </xf>
    <xf numFmtId="172" fontId="51" fillId="0" borderId="25" xfId="5" applyNumberFormat="1" applyFont="1" applyBorder="1" applyAlignment="1">
      <alignment horizontal="center" vertical="center"/>
    </xf>
    <xf numFmtId="172" fontId="51" fillId="0" borderId="152" xfId="5" applyNumberFormat="1" applyFont="1" applyBorder="1" applyAlignment="1">
      <alignment horizontal="center" vertical="center"/>
    </xf>
    <xf numFmtId="172" fontId="51" fillId="0" borderId="172" xfId="5" applyNumberFormat="1" applyFont="1" applyBorder="1" applyAlignment="1">
      <alignment horizontal="center" vertical="center"/>
    </xf>
    <xf numFmtId="2" fontId="172" fillId="0" borderId="170" xfId="8" applyNumberFormat="1" applyFont="1" applyBorder="1" applyAlignment="1">
      <alignment horizontal="center" vertical="center"/>
    </xf>
    <xf numFmtId="2" fontId="172" fillId="0" borderId="40" xfId="8" applyNumberFormat="1" applyFont="1" applyBorder="1" applyAlignment="1">
      <alignment horizontal="center" vertical="center"/>
    </xf>
    <xf numFmtId="2" fontId="172" fillId="0" borderId="39" xfId="8" applyNumberFormat="1" applyFont="1" applyBorder="1" applyAlignment="1">
      <alignment horizontal="center" vertical="center"/>
    </xf>
    <xf numFmtId="172" fontId="51" fillId="0" borderId="26" xfId="5" applyNumberFormat="1" applyFont="1" applyBorder="1" applyAlignment="1">
      <alignment horizontal="center" vertical="center"/>
    </xf>
    <xf numFmtId="172" fontId="51" fillId="0" borderId="31" xfId="5" applyNumberFormat="1" applyFont="1" applyBorder="1" applyAlignment="1">
      <alignment horizontal="center" vertical="center"/>
    </xf>
    <xf numFmtId="0" fontId="51" fillId="0" borderId="41" xfId="5" applyFont="1" applyBorder="1" applyAlignment="1">
      <alignment horizontal="center"/>
    </xf>
    <xf numFmtId="172" fontId="51" fillId="0" borderId="261" xfId="5" applyNumberFormat="1" applyFont="1" applyBorder="1" applyAlignment="1">
      <alignment horizontal="center" vertical="center"/>
    </xf>
    <xf numFmtId="172" fontId="51" fillId="0" borderId="124" xfId="5" applyNumberFormat="1" applyFont="1" applyBorder="1" applyAlignment="1">
      <alignment horizontal="center" vertical="center"/>
    </xf>
    <xf numFmtId="172" fontId="51" fillId="0" borderId="258" xfId="5" applyNumberFormat="1" applyFont="1" applyBorder="1" applyAlignment="1">
      <alignment horizontal="center" vertical="center"/>
    </xf>
    <xf numFmtId="172" fontId="51" fillId="0" borderId="259" xfId="5" applyNumberFormat="1" applyFont="1" applyBorder="1" applyAlignment="1">
      <alignment horizontal="center" vertical="center"/>
    </xf>
    <xf numFmtId="2" fontId="168" fillId="0" borderId="174" xfId="8" applyNumberFormat="1" applyFont="1" applyBorder="1" applyAlignment="1">
      <alignment horizontal="center" vertical="center"/>
    </xf>
    <xf numFmtId="2" fontId="168" fillId="0" borderId="19" xfId="8" applyNumberFormat="1" applyFont="1" applyBorder="1" applyAlignment="1">
      <alignment horizontal="center" vertical="center"/>
    </xf>
    <xf numFmtId="2" fontId="168" fillId="0" borderId="20" xfId="8" applyNumberFormat="1" applyFont="1" applyBorder="1" applyAlignment="1">
      <alignment horizontal="center" vertical="center"/>
    </xf>
    <xf numFmtId="172" fontId="63" fillId="0" borderId="5" xfId="0" applyNumberFormat="1" applyFont="1" applyBorder="1" applyAlignment="1">
      <alignment horizontal="center" vertical="center"/>
    </xf>
    <xf numFmtId="172" fontId="63" fillId="0" borderId="10" xfId="0" applyNumberFormat="1" applyFont="1" applyBorder="1" applyAlignment="1">
      <alignment horizontal="center" vertical="center"/>
    </xf>
    <xf numFmtId="172" fontId="63" fillId="0" borderId="149" xfId="0" applyNumberFormat="1" applyFont="1" applyBorder="1" applyAlignment="1">
      <alignment horizontal="center" vertical="center"/>
    </xf>
    <xf numFmtId="172" fontId="63" fillId="0" borderId="169" xfId="0" applyNumberFormat="1" applyFont="1" applyBorder="1" applyAlignment="1">
      <alignment horizontal="center" vertical="center"/>
    </xf>
    <xf numFmtId="172" fontId="63" fillId="0" borderId="6" xfId="0" applyNumberFormat="1" applyFont="1" applyBorder="1" applyAlignment="1">
      <alignment horizontal="center" vertical="center"/>
    </xf>
    <xf numFmtId="172" fontId="63" fillId="0" borderId="11" xfId="0" applyNumberFormat="1" applyFont="1" applyBorder="1" applyAlignment="1">
      <alignment horizontal="center" vertical="center"/>
    </xf>
    <xf numFmtId="172" fontId="63" fillId="0" borderId="151" xfId="0" applyNumberFormat="1" applyFont="1" applyBorder="1" applyAlignment="1">
      <alignment horizontal="center" vertical="center"/>
    </xf>
    <xf numFmtId="172" fontId="63" fillId="0" borderId="147" xfId="0" applyNumberFormat="1" applyFont="1" applyBorder="1" applyAlignment="1">
      <alignment horizontal="center" vertical="center"/>
    </xf>
    <xf numFmtId="172" fontId="63" fillId="0" borderId="171" xfId="0" applyNumberFormat="1" applyFont="1" applyBorder="1" applyAlignment="1">
      <alignment horizontal="center" vertical="center"/>
    </xf>
    <xf numFmtId="2" fontId="48" fillId="0" borderId="170" xfId="553" applyNumberFormat="1" applyBorder="1" applyAlignment="1">
      <alignment horizontal="center" shrinkToFit="1"/>
    </xf>
    <xf numFmtId="2" fontId="48" fillId="0" borderId="39" xfId="553" applyNumberFormat="1" applyBorder="1" applyAlignment="1">
      <alignment horizontal="center" shrinkToFit="1"/>
    </xf>
    <xf numFmtId="2" fontId="48" fillId="0" borderId="170" xfId="553" applyNumberFormat="1" applyBorder="1" applyAlignment="1">
      <alignment horizontal="center" vertical="center" shrinkToFit="1"/>
    </xf>
    <xf numFmtId="2" fontId="48" fillId="0" borderId="40" xfId="553" applyNumberFormat="1" applyBorder="1" applyAlignment="1">
      <alignment horizontal="center" vertical="center" shrinkToFit="1"/>
    </xf>
    <xf numFmtId="2" fontId="48" fillId="0" borderId="39" xfId="553" applyNumberFormat="1" applyBorder="1" applyAlignment="1">
      <alignment horizontal="center" vertical="center" shrinkToFit="1"/>
    </xf>
    <xf numFmtId="2" fontId="48" fillId="0" borderId="41" xfId="553" applyNumberFormat="1" applyBorder="1" applyAlignment="1">
      <alignment horizontal="center" vertical="center" shrinkToFit="1"/>
    </xf>
    <xf numFmtId="170" fontId="63" fillId="0" borderId="5" xfId="0" applyNumberFormat="1" applyFont="1" applyBorder="1" applyAlignment="1">
      <alignment horizontal="center" vertical="center"/>
    </xf>
    <xf numFmtId="170" fontId="63" fillId="0" borderId="149" xfId="0" applyNumberFormat="1" applyFont="1" applyBorder="1" applyAlignment="1">
      <alignment horizontal="center" vertical="center"/>
    </xf>
    <xf numFmtId="170" fontId="63" fillId="0" borderId="169" xfId="0" applyNumberFormat="1" applyFont="1" applyBorder="1" applyAlignment="1">
      <alignment horizontal="center" vertical="center"/>
    </xf>
    <xf numFmtId="170" fontId="63" fillId="0" borderId="32" xfId="0" applyNumberFormat="1" applyFont="1" applyBorder="1" applyAlignment="1">
      <alignment horizontal="center" vertical="center"/>
    </xf>
    <xf numFmtId="170" fontId="63" fillId="0" borderId="33" xfId="0" applyNumberFormat="1" applyFont="1" applyBorder="1" applyAlignment="1">
      <alignment horizontal="center" vertical="center"/>
    </xf>
    <xf numFmtId="2" fontId="48" fillId="0" borderId="37" xfId="553" applyNumberFormat="1" applyBorder="1" applyAlignment="1">
      <alignment horizontal="center" shrinkToFit="1"/>
    </xf>
    <xf numFmtId="2" fontId="48" fillId="0" borderId="40" xfId="553" applyNumberFormat="1" applyBorder="1" applyAlignment="1">
      <alignment horizontal="center" shrinkToFit="1"/>
    </xf>
    <xf numFmtId="2" fontId="48" fillId="0" borderId="196" xfId="553" applyNumberFormat="1" applyBorder="1" applyAlignment="1">
      <alignment horizontal="center" vertical="center" shrinkToFit="1"/>
    </xf>
    <xf numFmtId="2" fontId="48" fillId="0" borderId="37" xfId="553" applyNumberFormat="1" applyBorder="1" applyAlignment="1">
      <alignment horizontal="center" vertical="center" shrinkToFit="1"/>
    </xf>
    <xf numFmtId="2" fontId="83" fillId="0" borderId="150" xfId="553" applyNumberFormat="1" applyFont="1" applyBorder="1" applyAlignment="1">
      <alignment horizontal="center" vertical="center" shrinkToFit="1"/>
    </xf>
    <xf numFmtId="2" fontId="48" fillId="0" borderId="42" xfId="553" applyNumberFormat="1" applyBorder="1" applyAlignment="1">
      <alignment horizontal="center" shrinkToFit="1"/>
    </xf>
    <xf numFmtId="2" fontId="48" fillId="0" borderId="150" xfId="553" applyNumberFormat="1" applyBorder="1" applyAlignment="1">
      <alignment horizontal="center" shrinkToFit="1"/>
    </xf>
    <xf numFmtId="170" fontId="63" fillId="0" borderId="30" xfId="0" applyNumberFormat="1" applyFont="1" applyBorder="1" applyAlignment="1">
      <alignment horizontal="center" vertical="center"/>
    </xf>
    <xf numFmtId="170" fontId="63" fillId="0" borderId="102" xfId="0" applyNumberFormat="1" applyFont="1" applyBorder="1" applyAlignment="1">
      <alignment horizontal="center" vertical="center"/>
    </xf>
    <xf numFmtId="170" fontId="63" fillId="0" borderId="185" xfId="0" applyNumberFormat="1" applyFont="1" applyBorder="1" applyAlignment="1">
      <alignment horizontal="center" vertical="center"/>
    </xf>
    <xf numFmtId="16" fontId="63" fillId="0" borderId="257" xfId="0" applyNumberFormat="1" applyFont="1" applyBorder="1" applyAlignment="1">
      <alignment horizontal="center" vertical="center"/>
    </xf>
    <xf numFmtId="16" fontId="63" fillId="0" borderId="208" xfId="0" applyNumberFormat="1" applyFont="1" applyBorder="1" applyAlignment="1">
      <alignment horizontal="center" vertical="center"/>
    </xf>
    <xf numFmtId="170" fontId="63" fillId="0" borderId="198" xfId="0" applyNumberFormat="1" applyFont="1" applyBorder="1" applyAlignment="1">
      <alignment horizontal="center" vertical="center"/>
    </xf>
    <xf numFmtId="170" fontId="63" fillId="0" borderId="201" xfId="0" applyNumberFormat="1" applyFont="1" applyBorder="1" applyAlignment="1">
      <alignment horizontal="center" vertical="center"/>
    </xf>
    <xf numFmtId="170" fontId="63" fillId="0" borderId="203" xfId="0" applyNumberFormat="1" applyFont="1" applyBorder="1" applyAlignment="1">
      <alignment horizontal="center" vertical="center"/>
    </xf>
    <xf numFmtId="170" fontId="63" fillId="0" borderId="210" xfId="0" applyNumberFormat="1" applyFont="1" applyBorder="1" applyAlignment="1">
      <alignment horizontal="center" vertical="center"/>
    </xf>
    <xf numFmtId="170" fontId="63" fillId="0" borderId="212" xfId="0" applyNumberFormat="1" applyFont="1" applyBorder="1" applyAlignment="1">
      <alignment horizontal="center" vertical="center"/>
    </xf>
    <xf numFmtId="16" fontId="63" fillId="0" borderId="180" xfId="0" applyNumberFormat="1" applyFont="1" applyBorder="1" applyAlignment="1">
      <alignment horizontal="center" vertical="center"/>
    </xf>
    <xf numFmtId="16" fontId="63" fillId="0" borderId="211" xfId="0" applyNumberFormat="1" applyFont="1" applyBorder="1" applyAlignment="1">
      <alignment horizontal="center" vertical="center"/>
    </xf>
    <xf numFmtId="16" fontId="63" fillId="0" borderId="213" xfId="0" applyNumberFormat="1" applyFont="1" applyBorder="1" applyAlignment="1">
      <alignment horizontal="center" vertical="center"/>
    </xf>
    <xf numFmtId="172" fontId="63" fillId="0" borderId="239" xfId="0" applyNumberFormat="1" applyFont="1" applyBorder="1" applyAlignment="1">
      <alignment horizontal="center" vertical="center"/>
    </xf>
    <xf numFmtId="172" fontId="63" fillId="0" borderId="140" xfId="0" applyNumberFormat="1" applyFont="1" applyBorder="1" applyAlignment="1">
      <alignment horizontal="center" vertical="center"/>
    </xf>
    <xf numFmtId="172" fontId="63" fillId="0" borderId="238" xfId="0" applyNumberFormat="1" applyFont="1" applyBorder="1" applyAlignment="1">
      <alignment horizontal="center" vertical="center"/>
    </xf>
    <xf numFmtId="172" fontId="63" fillId="0" borderId="197" xfId="0" applyNumberFormat="1" applyFont="1" applyBorder="1" applyAlignment="1">
      <alignment horizontal="center" vertical="center"/>
    </xf>
    <xf numFmtId="2" fontId="48" fillId="0" borderId="150" xfId="553" applyNumberFormat="1" applyBorder="1" applyAlignment="1">
      <alignment horizontal="center" vertical="center" shrinkToFit="1"/>
    </xf>
    <xf numFmtId="170" fontId="63" fillId="0" borderId="10" xfId="0" applyNumberFormat="1" applyFont="1" applyBorder="1" applyAlignment="1">
      <alignment horizontal="center" vertical="center"/>
    </xf>
    <xf numFmtId="16" fontId="63" fillId="0" borderId="6" xfId="0" applyNumberFormat="1" applyFont="1" applyBorder="1" applyAlignment="1">
      <alignment horizontal="center" vertical="center"/>
    </xf>
    <xf numFmtId="16" fontId="63" fillId="0" borderId="11" xfId="0" applyNumberFormat="1" applyFont="1" applyBorder="1" applyAlignment="1">
      <alignment horizontal="center" vertical="center"/>
    </xf>
    <xf numFmtId="16" fontId="63" fillId="0" borderId="151" xfId="0" applyNumberFormat="1" applyFont="1" applyBorder="1" applyAlignment="1">
      <alignment horizontal="center" vertical="center"/>
    </xf>
    <xf numFmtId="16" fontId="63" fillId="0" borderId="171" xfId="0" applyNumberFormat="1" applyFont="1" applyBorder="1" applyAlignment="1">
      <alignment horizontal="center" vertical="center"/>
    </xf>
    <xf numFmtId="16" fontId="63" fillId="0" borderId="200" xfId="0" applyNumberFormat="1" applyFont="1" applyBorder="1" applyAlignment="1">
      <alignment horizontal="center" vertical="center"/>
    </xf>
    <xf numFmtId="16" fontId="63" fillId="0" borderId="202" xfId="0" applyNumberFormat="1" applyFont="1" applyBorder="1" applyAlignment="1">
      <alignment horizontal="center" vertical="center"/>
    </xf>
    <xf numFmtId="16" fontId="63" fillId="0" borderId="204" xfId="0" applyNumberFormat="1" applyFont="1" applyBorder="1" applyAlignment="1">
      <alignment horizontal="center" vertical="center"/>
    </xf>
    <xf numFmtId="16" fontId="63" fillId="0" borderId="32" xfId="0" applyNumberFormat="1" applyFont="1" applyBorder="1" applyAlignment="1">
      <alignment horizontal="center" vertical="center"/>
    </xf>
    <xf numFmtId="172" fontId="63" fillId="0" borderId="185" xfId="0" applyNumberFormat="1" applyFont="1" applyBorder="1" applyAlignment="1">
      <alignment horizontal="center" vertical="center"/>
    </xf>
    <xf numFmtId="172" fontId="63" fillId="0" borderId="187" xfId="0" applyNumberFormat="1" applyFont="1" applyBorder="1" applyAlignment="1">
      <alignment horizontal="center" vertical="center"/>
    </xf>
    <xf numFmtId="172" fontId="63" fillId="0" borderId="233" xfId="0" applyNumberFormat="1" applyFont="1" applyBorder="1" applyAlignment="1">
      <alignment horizontal="center" vertical="center"/>
    </xf>
    <xf numFmtId="172" fontId="63" fillId="0" borderId="180" xfId="0" applyNumberFormat="1" applyFont="1" applyBorder="1" applyAlignment="1">
      <alignment horizontal="center" vertical="center"/>
    </xf>
    <xf numFmtId="172" fontId="63" fillId="0" borderId="159" xfId="0" applyNumberFormat="1" applyFont="1" applyBorder="1" applyAlignment="1">
      <alignment horizontal="center" vertical="center"/>
    </xf>
    <xf numFmtId="172" fontId="63" fillId="0" borderId="181" xfId="0" applyNumberFormat="1" applyFont="1" applyBorder="1" applyAlignment="1">
      <alignment horizontal="center" vertical="center"/>
    </xf>
    <xf numFmtId="2" fontId="48" fillId="0" borderId="179" xfId="553" applyNumberFormat="1" applyBorder="1" applyAlignment="1">
      <alignment horizontal="center" vertical="center" shrinkToFit="1"/>
    </xf>
    <xf numFmtId="2" fontId="48" fillId="0" borderId="186" xfId="553" applyNumberFormat="1" applyBorder="1" applyAlignment="1">
      <alignment horizontal="center" vertical="center" shrinkToFit="1"/>
    </xf>
    <xf numFmtId="2" fontId="140" fillId="0" borderId="170" xfId="0" applyNumberFormat="1" applyFont="1" applyBorder="1" applyAlignment="1">
      <alignment horizontal="center" vertical="center"/>
    </xf>
    <xf numFmtId="2" fontId="140" fillId="0" borderId="40" xfId="0" applyNumberFormat="1" applyFont="1" applyBorder="1" applyAlignment="1">
      <alignment horizontal="center" vertical="center"/>
    </xf>
    <xf numFmtId="2" fontId="140" fillId="0" borderId="39" xfId="0" applyNumberFormat="1" applyFont="1" applyBorder="1" applyAlignment="1">
      <alignment horizontal="center" vertical="center"/>
    </xf>
    <xf numFmtId="2" fontId="63" fillId="0" borderId="170" xfId="0" applyNumberFormat="1" applyFont="1" applyBorder="1" applyAlignment="1">
      <alignment horizontal="center" vertical="center"/>
    </xf>
    <xf numFmtId="2" fontId="63" fillId="0" borderId="39" xfId="0" applyNumberFormat="1" applyFont="1" applyBorder="1" applyAlignment="1">
      <alignment horizontal="center" vertical="center"/>
    </xf>
    <xf numFmtId="172" fontId="63" fillId="0" borderId="32" xfId="0" applyNumberFormat="1" applyFont="1" applyBorder="1" applyAlignment="1">
      <alignment horizontal="center" vertical="center"/>
    </xf>
    <xf numFmtId="172" fontId="63" fillId="0" borderId="33" xfId="0" applyNumberFormat="1" applyFont="1" applyBorder="1" applyAlignment="1">
      <alignment horizontal="center" vertical="center"/>
    </xf>
    <xf numFmtId="172" fontId="63" fillId="0" borderId="56" xfId="0" applyNumberFormat="1" applyFont="1" applyBorder="1" applyAlignment="1">
      <alignment horizontal="center" vertical="center"/>
    </xf>
    <xf numFmtId="172" fontId="63" fillId="0" borderId="1" xfId="0" applyNumberFormat="1" applyFont="1" applyBorder="1" applyAlignment="1">
      <alignment horizontal="center" vertical="center"/>
    </xf>
    <xf numFmtId="172" fontId="63" fillId="0" borderId="22" xfId="0" applyNumberFormat="1" applyFont="1" applyBorder="1" applyAlignment="1">
      <alignment horizontal="center" vertical="center"/>
    </xf>
    <xf numFmtId="172" fontId="63" fillId="0" borderId="8" xfId="0" applyNumberFormat="1" applyFont="1" applyBorder="1" applyAlignment="1">
      <alignment horizontal="center" vertical="center"/>
    </xf>
    <xf numFmtId="172" fontId="63" fillId="0" borderId="138" xfId="0" applyNumberFormat="1" applyFont="1" applyBorder="1" applyAlignment="1">
      <alignment horizontal="center" vertical="center"/>
    </xf>
    <xf numFmtId="2" fontId="48" fillId="0" borderId="248" xfId="553" applyNumberFormat="1" applyBorder="1" applyAlignment="1">
      <alignment horizontal="center" vertical="center" shrinkToFit="1"/>
    </xf>
    <xf numFmtId="170" fontId="63" fillId="0" borderId="144" xfId="0" applyNumberFormat="1" applyFont="1" applyBorder="1" applyAlignment="1">
      <alignment horizontal="center" vertical="center"/>
    </xf>
    <xf numFmtId="16" fontId="63" fillId="0" borderId="142" xfId="0" applyNumberFormat="1" applyFont="1" applyBorder="1" applyAlignment="1">
      <alignment horizontal="center" vertical="center"/>
    </xf>
    <xf numFmtId="170" fontId="63" fillId="0" borderId="187" xfId="0" applyNumberFormat="1" applyFont="1" applyBorder="1" applyAlignment="1">
      <alignment horizontal="center" vertical="center"/>
    </xf>
    <xf numFmtId="170" fontId="63" fillId="0" borderId="233" xfId="0" applyNumberFormat="1" applyFont="1" applyBorder="1" applyAlignment="1">
      <alignment horizontal="center" vertical="center"/>
    </xf>
    <xf numFmtId="170" fontId="63" fillId="0" borderId="180" xfId="0" applyNumberFormat="1" applyFont="1" applyBorder="1" applyAlignment="1">
      <alignment horizontal="center" vertical="center"/>
    </xf>
    <xf numFmtId="170" fontId="63" fillId="0" borderId="159" xfId="0" applyNumberFormat="1" applyFont="1" applyBorder="1" applyAlignment="1">
      <alignment horizontal="center" vertical="center"/>
    </xf>
    <xf numFmtId="170" fontId="63" fillId="0" borderId="181" xfId="0" applyNumberFormat="1" applyFont="1" applyBorder="1" applyAlignment="1">
      <alignment horizontal="center" vertical="center"/>
    </xf>
    <xf numFmtId="170" fontId="63" fillId="0" borderId="6" xfId="0" applyNumberFormat="1" applyFont="1" applyBorder="1" applyAlignment="1">
      <alignment horizontal="center" vertical="center"/>
    </xf>
    <xf numFmtId="170" fontId="63" fillId="0" borderId="11" xfId="0" applyNumberFormat="1" applyFont="1" applyBorder="1" applyAlignment="1">
      <alignment horizontal="center" vertical="center"/>
    </xf>
    <xf numFmtId="170" fontId="63" fillId="0" borderId="151" xfId="0" applyNumberFormat="1" applyFont="1" applyBorder="1" applyAlignment="1">
      <alignment horizontal="center" vertical="center"/>
    </xf>
    <xf numFmtId="170" fontId="63" fillId="0" borderId="171" xfId="0" applyNumberFormat="1" applyFont="1" applyBorder="1" applyAlignment="1">
      <alignment horizontal="center" vertical="center"/>
    </xf>
    <xf numFmtId="2" fontId="138" fillId="0" borderId="37" xfId="553" applyNumberFormat="1" applyFont="1" applyBorder="1" applyAlignment="1">
      <alignment horizontal="center" vertical="center" shrinkToFit="1"/>
    </xf>
    <xf numFmtId="2" fontId="138" fillId="0" borderId="39" xfId="553" applyNumberFormat="1" applyFont="1" applyBorder="1" applyAlignment="1">
      <alignment horizontal="center" vertical="center" shrinkToFit="1"/>
    </xf>
    <xf numFmtId="2" fontId="138" fillId="0" borderId="170" xfId="553" applyNumberFormat="1" applyFont="1" applyBorder="1" applyAlignment="1">
      <alignment horizontal="center" vertical="center" shrinkToFit="1"/>
    </xf>
    <xf numFmtId="0" fontId="140" fillId="0" borderId="170" xfId="0" applyFont="1" applyBorder="1" applyAlignment="1">
      <alignment horizontal="center" vertical="center"/>
    </xf>
    <xf numFmtId="0" fontId="140" fillId="0" borderId="39" xfId="0" applyFont="1" applyBorder="1" applyAlignment="1">
      <alignment horizontal="center" vertical="center"/>
    </xf>
    <xf numFmtId="170" fontId="62" fillId="0" borderId="5" xfId="0" applyNumberFormat="1" applyFont="1" applyBorder="1" applyAlignment="1">
      <alignment horizontal="center" vertical="center"/>
    </xf>
    <xf numFmtId="170" fontId="62" fillId="0" borderId="149" xfId="0" applyNumberFormat="1" applyFont="1" applyBorder="1" applyAlignment="1">
      <alignment horizontal="center" vertical="center"/>
    </xf>
    <xf numFmtId="170" fontId="62" fillId="0" borderId="144" xfId="0" applyNumberFormat="1" applyFont="1" applyBorder="1" applyAlignment="1">
      <alignment horizontal="center" vertical="center"/>
    </xf>
    <xf numFmtId="170" fontId="62" fillId="0" borderId="6" xfId="0" applyNumberFormat="1" applyFont="1" applyBorder="1" applyAlignment="1">
      <alignment horizontal="center" vertical="center"/>
    </xf>
    <xf numFmtId="170" fontId="62" fillId="0" borderId="151" xfId="0" applyNumberFormat="1" applyFont="1" applyBorder="1" applyAlignment="1">
      <alignment horizontal="center" vertical="center"/>
    </xf>
    <xf numFmtId="170" fontId="62" fillId="0" borderId="142" xfId="0" applyNumberFormat="1" applyFont="1" applyBorder="1" applyAlignment="1">
      <alignment horizontal="center" vertical="center"/>
    </xf>
    <xf numFmtId="170" fontId="62" fillId="0" borderId="30" xfId="0" applyNumberFormat="1" applyFont="1" applyBorder="1" applyAlignment="1">
      <alignment horizontal="center" vertical="center"/>
    </xf>
    <xf numFmtId="170" fontId="62" fillId="0" borderId="85" xfId="0" applyNumberFormat="1" applyFont="1" applyBorder="1" applyAlignment="1">
      <alignment horizontal="center" vertical="center"/>
    </xf>
    <xf numFmtId="170" fontId="62" fillId="0" borderId="43" xfId="0" applyNumberFormat="1" applyFont="1" applyBorder="1" applyAlignment="1">
      <alignment horizontal="center" vertical="center"/>
    </xf>
    <xf numFmtId="170" fontId="62" fillId="0" borderId="32" xfId="0" applyNumberFormat="1" applyFont="1" applyBorder="1" applyAlignment="1">
      <alignment horizontal="center" vertical="center"/>
    </xf>
    <xf numFmtId="170" fontId="62" fillId="0" borderId="33" xfId="0" applyNumberFormat="1" applyFont="1" applyBorder="1" applyAlignment="1">
      <alignment horizontal="center" vertical="center"/>
    </xf>
    <xf numFmtId="170" fontId="62" fillId="0" borderId="56" xfId="0" applyNumberFormat="1" applyFont="1" applyBorder="1" applyAlignment="1">
      <alignment horizontal="center" vertical="center"/>
    </xf>
    <xf numFmtId="2" fontId="113" fillId="0" borderId="37" xfId="0" applyNumberFormat="1" applyFont="1" applyBorder="1" applyAlignment="1">
      <alignment horizontal="center" vertical="center"/>
    </xf>
    <xf numFmtId="2" fontId="113" fillId="0" borderId="40" xfId="0" applyNumberFormat="1" applyFont="1" applyBorder="1" applyAlignment="1">
      <alignment horizontal="center" vertical="center"/>
    </xf>
    <xf numFmtId="2" fontId="113" fillId="0" borderId="39" xfId="0" applyNumberFormat="1" applyFont="1" applyBorder="1" applyAlignment="1">
      <alignment horizontal="center" vertical="center"/>
    </xf>
    <xf numFmtId="2" fontId="139" fillId="0" borderId="37" xfId="8" applyNumberFormat="1" applyFont="1" applyBorder="1" applyAlignment="1">
      <alignment horizontal="center" vertical="center"/>
    </xf>
    <xf numFmtId="2" fontId="139" fillId="0" borderId="40" xfId="8" applyNumberFormat="1" applyFont="1" applyBorder="1" applyAlignment="1">
      <alignment horizontal="center" vertical="center"/>
    </xf>
    <xf numFmtId="2" fontId="139" fillId="0" borderId="39" xfId="8" applyNumberFormat="1" applyFont="1" applyBorder="1" applyAlignment="1">
      <alignment horizontal="center" vertical="center"/>
    </xf>
    <xf numFmtId="2" fontId="138" fillId="0" borderId="37" xfId="8" applyNumberFormat="1" applyFont="1" applyBorder="1" applyAlignment="1">
      <alignment horizontal="center" vertical="center"/>
    </xf>
    <xf numFmtId="2" fontId="138" fillId="0" borderId="40" xfId="8" applyNumberFormat="1" applyFont="1" applyBorder="1" applyAlignment="1">
      <alignment horizontal="center" vertical="center"/>
    </xf>
    <xf numFmtId="2" fontId="48" fillId="0" borderId="37" xfId="8" applyNumberFormat="1" applyBorder="1" applyAlignment="1">
      <alignment horizontal="center" vertical="center"/>
    </xf>
    <xf numFmtId="2" fontId="138" fillId="0" borderId="39" xfId="8" applyNumberFormat="1" applyFont="1" applyBorder="1" applyAlignment="1">
      <alignment horizontal="center" vertical="center"/>
    </xf>
    <xf numFmtId="0" fontId="44" fillId="0" borderId="44" xfId="0" applyFont="1" applyBorder="1" applyAlignment="1">
      <alignment horizontal="center" vertical="center"/>
    </xf>
    <xf numFmtId="0" fontId="44" fillId="0" borderId="54" xfId="0" applyFont="1" applyBorder="1" applyAlignment="1">
      <alignment horizontal="center" vertical="center"/>
    </xf>
    <xf numFmtId="0" fontId="44" fillId="0" borderId="69" xfId="0" applyFont="1" applyBorder="1" applyAlignment="1">
      <alignment horizontal="center" vertical="center"/>
    </xf>
    <xf numFmtId="0" fontId="44" fillId="0" borderId="71" xfId="0" applyFont="1" applyBorder="1" applyAlignment="1">
      <alignment horizontal="center" vertical="center"/>
    </xf>
    <xf numFmtId="0" fontId="44" fillId="0" borderId="73" xfId="0" applyFont="1" applyBorder="1" applyAlignment="1">
      <alignment horizontal="center" vertical="center"/>
    </xf>
    <xf numFmtId="0" fontId="44" fillId="0" borderId="160" xfId="0" applyFont="1" applyBorder="1" applyAlignment="1">
      <alignment horizontal="center" vertical="center"/>
    </xf>
    <xf numFmtId="0" fontId="0" fillId="0" borderId="75" xfId="0" applyBorder="1" applyAlignment="1">
      <alignment horizontal="left"/>
    </xf>
    <xf numFmtId="0" fontId="0" fillId="0" borderId="77" xfId="0" applyBorder="1" applyAlignment="1">
      <alignment horizontal="left"/>
    </xf>
    <xf numFmtId="0" fontId="0" fillId="0" borderId="78" xfId="0" applyBorder="1" applyAlignment="1">
      <alignment horizontal="center"/>
    </xf>
    <xf numFmtId="0" fontId="0" fillId="0" borderId="79" xfId="0" applyBorder="1" applyAlignment="1">
      <alignment horizontal="center"/>
    </xf>
    <xf numFmtId="0" fontId="0" fillId="0" borderId="75" xfId="0" applyBorder="1" applyAlignment="1">
      <alignment horizontal="center"/>
    </xf>
    <xf numFmtId="0" fontId="0" fillId="0" borderId="77" xfId="0" applyBorder="1" applyAlignment="1">
      <alignment horizontal="center"/>
    </xf>
    <xf numFmtId="0" fontId="44" fillId="0" borderId="60" xfId="0" applyFont="1" applyBorder="1" applyAlignment="1">
      <alignment horizontal="left" vertical="top"/>
    </xf>
    <xf numFmtId="0" fontId="44" fillId="0" borderId="66" xfId="0" applyFont="1" applyBorder="1" applyAlignment="1">
      <alignment horizontal="left" vertical="top"/>
    </xf>
    <xf numFmtId="0" fontId="44" fillId="0" borderId="60" xfId="0" applyFont="1" applyBorder="1" applyAlignment="1">
      <alignment horizontal="left"/>
    </xf>
    <xf numFmtId="0" fontId="44" fillId="0" borderId="66" xfId="0" applyFont="1" applyBorder="1" applyAlignment="1">
      <alignment horizontal="left"/>
    </xf>
    <xf numFmtId="0" fontId="44" fillId="0" borderId="68" xfId="0" applyFont="1" applyBorder="1" applyAlignment="1">
      <alignment horizontal="center" vertical="center"/>
    </xf>
    <xf numFmtId="0" fontId="44" fillId="0" borderId="46" xfId="0" applyFont="1" applyBorder="1" applyAlignment="1">
      <alignment horizontal="center" vertical="center"/>
    </xf>
    <xf numFmtId="0" fontId="44" fillId="0" borderId="59" xfId="0" applyFont="1" applyBorder="1" applyAlignment="1">
      <alignment horizontal="left" vertical="center"/>
    </xf>
    <xf numFmtId="0" fontId="44" fillId="0" borderId="60" xfId="0" applyFont="1" applyBorder="1" applyAlignment="1">
      <alignment horizontal="left" vertical="center"/>
    </xf>
    <xf numFmtId="0" fontId="44" fillId="0" borderId="61" xfId="0" applyFont="1" applyBorder="1" applyAlignment="1">
      <alignment horizontal="left" vertical="center"/>
    </xf>
    <xf numFmtId="0" fontId="44" fillId="0" borderId="62" xfId="0" applyFont="1" applyBorder="1" applyAlignment="1">
      <alignment horizontal="center" vertical="center"/>
    </xf>
    <xf numFmtId="0" fontId="44" fillId="0" borderId="64" xfId="0" applyFont="1" applyBorder="1" applyAlignment="1">
      <alignment horizontal="center" vertical="center"/>
    </xf>
    <xf numFmtId="0" fontId="44" fillId="4" borderId="44" xfId="0" applyFont="1" applyFill="1" applyBorder="1" applyAlignment="1">
      <alignment horizontal="center" vertical="center"/>
    </xf>
    <xf numFmtId="0" fontId="44" fillId="4" borderId="54" xfId="0" applyFont="1" applyFill="1" applyBorder="1" applyAlignment="1">
      <alignment horizontal="center" vertical="center"/>
    </xf>
    <xf numFmtId="0" fontId="44" fillId="4" borderId="46" xfId="0" applyFont="1" applyFill="1" applyBorder="1" applyAlignment="1">
      <alignment horizontal="center" vertical="center"/>
    </xf>
    <xf numFmtId="0" fontId="44" fillId="3" borderId="44" xfId="0" applyFont="1" applyFill="1" applyBorder="1" applyAlignment="1">
      <alignment horizontal="center" vertical="center"/>
    </xf>
    <xf numFmtId="0" fontId="44" fillId="3" borderId="54" xfId="0" applyFont="1" applyFill="1" applyBorder="1" applyAlignment="1">
      <alignment horizontal="center"/>
    </xf>
    <xf numFmtId="0" fontId="44" fillId="3" borderId="46" xfId="0" applyFont="1" applyFill="1" applyBorder="1" applyAlignment="1">
      <alignment horizontal="center"/>
    </xf>
    <xf numFmtId="0" fontId="44" fillId="0" borderId="54" xfId="0" applyFont="1" applyBorder="1" applyAlignment="1">
      <alignment horizontal="center"/>
    </xf>
    <xf numFmtId="0" fontId="44" fillId="0" borderId="46" xfId="0" applyFont="1" applyBorder="1" applyAlignment="1">
      <alignment horizontal="center"/>
    </xf>
    <xf numFmtId="0" fontId="44" fillId="4" borderId="44" xfId="0" applyFont="1" applyFill="1" applyBorder="1" applyAlignment="1">
      <alignment horizontal="center" vertical="center" wrapText="1"/>
    </xf>
    <xf numFmtId="0" fontId="46" fillId="4" borderId="44" xfId="0" applyFont="1" applyFill="1" applyBorder="1" applyAlignment="1">
      <alignment horizontal="center" vertical="center"/>
    </xf>
    <xf numFmtId="0" fontId="44" fillId="3" borderId="45" xfId="0" applyFont="1" applyFill="1" applyBorder="1" applyAlignment="1">
      <alignment horizontal="center" vertical="center"/>
    </xf>
    <xf numFmtId="0" fontId="44" fillId="3" borderId="48" xfId="0" applyFont="1" applyFill="1" applyBorder="1" applyAlignment="1">
      <alignment horizontal="center" vertical="center"/>
    </xf>
    <xf numFmtId="0" fontId="44" fillId="2" borderId="54" xfId="0" applyFont="1" applyFill="1" applyBorder="1" applyAlignment="1">
      <alignment horizontal="center"/>
    </xf>
    <xf numFmtId="0" fontId="44" fillId="2" borderId="46" xfId="0" applyFont="1" applyFill="1" applyBorder="1" applyAlignment="1">
      <alignment horizontal="center"/>
    </xf>
    <xf numFmtId="0" fontId="44" fillId="10" borderId="54" xfId="0" applyFont="1" applyFill="1" applyBorder="1" applyAlignment="1">
      <alignment horizontal="center"/>
    </xf>
    <xf numFmtId="0" fontId="44" fillId="10" borderId="46" xfId="0" applyFont="1" applyFill="1" applyBorder="1" applyAlignment="1">
      <alignment horizontal="center"/>
    </xf>
    <xf numFmtId="0" fontId="44" fillId="10" borderId="45" xfId="0" applyFont="1" applyFill="1" applyBorder="1" applyAlignment="1">
      <alignment horizontal="center" vertical="center"/>
    </xf>
    <xf numFmtId="0" fontId="44" fillId="10" borderId="48" xfId="0" applyFont="1" applyFill="1" applyBorder="1" applyAlignment="1">
      <alignment horizontal="center" vertical="center"/>
    </xf>
    <xf numFmtId="0" fontId="0" fillId="0" borderId="63" xfId="0" applyBorder="1" applyAlignment="1">
      <alignment horizontal="center"/>
    </xf>
    <xf numFmtId="0" fontId="0" fillId="0" borderId="65" xfId="0" applyBorder="1" applyAlignment="1">
      <alignment horizontal="center"/>
    </xf>
    <xf numFmtId="0" fontId="44" fillId="10" borderId="45" xfId="0" applyFont="1" applyFill="1" applyBorder="1" applyAlignment="1">
      <alignment horizontal="center" vertical="center" wrapText="1"/>
    </xf>
    <xf numFmtId="0" fontId="44" fillId="10" borderId="48" xfId="0" applyFont="1" applyFill="1" applyBorder="1" applyAlignment="1">
      <alignment horizontal="center" vertical="center" wrapText="1"/>
    </xf>
    <xf numFmtId="16" fontId="50" fillId="0" borderId="83" xfId="1745" applyNumberFormat="1" applyFont="1" applyBorder="1" applyAlignment="1">
      <alignment horizontal="center"/>
    </xf>
    <xf numFmtId="16" fontId="50" fillId="0" borderId="84" xfId="1745" applyNumberFormat="1" applyFont="1" applyBorder="1" applyAlignment="1">
      <alignment horizontal="center"/>
    </xf>
    <xf numFmtId="16" fontId="50" fillId="0" borderId="27" xfId="1745" applyNumberFormat="1" applyFont="1" applyBorder="1" applyAlignment="1">
      <alignment horizontal="center"/>
    </xf>
    <xf numFmtId="16" fontId="50" fillId="0" borderId="1" xfId="1745" applyNumberFormat="1" applyFont="1" applyBorder="1" applyAlignment="1">
      <alignment horizontal="center"/>
    </xf>
    <xf numFmtId="16" fontId="50" fillId="0" borderId="7" xfId="1745" applyNumberFormat="1" applyFont="1" applyBorder="1" applyAlignment="1">
      <alignment horizontal="center"/>
    </xf>
    <xf numFmtId="16" fontId="50" fillId="0" borderId="17" xfId="1745" applyNumberFormat="1" applyFont="1" applyBorder="1" applyAlignment="1">
      <alignment horizontal="center"/>
    </xf>
    <xf numFmtId="0" fontId="50" fillId="0" borderId="83" xfId="1745" applyFont="1" applyBorder="1"/>
    <xf numFmtId="0" fontId="50" fillId="0" borderId="27" xfId="1745" applyFont="1" applyBorder="1"/>
    <xf numFmtId="0" fontId="50" fillId="0" borderId="153" xfId="1745" applyFont="1" applyBorder="1"/>
    <xf numFmtId="0" fontId="50" fillId="0" borderId="154" xfId="1745" applyFont="1" applyBorder="1"/>
    <xf numFmtId="0" fontId="0" fillId="0" borderId="145" xfId="1745" applyFont="1" applyBorder="1"/>
    <xf numFmtId="0" fontId="0" fillId="0" borderId="156" xfId="1745" applyFont="1" applyBorder="1"/>
    <xf numFmtId="0" fontId="73" fillId="24" borderId="153" xfId="0" applyFont="1" applyFill="1" applyBorder="1" applyAlignment="1" applyProtection="1">
      <alignment horizontal="left" vertical="center" wrapText="1"/>
      <protection locked="0"/>
    </xf>
    <xf numFmtId="0" fontId="73" fillId="24" borderId="153" xfId="0" applyFont="1" applyFill="1" applyBorder="1" applyAlignment="1" applyProtection="1">
      <alignment horizontal="left" vertical="center"/>
      <protection locked="0"/>
    </xf>
    <xf numFmtId="0" fontId="62" fillId="0" borderId="172" xfId="0" applyFont="1" applyBorder="1" applyAlignment="1" applyProtection="1">
      <alignment horizontal="center"/>
      <protection locked="0"/>
    </xf>
    <xf numFmtId="0" fontId="62" fillId="0" borderId="58" xfId="0" applyFont="1" applyBorder="1" applyAlignment="1" applyProtection="1">
      <alignment horizontal="center"/>
      <protection locked="0"/>
    </xf>
    <xf numFmtId="0" fontId="67" fillId="0" borderId="1" xfId="0" applyFont="1" applyBorder="1" applyAlignment="1" applyProtection="1">
      <alignment horizontal="center" vertical="center" wrapText="1"/>
      <protection locked="0"/>
    </xf>
    <xf numFmtId="0" fontId="67" fillId="0" borderId="22" xfId="0" applyFont="1" applyBorder="1" applyAlignment="1" applyProtection="1">
      <alignment horizontal="center" vertical="center" wrapText="1"/>
      <protection locked="0"/>
    </xf>
    <xf numFmtId="0" fontId="67" fillId="0" borderId="8" xfId="0" applyFont="1" applyBorder="1" applyAlignment="1" applyProtection="1">
      <alignment horizontal="center" vertical="center" wrapText="1"/>
      <protection locked="0"/>
    </xf>
    <xf numFmtId="0" fontId="73" fillId="24" borderId="23" xfId="0" applyFont="1" applyFill="1" applyBorder="1" applyAlignment="1" applyProtection="1">
      <alignment horizontal="left" vertical="center"/>
      <protection locked="0"/>
    </xf>
    <xf numFmtId="0" fontId="64" fillId="0" borderId="26" xfId="0" applyFont="1" applyBorder="1" applyAlignment="1" applyProtection="1">
      <alignment horizontal="left" vertical="center" wrapText="1"/>
      <protection locked="0"/>
    </xf>
    <xf numFmtId="0" fontId="64" fillId="0" borderId="58" xfId="0" applyFont="1" applyBorder="1" applyAlignment="1" applyProtection="1">
      <alignment horizontal="left" vertical="center" wrapText="1"/>
      <protection locked="0"/>
    </xf>
    <xf numFmtId="0" fontId="73" fillId="24" borderId="173" xfId="0" applyFont="1" applyFill="1" applyBorder="1" applyAlignment="1" applyProtection="1">
      <alignment horizontal="left" vertical="center"/>
      <protection locked="0"/>
    </xf>
    <xf numFmtId="0" fontId="73" fillId="24" borderId="145" xfId="0" applyFont="1" applyFill="1" applyBorder="1" applyAlignment="1" applyProtection="1">
      <alignment horizontal="left" vertical="center" wrapText="1"/>
      <protection locked="0"/>
    </xf>
    <xf numFmtId="0" fontId="62" fillId="0" borderId="36" xfId="0" applyFont="1" applyBorder="1" applyAlignment="1" applyProtection="1">
      <alignment horizontal="center"/>
      <protection locked="0"/>
    </xf>
    <xf numFmtId="0" fontId="64" fillId="0" borderId="26" xfId="0" applyFont="1" applyBorder="1" applyAlignment="1" applyProtection="1">
      <alignment horizontal="left" vertical="center"/>
      <protection locked="0"/>
    </xf>
    <xf numFmtId="0" fontId="64" fillId="0" borderId="58" xfId="0" applyFont="1" applyBorder="1" applyAlignment="1" applyProtection="1">
      <alignment horizontal="left" vertical="center"/>
      <protection locked="0"/>
    </xf>
    <xf numFmtId="0" fontId="64" fillId="0" borderId="26" xfId="0" applyFont="1" applyBorder="1" applyAlignment="1" applyProtection="1">
      <alignment horizontal="center"/>
      <protection locked="0"/>
    </xf>
    <xf numFmtId="0" fontId="64" fillId="0" borderId="31" xfId="0" applyFont="1" applyBorder="1" applyAlignment="1" applyProtection="1">
      <alignment horizontal="center"/>
      <protection locked="0"/>
    </xf>
    <xf numFmtId="0" fontId="64" fillId="0" borderId="36" xfId="0" applyFont="1" applyBorder="1" applyAlignment="1" applyProtection="1">
      <alignment horizontal="left" vertical="center"/>
      <protection locked="0"/>
    </xf>
    <xf numFmtId="0" fontId="62" fillId="0" borderId="31" xfId="0" applyFont="1" applyBorder="1" applyAlignment="1" applyProtection="1">
      <alignment horizontal="center"/>
      <protection locked="0"/>
    </xf>
    <xf numFmtId="0" fontId="64" fillId="0" borderId="58" xfId="0" applyFont="1" applyBorder="1" applyAlignment="1" applyProtection="1">
      <alignment horizontal="center"/>
      <protection locked="0"/>
    </xf>
    <xf numFmtId="0" fontId="64" fillId="0" borderId="172" xfId="0" applyFont="1" applyBorder="1" applyAlignment="1" applyProtection="1">
      <alignment horizontal="left" vertical="center" wrapText="1"/>
      <protection locked="0"/>
    </xf>
    <xf numFmtId="0" fontId="64" fillId="0" borderId="172" xfId="0" applyFont="1" applyBorder="1" applyAlignment="1" applyProtection="1">
      <alignment horizontal="left" vertical="center"/>
      <protection locked="0"/>
    </xf>
    <xf numFmtId="0" fontId="64" fillId="0" borderId="26" xfId="0" applyFont="1" applyBorder="1" applyAlignment="1" applyProtection="1">
      <alignment horizontal="left"/>
      <protection locked="0"/>
    </xf>
    <xf numFmtId="0" fontId="64" fillId="0" borderId="36" xfId="0" applyFont="1" applyBorder="1" applyAlignment="1" applyProtection="1">
      <alignment horizontal="left"/>
      <protection locked="0"/>
    </xf>
    <xf numFmtId="0" fontId="64" fillId="0" borderId="26" xfId="0" applyFont="1" applyBorder="1" applyAlignment="1" applyProtection="1">
      <alignment horizontal="left" wrapText="1"/>
      <protection locked="0"/>
    </xf>
    <xf numFmtId="0" fontId="64" fillId="0" borderId="58" xfId="0" applyFont="1" applyBorder="1" applyAlignment="1" applyProtection="1">
      <alignment horizontal="left" wrapText="1"/>
      <protection locked="0"/>
    </xf>
    <xf numFmtId="0" fontId="64" fillId="0" borderId="5" xfId="0" applyFont="1" applyBorder="1" applyAlignment="1">
      <alignment horizontal="center"/>
    </xf>
    <xf numFmtId="0" fontId="64" fillId="0" borderId="42" xfId="0" applyFont="1" applyBorder="1" applyAlignment="1">
      <alignment horizontal="center"/>
    </xf>
    <xf numFmtId="0" fontId="64" fillId="0" borderId="6" xfId="0" applyFont="1" applyBorder="1" applyAlignment="1">
      <alignment horizontal="center"/>
    </xf>
  </cellXfs>
  <cellStyles count="1799">
    <cellStyle name="20% - Accent1 2" xfId="448" xr:uid="{CB9B57DD-84D4-43E9-9CF0-D3A4CA714F2E}"/>
    <cellStyle name="20% - Accent2 2" xfId="449" xr:uid="{1C44E141-D566-49BF-A482-3FBF76BAE637}"/>
    <cellStyle name="20% - Accent3 2" xfId="450" xr:uid="{DB0BEB13-68DE-4610-88DD-54996B43E9F4}"/>
    <cellStyle name="20% - Accent4 2" xfId="451" xr:uid="{2B390370-198B-48F9-BACE-FC02E35E1CDC}"/>
    <cellStyle name="20% - Accent5 2" xfId="452" xr:uid="{4412C4C8-5D1F-41F5-994C-922B1E231CBF}"/>
    <cellStyle name="20% - Accent6 2" xfId="453" xr:uid="{89618F37-2254-4493-8B41-E4BAD558B59A}"/>
    <cellStyle name="40% - Accent1 2" xfId="454" xr:uid="{EF5F2933-0FF5-4895-8A87-F3588AEE1C7E}"/>
    <cellStyle name="40% - Accent2 2" xfId="455" xr:uid="{24072168-DC7D-417A-9C15-FCC96C73A853}"/>
    <cellStyle name="40% - Accent3 2" xfId="456" xr:uid="{B7EEEC45-5FBD-42A1-BE47-B47903A8B753}"/>
    <cellStyle name="40% - Accent4 2" xfId="457" xr:uid="{A759A1D8-215D-4AAA-B95F-6B0C81326AAB}"/>
    <cellStyle name="40% - Accent5 2" xfId="458" xr:uid="{5388A9BD-7F55-42B1-BCEB-7E3994CCDECC}"/>
    <cellStyle name="40% - Accent6 2" xfId="459" xr:uid="{37983981-9811-42AB-AEAF-B02C40740D91}"/>
    <cellStyle name="60% - Accent1 2" xfId="460" xr:uid="{69F648DA-61F6-45F5-ADC2-86117D67546E}"/>
    <cellStyle name="60% - Accent2 2" xfId="461" xr:uid="{A2EE4DB5-747A-4163-922D-569F8F03FDAE}"/>
    <cellStyle name="60% - Accent3 2" xfId="462" xr:uid="{3A5855D9-806F-41B4-9512-A7A2D6854DFD}"/>
    <cellStyle name="60% - Accent4 2" xfId="463" xr:uid="{BC2C49CD-6398-4E05-99DA-A89C88338FDC}"/>
    <cellStyle name="60% - Accent5 2" xfId="464" xr:uid="{DDCC87EB-9364-400D-8474-0239A036A73C}"/>
    <cellStyle name="60% - Accent6 2" xfId="465" xr:uid="{BFFC8B55-9F91-4EB9-B2AB-D2CCF46CB521}"/>
    <cellStyle name="Accent1 2" xfId="466" xr:uid="{09B80861-53F0-45C1-B0DE-9DFD17098E18}"/>
    <cellStyle name="Accent2 2" xfId="467" xr:uid="{6BA2BCAB-E611-4947-AC44-E439834C643A}"/>
    <cellStyle name="Accent3 2" xfId="468" xr:uid="{09034DF3-4D07-4FF3-8468-ADA346BB8643}"/>
    <cellStyle name="Accent4 2" xfId="469" xr:uid="{4EDED981-23AC-42BF-8080-ED3B339F2837}"/>
    <cellStyle name="Accent5 2" xfId="470" xr:uid="{C15AB1E3-A677-4DF8-BB1B-A1BB5CE66C4F}"/>
    <cellStyle name="Accent6 2" xfId="471" xr:uid="{413CBFCD-8AE1-4DB0-B20B-38F2173356B4}"/>
    <cellStyle name="Bad 2" xfId="472" xr:uid="{EC2826FD-836A-4255-842B-48BFDEB71759}"/>
    <cellStyle name="Calculation 2" xfId="473" xr:uid="{88255BCA-F6B6-4BF4-9769-8CA31AEBE0B8}"/>
    <cellStyle name="Check Cell 2" xfId="474" xr:uid="{A6C4287F-859B-44A0-90BA-17423F9BD4ED}"/>
    <cellStyle name="Comma" xfId="1" builtinId="3"/>
    <cellStyle name="Comma 10" xfId="716" xr:uid="{2C4E7404-4815-4742-BB81-EB0C01696D7A}"/>
    <cellStyle name="Comma 10 2" xfId="1034" xr:uid="{452C1425-D62B-4A2A-988B-0C79A6185707}"/>
    <cellStyle name="Comma 10 2 2" xfId="1601" xr:uid="{53509274-2DCE-44DB-895B-719A81C9A0FA}"/>
    <cellStyle name="Comma 10 3" xfId="1283" xr:uid="{37A2ACE4-3C52-4240-B720-ECCCEA4402C9}"/>
    <cellStyle name="Comma 11" xfId="876" xr:uid="{1652A098-18BB-44B5-889F-BE01F88FD5F8}"/>
    <cellStyle name="Comma 11 12" xfId="1696" xr:uid="{0E306D35-CDAC-4F18-8DD1-6D342BBC9570}"/>
    <cellStyle name="Comma 11 2" xfId="1443" xr:uid="{D6984405-1274-446A-A7F5-6C1E9F071873}"/>
    <cellStyle name="Comma 12" xfId="797" xr:uid="{944EAA71-DF79-41B3-8603-89726EF7C762}"/>
    <cellStyle name="Comma 12 2" xfId="1364" xr:uid="{83C4E2A1-1D55-449C-8222-1DC6A9341E6C}"/>
    <cellStyle name="Comma 13" xfId="1121" xr:uid="{4654B35E-59A5-43B0-9994-AB3F69F1607E}"/>
    <cellStyle name="Comma 14" xfId="1693" xr:uid="{47B9C7FE-825F-4142-9FA9-64B1CEFCB2A9}"/>
    <cellStyle name="Comma 18 2 3 2" xfId="1706" xr:uid="{59A0FD47-1501-4C9B-8953-26C13D6356EA}"/>
    <cellStyle name="Comma 2" xfId="2" xr:uid="{00000000-0005-0000-0000-000031000000}"/>
    <cellStyle name="Comma 2 2" xfId="142" xr:uid="{9C167DF9-D325-478D-BF20-7D0E8F22588E}"/>
    <cellStyle name="Comma 2 2 2" xfId="477" xr:uid="{E9A2F5FD-42DA-4DDF-9C93-B14A16EA29EF}"/>
    <cellStyle name="Comma 2 2 2 2" xfId="626" xr:uid="{07CA9F46-B146-45C8-8871-581EE55D2D05}"/>
    <cellStyle name="Comma 2 2 2 2 2" xfId="708" xr:uid="{5D16EBE3-935E-46E2-94CB-E6FBC074275F}"/>
    <cellStyle name="Comma 2 2 2 2 2 2" xfId="1026" xr:uid="{08A616F9-1C14-408A-8998-A2426DA723A8}"/>
    <cellStyle name="Comma 2 2 2 2 2 2 2" xfId="1593" xr:uid="{740BB1EB-5F95-4228-AFEC-292F7B1F4CD4}"/>
    <cellStyle name="Comma 2 2 2 2 2 3" xfId="1275" xr:uid="{AB92F5AD-15E4-4C26-89F2-901EB704ACFE}"/>
    <cellStyle name="Comma 2 2 2 2 3" xfId="787" xr:uid="{7D67B23F-5A9F-40FA-968D-7A6D5F46A282}"/>
    <cellStyle name="Comma 2 2 2 2 3 2" xfId="1105" xr:uid="{E2664DB3-152B-469C-A703-A960AFCDA8A1}"/>
    <cellStyle name="Comma 2 2 2 2 3 2 2" xfId="1672" xr:uid="{1D2656F7-0334-4389-A9D4-A0EACBF2FB0B}"/>
    <cellStyle name="Comma 2 2 2 2 3 3" xfId="1354" xr:uid="{2F654E99-4BE5-4328-AFE7-105547C2465C}"/>
    <cellStyle name="Comma 2 2 2 2 4" xfId="947" xr:uid="{1BDEDA72-203D-48D8-8B56-E253234AE92B}"/>
    <cellStyle name="Comma 2 2 2 2 4 2" xfId="1514" xr:uid="{F14B5976-50AF-4671-9672-D4E24F3312D8}"/>
    <cellStyle name="Comma 2 2 2 2 5" xfId="868" xr:uid="{0C8AC4AA-A6BC-40AF-8528-B753F88F3573}"/>
    <cellStyle name="Comma 2 2 2 2 5 2" xfId="1435" xr:uid="{B344A667-17F5-4165-943C-BF6DFD091161}"/>
    <cellStyle name="Comma 2 2 2 2 6" xfId="1194" xr:uid="{077D0097-047D-4DD6-9767-0DABD2427B63}"/>
    <cellStyle name="Comma 2 2 2 3" xfId="639" xr:uid="{14048AC3-1A03-4555-A93D-DB8B6F770123}"/>
    <cellStyle name="Comma 2 2 2 3 2" xfId="957" xr:uid="{B0162CA3-6C63-44F6-BB2D-2D081731EB78}"/>
    <cellStyle name="Comma 2 2 2 3 2 2" xfId="1524" xr:uid="{CE358BB6-E652-4F2B-9F25-01E448F6C9B1}"/>
    <cellStyle name="Comma 2 2 2 3 3" xfId="1206" xr:uid="{95086E4B-50EB-4D81-BA77-263EFEFF79CC}"/>
    <cellStyle name="Comma 2 2 2 4" xfId="718" xr:uid="{0913B472-8BA2-40ED-BC7A-1882F13B1E7F}"/>
    <cellStyle name="Comma 2 2 2 4 2" xfId="1036" xr:uid="{5DCBA7F0-458C-4002-B196-A37D23C88CA3}"/>
    <cellStyle name="Comma 2 2 2 4 2 2" xfId="1603" xr:uid="{E5CF9DF5-A27D-4FDD-ABE4-755E38ABD87E}"/>
    <cellStyle name="Comma 2 2 2 4 3" xfId="1285" xr:uid="{55CD4AD9-7B60-4ED0-8CCE-1795FA9EF209}"/>
    <cellStyle name="Comma 2 2 2 5" xfId="878" xr:uid="{0BA87F08-D967-4BF2-940A-0F786D8A2DB3}"/>
    <cellStyle name="Comma 2 2 2 5 2" xfId="1445" xr:uid="{EBCB4ED6-8AFE-480F-84D5-48A9FCFD54FB}"/>
    <cellStyle name="Comma 2 2 2 6" xfId="799" xr:uid="{8437F8E5-8853-495A-840F-92F863AD0F89}"/>
    <cellStyle name="Comma 2 2 2 6 2" xfId="1366" xr:uid="{1AC1E9DD-C586-4A90-9D56-B7CBE86BD87B}"/>
    <cellStyle name="Comma 2 2 2 7" xfId="1123" xr:uid="{9B04DD44-AF82-494A-BAFD-B872692DA69E}"/>
    <cellStyle name="Comma 2 2 3" xfId="616" xr:uid="{E2128D70-7682-4B77-9154-F4E59061127A}"/>
    <cellStyle name="Comma 2 2 3 2" xfId="699" xr:uid="{7C5E1DFF-0376-463F-82BA-D719D356C070}"/>
    <cellStyle name="Comma 2 2 3 2 2" xfId="1017" xr:uid="{DF56C413-FD12-4358-9891-C586D4D0776F}"/>
    <cellStyle name="Comma 2 2 3 2 2 2" xfId="1584" xr:uid="{BCFA675D-65E1-4D0F-9213-92B0A601627F}"/>
    <cellStyle name="Comma 2 2 3 2 3" xfId="1266" xr:uid="{99EAD2A0-3DA6-4D53-9D41-45224685984D}"/>
    <cellStyle name="Comma 2 2 3 3" xfId="778" xr:uid="{1865C39E-1251-45B7-A8FA-0F442F8989C3}"/>
    <cellStyle name="Comma 2 2 3 3 2" xfId="1096" xr:uid="{286143DC-A7AF-46ED-B267-7AB6EFAEC90B}"/>
    <cellStyle name="Comma 2 2 3 3 2 2" xfId="1663" xr:uid="{61600948-62EE-4FED-8C3F-A794CD4DEE7C}"/>
    <cellStyle name="Comma 2 2 3 3 3" xfId="1345" xr:uid="{CFAE42AE-CA16-4244-B7B6-57B007D9C42C}"/>
    <cellStyle name="Comma 2 2 3 4" xfId="938" xr:uid="{B8092069-3294-4C98-B22B-045691FE7FDA}"/>
    <cellStyle name="Comma 2 2 3 4 2" xfId="1505" xr:uid="{C1033E8B-9FB0-46BF-A937-1362BFFE6C76}"/>
    <cellStyle name="Comma 2 2 3 5" xfId="859" xr:uid="{3B16706C-BC0B-4BD2-86D1-0857B06615CA}"/>
    <cellStyle name="Comma 2 2 3 5 2" xfId="1426" xr:uid="{18134EFF-2024-4452-92FD-B74FD99AC2EC}"/>
    <cellStyle name="Comma 2 2 3 6" xfId="1185" xr:uid="{C4019423-528F-405D-BC4A-450F890F296E}"/>
    <cellStyle name="Comma 2 2 4" xfId="638" xr:uid="{B7A08B85-8002-401E-834A-66F732A5F470}"/>
    <cellStyle name="Comma 2 2 4 2" xfId="956" xr:uid="{6D44B984-0CBC-4172-B7C8-A833D126F515}"/>
    <cellStyle name="Comma 2 2 4 2 2" xfId="1523" xr:uid="{D7D24596-05B0-4E82-9E4E-E9B2C98174D5}"/>
    <cellStyle name="Comma 2 2 4 3" xfId="1205" xr:uid="{41D38A84-634F-4D48-AD40-C5ED198E5AA8}"/>
    <cellStyle name="Comma 2 2 5" xfId="717" xr:uid="{8F0C99AD-E775-43C2-8260-D727033BE716}"/>
    <cellStyle name="Comma 2 2 5 2" xfId="1035" xr:uid="{4873B0DA-0DEA-48FB-862B-D35274888190}"/>
    <cellStyle name="Comma 2 2 5 2 2" xfId="1602" xr:uid="{7D546EB6-BDDF-4C2E-A7FA-865AB8CF1825}"/>
    <cellStyle name="Comma 2 2 5 3" xfId="1284" xr:uid="{875B2651-82F4-47D9-AAD9-FDF8E5EB9414}"/>
    <cellStyle name="Comma 2 2 6" xfId="877" xr:uid="{286E70B5-4972-4B95-8492-7621DE41EBFF}"/>
    <cellStyle name="Comma 2 2 6 2" xfId="1444" xr:uid="{F3B03F73-9185-45FC-A911-17816CEED6FE}"/>
    <cellStyle name="Comma 2 2 7" xfId="798" xr:uid="{9BF16758-456D-4E45-827D-263F421845C4}"/>
    <cellStyle name="Comma 2 2 7 2" xfId="1365" xr:uid="{18056250-1C31-4687-99A3-8154561AE612}"/>
    <cellStyle name="Comma 2 2 8" xfId="1122" xr:uid="{3F2F462B-419D-44E7-B406-282069727CFB}"/>
    <cellStyle name="Comma 2 2 9" xfId="476" xr:uid="{DEFF18E7-87E8-45AE-8C80-51C59834ED2A}"/>
    <cellStyle name="Comma 2 3" xfId="478" xr:uid="{34201979-042B-48AB-A8F2-BEEF5237B527}"/>
    <cellStyle name="Comma 2 3 2" xfId="479" xr:uid="{9323CF4B-4D6D-441A-90E6-5B0552B47ECE}"/>
    <cellStyle name="Comma 2 3 2 2" xfId="627" xr:uid="{A5F72C86-BFD5-4C93-BF20-4E90A40D2E4A}"/>
    <cellStyle name="Comma 2 3 2 2 2" xfId="709" xr:uid="{6F1F0C1E-0A3D-48A2-8B4F-23049123B469}"/>
    <cellStyle name="Comma 2 3 2 2 2 2" xfId="1027" xr:uid="{44C905A7-10A8-4845-9F6A-1515B27B026D}"/>
    <cellStyle name="Comma 2 3 2 2 2 2 2" xfId="1594" xr:uid="{5BA9ED58-E81F-4D08-B93E-A7AA82DF2D44}"/>
    <cellStyle name="Comma 2 3 2 2 2 3" xfId="1276" xr:uid="{EF8E7D7C-D984-4258-A2C4-ACA5B8567989}"/>
    <cellStyle name="Comma 2 3 2 2 3" xfId="788" xr:uid="{9A5A3198-54AF-40F6-ADBC-279656E3F144}"/>
    <cellStyle name="Comma 2 3 2 2 3 2" xfId="1106" xr:uid="{84E1723D-816D-43BA-B95C-3146968C2F30}"/>
    <cellStyle name="Comma 2 3 2 2 3 2 2" xfId="1673" xr:uid="{48311A97-D08A-4CDF-8EF0-490D30DB41FE}"/>
    <cellStyle name="Comma 2 3 2 2 3 3" xfId="1355" xr:uid="{BE2098C1-1B2C-4B26-8814-D7EE3FF7D587}"/>
    <cellStyle name="Comma 2 3 2 2 4" xfId="948" xr:uid="{9D2C4A9A-0074-4CAB-8500-AD75FB57AA1C}"/>
    <cellStyle name="Comma 2 3 2 2 4 2" xfId="1515" xr:uid="{D9857408-F4B4-4B9D-AFAD-AAA221072EED}"/>
    <cellStyle name="Comma 2 3 2 2 5" xfId="869" xr:uid="{FB8DDBA5-CB88-4069-9DEA-FC9117B45E53}"/>
    <cellStyle name="Comma 2 3 2 2 5 2" xfId="1436" xr:uid="{9B17A4D5-8123-4905-BF17-B077439EDC61}"/>
    <cellStyle name="Comma 2 3 2 2 6" xfId="1195" xr:uid="{2B44DBDE-2B16-4EBE-9621-F30D44B985A8}"/>
    <cellStyle name="Comma 2 3 2 3" xfId="640" xr:uid="{14E91A48-7EC9-4C75-ABC2-A2431E45493D}"/>
    <cellStyle name="Comma 2 3 2 3 2" xfId="958" xr:uid="{5106BBEC-F721-4D54-AE0E-5A418711F06E}"/>
    <cellStyle name="Comma 2 3 2 3 2 2" xfId="1525" xr:uid="{380ED050-6594-41AA-9C17-04B8193A36A8}"/>
    <cellStyle name="Comma 2 3 2 3 3" xfId="1207" xr:uid="{2A1FD0A9-5DC7-4455-BFC4-AF67F625CCBC}"/>
    <cellStyle name="Comma 2 3 2 4" xfId="719" xr:uid="{3ED68935-0235-4371-B5A8-3C962CBECF1C}"/>
    <cellStyle name="Comma 2 3 2 4 2" xfId="1037" xr:uid="{5A7031EB-16BB-4957-A418-00B858643716}"/>
    <cellStyle name="Comma 2 3 2 4 2 2" xfId="1604" xr:uid="{D1518C10-1FA0-4009-8478-A1B1B9D43AC9}"/>
    <cellStyle name="Comma 2 3 2 4 3" xfId="1286" xr:uid="{DE08EA21-96C3-4A0B-B324-0FF94EA4BDA8}"/>
    <cellStyle name="Comma 2 3 2 5" xfId="879" xr:uid="{CA0D6DDC-29A7-4F66-9C7B-61BBE89E9FDD}"/>
    <cellStyle name="Comma 2 3 2 5 2" xfId="1446" xr:uid="{6866B850-D2D0-4764-ABD5-23F6E00F1B83}"/>
    <cellStyle name="Comma 2 3 2 6" xfId="800" xr:uid="{0E803548-A275-454F-AAC5-701DBF74D68F}"/>
    <cellStyle name="Comma 2 3 2 6 2" xfId="1367" xr:uid="{414D82FA-69AA-47F1-9A2C-A028F668E886}"/>
    <cellStyle name="Comma 2 3 2 7" xfId="1124" xr:uid="{CE87E743-9831-4ADC-93F3-6B723158149A}"/>
    <cellStyle name="Comma 2 4" xfId="480" xr:uid="{AB2D4A5D-6EB0-4B00-9449-0866981190C7}"/>
    <cellStyle name="Comma 2 4 2" xfId="625" xr:uid="{8BEECEF1-E357-4B8B-9FC4-6F726360EDA2}"/>
    <cellStyle name="Comma 2 4 2 2" xfId="707" xr:uid="{EAC1DEAA-7E18-4C71-9FC6-DF2A37B286C3}"/>
    <cellStyle name="Comma 2 4 2 2 2" xfId="1025" xr:uid="{4AE2632B-FF39-41BC-AD80-54B338C52FE4}"/>
    <cellStyle name="Comma 2 4 2 2 2 2" xfId="1592" xr:uid="{2AFCDE86-ED7F-4321-92AD-B9D7D289EBAC}"/>
    <cellStyle name="Comma 2 4 2 2 3" xfId="1274" xr:uid="{B535DA90-CCC2-4799-B297-7A22E52F457F}"/>
    <cellStyle name="Comma 2 4 2 3" xfId="786" xr:uid="{A38D46B3-DAF2-4445-BC0D-B201AAA1EC84}"/>
    <cellStyle name="Comma 2 4 2 3 2" xfId="1104" xr:uid="{CCFCE54F-000B-4594-A989-1E71BA6FF796}"/>
    <cellStyle name="Comma 2 4 2 3 2 2" xfId="1671" xr:uid="{AE57ACB0-1662-47E0-AC61-7AE91F815001}"/>
    <cellStyle name="Comma 2 4 2 3 3" xfId="1353" xr:uid="{C710C786-78E2-41AB-9B14-16C8A7C4426F}"/>
    <cellStyle name="Comma 2 4 2 4" xfId="946" xr:uid="{A1AB0447-155D-4CF5-AEAA-B118143F0064}"/>
    <cellStyle name="Comma 2 4 2 4 2" xfId="1513" xr:uid="{AE73939C-649E-4E4D-8B45-EE7433BACD46}"/>
    <cellStyle name="Comma 2 4 2 5" xfId="867" xr:uid="{BB1663A2-9D51-4EFC-9EE0-77322D9D5F23}"/>
    <cellStyle name="Comma 2 4 2 5 2" xfId="1434" xr:uid="{A63043C2-AFC9-420F-9AF6-5B293BD0B7F9}"/>
    <cellStyle name="Comma 2 4 2 6" xfId="1193" xr:uid="{98C3E3F0-FC70-468A-B87F-89D2EB7F2ED0}"/>
    <cellStyle name="Comma 2 4 3" xfId="641" xr:uid="{A0D18DF9-8589-4B46-AE8A-EF17888A3053}"/>
    <cellStyle name="Comma 2 4 3 2" xfId="959" xr:uid="{33C6BC63-DE99-4F39-9C36-402C171BE625}"/>
    <cellStyle name="Comma 2 4 3 2 2" xfId="1526" xr:uid="{1263AA31-41A0-4CC1-8F42-4C56F88566A1}"/>
    <cellStyle name="Comma 2 4 3 3" xfId="1208" xr:uid="{38E523B3-F6FA-407E-9F85-7BC1D9B1447F}"/>
    <cellStyle name="Comma 2 4 4" xfId="720" xr:uid="{BE985EE4-4FAB-4B0F-8BB6-BB7FD6576DF9}"/>
    <cellStyle name="Comma 2 4 4 2" xfId="1038" xr:uid="{F9BDAC53-85BE-4381-85CD-BAC4ED2E15DD}"/>
    <cellStyle name="Comma 2 4 4 2 2" xfId="1605" xr:uid="{8531DBF9-2F15-4191-83C0-E093F6CFC996}"/>
    <cellStyle name="Comma 2 4 4 3" xfId="1287" xr:uid="{EB3528F3-A8CF-415C-B22B-41261014BDE3}"/>
    <cellStyle name="Comma 2 4 5" xfId="880" xr:uid="{1334C569-3416-4930-BC20-976A193A3CFF}"/>
    <cellStyle name="Comma 2 4 5 2" xfId="1447" xr:uid="{4327384E-D41B-425C-BC09-CE7D3F318703}"/>
    <cellStyle name="Comma 2 4 6" xfId="801" xr:uid="{AF1BFFB6-E80B-4121-907F-B48711DCCB71}"/>
    <cellStyle name="Comma 2 4 6 2" xfId="1368" xr:uid="{783F2A3A-8351-4623-B309-7E594F712654}"/>
    <cellStyle name="Comma 2 4 7" xfId="1125" xr:uid="{C7B10B71-D321-4B38-812B-6B65F72662AA}"/>
    <cellStyle name="Comma 2 5" xfId="796" xr:uid="{1FBC0E52-162D-4C51-84AB-448AA255FDFD}"/>
    <cellStyle name="Comma 2 5 2" xfId="1114" xr:uid="{327000B1-AF89-4039-B650-D491698885D1}"/>
    <cellStyle name="Comma 2 5 2 2" xfId="1681" xr:uid="{B1907487-CEA0-470F-A79C-792D129A3D2F}"/>
    <cellStyle name="Comma 2 5 3" xfId="1363" xr:uid="{04E32C9C-493C-4FB3-AB28-21A18520EC0C}"/>
    <cellStyle name="Comma 2 6" xfId="1699" xr:uid="{01F8CC62-C37B-46ED-9977-44E741B9821C}"/>
    <cellStyle name="Comma 2 7" xfId="475" xr:uid="{24A68E8F-1205-4AAB-9285-55B0B66F018C}"/>
    <cellStyle name="Comma 3" xfId="119" xr:uid="{F003371F-6E82-4B78-8BFB-79364BDF92F4}"/>
    <cellStyle name="Comma 3 10" xfId="1695" xr:uid="{F64FC9BD-7CF3-456E-84D9-ADDC19ADA0FC}"/>
    <cellStyle name="Comma 3 11" xfId="481" xr:uid="{A5B29102-6DBA-4E1A-B40B-C177F95C6D1A}"/>
    <cellStyle name="Comma 3 12" xfId="1746" xr:uid="{C83F36D4-89AA-438B-8CDB-0B45351F9EAA}"/>
    <cellStyle name="Comma 3 2" xfId="120" xr:uid="{B04D5B94-2FAB-4C1B-839B-08EAAA961544}"/>
    <cellStyle name="Comma 3 2 2" xfId="483" xr:uid="{112BAC0D-A473-40E4-93BD-5A96F3478C30}"/>
    <cellStyle name="Comma 3 2 2 2" xfId="629" xr:uid="{8E477F43-4FED-4277-ACF4-1B2742682640}"/>
    <cellStyle name="Comma 3 2 2 2 2" xfId="711" xr:uid="{05302060-BBC7-4183-9F00-2130E796BFFA}"/>
    <cellStyle name="Comma 3 2 2 2 2 2" xfId="1029" xr:uid="{8616304F-81D1-4D04-A365-4508B217C63C}"/>
    <cellStyle name="Comma 3 2 2 2 2 2 2" xfId="1596" xr:uid="{9749FC4C-46EB-4655-A34E-24C0EAFBB59F}"/>
    <cellStyle name="Comma 3 2 2 2 2 3" xfId="1278" xr:uid="{0F71680D-56B0-40D8-8163-EB35C0DC5FDE}"/>
    <cellStyle name="Comma 3 2 2 2 3" xfId="790" xr:uid="{8457A67C-E689-43FE-B37B-E78EC2ABB70F}"/>
    <cellStyle name="Comma 3 2 2 2 3 2" xfId="1108" xr:uid="{8912483C-A558-4173-91EB-A84058007CD6}"/>
    <cellStyle name="Comma 3 2 2 2 3 2 2" xfId="1675" xr:uid="{7FBA1261-ED4D-4D89-941D-DF2152BD94AA}"/>
    <cellStyle name="Comma 3 2 2 2 3 3" xfId="1357" xr:uid="{7E175ACC-E8CC-4AFD-AC85-BFA331380461}"/>
    <cellStyle name="Comma 3 2 2 2 4" xfId="950" xr:uid="{10EEFFAC-EEB6-44BA-A7BD-9880F45B4170}"/>
    <cellStyle name="Comma 3 2 2 2 4 2" xfId="1517" xr:uid="{E8A370C6-8CBC-49C5-B5E5-7273FD6E46EF}"/>
    <cellStyle name="Comma 3 2 2 2 5" xfId="871" xr:uid="{44624976-6070-47A9-B28E-F5C3D3CD6A86}"/>
    <cellStyle name="Comma 3 2 2 2 5 2" xfId="1438" xr:uid="{F28C315B-7C28-45F6-AF29-8D621B00BE8B}"/>
    <cellStyle name="Comma 3 2 2 2 6" xfId="1197" xr:uid="{2FB0334C-8EFE-4BC9-96F0-67DD8E7F48C7}"/>
    <cellStyle name="Comma 3 2 2 3" xfId="644" xr:uid="{9414822F-4D7C-4B85-8AED-56FE6E0BB49E}"/>
    <cellStyle name="Comma 3 2 2 3 2" xfId="962" xr:uid="{B5862A75-CCB5-4DD2-ABBC-2EDB04E0E634}"/>
    <cellStyle name="Comma 3 2 2 3 2 2" xfId="1529" xr:uid="{642E27B9-7CC6-4C30-99DC-9610DAB82570}"/>
    <cellStyle name="Comma 3 2 2 3 3" xfId="1211" xr:uid="{D22C2187-A11D-4D87-98FE-C6795022042F}"/>
    <cellStyle name="Comma 3 2 2 4" xfId="723" xr:uid="{36136991-C770-46D1-99EB-0A77925C296D}"/>
    <cellStyle name="Comma 3 2 2 4 2" xfId="1041" xr:uid="{44485DC5-927A-4E26-AC2D-CB550440C45E}"/>
    <cellStyle name="Comma 3 2 2 4 2 2" xfId="1608" xr:uid="{6A4C0D24-C1FC-41B3-999D-4693E4162EFD}"/>
    <cellStyle name="Comma 3 2 2 4 3" xfId="1290" xr:uid="{7B965905-2241-41FC-B20A-A75E4EA6A34C}"/>
    <cellStyle name="Comma 3 2 2 5" xfId="883" xr:uid="{355718E2-E230-4D64-A2E4-97278AFB7FB6}"/>
    <cellStyle name="Comma 3 2 2 5 2" xfId="1450" xr:uid="{9CB1313E-C94C-421A-938B-231248AE1645}"/>
    <cellStyle name="Comma 3 2 2 6" xfId="804" xr:uid="{15439041-DF21-4420-9884-9F7EBED7B455}"/>
    <cellStyle name="Comma 3 2 2 6 2" xfId="1371" xr:uid="{DF45CF2A-9CC5-4C64-950A-C8A5C18308E4}"/>
    <cellStyle name="Comma 3 2 2 7" xfId="1128" xr:uid="{99B92FB6-8514-40C1-8C93-5F989E1430D8}"/>
    <cellStyle name="Comma 3 2 3" xfId="617" xr:uid="{04D86FE2-2A65-41FA-A32B-AF535AC84344}"/>
    <cellStyle name="Comma 3 2 3 2" xfId="700" xr:uid="{9CB09AB1-6C42-48A8-80E3-B56BB900EB4E}"/>
    <cellStyle name="Comma 3 2 3 2 2" xfId="1018" xr:uid="{465BCD06-E946-4974-870E-B458438373A9}"/>
    <cellStyle name="Comma 3 2 3 2 2 2" xfId="1585" xr:uid="{F97902BC-AEC0-46D0-83A8-905377096EC6}"/>
    <cellStyle name="Comma 3 2 3 2 3" xfId="1267" xr:uid="{BA1EA037-2DA0-43B5-9629-5E9AB7A73BB1}"/>
    <cellStyle name="Comma 3 2 3 3" xfId="779" xr:uid="{1CC8B969-C92A-4423-B508-9BB63B79F12C}"/>
    <cellStyle name="Comma 3 2 3 3 2" xfId="1097" xr:uid="{EBEB49A1-CABF-4644-A369-BEEB8B6F0D09}"/>
    <cellStyle name="Comma 3 2 3 3 2 2" xfId="1664" xr:uid="{AAA3AA2A-1CDF-4A84-B502-FA3658523F5F}"/>
    <cellStyle name="Comma 3 2 3 3 3" xfId="1346" xr:uid="{BD23E1F7-D606-4D6C-94EE-652693D6924A}"/>
    <cellStyle name="Comma 3 2 3 4" xfId="939" xr:uid="{8F13ED1A-E1AF-434D-8987-1F9B7A0360F1}"/>
    <cellStyle name="Comma 3 2 3 4 2" xfId="1506" xr:uid="{DE297CEB-F01F-4174-BB0A-447244F0AB16}"/>
    <cellStyle name="Comma 3 2 3 5" xfId="860" xr:uid="{028FE81E-881F-4940-9797-CC2EC8447376}"/>
    <cellStyle name="Comma 3 2 3 5 2" xfId="1427" xr:uid="{DED5006A-B306-4238-99C5-0BA2326A204E}"/>
    <cellStyle name="Comma 3 2 3 6" xfId="1186" xr:uid="{F02CECB2-BC78-4102-AC53-EB7DA12423A4}"/>
    <cellStyle name="Comma 3 2 4" xfId="643" xr:uid="{EADEE10F-B502-424F-885F-DF58039999D3}"/>
    <cellStyle name="Comma 3 2 4 2" xfId="961" xr:uid="{AEF9A7A2-2079-4F89-A9B5-2F8E03942189}"/>
    <cellStyle name="Comma 3 2 4 2 2" xfId="1528" xr:uid="{D898F0E2-9B97-4DA9-B97A-F6333D5F8DD1}"/>
    <cellStyle name="Comma 3 2 4 3" xfId="1210" xr:uid="{A3B2CA95-A636-4F54-9C08-586924373DE3}"/>
    <cellStyle name="Comma 3 2 5" xfId="722" xr:uid="{F26DAFBA-057F-4C53-9BDE-0001B24410D4}"/>
    <cellStyle name="Comma 3 2 5 2" xfId="1040" xr:uid="{21845D12-E264-49B3-B0EB-3FD5F23B3D36}"/>
    <cellStyle name="Comma 3 2 5 2 2" xfId="1607" xr:uid="{4BCACEF8-7745-4342-B506-DE66008B2A1F}"/>
    <cellStyle name="Comma 3 2 5 3" xfId="1289" xr:uid="{42B02359-0472-4534-8D4A-C9ADF465B480}"/>
    <cellStyle name="Comma 3 2 6" xfId="882" xr:uid="{E354B629-254E-40F1-B7C5-04C1618CE681}"/>
    <cellStyle name="Comma 3 2 6 2" xfId="1449" xr:uid="{0B519B4E-C2F0-485E-947C-87BFB7ED62DC}"/>
    <cellStyle name="Comma 3 2 7" xfId="803" xr:uid="{E55EBC98-EE97-4BED-BBB8-BB7351404185}"/>
    <cellStyle name="Comma 3 2 7 2" xfId="1370" xr:uid="{103F93A1-C142-4F21-8650-F0E59409728C}"/>
    <cellStyle name="Comma 3 2 8" xfId="1127" xr:uid="{19BCD295-804D-4A44-8890-CDA0AEB32E07}"/>
    <cellStyle name="Comma 3 2 9" xfId="482" xr:uid="{6D475374-1214-4A4C-81F4-F7C5EF4B6985}"/>
    <cellStyle name="Comma 3 3" xfId="484" xr:uid="{0ED84878-2E51-4C35-B6AE-85588F9E8915}"/>
    <cellStyle name="Comma 3 3 2" xfId="628" xr:uid="{8CABB69E-4960-4B84-96CD-673638F44755}"/>
    <cellStyle name="Comma 3 3 2 2" xfId="710" xr:uid="{CDEB9DD0-143C-4979-BC59-5AA1D83E263D}"/>
    <cellStyle name="Comma 3 3 2 2 2" xfId="1028" xr:uid="{1BF8A662-F937-4B7A-8679-44D0C37F0AC1}"/>
    <cellStyle name="Comma 3 3 2 2 2 2" xfId="1595" xr:uid="{2C4FDDCD-5C16-49C9-94CF-BFE372859104}"/>
    <cellStyle name="Comma 3 3 2 2 3" xfId="1277" xr:uid="{512D110A-AEA1-4B81-80F9-DE4986AD9D9A}"/>
    <cellStyle name="Comma 3 3 2 3" xfId="789" xr:uid="{A1FEA3BD-90E4-4EC5-92A3-A251DC178BAD}"/>
    <cellStyle name="Comma 3 3 2 3 2" xfId="1107" xr:uid="{4FAE9C2F-6D6F-47EC-9576-3A6A1CE043E9}"/>
    <cellStyle name="Comma 3 3 2 3 2 2" xfId="1674" xr:uid="{43171795-51AE-409E-9CED-48651FFF2710}"/>
    <cellStyle name="Comma 3 3 2 3 3" xfId="1356" xr:uid="{A209E2BD-3181-4521-AC2C-4972D2262157}"/>
    <cellStyle name="Comma 3 3 2 4" xfId="949" xr:uid="{A9B36CA5-E558-4D27-9523-55EF7D04681C}"/>
    <cellStyle name="Comma 3 3 2 4 2" xfId="1516" xr:uid="{6E41F75C-3F8E-4641-B7B1-A845F9F8A4BB}"/>
    <cellStyle name="Comma 3 3 2 5" xfId="870" xr:uid="{C154EBED-9563-485E-9B41-A6A1460F653A}"/>
    <cellStyle name="Comma 3 3 2 5 2" xfId="1437" xr:uid="{4F8D2893-B5DC-48E4-8E4D-4130008F269C}"/>
    <cellStyle name="Comma 3 3 2 6" xfId="1196" xr:uid="{01BF76F6-5CC7-40EE-A3D6-1A7D21F52AB2}"/>
    <cellStyle name="Comma 3 3 3" xfId="645" xr:uid="{E61E7522-6393-4DA3-BB35-B99956E08348}"/>
    <cellStyle name="Comma 3 3 3 2" xfId="963" xr:uid="{B25E34A7-98B0-45F5-9370-BF5828B7D50D}"/>
    <cellStyle name="Comma 3 3 3 2 2" xfId="1530" xr:uid="{C586F173-DFCD-48B0-86F0-28E8E6E0D1DE}"/>
    <cellStyle name="Comma 3 3 3 3" xfId="1212" xr:uid="{0345DC2E-7545-4884-B6B8-E33AF38B831E}"/>
    <cellStyle name="Comma 3 3 4" xfId="724" xr:uid="{22F7F5BC-F1BE-4335-ABD2-AC771CA33F22}"/>
    <cellStyle name="Comma 3 3 4 2" xfId="1042" xr:uid="{9F343ABE-1FA1-495B-9CA1-0EC5CAF27718}"/>
    <cellStyle name="Comma 3 3 4 2 2" xfId="1609" xr:uid="{E80499FA-6CFF-4DBC-A21C-08F1F7424175}"/>
    <cellStyle name="Comma 3 3 4 3" xfId="1291" xr:uid="{995697BC-9363-4D01-BB2F-2A739E50F27A}"/>
    <cellStyle name="Comma 3 3 5" xfId="884" xr:uid="{BB1AD76E-26DF-45E4-ACA2-061F5260A32A}"/>
    <cellStyle name="Comma 3 3 5 2" xfId="1451" xr:uid="{71E13F38-E691-4479-AE74-4398F2AF6B44}"/>
    <cellStyle name="Comma 3 3 6" xfId="805" xr:uid="{707FA4DD-38D6-48FD-AB02-EB8BB01FBEF3}"/>
    <cellStyle name="Comma 3 3 6 2" xfId="1372" xr:uid="{B0BE245D-D23C-47A4-9B58-B5E79FFE02FB}"/>
    <cellStyle name="Comma 3 3 7" xfId="1129" xr:uid="{ADEFD04A-F83C-4012-A50F-9F8CD43FC733}"/>
    <cellStyle name="Comma 3 4" xfId="613" xr:uid="{8EB1D4E6-7861-4F7A-B0A5-CB645320A748}"/>
    <cellStyle name="Comma 3 4 2" xfId="697" xr:uid="{3FD0E420-BA43-4C2A-BEA5-DD8C713AD085}"/>
    <cellStyle name="Comma 3 4 2 2" xfId="1015" xr:uid="{03A36214-B661-447F-B664-90C77CE9C444}"/>
    <cellStyle name="Comma 3 4 2 2 2" xfId="1582" xr:uid="{E0337191-0540-4589-82DD-F1CF8508AF4A}"/>
    <cellStyle name="Comma 3 4 2 3" xfId="1264" xr:uid="{403D4021-85BC-40D3-AFCF-1AFB65DF50A1}"/>
    <cellStyle name="Comma 3 4 3" xfId="776" xr:uid="{64A01483-660D-4628-89D2-B7679210C128}"/>
    <cellStyle name="Comma 3 4 3 2" xfId="1094" xr:uid="{31321AB9-E4C3-454F-B0A6-25A54F14EF3B}"/>
    <cellStyle name="Comma 3 4 3 2 2" xfId="1661" xr:uid="{93B075A7-3C11-4BE2-8548-6C2AC0091C1A}"/>
    <cellStyle name="Comma 3 4 3 3" xfId="1343" xr:uid="{0A48A5A1-1C3E-4016-813B-F2ED0C2681FC}"/>
    <cellStyle name="Comma 3 4 4" xfId="936" xr:uid="{0465575F-2387-4C65-A329-3384A1CBC37D}"/>
    <cellStyle name="Comma 3 4 4 2" xfId="1503" xr:uid="{D4B6AEB1-CBBB-4C03-AEE4-3B8F74BEA00F}"/>
    <cellStyle name="Comma 3 4 5" xfId="857" xr:uid="{CD82DA97-37FA-42BC-8BAD-ABE969A94A62}"/>
    <cellStyle name="Comma 3 4 5 2" xfId="1424" xr:uid="{7A007E74-13CC-4D31-9E79-DA2D29CD3392}"/>
    <cellStyle name="Comma 3 4 6" xfId="1183" xr:uid="{A4F61485-697D-4B44-9A2C-7C07EFDFC5CF}"/>
    <cellStyle name="Comma 3 5" xfId="642" xr:uid="{C0EA148C-3ADB-488A-82BC-A83FD41BC6C5}"/>
    <cellStyle name="Comma 3 5 2" xfId="960" xr:uid="{CD1D38E4-3E18-4934-8533-0020B9B19C89}"/>
    <cellStyle name="Comma 3 5 2 2" xfId="1527" xr:uid="{4CAE5B7D-B373-4920-B0EE-E8425E6B083B}"/>
    <cellStyle name="Comma 3 5 3" xfId="1209" xr:uid="{7C3CB9BF-4ED6-42C7-B984-5D6E19F8F95E}"/>
    <cellStyle name="Comma 3 6" xfId="721" xr:uid="{3127A015-3E8A-4DEF-B929-33243D24F8FB}"/>
    <cellStyle name="Comma 3 6 2" xfId="1039" xr:uid="{7D11592D-7077-46AB-BEE7-A8B7BAB61333}"/>
    <cellStyle name="Comma 3 6 2 2" xfId="1606" xr:uid="{B4A23F92-8472-4EC5-ACA8-F9E43510BB3E}"/>
    <cellStyle name="Comma 3 6 3" xfId="1288" xr:uid="{19FFBAAB-80C8-4E42-85FA-9B96FC9EDC15}"/>
    <cellStyle name="Comma 3 7" xfId="881" xr:uid="{DFD50E41-A134-4657-8014-FFE6673A9C03}"/>
    <cellStyle name="Comma 3 7 2" xfId="1448" xr:uid="{8645DF49-A43B-4F5F-BC7A-21421F3A1B63}"/>
    <cellStyle name="Comma 3 8" xfId="802" xr:uid="{A8D3E29A-0077-4478-941D-64A1C65F3F81}"/>
    <cellStyle name="Comma 3 8 2" xfId="1369" xr:uid="{822D6CA4-9E4E-426B-9383-07E2F283B63E}"/>
    <cellStyle name="Comma 3 9" xfId="1126" xr:uid="{D15BF708-A9DC-4CBB-8524-4FE850F09933}"/>
    <cellStyle name="Comma 4" xfId="141" xr:uid="{5293284F-FA0D-4E36-8C46-C05339DDD139}"/>
    <cellStyle name="Comma 4 10" xfId="485" xr:uid="{14B04947-46C1-4A7B-9D7E-756FD6A7E936}"/>
    <cellStyle name="Comma 4 2" xfId="486" xr:uid="{D4A66417-A473-42A2-B004-CE667ED5458D}"/>
    <cellStyle name="Comma 4 2 14" xfId="1698" xr:uid="{1F2AC243-6B3A-496D-9449-17E2B9603D50}"/>
    <cellStyle name="Comma 4 2 2" xfId="487" xr:uid="{994A6C98-AC1E-4B87-A8B3-EE9AA67E2256}"/>
    <cellStyle name="Comma 4 2 2 2" xfId="631" xr:uid="{DD1A9C46-A32D-4014-A007-B04A7DAB45DD}"/>
    <cellStyle name="Comma 4 2 2 2 2" xfId="713" xr:uid="{D44E8165-7372-4F3C-A847-BAC63C5EE8C8}"/>
    <cellStyle name="Comma 4 2 2 2 2 2" xfId="1031" xr:uid="{471C4CF1-50CD-4619-8C36-64EC40AC3AE3}"/>
    <cellStyle name="Comma 4 2 2 2 2 2 2" xfId="1598" xr:uid="{2F9F4A3B-2F75-44E8-93C5-DDBC9257878A}"/>
    <cellStyle name="Comma 4 2 2 2 2 3" xfId="1280" xr:uid="{064E5403-A0D3-4588-8D4A-39FA259680FF}"/>
    <cellStyle name="Comma 4 2 2 2 3" xfId="792" xr:uid="{E828B874-47EA-4359-91EC-849C09A55FB5}"/>
    <cellStyle name="Comma 4 2 2 2 3 2" xfId="1110" xr:uid="{14CCD056-68F0-4EBB-A99C-4C75F50C4FB7}"/>
    <cellStyle name="Comma 4 2 2 2 3 2 2" xfId="1677" xr:uid="{3F943776-4C17-4879-BD2C-86067ABC766F}"/>
    <cellStyle name="Comma 4 2 2 2 3 3" xfId="1359" xr:uid="{DA19DABC-EBBD-489F-AA7E-539D176864D8}"/>
    <cellStyle name="Comma 4 2 2 2 4" xfId="952" xr:uid="{2B6B73FB-6392-4AF7-9953-6908D683A973}"/>
    <cellStyle name="Comma 4 2 2 2 4 2" xfId="1519" xr:uid="{220EBD2C-3328-42B0-A4EB-8C937002D622}"/>
    <cellStyle name="Comma 4 2 2 2 5" xfId="873" xr:uid="{C2952632-82D9-41F2-9614-EA69D7E57F72}"/>
    <cellStyle name="Comma 4 2 2 2 5 2" xfId="1440" xr:uid="{1D778051-293D-4699-8289-3D8A45CBD502}"/>
    <cellStyle name="Comma 4 2 2 2 6" xfId="1199" xr:uid="{295CD71F-35E8-4B21-A56D-3D708D6996B6}"/>
    <cellStyle name="Comma 4 2 2 3" xfId="648" xr:uid="{8950C87B-2A73-4C1E-A647-6F027909E30F}"/>
    <cellStyle name="Comma 4 2 2 3 2" xfId="966" xr:uid="{535C5D62-FB17-489A-A53E-D47DE273DDE1}"/>
    <cellStyle name="Comma 4 2 2 3 2 2" xfId="1533" xr:uid="{5D16B226-E51A-4D18-A902-DEEF4101FCBA}"/>
    <cellStyle name="Comma 4 2 2 3 3" xfId="1215" xr:uid="{777A1335-8272-48EF-A2C6-B01AC2752936}"/>
    <cellStyle name="Comma 4 2 2 4" xfId="727" xr:uid="{267AD21D-7EDE-41E1-8760-381EDEA02C8E}"/>
    <cellStyle name="Comma 4 2 2 4 2" xfId="1045" xr:uid="{1BE5908C-04FF-4D75-92F8-2B41D10DA7D9}"/>
    <cellStyle name="Comma 4 2 2 4 2 2" xfId="1612" xr:uid="{6F6EDF96-C377-4A4E-8822-9DD11D7C033C}"/>
    <cellStyle name="Comma 4 2 2 4 3" xfId="1294" xr:uid="{44C38E65-AA02-4BFE-A6CE-4A077B2F6953}"/>
    <cellStyle name="Comma 4 2 2 5" xfId="887" xr:uid="{AA90147E-94A5-4634-BEE8-C6631A34CC6F}"/>
    <cellStyle name="Comma 4 2 2 5 2" xfId="1454" xr:uid="{EB92EDD2-3CE0-447B-A348-0A88B3839D52}"/>
    <cellStyle name="Comma 4 2 2 6" xfId="808" xr:uid="{84DCBF10-215B-477D-8B3C-061EBBDF586A}"/>
    <cellStyle name="Comma 4 2 2 6 2" xfId="1375" xr:uid="{B47E724A-7322-4C67-8E43-C064C04B8CE5}"/>
    <cellStyle name="Comma 4 2 2 7" xfId="1132" xr:uid="{0861877C-D0EA-41CA-B27A-B754264365CE}"/>
    <cellStyle name="Comma 4 2 3" xfId="619" xr:uid="{E1EFC58F-27E3-4503-B048-531835786D2D}"/>
    <cellStyle name="Comma 4 2 3 2" xfId="702" xr:uid="{60098668-1EDE-42D7-AECC-22C623708988}"/>
    <cellStyle name="Comma 4 2 3 2 2" xfId="1020" xr:uid="{C928590D-EE23-4BCE-9D6D-ED954DBA496E}"/>
    <cellStyle name="Comma 4 2 3 2 2 2" xfId="1587" xr:uid="{C70782FF-B869-4C8A-926E-A0CA98C6EFC9}"/>
    <cellStyle name="Comma 4 2 3 2 3" xfId="1269" xr:uid="{32ECEE6B-93B1-4A0E-AC50-B51B5300AB47}"/>
    <cellStyle name="Comma 4 2 3 3" xfId="781" xr:uid="{929093C9-DE95-4A7C-AE21-873F76110EF7}"/>
    <cellStyle name="Comma 4 2 3 3 2" xfId="1099" xr:uid="{F934756D-CD45-4D16-B977-CAE3B3B41DEA}"/>
    <cellStyle name="Comma 4 2 3 3 2 2" xfId="1666" xr:uid="{A5FC025C-72A6-4DC1-A657-B0E0E9818240}"/>
    <cellStyle name="Comma 4 2 3 3 3" xfId="1348" xr:uid="{E896E730-59E9-4177-A3D0-087602019634}"/>
    <cellStyle name="Comma 4 2 3 4" xfId="941" xr:uid="{99911FCB-0DA8-4A9A-B5B4-BC9E9FBF6BE0}"/>
    <cellStyle name="Comma 4 2 3 4 2" xfId="1508" xr:uid="{33D1031D-E999-44EA-A6B8-8D4BD8AA5706}"/>
    <cellStyle name="Comma 4 2 3 5" xfId="862" xr:uid="{942EED71-B8BC-48F9-BE01-E2444283D37E}"/>
    <cellStyle name="Comma 4 2 3 5 2" xfId="1429" xr:uid="{B93179F2-2547-4476-B73A-AA9C91DFE6A9}"/>
    <cellStyle name="Comma 4 2 3 6" xfId="1188" xr:uid="{EAF0F411-EC68-4DB6-B1D4-5DFC248B0D72}"/>
    <cellStyle name="Comma 4 2 4" xfId="647" xr:uid="{16BF676E-99A1-4560-8F72-738204CCF360}"/>
    <cellStyle name="Comma 4 2 4 2" xfId="965" xr:uid="{7C371817-BE6D-4545-A5B1-D912AD3302B4}"/>
    <cellStyle name="Comma 4 2 4 2 2" xfId="1532" xr:uid="{19BB654F-23B2-4265-B5B8-2147225DDCA3}"/>
    <cellStyle name="Comma 4 2 4 3" xfId="1214" xr:uid="{984C9C7F-D9F5-40AC-8617-AFA9CE120116}"/>
    <cellStyle name="Comma 4 2 5" xfId="726" xr:uid="{70669ABD-8EF1-4318-B89E-E1BA474EDA80}"/>
    <cellStyle name="Comma 4 2 5 2" xfId="1044" xr:uid="{15957F0A-84D4-4CAD-BE6F-A38BCF296F01}"/>
    <cellStyle name="Comma 4 2 5 2 2" xfId="1611" xr:uid="{9C46E7D3-9632-4586-AD03-C3D08CF9DFD7}"/>
    <cellStyle name="Comma 4 2 5 3" xfId="1293" xr:uid="{EEB2E55D-2DF4-4DE2-A10F-C1FE336943EC}"/>
    <cellStyle name="Comma 4 2 6" xfId="886" xr:uid="{7DE84A9E-AFE3-4639-AC59-3C9714CC6130}"/>
    <cellStyle name="Comma 4 2 6 2" xfId="1453" xr:uid="{7BB2F0EA-72EC-40E1-A05A-C2239090D97F}"/>
    <cellStyle name="Comma 4 2 7" xfId="807" xr:uid="{F2584784-16CF-4DD7-8D8E-E1D7A3B4BC5D}"/>
    <cellStyle name="Comma 4 2 7 2" xfId="1374" xr:uid="{51E96C3C-7C98-4498-A51E-C9F3C27D5467}"/>
    <cellStyle name="Comma 4 2 8" xfId="1131" xr:uid="{7562EB27-C00F-460E-B02F-E49AC103B3FE}"/>
    <cellStyle name="Comma 4 3" xfId="488" xr:uid="{C532D715-295C-4E93-BEA6-F10F85D0B545}"/>
    <cellStyle name="Comma 4 3 2" xfId="630" xr:uid="{85D9618D-755F-482D-B58D-59540D05B08A}"/>
    <cellStyle name="Comma 4 3 2 2" xfId="712" xr:uid="{3651524F-4636-4B80-9134-4141B2F4F19F}"/>
    <cellStyle name="Comma 4 3 2 2 2" xfId="1030" xr:uid="{7208746A-8780-4623-8C0D-B3F6BBEDE40E}"/>
    <cellStyle name="Comma 4 3 2 2 2 2" xfId="1597" xr:uid="{9D9990C6-FF08-4234-9561-E3380946B64F}"/>
    <cellStyle name="Comma 4 3 2 2 3" xfId="1279" xr:uid="{9FE1D9BB-F1D7-45C3-89AC-CD3215E53716}"/>
    <cellStyle name="Comma 4 3 2 3" xfId="791" xr:uid="{D385EE68-AA17-4C59-B434-F09568793C51}"/>
    <cellStyle name="Comma 4 3 2 3 2" xfId="1109" xr:uid="{9EB02DBB-7FED-45A7-B70B-E1D5A5E6B86A}"/>
    <cellStyle name="Comma 4 3 2 3 2 2" xfId="1676" xr:uid="{384AA0C6-080F-436D-BDC7-29A9E58E0432}"/>
    <cellStyle name="Comma 4 3 2 3 3" xfId="1358" xr:uid="{AA48EA7E-4D27-485C-BB74-1B55268F948A}"/>
    <cellStyle name="Comma 4 3 2 4" xfId="951" xr:uid="{9418229D-ECBB-4C9B-AAB4-692691F8370E}"/>
    <cellStyle name="Comma 4 3 2 4 2" xfId="1518" xr:uid="{28588BAF-B2CD-4C5B-A1DF-91A606633D19}"/>
    <cellStyle name="Comma 4 3 2 5" xfId="872" xr:uid="{4D5F5B7E-511E-4409-8F19-E6F97512F3CB}"/>
    <cellStyle name="Comma 4 3 2 5 2" xfId="1439" xr:uid="{53FC6106-A626-4996-B427-8A82449772B3}"/>
    <cellStyle name="Comma 4 3 2 6" xfId="1198" xr:uid="{6221C444-6B56-4751-A89B-0FF97EA19A8D}"/>
    <cellStyle name="Comma 4 3 3" xfId="649" xr:uid="{3F9125DA-F01B-4C7C-968B-7886B81F9B14}"/>
    <cellStyle name="Comma 4 3 3 2" xfId="967" xr:uid="{5C68502A-0F6E-4C28-A8A9-E2D6013B17FA}"/>
    <cellStyle name="Comma 4 3 3 2 2" xfId="1534" xr:uid="{32D11C15-62B1-4884-BE6B-7398507669B8}"/>
    <cellStyle name="Comma 4 3 3 3" xfId="1216" xr:uid="{2376C554-76D8-49CA-ABF3-5625DF09F30B}"/>
    <cellStyle name="Comma 4 3 4" xfId="728" xr:uid="{1CFEC724-2EF6-48E5-B997-2F51A82E52D8}"/>
    <cellStyle name="Comma 4 3 4 2" xfId="1046" xr:uid="{38D74720-F7F8-4186-970A-EA8537959C9A}"/>
    <cellStyle name="Comma 4 3 4 2 2" xfId="1613" xr:uid="{2894B8E4-2048-492A-9406-7A15C71F71AB}"/>
    <cellStyle name="Comma 4 3 4 3" xfId="1295" xr:uid="{4D82E67C-BAB0-4949-B030-D6F9E3846740}"/>
    <cellStyle name="Comma 4 3 5" xfId="888" xr:uid="{BE234C20-5F11-4A3C-8BDA-821F901D5607}"/>
    <cellStyle name="Comma 4 3 5 2" xfId="1455" xr:uid="{F00F6B65-6AD9-44C8-8E6B-01D5FAC10DB2}"/>
    <cellStyle name="Comma 4 3 6" xfId="809" xr:uid="{709D9365-79DB-4BE2-B87B-A28B3E4F0567}"/>
    <cellStyle name="Comma 4 3 6 2" xfId="1376" xr:uid="{5F19F16B-1878-4A33-9963-4E86857608ED}"/>
    <cellStyle name="Comma 4 3 7" xfId="1133" xr:uid="{BE135E0C-F00D-4709-ACB3-2349EB5B8FE9}"/>
    <cellStyle name="Comma 4 4" xfId="618" xr:uid="{167B1A3A-265D-45A2-9392-546BA686903A}"/>
    <cellStyle name="Comma 4 4 2" xfId="701" xr:uid="{5B6307FB-6A10-4AE6-ADA5-F01A744E2DFD}"/>
    <cellStyle name="Comma 4 4 2 2" xfId="1019" xr:uid="{0A675035-FEA4-48F4-9A2A-04F58CF75DB5}"/>
    <cellStyle name="Comma 4 4 2 2 2" xfId="1586" xr:uid="{A3033A00-7EED-4E71-B041-B2CCC0AE557A}"/>
    <cellStyle name="Comma 4 4 2 3" xfId="1268" xr:uid="{1D2D3012-3DB1-4C12-9CA1-9E47B9B83F44}"/>
    <cellStyle name="Comma 4 4 3" xfId="780" xr:uid="{B3F03065-1A2A-4360-B9E9-AA698B1821CD}"/>
    <cellStyle name="Comma 4 4 3 2" xfId="1098" xr:uid="{282CEBE8-563B-42C1-A4A7-3584253B6958}"/>
    <cellStyle name="Comma 4 4 3 2 2" xfId="1665" xr:uid="{F8552C64-C781-45EF-A7AB-D20EC9ABE3F4}"/>
    <cellStyle name="Comma 4 4 3 3" xfId="1347" xr:uid="{40B6CAB8-463F-4886-9D00-40F7A3E2112A}"/>
    <cellStyle name="Comma 4 4 4" xfId="940" xr:uid="{4A9E8EAF-E336-4561-84BC-09B6BBA1AE49}"/>
    <cellStyle name="Comma 4 4 4 2" xfId="1507" xr:uid="{D2736BAD-84FC-4EEF-B7EE-5FFC7DB533B2}"/>
    <cellStyle name="Comma 4 4 5" xfId="861" xr:uid="{CA45F04B-C05B-4B28-BD2F-04A3C86D915C}"/>
    <cellStyle name="Comma 4 4 5 2" xfId="1428" xr:uid="{1EA5D59B-57C7-4509-AFF1-26D0B25D6233}"/>
    <cellStyle name="Comma 4 4 6" xfId="1187" xr:uid="{AB27452B-19F8-4E19-AEC0-81C83DEF21B8}"/>
    <cellStyle name="Comma 4 5" xfId="646" xr:uid="{C1C226DB-64BB-452A-871D-4A503CEA234E}"/>
    <cellStyle name="Comma 4 5 2" xfId="964" xr:uid="{1DC55AA4-E07D-4DF3-8594-D575DB69C8D2}"/>
    <cellStyle name="Comma 4 5 2 2" xfId="1531" xr:uid="{D7EE60AB-D776-431B-AE32-355BCE5C0B04}"/>
    <cellStyle name="Comma 4 5 3" xfId="1213" xr:uid="{3A572F53-4AFC-4102-95AD-EB8E8EF4DC9E}"/>
    <cellStyle name="Comma 4 6" xfId="725" xr:uid="{858524AE-9F9C-4BE2-890D-34EDDF9AFBF2}"/>
    <cellStyle name="Comma 4 6 2" xfId="1043" xr:uid="{6067F2C2-F148-4794-96F6-EEA829FF318C}"/>
    <cellStyle name="Comma 4 6 2 2" xfId="1610" xr:uid="{58AAF3D9-E781-4B2E-986B-4B19BC9FA438}"/>
    <cellStyle name="Comma 4 6 3" xfId="1292" xr:uid="{B7F1BEE5-9D2E-412A-B084-68A9DB9B7580}"/>
    <cellStyle name="Comma 4 7" xfId="885" xr:uid="{37471E3E-2B32-4FFC-9332-2B20E77229D5}"/>
    <cellStyle name="Comma 4 7 2" xfId="1452" xr:uid="{5595EBCA-905B-4FAB-90EC-0762178EBCE2}"/>
    <cellStyle name="Comma 4 8" xfId="806" xr:uid="{7F0D39CB-9C62-4711-ADBB-E07ECE0224A9}"/>
    <cellStyle name="Comma 4 8 2" xfId="1373" xr:uid="{12C1F707-DBCE-468D-9E6D-2F935CC6BB8B}"/>
    <cellStyle name="Comma 4 9" xfId="1130" xr:uid="{B64021B7-271E-49E4-9A4A-AEDE38687D1F}"/>
    <cellStyle name="Comma 5" xfId="255" xr:uid="{676BEDAF-4E5B-481A-AF98-5C52B22E1F92}"/>
    <cellStyle name="Comma 5 2" xfId="490" xr:uid="{154BF5F1-23D3-4B06-83BD-17FEBDBB448A}"/>
    <cellStyle name="Comma 5 2 2" xfId="632" xr:uid="{A7EBE3DC-37FC-420B-BA7F-7D9F6E7A6B06}"/>
    <cellStyle name="Comma 5 2 2 2" xfId="714" xr:uid="{D37AE994-B6EC-499D-B2B1-07FE0F9CA2B2}"/>
    <cellStyle name="Comma 5 2 2 2 2" xfId="1032" xr:uid="{56306CE0-AAF6-42FB-A01D-12A7B46A7C39}"/>
    <cellStyle name="Comma 5 2 2 2 2 2" xfId="1599" xr:uid="{0FED89CB-E8C0-44F2-BD9E-5B469D4BF2F8}"/>
    <cellStyle name="Comma 5 2 2 2 3" xfId="1281" xr:uid="{D2E45649-F34C-42CF-BCD3-C86618DC7BA9}"/>
    <cellStyle name="Comma 5 2 2 3" xfId="793" xr:uid="{D4CE44FA-1079-40CC-8BA1-41AB1DC39667}"/>
    <cellStyle name="Comma 5 2 2 3 2" xfId="1111" xr:uid="{A2914544-8867-47AE-9B2D-36EFE649F361}"/>
    <cellStyle name="Comma 5 2 2 3 2 2" xfId="1678" xr:uid="{266847B9-E4BA-4BA7-BD28-FE266EA79106}"/>
    <cellStyle name="Comma 5 2 2 3 3" xfId="1360" xr:uid="{50FFE12D-8918-4467-A6C3-24DE081B52A3}"/>
    <cellStyle name="Comma 5 2 2 4" xfId="953" xr:uid="{577D052B-2133-451A-AEC5-0A34D777F5D0}"/>
    <cellStyle name="Comma 5 2 2 4 2" xfId="1520" xr:uid="{EDE92A58-EE53-4628-AB30-82B12C06AD92}"/>
    <cellStyle name="Comma 5 2 2 5" xfId="874" xr:uid="{751CDF55-82DC-4788-AF44-8EE0FB85D2A8}"/>
    <cellStyle name="Comma 5 2 2 5 2" xfId="1441" xr:uid="{D154BEEC-6ED1-4A40-ADCF-94A687BB4872}"/>
    <cellStyle name="Comma 5 2 2 6" xfId="1200" xr:uid="{520236A2-720D-454B-946D-BC64FFB2E16E}"/>
    <cellStyle name="Comma 5 2 3" xfId="651" xr:uid="{848229DB-8ABB-45C3-90F5-959A83AD9C69}"/>
    <cellStyle name="Comma 5 2 3 2" xfId="969" xr:uid="{02062290-4DA5-4D7F-B13B-8E9C8F2B9C10}"/>
    <cellStyle name="Comma 5 2 3 2 2" xfId="1536" xr:uid="{50A8DCBE-4F2C-4872-89A0-F5B46A9F80AB}"/>
    <cellStyle name="Comma 5 2 3 3" xfId="1218" xr:uid="{A9CD058A-3489-48B0-AE44-60CBE247072B}"/>
    <cellStyle name="Comma 5 2 4" xfId="730" xr:uid="{73F62905-0634-4AB9-AA5B-620DC7DD6596}"/>
    <cellStyle name="Comma 5 2 4 2" xfId="1048" xr:uid="{7B7E92B0-1647-4E08-A091-813F56918F35}"/>
    <cellStyle name="Comma 5 2 4 2 2" xfId="1615" xr:uid="{4924A7D6-F2E6-4C4F-A2B3-8FF07A7047E6}"/>
    <cellStyle name="Comma 5 2 4 3" xfId="1297" xr:uid="{B926E22F-A45E-46CC-BF59-EA231046440F}"/>
    <cellStyle name="Comma 5 2 5" xfId="890" xr:uid="{9F9AB011-1792-43EA-B462-F0D0D2AD656D}"/>
    <cellStyle name="Comma 5 2 5 2" xfId="1457" xr:uid="{B62F7F75-7F03-47EF-9D85-18B94A01E1CE}"/>
    <cellStyle name="Comma 5 2 6" xfId="811" xr:uid="{A05D8A3D-7874-4924-9182-62CBDA6494AA}"/>
    <cellStyle name="Comma 5 2 6 2" xfId="1378" xr:uid="{BA24E724-84D8-4E64-B67F-00C11B563B2F}"/>
    <cellStyle name="Comma 5 2 7" xfId="1135" xr:uid="{B9642A78-2151-4155-9D36-F6A4B017A0E8}"/>
    <cellStyle name="Comma 5 3" xfId="620" xr:uid="{E8173BB3-FDCB-4178-90A5-63400A5F1738}"/>
    <cellStyle name="Comma 5 3 2" xfId="703" xr:uid="{244FCEFC-FF98-45E7-9724-6548F695253E}"/>
    <cellStyle name="Comma 5 3 2 2" xfId="1021" xr:uid="{9DE36C8D-E496-4F03-8695-E4D8994AC96C}"/>
    <cellStyle name="Comma 5 3 2 2 2" xfId="1588" xr:uid="{C046A5C9-A7C6-4021-8D75-EE4A21D3F014}"/>
    <cellStyle name="Comma 5 3 2 3" xfId="1270" xr:uid="{7F6B15A4-0348-470B-8B08-802A43EDCAF7}"/>
    <cellStyle name="Comma 5 3 3" xfId="782" xr:uid="{F55769FA-969F-43F1-A848-B20D7B04A798}"/>
    <cellStyle name="Comma 5 3 3 2" xfId="1100" xr:uid="{933B39ED-CBB2-4EF8-A6DF-839719EAB628}"/>
    <cellStyle name="Comma 5 3 3 2 2" xfId="1667" xr:uid="{492167C9-DDCB-490F-B796-DBD908C23179}"/>
    <cellStyle name="Comma 5 3 3 3" xfId="1349" xr:uid="{5BD17C03-E4C4-484D-94A9-9358196E69D6}"/>
    <cellStyle name="Comma 5 3 4" xfId="942" xr:uid="{B2780B55-5811-4030-9FD2-79A516B6227F}"/>
    <cellStyle name="Comma 5 3 4 2" xfId="1509" xr:uid="{83B7AEC6-71BC-4FDC-83B9-D7DA543B9EF3}"/>
    <cellStyle name="Comma 5 3 5" xfId="863" xr:uid="{AE30C7DA-F612-48FA-B341-26BDD8E60428}"/>
    <cellStyle name="Comma 5 3 5 2" xfId="1430" xr:uid="{6E9634E7-D4C9-4647-9E76-86DC99F7331E}"/>
    <cellStyle name="Comma 5 3 6" xfId="1189" xr:uid="{C24B5035-B8F0-410D-B135-680D00233655}"/>
    <cellStyle name="Comma 5 4" xfId="650" xr:uid="{5ED94B71-3F10-45A7-B679-533DE1DB85B6}"/>
    <cellStyle name="Comma 5 4 2" xfId="968" xr:uid="{9E5F4D73-DFD1-4F3D-92DE-EF0FDA6C8DA4}"/>
    <cellStyle name="Comma 5 4 2 2" xfId="1535" xr:uid="{ECD4E647-972B-45D2-85C7-43A9849F7CB2}"/>
    <cellStyle name="Comma 5 4 3" xfId="1217" xr:uid="{B5023A89-EBBD-45BE-8E1F-1B1875F5FB8E}"/>
    <cellStyle name="Comma 5 5" xfId="729" xr:uid="{BC3458A7-61F1-4480-8E03-A0F3DE20A8BA}"/>
    <cellStyle name="Comma 5 5 2" xfId="1047" xr:uid="{D2096BA3-C5EC-4C98-B256-C7E1D07453FF}"/>
    <cellStyle name="Comma 5 5 2 2" xfId="1614" xr:uid="{949B26F1-EE0E-45AF-A8DF-A9ED1AFAD6F5}"/>
    <cellStyle name="Comma 5 5 3" xfId="1296" xr:uid="{0A36B219-2136-492E-BCFC-7D10F6AE5FC0}"/>
    <cellStyle name="Comma 5 6" xfId="889" xr:uid="{98631203-4E29-43CB-A405-6C329E4E273C}"/>
    <cellStyle name="Comma 5 6 2" xfId="1456" xr:uid="{2F400EFF-DA7B-43B2-9708-A4A390977CAC}"/>
    <cellStyle name="Comma 5 7" xfId="810" xr:uid="{AD690C3D-0FD0-434E-9B5C-97BDF123A0F7}"/>
    <cellStyle name="Comma 5 7 2" xfId="1377" xr:uid="{98547BEC-4DD5-454D-A2EB-4A459639D590}"/>
    <cellStyle name="Comma 5 8" xfId="1134" xr:uid="{B108C2DB-1B33-4585-9D2B-72FB2487417B}"/>
    <cellStyle name="Comma 5 9" xfId="489" xr:uid="{9EBA6036-5F10-4F43-AE0D-1ECC1E5EBCA7}"/>
    <cellStyle name="Comma 6" xfId="349" xr:uid="{F06B9539-393F-4B16-A962-F7479DA1EE8A}"/>
    <cellStyle name="Comma 6 2" xfId="624" xr:uid="{F184938D-B2A4-4FE8-890F-90E2C27113E1}"/>
    <cellStyle name="Comma 6 2 2" xfId="706" xr:uid="{CB79BA9B-7FE5-4595-B167-349D857947DA}"/>
    <cellStyle name="Comma 6 2 2 2" xfId="1024" xr:uid="{6F6B8B64-A5BF-419A-941F-7C39DAA70823}"/>
    <cellStyle name="Comma 6 2 2 2 2" xfId="1591" xr:uid="{AADB50FF-7AD9-4A8E-8307-2E215E6C7F89}"/>
    <cellStyle name="Comma 6 2 2 3" xfId="1273" xr:uid="{B010665D-7DCC-4E30-A494-5D25042DC3CC}"/>
    <cellStyle name="Comma 6 2 3" xfId="785" xr:uid="{6EDB2EC8-DEE5-4E10-AA45-25C68A8BFEDD}"/>
    <cellStyle name="Comma 6 2 3 2" xfId="1103" xr:uid="{47DA7971-4D0C-457D-8942-BC144BFBA01D}"/>
    <cellStyle name="Comma 6 2 3 2 2" xfId="1670" xr:uid="{B26969F7-68C8-453A-9B6B-3FF61E577E8D}"/>
    <cellStyle name="Comma 6 2 3 3" xfId="1352" xr:uid="{B2E6A0C7-39C1-47E1-997F-D9123845EE3A}"/>
    <cellStyle name="Comma 6 2 4" xfId="945" xr:uid="{D8D6A205-1C50-417E-A3B8-BF86F008AC49}"/>
    <cellStyle name="Comma 6 2 4 2" xfId="1512" xr:uid="{78D4D39B-0D0C-4AC6-8255-F3345D1973E3}"/>
    <cellStyle name="Comma 6 2 5" xfId="866" xr:uid="{761E318B-1545-4C6E-A959-CA81550BB444}"/>
    <cellStyle name="Comma 6 2 5 2" xfId="1433" xr:uid="{B8D6BD2F-A2F0-4B06-9DE0-E4C9C7BFBDCB}"/>
    <cellStyle name="Comma 6 2 6" xfId="1192" xr:uid="{5EB24F31-09C9-483B-8A2A-433792594405}"/>
    <cellStyle name="Comma 6 3" xfId="652" xr:uid="{7F8AA74A-51DE-4A2E-AFA3-AC87E655F2EB}"/>
    <cellStyle name="Comma 6 3 2" xfId="970" xr:uid="{40A9A3D3-4082-4912-8023-C232F784919E}"/>
    <cellStyle name="Comma 6 3 2 2" xfId="1537" xr:uid="{33831FE8-EB3C-4F15-8D4C-7369E27695EA}"/>
    <cellStyle name="Comma 6 3 3" xfId="1219" xr:uid="{303CEBDB-601C-4488-8BFA-138766863E2A}"/>
    <cellStyle name="Comma 6 4" xfId="731" xr:uid="{5764A3BC-1C74-467A-A152-5904FB328DB7}"/>
    <cellStyle name="Comma 6 4 2" xfId="1049" xr:uid="{98D89FC1-3EFF-4835-992B-7DC99EC8AA62}"/>
    <cellStyle name="Comma 6 4 2 2" xfId="1616" xr:uid="{8ED40B3E-2729-4AC2-A21F-3D52CB7ACF60}"/>
    <cellStyle name="Comma 6 4 3" xfId="1298" xr:uid="{88AD070F-549E-4A67-B4B2-612117E00CDF}"/>
    <cellStyle name="Comma 6 5" xfId="891" xr:uid="{EB1FC34D-532A-46DA-801D-926AC5B7229E}"/>
    <cellStyle name="Comma 6 5 2" xfId="1458" xr:uid="{B5F298D1-4A03-420D-A501-A9E48F3F828A}"/>
    <cellStyle name="Comma 6 6" xfId="812" xr:uid="{61A5843E-D008-4140-87D0-2AE0D54162A8}"/>
    <cellStyle name="Comma 6 6 2" xfId="1379" xr:uid="{BFA57E46-C292-4F8D-B166-ECD51F8F4C54}"/>
    <cellStyle name="Comma 6 7" xfId="1136" xr:uid="{E41A5B29-F81F-45A6-8121-BFD79592B75F}"/>
    <cellStyle name="Comma 6 8" xfId="491" xr:uid="{9467CA01-12EF-49E5-A897-B941A1B7673C}"/>
    <cellStyle name="Comma 7" xfId="387" xr:uid="{0FD03436-5987-4C11-BBAE-A8809DBB3425}"/>
    <cellStyle name="Comma 7 2" xfId="694" xr:uid="{F4FAD640-1D5F-434C-BA49-8FB094081346}"/>
    <cellStyle name="Comma 7 2 2" xfId="1012" xr:uid="{40553C38-B2AB-4331-9670-20FA5FAAE1F7}"/>
    <cellStyle name="Comma 7 2 2 2" xfId="1579" xr:uid="{0D1B2F0E-9FF7-4977-A4C5-894A1717DF8B}"/>
    <cellStyle name="Comma 7 2 3" xfId="1261" xr:uid="{A2040820-B8BA-4368-B84A-08974825082B}"/>
    <cellStyle name="Comma 7 3" xfId="773" xr:uid="{F5581B94-3869-466A-A694-459B5802A715}"/>
    <cellStyle name="Comma 7 3 2" xfId="1091" xr:uid="{4EEB1FA0-9C30-42B8-9847-DA8ED00273E0}"/>
    <cellStyle name="Comma 7 3 2 2" xfId="1658" xr:uid="{BC4B1ED8-8324-456E-956D-29D7FF59623D}"/>
    <cellStyle name="Comma 7 3 3" xfId="1340" xr:uid="{0EDA72B9-BA9C-4C90-BD17-DD3DF747B1CB}"/>
    <cellStyle name="Comma 7 4" xfId="933" xr:uid="{40DC374F-6FC5-4AC7-8415-6D741E4CB1C4}"/>
    <cellStyle name="Comma 7 4 2" xfId="1500" xr:uid="{40D2FA72-9EEF-4035-B704-65A470A8147C}"/>
    <cellStyle name="Comma 7 5" xfId="854" xr:uid="{E62CE8E3-F516-4256-B357-C7278FF93CB5}"/>
    <cellStyle name="Comma 7 5 2" xfId="1421" xr:uid="{FB722B65-F308-42BC-922B-21F1A9FED56A}"/>
    <cellStyle name="Comma 7 6" xfId="1180" xr:uid="{D98B020C-AD1A-4756-86F4-553A7CD002B5}"/>
    <cellStyle name="Comma 7 7" xfId="608" xr:uid="{C4196E6B-D06E-44AE-A012-2232C19168CA}"/>
    <cellStyle name="Comma 8" xfId="428" xr:uid="{9DA3E17B-B207-4357-A7AB-E85F5C0A6383}"/>
    <cellStyle name="Comma 8 2" xfId="705" xr:uid="{FE72878C-DCC7-4B1F-96C0-DF8564B2C312}"/>
    <cellStyle name="Comma 8 2 2" xfId="1023" xr:uid="{6BAC16B8-EAD7-418A-96D7-B2ADA8CC5D99}"/>
    <cellStyle name="Comma 8 2 2 2" xfId="1590" xr:uid="{CA33ED19-0AD8-481F-B4D7-A799F8400EB7}"/>
    <cellStyle name="Comma 8 2 3" xfId="1272" xr:uid="{B5FD599A-CB5C-4EF3-85E4-5CD12B58DA78}"/>
    <cellStyle name="Comma 8 3" xfId="784" xr:uid="{4FF83723-B884-4599-984F-B8835B39CDD1}"/>
    <cellStyle name="Comma 8 3 2" xfId="1102" xr:uid="{D73BC637-6DAC-4E9F-BBE3-503CF9DB5491}"/>
    <cellStyle name="Comma 8 3 2 2" xfId="1669" xr:uid="{E4EA5B0C-6E63-451D-8F7A-58159614E9D7}"/>
    <cellStyle name="Comma 8 3 3" xfId="1351" xr:uid="{B0FC064C-5E05-4E89-9078-ED24A0B7B28F}"/>
    <cellStyle name="Comma 8 4" xfId="944" xr:uid="{16812703-40FD-482E-ABDA-B6A39C04E1EB}"/>
    <cellStyle name="Comma 8 4 2" xfId="1511" xr:uid="{07E3A795-65C9-4E16-8A77-03BC7229E1A5}"/>
    <cellStyle name="Comma 8 5" xfId="865" xr:uid="{CF90F899-262D-4A3F-ACC2-A285D183F6B2}"/>
    <cellStyle name="Comma 8 5 2" xfId="1432" xr:uid="{740C4038-3CD6-42EB-8EAF-AC44A9BF4665}"/>
    <cellStyle name="Comma 8 6" xfId="1191" xr:uid="{D6CA8FBF-4219-4221-ADA0-0B1E11158275}"/>
    <cellStyle name="Comma 8 7" xfId="622" xr:uid="{CCB46719-F6D9-45CF-827C-8AB16CA65018}"/>
    <cellStyle name="Comma 9" xfId="637" xr:uid="{69D63D4C-DE46-4BED-8860-B4DDC22C34AF}"/>
    <cellStyle name="Comma 9 2" xfId="955" xr:uid="{958951AF-A804-4EBA-9EE5-D4C243691671}"/>
    <cellStyle name="Comma 9 2 2" xfId="1522" xr:uid="{F9EADDDF-6CEE-4F0C-895B-CB08C20E7467}"/>
    <cellStyle name="Comma 9 3" xfId="1204" xr:uid="{BAD1B6A9-B518-4DEE-AE70-FA4531BC06F3}"/>
    <cellStyle name="Comma 9 4" xfId="1736" xr:uid="{0E17EF6B-2A2E-4511-9EBB-95179472C902}"/>
    <cellStyle name="Currency 2" xfId="492" xr:uid="{0C0A352F-DA18-4E18-B272-46C740EC63B4}"/>
    <cellStyle name="Currency 3" xfId="493" xr:uid="{265E8133-C2E7-4625-82CB-F5DA1773824B}"/>
    <cellStyle name="Currency 4" xfId="494" xr:uid="{095A67BF-F6DD-4CA0-B186-1AF9F186A20A}"/>
    <cellStyle name="Currency 5" xfId="1694" xr:uid="{5EFB2508-A1DA-4ADD-8779-68901033CCF8}"/>
    <cellStyle name="Explanatory Text 2" xfId="495" xr:uid="{B94114FF-67D0-4620-A79C-BFF1EA496D89}"/>
    <cellStyle name="Good 2" xfId="496" xr:uid="{C68ACCA1-3472-4140-AFCC-5E8BAB46E066}"/>
    <cellStyle name="Heading 1 2" xfId="497" xr:uid="{2F696206-544E-46E0-9EAC-0CED89B66CCF}"/>
    <cellStyle name="Heading 2 2" xfId="498" xr:uid="{8601C367-B3D1-4581-B09C-D3EF83CF169F}"/>
    <cellStyle name="Heading 3 2" xfId="499" xr:uid="{A9D46AA5-67D2-4E23-9D07-6353828B285D}"/>
    <cellStyle name="Heading 4 2" xfId="500" xr:uid="{FCAAA738-3699-481E-B643-8F6C6FFB3A3A}"/>
    <cellStyle name="Input 2" xfId="501" xr:uid="{31C873FB-3E25-4ACC-A488-580A1FA383B9}"/>
    <cellStyle name="Linked Cell 2" xfId="502" xr:uid="{54CD7443-CB89-499F-B60A-B51B2E86BC11}"/>
    <cellStyle name="Milliers 13" xfId="503" xr:uid="{EA86F85C-4585-41C3-8181-C5DFC21AFA84}"/>
    <cellStyle name="Milliers 2" xfId="504" xr:uid="{6FD14AF1-C5BF-4835-A7B9-EC324DF60148}"/>
    <cellStyle name="Milliers 2 10" xfId="505" xr:uid="{E9907CA5-17AD-4094-BE95-0202A7FE61B8}"/>
    <cellStyle name="Milliers 2 10 2" xfId="506" xr:uid="{4E90C3B8-648B-46F5-97CB-5DA6CF58DAE3}"/>
    <cellStyle name="Milliers 2 10 2 2" xfId="655" xr:uid="{C77F9FB8-62D4-4ADA-A271-F3A5713731BB}"/>
    <cellStyle name="Milliers 2 10 2 2 2" xfId="973" xr:uid="{8CE67909-718B-4EC7-8F88-EC74BBD683CB}"/>
    <cellStyle name="Milliers 2 10 2 2 2 2" xfId="1540" xr:uid="{4DDD6585-9F9F-4CA4-A909-E6F6BADE8FB3}"/>
    <cellStyle name="Milliers 2 10 2 2 3" xfId="1222" xr:uid="{AC4B3B0E-5AA0-4178-AF85-DE77CFC7859D}"/>
    <cellStyle name="Milliers 2 10 2 3" xfId="734" xr:uid="{204124FF-3E67-4476-BC6C-8ED5207EFC8E}"/>
    <cellStyle name="Milliers 2 10 2 3 2" xfId="1052" xr:uid="{C59ACBA9-39F4-4333-B892-3A478E9F80B7}"/>
    <cellStyle name="Milliers 2 10 2 3 2 2" xfId="1619" xr:uid="{31B11812-290B-4351-8DB7-871D5CDE9252}"/>
    <cellStyle name="Milliers 2 10 2 3 3" xfId="1301" xr:uid="{74886568-2C20-4C51-A0B9-6EB6D4421838}"/>
    <cellStyle name="Milliers 2 10 2 4" xfId="894" xr:uid="{EF552663-E890-4A01-85D7-F4D65A936E15}"/>
    <cellStyle name="Milliers 2 10 2 4 2" xfId="1461" xr:uid="{AD3218F4-C251-4AEB-8D2F-A4521F844C11}"/>
    <cellStyle name="Milliers 2 10 2 5" xfId="815" xr:uid="{A81BBA1C-D5E3-4359-B179-51EC4E34934C}"/>
    <cellStyle name="Milliers 2 10 2 5 2" xfId="1382" xr:uid="{14E6703E-A915-4C11-B3AB-7F539C5F0652}"/>
    <cellStyle name="Milliers 2 10 2 6" xfId="1139" xr:uid="{412ADE55-A61C-447F-9A1C-1601B588A2D5}"/>
    <cellStyle name="Milliers 2 10 3" xfId="654" xr:uid="{55519152-365B-4BBC-9CC9-317E09EFF3E3}"/>
    <cellStyle name="Milliers 2 10 3 2" xfId="972" xr:uid="{8BA60B4B-6CB8-4994-B329-D8081F7A1D81}"/>
    <cellStyle name="Milliers 2 10 3 2 2" xfId="1539" xr:uid="{BEDC9BF3-FD36-42D6-AB8A-0D6F1AB34269}"/>
    <cellStyle name="Milliers 2 10 3 3" xfId="1221" xr:uid="{2990D79C-A65B-4697-B1D4-730F3F922715}"/>
    <cellStyle name="Milliers 2 10 4" xfId="733" xr:uid="{71B18CA2-BC6F-4D2B-B731-8204192E7EB4}"/>
    <cellStyle name="Milliers 2 10 4 2" xfId="1051" xr:uid="{446F3E4A-033C-44BA-83F2-BF2B02B634FE}"/>
    <cellStyle name="Milliers 2 10 4 2 2" xfId="1618" xr:uid="{1DC9FA0B-CEFE-4A4B-AE5C-A74431E3676D}"/>
    <cellStyle name="Milliers 2 10 4 3" xfId="1300" xr:uid="{A97B56AC-58A7-4247-8CDE-A77B0BC81036}"/>
    <cellStyle name="Milliers 2 10 5" xfId="893" xr:uid="{45E4F34B-35D0-4AAB-AA09-F8E864C2A7B9}"/>
    <cellStyle name="Milliers 2 10 5 2" xfId="1460" xr:uid="{1F31197E-D03B-4C98-9655-C70BEB9389BD}"/>
    <cellStyle name="Milliers 2 10 6" xfId="814" xr:uid="{87F98F51-9FD4-4F9D-B004-57E6D8717E80}"/>
    <cellStyle name="Milliers 2 10 6 2" xfId="1381" xr:uid="{FB312D77-1E38-495E-B2E7-C7AA2DD285C8}"/>
    <cellStyle name="Milliers 2 10 7" xfId="1138" xr:uid="{649DB5ED-2599-418A-B705-A1E17D85BDD4}"/>
    <cellStyle name="Milliers 2 11" xfId="507" xr:uid="{2D6B7DC3-E7C8-4B26-9DE6-48C860E3AA78}"/>
    <cellStyle name="Milliers 2 11 2" xfId="508" xr:uid="{AF9C0E81-668F-4D87-8E8D-9FBF29A5E175}"/>
    <cellStyle name="Milliers 2 11 2 2" xfId="656" xr:uid="{36CAB3CE-81AB-4B82-BCD9-D73E42E01110}"/>
    <cellStyle name="Milliers 2 11 2 2 2" xfId="974" xr:uid="{A8FD9C14-5C8A-44B9-AD67-502CAE39AF54}"/>
    <cellStyle name="Milliers 2 11 2 2 2 2" xfId="1541" xr:uid="{B0BD38DC-4BE9-42F1-870F-307C91D2BFD3}"/>
    <cellStyle name="Milliers 2 11 2 2 3" xfId="1223" xr:uid="{13E261BF-B381-471F-AE2A-44F794D19A38}"/>
    <cellStyle name="Milliers 2 11 2 3" xfId="735" xr:uid="{439A6C54-67A2-42E4-9A5B-DE478AA1B1E9}"/>
    <cellStyle name="Milliers 2 11 2 3 2" xfId="1053" xr:uid="{B4B9610B-E5E0-4EB0-9144-95157BBDD2E3}"/>
    <cellStyle name="Milliers 2 11 2 3 2 2" xfId="1620" xr:uid="{C8E18650-9896-45E0-A328-EF20529C907A}"/>
    <cellStyle name="Milliers 2 11 2 3 3" xfId="1302" xr:uid="{5A47EC59-C6C8-4F94-9078-F26E90C30908}"/>
    <cellStyle name="Milliers 2 11 2 4" xfId="895" xr:uid="{8EED840C-68FD-4B71-B311-F5F1E41EE9E1}"/>
    <cellStyle name="Milliers 2 11 2 4 2" xfId="1462" xr:uid="{58112775-1C70-4424-AA0D-D64E20D2498D}"/>
    <cellStyle name="Milliers 2 11 2 5" xfId="816" xr:uid="{DF214600-5CA5-45C4-96EA-7823C2E18C15}"/>
    <cellStyle name="Milliers 2 11 2 5 2" xfId="1383" xr:uid="{8CE4EFF8-5E2F-48C8-B409-4D202094C5DD}"/>
    <cellStyle name="Milliers 2 11 2 6" xfId="1140" xr:uid="{E4422308-2126-4556-910E-B5A6FB0C62F8}"/>
    <cellStyle name="Milliers 2 12" xfId="509" xr:uid="{BB5BC2B1-CE53-43EF-8F86-83DC3705E55D}"/>
    <cellStyle name="Milliers 2 12 2" xfId="510" xr:uid="{FA2B5F64-218A-4E09-97CB-0D4E26AF8216}"/>
    <cellStyle name="Milliers 2 12 2 2" xfId="657" xr:uid="{8B066676-DD71-4FE7-BAF4-4BDA296DA5C5}"/>
    <cellStyle name="Milliers 2 12 2 2 2" xfId="975" xr:uid="{D57D1A2A-9DCE-4BA0-95DF-82EE0F2651C2}"/>
    <cellStyle name="Milliers 2 12 2 2 2 2" xfId="1542" xr:uid="{D54C7859-1FC4-40AF-AFC3-17554FFF96DE}"/>
    <cellStyle name="Milliers 2 12 2 2 3" xfId="1224" xr:uid="{ED823F12-9C12-4492-8FC6-5FA3CA6ADF55}"/>
    <cellStyle name="Milliers 2 12 2 3" xfId="736" xr:uid="{285F64BA-7A88-4460-9FA7-90792C01E089}"/>
    <cellStyle name="Milliers 2 12 2 3 2" xfId="1054" xr:uid="{307D7623-E173-4CBD-BEED-0284E5A709A6}"/>
    <cellStyle name="Milliers 2 12 2 3 2 2" xfId="1621" xr:uid="{605BFECE-2469-4DF7-9E81-5F517C52E8D1}"/>
    <cellStyle name="Milliers 2 12 2 3 3" xfId="1303" xr:uid="{685CF90B-E1E0-4A61-A95E-4B48AAB42098}"/>
    <cellStyle name="Milliers 2 12 2 4" xfId="896" xr:uid="{43667938-E75A-4205-AD35-6C7F78C4678D}"/>
    <cellStyle name="Milliers 2 12 2 4 2" xfId="1463" xr:uid="{8EA3F1FA-BC99-4C37-9226-B7F9394A6A6C}"/>
    <cellStyle name="Milliers 2 12 2 5" xfId="817" xr:uid="{CD1178C1-37DB-4E2E-B681-DFA22632CE53}"/>
    <cellStyle name="Milliers 2 12 2 5 2" xfId="1384" xr:uid="{1B4C8274-6094-4FFD-BDC2-4D394D049469}"/>
    <cellStyle name="Milliers 2 12 2 6" xfId="1141" xr:uid="{39A946E2-E620-4C2C-B61E-177DAA763FFA}"/>
    <cellStyle name="Milliers 2 13" xfId="511" xr:uid="{0884B4AB-6477-457B-89A1-A0013D247E40}"/>
    <cellStyle name="Milliers 2 13 2" xfId="658" xr:uid="{5513FC45-64D3-4B29-A1BF-98D4F28E0054}"/>
    <cellStyle name="Milliers 2 13 2 2" xfId="976" xr:uid="{13DB2D12-2A13-499A-9516-DC662CACB79F}"/>
    <cellStyle name="Milliers 2 13 2 2 2" xfId="1543" xr:uid="{C32FBDC6-394B-432E-9937-000890039234}"/>
    <cellStyle name="Milliers 2 13 2 3" xfId="1225" xr:uid="{B6C70102-D622-41D9-8B17-16DC9F82BCDE}"/>
    <cellStyle name="Milliers 2 13 3" xfId="737" xr:uid="{B50A4D2B-5DD9-4533-9E40-5FCC38BB2CB5}"/>
    <cellStyle name="Milliers 2 13 3 2" xfId="1055" xr:uid="{2C4DD932-7DFD-4BE2-970C-71B376BD6E28}"/>
    <cellStyle name="Milliers 2 13 3 2 2" xfId="1622" xr:uid="{27F7E4F5-18A5-443B-BE88-CB862357760A}"/>
    <cellStyle name="Milliers 2 13 3 3" xfId="1304" xr:uid="{D83D5568-14B7-4D03-826C-E4414A71CFE6}"/>
    <cellStyle name="Milliers 2 13 4" xfId="897" xr:uid="{768B21CA-FB62-4AB2-8ED9-ADF7D383BF59}"/>
    <cellStyle name="Milliers 2 13 4 2" xfId="1464" xr:uid="{CC594DFD-BE3B-4785-833D-A3FF8157CF6E}"/>
    <cellStyle name="Milliers 2 13 5" xfId="818" xr:uid="{E4CB9382-0486-497F-A223-D465B8E76088}"/>
    <cellStyle name="Milliers 2 13 5 2" xfId="1385" xr:uid="{47726A5E-177A-4652-A8AD-B5CC2B7C1CE5}"/>
    <cellStyle name="Milliers 2 13 6" xfId="1142" xr:uid="{784C1B9A-C5A0-4290-B5EA-E4367A2ACC05}"/>
    <cellStyle name="Milliers 2 14" xfId="653" xr:uid="{234F2E7F-D176-4A32-BAAA-23FAF7751B15}"/>
    <cellStyle name="Milliers 2 14 2" xfId="971" xr:uid="{D7F23F89-1DB3-4F14-851B-1277230B7E48}"/>
    <cellStyle name="Milliers 2 14 2 2" xfId="1538" xr:uid="{236C71EE-B680-445F-82E3-0AB1C1A48227}"/>
    <cellStyle name="Milliers 2 14 3" xfId="1220" xr:uid="{28D1C10F-9539-4567-A065-5BECCFAFD3E4}"/>
    <cellStyle name="Milliers 2 15" xfId="732" xr:uid="{60625B49-E612-43E6-8518-5ADB0255AC3B}"/>
    <cellStyle name="Milliers 2 15 2" xfId="1050" xr:uid="{D892A216-B2B0-4C0F-9513-37A20FC790B3}"/>
    <cellStyle name="Milliers 2 15 2 2" xfId="1617" xr:uid="{E914DAA6-4784-466E-A3BD-05CE9F636C5D}"/>
    <cellStyle name="Milliers 2 15 3" xfId="1299" xr:uid="{DE2B041D-6E5E-4E14-9CC3-A564ABEC5142}"/>
    <cellStyle name="Milliers 2 16" xfId="892" xr:uid="{2C75466E-BA1C-44FB-BD85-89E3CEC30C19}"/>
    <cellStyle name="Milliers 2 16 2" xfId="1459" xr:uid="{1ABA2ED2-22D2-4269-9FD7-B8E605D7F3BE}"/>
    <cellStyle name="Milliers 2 17" xfId="813" xr:uid="{D1E37A01-C770-48AB-9D53-B65231BA4E3C}"/>
    <cellStyle name="Milliers 2 17 2" xfId="1380" xr:uid="{B6E7C577-74D1-4EE9-8286-BD42ACE45916}"/>
    <cellStyle name="Milliers 2 18" xfId="1137" xr:uid="{537A83D4-4109-438C-B6FE-ADB35ABAFBCB}"/>
    <cellStyle name="Milliers 2 2" xfId="512" xr:uid="{4C3EC690-B87E-4B1A-8835-D78CE2542EF9}"/>
    <cellStyle name="Milliers 2 2 2" xfId="513" xr:uid="{35C28D75-DF2B-426F-B5BB-0773276A858D}"/>
    <cellStyle name="Milliers 2 2 2 2" xfId="660" xr:uid="{C30BA49D-5F57-44C1-8818-15159AF45B74}"/>
    <cellStyle name="Milliers 2 2 2 2 2" xfId="978" xr:uid="{0195F6FD-FF13-47DC-804E-0138C81E29C4}"/>
    <cellStyle name="Milliers 2 2 2 2 2 2" xfId="1545" xr:uid="{067A59B0-55BE-45DC-9C51-27B0F44A9326}"/>
    <cellStyle name="Milliers 2 2 2 2 3" xfId="1227" xr:uid="{E01D0750-0E68-4F05-9203-C5F1C1B6F784}"/>
    <cellStyle name="Milliers 2 2 2 3" xfId="739" xr:uid="{E4F7C0F3-6948-471F-B7CB-67675DE84ADC}"/>
    <cellStyle name="Milliers 2 2 2 3 2" xfId="1057" xr:uid="{9F289D10-FC41-46AE-A592-5C156A7A7348}"/>
    <cellStyle name="Milliers 2 2 2 3 2 2" xfId="1624" xr:uid="{BF80640A-648D-4225-BDD2-FC9BA36AB71B}"/>
    <cellStyle name="Milliers 2 2 2 3 3" xfId="1306" xr:uid="{84E49432-2423-4284-9F62-284C87358FF8}"/>
    <cellStyle name="Milliers 2 2 2 4" xfId="899" xr:uid="{54A703AC-425F-41EB-95F9-2A6EF9337584}"/>
    <cellStyle name="Milliers 2 2 2 4 2" xfId="1466" xr:uid="{9F6675F4-0BC8-486D-91A2-CE5DF568AEAC}"/>
    <cellStyle name="Milliers 2 2 2 5" xfId="820" xr:uid="{6ED39D28-4C0E-4DCE-81BD-EC247A6B69B4}"/>
    <cellStyle name="Milliers 2 2 2 5 2" xfId="1387" xr:uid="{0E7D21AB-F670-4005-9629-E0292D7BCBDC}"/>
    <cellStyle name="Milliers 2 2 2 6" xfId="1144" xr:uid="{7E72476E-1B1E-4036-8871-46C46D304E1A}"/>
    <cellStyle name="Milliers 2 2 3" xfId="659" xr:uid="{D48AB16A-3D7C-4C47-9A9B-5AFBCE5A3849}"/>
    <cellStyle name="Milliers 2 2 3 2" xfId="977" xr:uid="{43324A31-3EAB-43A6-9C3D-21F14C9EA276}"/>
    <cellStyle name="Milliers 2 2 3 2 2" xfId="1544" xr:uid="{81C31E87-BC65-40DC-BA95-588C9D8156F8}"/>
    <cellStyle name="Milliers 2 2 3 3" xfId="1226" xr:uid="{878A6401-3975-4006-A882-59D2A6FB7D10}"/>
    <cellStyle name="Milliers 2 2 4" xfId="738" xr:uid="{2B37B6A5-EAE1-411D-BE02-699AE1EC8942}"/>
    <cellStyle name="Milliers 2 2 4 2" xfId="1056" xr:uid="{CBF3F7DC-ABF0-4EFD-AB60-911EA7A01470}"/>
    <cellStyle name="Milliers 2 2 4 2 2" xfId="1623" xr:uid="{4D40567F-2542-4667-AD76-B7676EF01EDE}"/>
    <cellStyle name="Milliers 2 2 4 3" xfId="1305" xr:uid="{0CFC9B62-CEA7-4968-920D-86B9306E5F76}"/>
    <cellStyle name="Milliers 2 2 5" xfId="898" xr:uid="{09875EBA-CBC6-4518-A8A8-47D6082BB990}"/>
    <cellStyle name="Milliers 2 2 5 2" xfId="1465" xr:uid="{7F162EE2-8695-4040-B2B0-C855B5485AE0}"/>
    <cellStyle name="Milliers 2 2 6" xfId="819" xr:uid="{7F02F908-786D-4965-BF51-B44250B2A699}"/>
    <cellStyle name="Milliers 2 2 6 2" xfId="1386" xr:uid="{A95D2AA4-C62E-48C6-9D61-D00198426543}"/>
    <cellStyle name="Milliers 2 2 7" xfId="1143" xr:uid="{4383BF4F-3FDC-42DA-88D1-91572A0B378A}"/>
    <cellStyle name="Milliers 2 3" xfId="514" xr:uid="{5203FF23-D8B6-47C5-8FB1-22B58B35428A}"/>
    <cellStyle name="Milliers 2 3 2" xfId="515" xr:uid="{3EC6BD27-E4AF-4332-B8BA-FFAF1E0A5F8C}"/>
    <cellStyle name="Milliers 2 3 2 2" xfId="662" xr:uid="{46057986-9F42-4ECA-A429-FB8FA65C6B08}"/>
    <cellStyle name="Milliers 2 3 2 2 2" xfId="980" xr:uid="{AC18F23F-1B8B-44FA-9B3E-EF9423C0124F}"/>
    <cellStyle name="Milliers 2 3 2 2 2 2" xfId="1547" xr:uid="{5C26584F-91D0-4413-A004-FCC51D040534}"/>
    <cellStyle name="Milliers 2 3 2 2 3" xfId="1229" xr:uid="{7C2FAD5C-417A-498D-AA3A-B9F8DF50AB78}"/>
    <cellStyle name="Milliers 2 3 2 3" xfId="741" xr:uid="{5A7521CF-572B-4BC2-8D31-90924627DD9C}"/>
    <cellStyle name="Milliers 2 3 2 3 2" xfId="1059" xr:uid="{6CF9F379-4443-465D-BF75-22E10F97C9F9}"/>
    <cellStyle name="Milliers 2 3 2 3 2 2" xfId="1626" xr:uid="{F4ECD387-DA97-439E-81FF-A626EDDDCE37}"/>
    <cellStyle name="Milliers 2 3 2 3 3" xfId="1308" xr:uid="{698D2C60-578D-4824-92EB-D919C27178EF}"/>
    <cellStyle name="Milliers 2 3 2 4" xfId="901" xr:uid="{F9437A15-0680-4177-BB9E-5F7E95160222}"/>
    <cellStyle name="Milliers 2 3 2 4 2" xfId="1468" xr:uid="{C4A4BE08-24D1-40FF-9F39-DFE98C224EC9}"/>
    <cellStyle name="Milliers 2 3 2 5" xfId="822" xr:uid="{845CF751-785A-47E0-B8E9-5FB5631B8315}"/>
    <cellStyle name="Milliers 2 3 2 5 2" xfId="1389" xr:uid="{791D33FE-9897-4C14-856F-E7E61735DE2B}"/>
    <cellStyle name="Milliers 2 3 2 6" xfId="1146" xr:uid="{25F2CEEF-D45D-4F63-B513-3C4EEA6C297A}"/>
    <cellStyle name="Milliers 2 3 3" xfId="661" xr:uid="{B801B96B-C645-4BFD-A1F5-6901DF4F897E}"/>
    <cellStyle name="Milliers 2 3 3 2" xfId="979" xr:uid="{183AF4F7-A73F-4C28-B392-6F63C9A85F17}"/>
    <cellStyle name="Milliers 2 3 3 2 2" xfId="1546" xr:uid="{6385637C-2DB5-4421-AC55-367749528481}"/>
    <cellStyle name="Milliers 2 3 3 3" xfId="1228" xr:uid="{579A63F7-CDDE-492E-BF89-F6BBEAE4728F}"/>
    <cellStyle name="Milliers 2 3 4" xfId="740" xr:uid="{C0C22E22-20AB-430D-8754-01FF68E508F5}"/>
    <cellStyle name="Milliers 2 3 4 2" xfId="1058" xr:uid="{40EBB357-CDDE-49EE-A843-26A1E80D9CD2}"/>
    <cellStyle name="Milliers 2 3 4 2 2" xfId="1625" xr:uid="{27D40696-B789-4A0E-8CD6-615AFB4530C5}"/>
    <cellStyle name="Milliers 2 3 4 3" xfId="1307" xr:uid="{1769FE64-4C08-4DB9-997C-9C2C2CA5EBAE}"/>
    <cellStyle name="Milliers 2 3 5" xfId="900" xr:uid="{D9B40CA8-AEAB-405A-B816-F6EC7C554C12}"/>
    <cellStyle name="Milliers 2 3 5 2" xfId="1467" xr:uid="{F88773B3-FC2B-46E5-A5F7-5B68D6E3FBC9}"/>
    <cellStyle name="Milliers 2 3 6" xfId="821" xr:uid="{527094FC-73AA-4F9E-881C-B100426D69A7}"/>
    <cellStyle name="Milliers 2 3 6 2" xfId="1388" xr:uid="{6E1CF331-5CD0-421F-9592-25530C43D7F4}"/>
    <cellStyle name="Milliers 2 3 7" xfId="1145" xr:uid="{055BF902-08DF-4367-B9A4-8CC6507354E0}"/>
    <cellStyle name="Milliers 2 4" xfId="516" xr:uid="{1E435B0A-4119-4EF2-9E6D-5BEE0CAB7868}"/>
    <cellStyle name="Milliers 2 4 2" xfId="517" xr:uid="{0BEF18F1-2225-42AF-B9C7-04A44C910AA8}"/>
    <cellStyle name="Milliers 2 4 2 2" xfId="664" xr:uid="{B7584DB7-C375-4398-A8A9-7738FBA20A76}"/>
    <cellStyle name="Milliers 2 4 2 2 2" xfId="982" xr:uid="{29F89936-612E-4D74-80B3-7D34739E4976}"/>
    <cellStyle name="Milliers 2 4 2 2 2 2" xfId="1549" xr:uid="{F0AAE803-DCC4-4722-9E16-CDAE34D35187}"/>
    <cellStyle name="Milliers 2 4 2 2 3" xfId="1231" xr:uid="{C4138390-0867-4446-9A4A-3C38969BDC67}"/>
    <cellStyle name="Milliers 2 4 2 3" xfId="743" xr:uid="{B92A3784-402F-4310-BDB2-00875B4CDC3A}"/>
    <cellStyle name="Milliers 2 4 2 3 2" xfId="1061" xr:uid="{19FF0392-B416-4B98-9E0B-CDA3385A4F0E}"/>
    <cellStyle name="Milliers 2 4 2 3 2 2" xfId="1628" xr:uid="{2AA16374-5F8F-43CB-A051-13FA0421FD4C}"/>
    <cellStyle name="Milliers 2 4 2 3 3" xfId="1310" xr:uid="{82701C73-9551-4AB1-A879-F76E6989694A}"/>
    <cellStyle name="Milliers 2 4 2 4" xfId="903" xr:uid="{E517335D-9FB1-45C2-A2A8-46125DAEC83A}"/>
    <cellStyle name="Milliers 2 4 2 4 2" xfId="1470" xr:uid="{CC05C93E-F0D1-4133-9B27-C35671BB623A}"/>
    <cellStyle name="Milliers 2 4 2 5" xfId="824" xr:uid="{7F2A64DA-BF47-48B3-B95A-30C41A7502DA}"/>
    <cellStyle name="Milliers 2 4 2 5 2" xfId="1391" xr:uid="{EAFCF564-E0A8-4FCB-B311-AF836D40E0B0}"/>
    <cellStyle name="Milliers 2 4 2 6" xfId="1148" xr:uid="{9A15365E-5436-4E4A-9CF8-DECE92D220E2}"/>
    <cellStyle name="Milliers 2 4 3" xfId="663" xr:uid="{87F723BE-EC56-4E7E-8F0F-1FB6AF02F6E0}"/>
    <cellStyle name="Milliers 2 4 3 2" xfId="981" xr:uid="{850CEBFC-5881-4588-B79B-9C0F7C8199BA}"/>
    <cellStyle name="Milliers 2 4 3 2 2" xfId="1548" xr:uid="{622ED499-293C-454B-A84E-CB877E71BF1A}"/>
    <cellStyle name="Milliers 2 4 3 3" xfId="1230" xr:uid="{D51A0541-D3D1-4504-83D0-8CDF36BC9051}"/>
    <cellStyle name="Milliers 2 4 4" xfId="742" xr:uid="{8E2AA439-9E8D-41A0-AE40-225BC9BE8F63}"/>
    <cellStyle name="Milliers 2 4 4 2" xfId="1060" xr:uid="{8409F87F-141C-4785-ABA2-F2B072D876D2}"/>
    <cellStyle name="Milliers 2 4 4 2 2" xfId="1627" xr:uid="{A472EB59-6E3D-4426-BC22-A7F47DC697A6}"/>
    <cellStyle name="Milliers 2 4 4 3" xfId="1309" xr:uid="{4CD4B352-19A9-4194-97B1-19DC21C8462B}"/>
    <cellStyle name="Milliers 2 4 5" xfId="902" xr:uid="{BF398B88-1F3A-486B-AA3B-D94941F95307}"/>
    <cellStyle name="Milliers 2 4 5 2" xfId="1469" xr:uid="{8CD4BFFD-9C45-4AFE-A587-0C9A633A987E}"/>
    <cellStyle name="Milliers 2 4 6" xfId="823" xr:uid="{329A072B-CE39-4BCF-93DC-4014776E0A4B}"/>
    <cellStyle name="Milliers 2 4 6 2" xfId="1390" xr:uid="{92F90635-B535-4EA5-8FCF-448B7B32ACED}"/>
    <cellStyle name="Milliers 2 4 7" xfId="1147" xr:uid="{54123A72-4E1F-4706-A434-83F329CBF79D}"/>
    <cellStyle name="Milliers 2 5" xfId="518" xr:uid="{3C6CCE1B-2807-4C2B-9777-824A58CC3500}"/>
    <cellStyle name="Milliers 2 5 2" xfId="519" xr:uid="{98DC7B75-EC93-4CBF-8FDA-422C7F233F77}"/>
    <cellStyle name="Milliers 2 5 2 2" xfId="666" xr:uid="{B1F4326A-F437-4BD9-AFB8-322D45E54CB1}"/>
    <cellStyle name="Milliers 2 5 2 2 2" xfId="984" xr:uid="{8914E235-34A5-404A-A2AB-4ED36BC80A4C}"/>
    <cellStyle name="Milliers 2 5 2 2 2 2" xfId="1551" xr:uid="{7B7A3EF7-1C9F-4315-9B88-6B6364D166E9}"/>
    <cellStyle name="Milliers 2 5 2 2 3" xfId="1233" xr:uid="{660659F8-15C2-4CF9-97AD-97012C721366}"/>
    <cellStyle name="Milliers 2 5 2 3" xfId="745" xr:uid="{E08DFA97-7A51-4D53-8C3A-8630CB280D91}"/>
    <cellStyle name="Milliers 2 5 2 3 2" xfId="1063" xr:uid="{173B3BED-F180-47F8-A191-AC8DC8FCF151}"/>
    <cellStyle name="Milliers 2 5 2 3 2 2" xfId="1630" xr:uid="{A86FD2CD-8BBC-4348-B200-F6E5EFA3BB18}"/>
    <cellStyle name="Milliers 2 5 2 3 3" xfId="1312" xr:uid="{FAA8DE81-97F3-467B-BEE5-565283EC4AFB}"/>
    <cellStyle name="Milliers 2 5 2 4" xfId="905" xr:uid="{B191A91F-C625-49A7-9D51-D22CE6616CCF}"/>
    <cellStyle name="Milliers 2 5 2 4 2" xfId="1472" xr:uid="{BE148BA5-55EA-4827-9DF8-413AC5E81904}"/>
    <cellStyle name="Milliers 2 5 2 5" xfId="826" xr:uid="{05B41570-B199-434F-A470-CEF6085025AF}"/>
    <cellStyle name="Milliers 2 5 2 5 2" xfId="1393" xr:uid="{9A23B7F8-E3B1-48ED-8608-039EB836088A}"/>
    <cellStyle name="Milliers 2 5 2 6" xfId="1150" xr:uid="{0B2B9318-9F3A-43F3-8638-63CD21DB0D8B}"/>
    <cellStyle name="Milliers 2 5 3" xfId="665" xr:uid="{EDC4F6D2-9E0F-41A0-92AF-34D23B24F14F}"/>
    <cellStyle name="Milliers 2 5 3 2" xfId="983" xr:uid="{8ACCA234-315F-440C-9796-C8DFD62A90B1}"/>
    <cellStyle name="Milliers 2 5 3 2 2" xfId="1550" xr:uid="{8E1D48B0-1A2E-465A-9089-07B4E7B64918}"/>
    <cellStyle name="Milliers 2 5 3 3" xfId="1232" xr:uid="{3D83C331-1DBD-4DDA-8403-6260672F1291}"/>
    <cellStyle name="Milliers 2 5 4" xfId="744" xr:uid="{F9643FE9-888E-4746-B997-B282AAE9E73F}"/>
    <cellStyle name="Milliers 2 5 4 2" xfId="1062" xr:uid="{1B12D1A2-4A2A-4E46-94A5-4FF695C20CCC}"/>
    <cellStyle name="Milliers 2 5 4 2 2" xfId="1629" xr:uid="{106413CB-4EF0-4B18-B9C8-32FE8108EAC2}"/>
    <cellStyle name="Milliers 2 5 4 3" xfId="1311" xr:uid="{89526C9E-24CC-4068-9772-13F2936F59B2}"/>
    <cellStyle name="Milliers 2 5 5" xfId="904" xr:uid="{A2D25237-98E6-4BA4-AB55-B89A9AC14ACC}"/>
    <cellStyle name="Milliers 2 5 5 2" xfId="1471" xr:uid="{71A563DF-7901-4791-9597-07A5E6FCEDCC}"/>
    <cellStyle name="Milliers 2 5 6" xfId="825" xr:uid="{DBD04F0B-1E97-4304-BFD1-1138CCE44BB5}"/>
    <cellStyle name="Milliers 2 5 6 2" xfId="1392" xr:uid="{501886AA-E5C8-49FB-AF2E-27071BAFBCFE}"/>
    <cellStyle name="Milliers 2 5 7" xfId="1149" xr:uid="{AB478DA2-EB2A-4777-BAD0-F8F4F536D3AF}"/>
    <cellStyle name="Milliers 2 6" xfId="520" xr:uid="{5F15480A-246B-4C37-B1BD-B5702ED98551}"/>
    <cellStyle name="Milliers 2 6 2" xfId="521" xr:uid="{3E0D6E53-D676-4B83-B13A-4E8C50F66085}"/>
    <cellStyle name="Milliers 2 6 2 2" xfId="668" xr:uid="{79DFF0E9-84A6-4456-B5B8-C1163C3DACBF}"/>
    <cellStyle name="Milliers 2 6 2 2 2" xfId="986" xr:uid="{3D27940B-496C-464D-A6AB-2CC44BD4A1E2}"/>
    <cellStyle name="Milliers 2 6 2 2 2 2" xfId="1553" xr:uid="{A8A877CC-318B-4822-ADBD-4C37642EFF26}"/>
    <cellStyle name="Milliers 2 6 2 2 3" xfId="1235" xr:uid="{0EB161AE-D725-4C9F-896E-5FE963551813}"/>
    <cellStyle name="Milliers 2 6 2 3" xfId="747" xr:uid="{D22E04A3-0ED1-4EAB-804D-CB6F24D43724}"/>
    <cellStyle name="Milliers 2 6 2 3 2" xfId="1065" xr:uid="{B42C6763-A4AB-4A82-B8F0-CE19752D6B15}"/>
    <cellStyle name="Milliers 2 6 2 3 2 2" xfId="1632" xr:uid="{7FDC1B7D-5B66-441D-A1F0-555D8159A4B2}"/>
    <cellStyle name="Milliers 2 6 2 3 3" xfId="1314" xr:uid="{B26B4506-3139-4561-899D-DA80F6E592E2}"/>
    <cellStyle name="Milliers 2 6 2 4" xfId="907" xr:uid="{A9759B4C-392E-4B10-9C4C-8DC467ED12BF}"/>
    <cellStyle name="Milliers 2 6 2 4 2" xfId="1474" xr:uid="{CCC7B038-4542-429C-92D0-7528B5A5E57B}"/>
    <cellStyle name="Milliers 2 6 2 5" xfId="828" xr:uid="{4EC13440-D233-41D3-98CF-CB84A42A3030}"/>
    <cellStyle name="Milliers 2 6 2 5 2" xfId="1395" xr:uid="{83D2A39D-355D-4BDC-B5B9-21DF2F17A665}"/>
    <cellStyle name="Milliers 2 6 2 6" xfId="1152" xr:uid="{5965B5B7-7FBA-4E25-A9E9-8A0057AE4551}"/>
    <cellStyle name="Milliers 2 6 3" xfId="667" xr:uid="{C0FEB7E5-51D3-4EFE-A38A-B444CCE7D3AE}"/>
    <cellStyle name="Milliers 2 6 3 2" xfId="985" xr:uid="{47DEB9AA-99CD-4BBB-8551-EB053A6E6BDE}"/>
    <cellStyle name="Milliers 2 6 3 2 2" xfId="1552" xr:uid="{0193DD6F-D7A0-406F-9E75-C9DFAE10BE64}"/>
    <cellStyle name="Milliers 2 6 3 3" xfId="1234" xr:uid="{FC518FA4-1721-4235-9F68-56789EE7BAD4}"/>
    <cellStyle name="Milliers 2 6 4" xfId="746" xr:uid="{3D60C006-F08A-4D8A-B22A-E2649CF60D38}"/>
    <cellStyle name="Milliers 2 6 4 2" xfId="1064" xr:uid="{33942B5D-06A5-49EE-93E6-BEDE35F191CC}"/>
    <cellStyle name="Milliers 2 6 4 2 2" xfId="1631" xr:uid="{24268D5E-A651-4C56-AD3C-A8123AC1FFCE}"/>
    <cellStyle name="Milliers 2 6 4 3" xfId="1313" xr:uid="{3A74FA6E-4EAF-4A00-9038-86E1D94A7EB8}"/>
    <cellStyle name="Milliers 2 6 5" xfId="906" xr:uid="{D76AD70C-4E6B-4645-A43F-6FC593B414CA}"/>
    <cellStyle name="Milliers 2 6 5 2" xfId="1473" xr:uid="{D60F2BE2-A47F-416C-897A-3A53CE404329}"/>
    <cellStyle name="Milliers 2 6 6" xfId="827" xr:uid="{03990FBC-5876-4240-8F4D-C861F015C0FA}"/>
    <cellStyle name="Milliers 2 6 6 2" xfId="1394" xr:uid="{4A60327E-4F5C-4F16-8D5D-7C0DD83808F5}"/>
    <cellStyle name="Milliers 2 6 7" xfId="1151" xr:uid="{D50FA6ED-A29F-49B0-A639-8A1DC7EEFB00}"/>
    <cellStyle name="Milliers 2 7" xfId="522" xr:uid="{46010B3C-AB58-45FB-B81E-E25EA92F132F}"/>
    <cellStyle name="Milliers 2 7 2" xfId="523" xr:uid="{19D715F7-CB22-422C-B674-95CCDFBC73F0}"/>
    <cellStyle name="Milliers 2 7 2 2" xfId="670" xr:uid="{12C5B699-02E4-4261-98F6-BD06109E40CB}"/>
    <cellStyle name="Milliers 2 7 2 2 2" xfId="988" xr:uid="{89D497B4-B687-433F-9511-2B1434F88B6C}"/>
    <cellStyle name="Milliers 2 7 2 2 2 2" xfId="1555" xr:uid="{C2F4D769-94A9-44E5-BF06-C4D72D48B15A}"/>
    <cellStyle name="Milliers 2 7 2 2 3" xfId="1237" xr:uid="{B8E05B8B-C86F-425D-A822-B5ADBC02A601}"/>
    <cellStyle name="Milliers 2 7 2 3" xfId="749" xr:uid="{539BE574-A7F7-4609-9BE6-24141715CD5E}"/>
    <cellStyle name="Milliers 2 7 2 3 2" xfId="1067" xr:uid="{BBFCC742-73B1-40CD-ABE0-FE36E0C1F9E1}"/>
    <cellStyle name="Milliers 2 7 2 3 2 2" xfId="1634" xr:uid="{B9AF86D6-4906-4E87-85B5-CED0C8A6B9B5}"/>
    <cellStyle name="Milliers 2 7 2 3 3" xfId="1316" xr:uid="{40E3618E-7523-4B0B-89EF-7FD86A3CAD46}"/>
    <cellStyle name="Milliers 2 7 2 4" xfId="909" xr:uid="{B4FB96E5-3B8A-4E2F-AE74-6054C8077380}"/>
    <cellStyle name="Milliers 2 7 2 4 2" xfId="1476" xr:uid="{9BE227D8-62C1-4A8C-B7A5-D91DBB2B1D20}"/>
    <cellStyle name="Milliers 2 7 2 5" xfId="830" xr:uid="{F5E618D3-7864-49BF-A91A-4FB634A8F3AB}"/>
    <cellStyle name="Milliers 2 7 2 5 2" xfId="1397" xr:uid="{53BA0820-69DA-4F18-82FC-CCBC03FC5BE6}"/>
    <cellStyle name="Milliers 2 7 2 6" xfId="1154" xr:uid="{A0FEFACE-2090-456C-9901-5051D3B13CDB}"/>
    <cellStyle name="Milliers 2 7 3" xfId="669" xr:uid="{246240E4-0C02-4EC8-AAF4-A62A889AEBB9}"/>
    <cellStyle name="Milliers 2 7 3 2" xfId="987" xr:uid="{10E83F20-C41C-424E-9DBD-0C43292E120E}"/>
    <cellStyle name="Milliers 2 7 3 2 2" xfId="1554" xr:uid="{B1C62597-E5E8-4820-80A5-111B7A92E1F2}"/>
    <cellStyle name="Milliers 2 7 3 3" xfId="1236" xr:uid="{214D75B7-22A7-4F43-8BAB-88CCFFC294F0}"/>
    <cellStyle name="Milliers 2 7 4" xfId="748" xr:uid="{B5134BA4-D008-4B39-9959-613AB6CB324D}"/>
    <cellStyle name="Milliers 2 7 4 2" xfId="1066" xr:uid="{BE504691-BA42-4C8A-A4BD-99147F01A11E}"/>
    <cellStyle name="Milliers 2 7 4 2 2" xfId="1633" xr:uid="{E6A64057-A210-4BBB-9B1E-750E51EC6EC1}"/>
    <cellStyle name="Milliers 2 7 4 3" xfId="1315" xr:uid="{4C148248-1A2B-4EEE-888A-EF06D57ADF08}"/>
    <cellStyle name="Milliers 2 7 5" xfId="908" xr:uid="{805173F5-9CE7-4725-8FC8-271DCDB05160}"/>
    <cellStyle name="Milliers 2 7 5 2" xfId="1475" xr:uid="{FFF1F210-4218-478E-BEC8-000D0210D844}"/>
    <cellStyle name="Milliers 2 7 6" xfId="829" xr:uid="{EBC207E8-4871-46F9-92CE-E9A6F8E9EA7C}"/>
    <cellStyle name="Milliers 2 7 6 2" xfId="1396" xr:uid="{0056A0B5-9D34-4A03-9E8A-C28002898184}"/>
    <cellStyle name="Milliers 2 7 7" xfId="1153" xr:uid="{34043023-E673-42F6-BEA3-A90ADF69C7BC}"/>
    <cellStyle name="Milliers 2 8" xfId="524" xr:uid="{CA73A64B-2A61-4065-8E6D-45013F6AD430}"/>
    <cellStyle name="Milliers 2 8 2" xfId="525" xr:uid="{32034F70-C1C8-46E2-9F9E-21F0DE1AF5D6}"/>
    <cellStyle name="Milliers 2 8 2 2" xfId="672" xr:uid="{A064B3B5-6C67-4D16-9D51-34A4759FFE7D}"/>
    <cellStyle name="Milliers 2 8 2 2 2" xfId="990" xr:uid="{115F0BBC-86E7-4B3C-9893-8679434B7D9C}"/>
    <cellStyle name="Milliers 2 8 2 2 2 2" xfId="1557" xr:uid="{E9B5EC61-610A-4EA2-8524-7A07E32E2FD4}"/>
    <cellStyle name="Milliers 2 8 2 2 3" xfId="1239" xr:uid="{DDC55E60-D36F-441D-BFE3-31A89CFF5DAC}"/>
    <cellStyle name="Milliers 2 8 2 3" xfId="751" xr:uid="{BDC3D72F-FE1E-4E3F-A8AA-FC51BBC9F8D0}"/>
    <cellStyle name="Milliers 2 8 2 3 2" xfId="1069" xr:uid="{C8BD9613-10AB-4343-945D-7A248A56A97B}"/>
    <cellStyle name="Milliers 2 8 2 3 2 2" xfId="1636" xr:uid="{3A01A283-239C-48FC-AA9C-DF485FCC91F9}"/>
    <cellStyle name="Milliers 2 8 2 3 3" xfId="1318" xr:uid="{0ED0853E-C395-4ECF-82D5-A6A9B4EDD459}"/>
    <cellStyle name="Milliers 2 8 2 4" xfId="911" xr:uid="{975F0537-D1E3-4502-9A6D-876418592C4D}"/>
    <cellStyle name="Milliers 2 8 2 4 2" xfId="1478" xr:uid="{586F6194-AA60-49AF-A538-5DD250450B84}"/>
    <cellStyle name="Milliers 2 8 2 5" xfId="832" xr:uid="{F3CCA700-D59F-48D7-802D-27D8AA853A47}"/>
    <cellStyle name="Milliers 2 8 2 5 2" xfId="1399" xr:uid="{A7B3D0D1-1FAC-4931-834E-CE0A8DA2931C}"/>
    <cellStyle name="Milliers 2 8 2 6" xfId="1156" xr:uid="{67326CDE-481B-401E-8E1A-ABA9DDEB5D59}"/>
    <cellStyle name="Milliers 2 8 3" xfId="671" xr:uid="{5AEF5BB8-8AFB-4DA7-97D4-9400CA28DF3B}"/>
    <cellStyle name="Milliers 2 8 3 2" xfId="989" xr:uid="{38426BB2-7331-4D79-8041-95E055DE25F9}"/>
    <cellStyle name="Milliers 2 8 3 2 2" xfId="1556" xr:uid="{AD018B11-FCCC-43AA-898E-191A5AA5ABE7}"/>
    <cellStyle name="Milliers 2 8 3 3" xfId="1238" xr:uid="{C2F4091F-D513-4D94-B9A6-74A658CB18FB}"/>
    <cellStyle name="Milliers 2 8 4" xfId="750" xr:uid="{E36400B1-160E-4A7F-8C30-57F94F88820B}"/>
    <cellStyle name="Milliers 2 8 4 2" xfId="1068" xr:uid="{540F21FB-3FFB-42E9-B6CE-9188F4CD5DCC}"/>
    <cellStyle name="Milliers 2 8 4 2 2" xfId="1635" xr:uid="{EE65594F-5C76-4161-B206-921BF6922499}"/>
    <cellStyle name="Milliers 2 8 4 3" xfId="1317" xr:uid="{31D904E2-EE42-4292-A984-02244608EB1F}"/>
    <cellStyle name="Milliers 2 8 5" xfId="910" xr:uid="{E05313A3-6C16-463D-BCE7-AC012401C694}"/>
    <cellStyle name="Milliers 2 8 5 2" xfId="1477" xr:uid="{6312F5D6-DAE7-4646-8660-4035D97584DE}"/>
    <cellStyle name="Milliers 2 8 6" xfId="831" xr:uid="{DE70FF7A-B44B-4DDA-B3C5-D635BA06CAA6}"/>
    <cellStyle name="Milliers 2 8 6 2" xfId="1398" xr:uid="{B8732427-D7A5-4B82-A572-BC731234593C}"/>
    <cellStyle name="Milliers 2 8 7" xfId="1155" xr:uid="{9C455EAB-85AF-4CEB-87AB-1AC9000C4177}"/>
    <cellStyle name="Milliers 2 9" xfId="526" xr:uid="{2EC4F70D-0C23-45A9-887F-75996207EB33}"/>
    <cellStyle name="Milliers 2 9 2" xfId="527" xr:uid="{679456CF-967E-48E5-938E-962012B17352}"/>
    <cellStyle name="Milliers 2 9 2 2" xfId="674" xr:uid="{42DE72B7-8989-4189-962C-19EE6B12228A}"/>
    <cellStyle name="Milliers 2 9 2 2 2" xfId="992" xr:uid="{64E18181-4F09-4DFA-8FA8-E12D7002E278}"/>
    <cellStyle name="Milliers 2 9 2 2 2 2" xfId="1559" xr:uid="{D29E584C-1093-4841-87BD-1E86F9AC07EA}"/>
    <cellStyle name="Milliers 2 9 2 2 3" xfId="1241" xr:uid="{77FC80D5-EDC2-40E6-A786-BC210B9AAC1A}"/>
    <cellStyle name="Milliers 2 9 2 3" xfId="753" xr:uid="{DB8450FA-96E6-4D7C-8788-AB2676CFF80B}"/>
    <cellStyle name="Milliers 2 9 2 3 2" xfId="1071" xr:uid="{716EDB9A-D76C-4A80-B26E-317CBA0601C4}"/>
    <cellStyle name="Milliers 2 9 2 3 2 2" xfId="1638" xr:uid="{F1239255-882D-4AC5-8400-D3E58945ECA1}"/>
    <cellStyle name="Milliers 2 9 2 3 3" xfId="1320" xr:uid="{698DC51C-1F1C-430E-902D-E04EA4BBF9ED}"/>
    <cellStyle name="Milliers 2 9 2 4" xfId="913" xr:uid="{066550A5-8F5F-48FD-A55D-0EC35C24824A}"/>
    <cellStyle name="Milliers 2 9 2 4 2" xfId="1480" xr:uid="{35AE0581-4AF7-4287-84A9-499E0286CC8E}"/>
    <cellStyle name="Milliers 2 9 2 5" xfId="834" xr:uid="{AA46F892-E8BB-4844-B431-2AC488B2A607}"/>
    <cellStyle name="Milliers 2 9 2 5 2" xfId="1401" xr:uid="{78302F2C-C238-49ED-A90A-606BA3FE1D83}"/>
    <cellStyle name="Milliers 2 9 2 6" xfId="1158" xr:uid="{F61F13E6-97E6-4B5C-8E9F-3074B552094C}"/>
    <cellStyle name="Milliers 2 9 3" xfId="673" xr:uid="{A4A86C12-EBC9-4809-81DB-A37665DFB47F}"/>
    <cellStyle name="Milliers 2 9 3 2" xfId="991" xr:uid="{4E7BD80A-B076-4763-96D5-929D647AAB4C}"/>
    <cellStyle name="Milliers 2 9 3 2 2" xfId="1558" xr:uid="{F8DEB3D0-F480-456E-AC92-C7BA81EC1856}"/>
    <cellStyle name="Milliers 2 9 3 3" xfId="1240" xr:uid="{7DE9D23B-C47E-47B3-B965-1828EA1262ED}"/>
    <cellStyle name="Milliers 2 9 4" xfId="752" xr:uid="{E313454A-EAFB-4632-8617-DE49F0329B07}"/>
    <cellStyle name="Milliers 2 9 4 2" xfId="1070" xr:uid="{152DC233-ED87-4B95-B560-5CB109CC48AB}"/>
    <cellStyle name="Milliers 2 9 4 2 2" xfId="1637" xr:uid="{E8296598-3846-47B7-B66F-7642093B9A9E}"/>
    <cellStyle name="Milliers 2 9 4 3" xfId="1319" xr:uid="{F31CAC88-4EAF-4C45-AAA8-31B9DAEC3DB6}"/>
    <cellStyle name="Milliers 2 9 5" xfId="912" xr:uid="{02F967D5-10AC-4D9B-B91A-4EAB391A4959}"/>
    <cellStyle name="Milliers 2 9 5 2" xfId="1479" xr:uid="{1ABF077C-B849-4B95-88C3-7B44B53060DA}"/>
    <cellStyle name="Milliers 2 9 6" xfId="833" xr:uid="{0592D715-9FF1-448A-B085-238B180E52D5}"/>
    <cellStyle name="Milliers 2 9 6 2" xfId="1400" xr:uid="{72B9D84F-B866-4803-B5B4-0C204476D769}"/>
    <cellStyle name="Milliers 2 9 7" xfId="1157" xr:uid="{1159BADB-0087-4502-8DCE-502F97D89CC5}"/>
    <cellStyle name="Milliers 3" xfId="528" xr:uid="{D4FDE7E7-DA6C-42B8-A276-F0E22D251DD3}"/>
    <cellStyle name="Milliers 3 2" xfId="529" xr:uid="{BE1C19B0-F123-46D3-A81B-AC56F9C495C0}"/>
    <cellStyle name="Milliers 3 2 2" xfId="530" xr:uid="{9BB4DE3F-28F5-47A3-BFF1-A8B63A2EDDF4}"/>
    <cellStyle name="Milliers 3 2 2 2" xfId="675" xr:uid="{BACF174D-98D0-48B7-97DA-9E2618263A94}"/>
    <cellStyle name="Milliers 3 2 2 2 2" xfId="993" xr:uid="{C8B3030F-4771-4C45-9347-334007CD0E66}"/>
    <cellStyle name="Milliers 3 2 2 2 2 2" xfId="1560" xr:uid="{565F3DEE-E4DA-4677-BB3F-340E57DAAA9E}"/>
    <cellStyle name="Milliers 3 2 2 2 3" xfId="1242" xr:uid="{372EDC6C-12FE-423E-897D-FB59E8DD9370}"/>
    <cellStyle name="Milliers 3 2 2 3" xfId="754" xr:uid="{005CF4F5-F4FA-42D4-B4CE-F79692233A80}"/>
    <cellStyle name="Milliers 3 2 2 3 2" xfId="1072" xr:uid="{A9AFE85C-975D-4D98-B0F0-31BCC95435A9}"/>
    <cellStyle name="Milliers 3 2 2 3 2 2" xfId="1639" xr:uid="{E2DF4FF8-A81A-4E56-8522-D62A2854E5FE}"/>
    <cellStyle name="Milliers 3 2 2 3 3" xfId="1321" xr:uid="{21E22314-8596-4FB8-8FED-215CA8B9365F}"/>
    <cellStyle name="Milliers 3 2 2 4" xfId="914" xr:uid="{23902FEB-DAF7-427E-869E-82EB404E5BB1}"/>
    <cellStyle name="Milliers 3 2 2 4 2" xfId="1481" xr:uid="{66499232-F346-4E53-BDD0-6D52ECB8A8C3}"/>
    <cellStyle name="Milliers 3 2 2 5" xfId="835" xr:uid="{D91E394B-6CAF-4561-A132-80FE46AE34B7}"/>
    <cellStyle name="Milliers 3 2 2 5 2" xfId="1402" xr:uid="{8CFE5943-299D-4716-87ED-C97D0FB2ABC9}"/>
    <cellStyle name="Milliers 3 2 2 6" xfId="1159" xr:uid="{23A8373D-6B37-4939-A7F3-36F709CEF198}"/>
    <cellStyle name="Milliers 3 3" xfId="531" xr:uid="{365B296F-9E5F-4B9E-9FDD-759B4CD578D1}"/>
    <cellStyle name="Milliers 3 3 2" xfId="676" xr:uid="{5252055E-90E8-43C6-A836-B8F8502B3D57}"/>
    <cellStyle name="Milliers 3 3 2 2" xfId="994" xr:uid="{825A225F-2EB1-4250-BEB8-E6568BF0B0E8}"/>
    <cellStyle name="Milliers 3 3 2 2 2" xfId="1561" xr:uid="{6DF4B6C4-C2E1-4C6A-B272-BC5F271A3710}"/>
    <cellStyle name="Milliers 3 3 2 3" xfId="1243" xr:uid="{6DF63BD9-A02E-4A88-A7FF-2468CC776CF2}"/>
    <cellStyle name="Milliers 3 3 3" xfId="755" xr:uid="{D36219ED-E4FF-4545-AACF-7C9756497189}"/>
    <cellStyle name="Milliers 3 3 3 2" xfId="1073" xr:uid="{8B44336A-BB39-4207-8897-40D5EEE95970}"/>
    <cellStyle name="Milliers 3 3 3 2 2" xfId="1640" xr:uid="{95C22896-4BC5-43EF-A15C-4A8A49116C9F}"/>
    <cellStyle name="Milliers 3 3 3 3" xfId="1322" xr:uid="{2E8A41DE-2A88-457F-B940-C8CBDD2D7BB1}"/>
    <cellStyle name="Milliers 3 3 4" xfId="915" xr:uid="{D17F05B7-84C5-4E42-8BE9-E00F0B651748}"/>
    <cellStyle name="Milliers 3 3 4 2" xfId="1482" xr:uid="{AAA64A0B-DFEB-49D0-BD97-204AAB9DE0D9}"/>
    <cellStyle name="Milliers 3 3 5" xfId="836" xr:uid="{AF86EA46-35AA-4689-AE62-8E2A27C9B000}"/>
    <cellStyle name="Milliers 3 3 5 2" xfId="1403" xr:uid="{F9C76541-10C2-4039-9F08-5BAD96213F61}"/>
    <cellStyle name="Milliers 3 3 6" xfId="1160" xr:uid="{C201F716-869C-40BF-9484-3BED2AD88F0B}"/>
    <cellStyle name="Milliers 4" xfId="532" xr:uid="{42A08FCE-7B7A-43D5-84DD-CF1F1A5D1F83}"/>
    <cellStyle name="Milliers 4 2" xfId="533" xr:uid="{5EDA93E3-CD92-43A2-9E40-28D54F4CB21B}"/>
    <cellStyle name="Milliers 4 2 2" xfId="534" xr:uid="{99838AEE-7F40-47EA-B15F-8BD43ED52D89}"/>
    <cellStyle name="Milliers 4 2 2 2" xfId="677" xr:uid="{BF12DF49-DC73-4EE6-B061-52858955D258}"/>
    <cellStyle name="Milliers 4 2 2 2 2" xfId="995" xr:uid="{48F70326-3655-485A-8F41-945B9DBBA928}"/>
    <cellStyle name="Milliers 4 2 2 2 2 2" xfId="1562" xr:uid="{8EA5423C-E753-4A11-A61E-31A325B0F062}"/>
    <cellStyle name="Milliers 4 2 2 2 3" xfId="1244" xr:uid="{9F4733AF-65AB-4805-9755-2B3195D21E68}"/>
    <cellStyle name="Milliers 4 2 2 3" xfId="756" xr:uid="{6057CFCD-439C-4C6A-97DD-CF8C8489ABB3}"/>
    <cellStyle name="Milliers 4 2 2 3 2" xfId="1074" xr:uid="{BF03E9AF-2E1B-45F5-BB16-3932E8FF8A79}"/>
    <cellStyle name="Milliers 4 2 2 3 2 2" xfId="1641" xr:uid="{B6D0D5B9-1455-4123-81E5-9F74428D8262}"/>
    <cellStyle name="Milliers 4 2 2 3 3" xfId="1323" xr:uid="{AC7A862D-9DBC-4A28-9C2E-8878D1BA34AE}"/>
    <cellStyle name="Milliers 4 2 2 4" xfId="916" xr:uid="{BFDF81FF-FBF3-44C7-9146-2117CF4D83FD}"/>
    <cellStyle name="Milliers 4 2 2 4 2" xfId="1483" xr:uid="{F0A8D18E-40BC-4086-8DE4-89AC71F2979A}"/>
    <cellStyle name="Milliers 4 2 2 5" xfId="837" xr:uid="{CFF4B919-FDCD-4A3C-8844-D807A6B47B69}"/>
    <cellStyle name="Milliers 4 2 2 5 2" xfId="1404" xr:uid="{D0CFB299-054A-404E-B1A7-F55AC1FAB356}"/>
    <cellStyle name="Milliers 4 2 2 6" xfId="1161" xr:uid="{8ED30AB4-9509-42B6-B823-676187254EB0}"/>
    <cellStyle name="Milliers 4 3" xfId="535" xr:uid="{7AA45489-0412-4E69-A5D5-49D739C6A6C9}"/>
    <cellStyle name="Milliers 4 3 2" xfId="678" xr:uid="{028515EC-EB4D-4C61-A706-6A241A068079}"/>
    <cellStyle name="Milliers 4 3 2 2" xfId="996" xr:uid="{9F63DED2-283B-4C1E-955C-B668B198B55E}"/>
    <cellStyle name="Milliers 4 3 2 2 2" xfId="1563" xr:uid="{C186220D-62BD-48F7-9C0A-CDE3BCD742F1}"/>
    <cellStyle name="Milliers 4 3 2 3" xfId="1245" xr:uid="{106D01E3-F3DD-48BD-B3F2-AE3EE7851E7A}"/>
    <cellStyle name="Milliers 4 3 3" xfId="757" xr:uid="{50D3ABCC-0169-41B6-8EE6-EC781DB5CD71}"/>
    <cellStyle name="Milliers 4 3 3 2" xfId="1075" xr:uid="{80F242FB-6445-45C2-9C5A-E27D902485EF}"/>
    <cellStyle name="Milliers 4 3 3 2 2" xfId="1642" xr:uid="{FAC04506-D2EC-47B2-883E-FEA00020D665}"/>
    <cellStyle name="Milliers 4 3 3 3" xfId="1324" xr:uid="{A207EEEA-C726-4277-81E0-9B185064F385}"/>
    <cellStyle name="Milliers 4 3 4" xfId="917" xr:uid="{BDFC62F0-06B4-44BA-81FD-2CA1EF2D1139}"/>
    <cellStyle name="Milliers 4 3 4 2" xfId="1484" xr:uid="{7FDCA246-66E6-42AC-838F-B0B154BBC5BC}"/>
    <cellStyle name="Milliers 4 3 5" xfId="838" xr:uid="{504DC2D4-8AAE-415D-8867-690B914B8040}"/>
    <cellStyle name="Milliers 4 3 5 2" xfId="1405" xr:uid="{C3F02078-36EA-4C84-BAAA-0AD27FC25C05}"/>
    <cellStyle name="Milliers 4 3 6" xfId="1162" xr:uid="{4D590D79-A303-4F1A-A390-2342297EAD17}"/>
    <cellStyle name="Milliers 5" xfId="536" xr:uid="{7BEFE3D0-3694-4CB5-AB80-1063FE775B9E}"/>
    <cellStyle name="Milliers 5 2" xfId="537" xr:uid="{B992CD58-61B5-45FB-9877-FC50D2BCF06D}"/>
    <cellStyle name="Milliers 5 2 2" xfId="538" xr:uid="{C49B81AD-5F0B-41DB-A6F3-FC30457281CC}"/>
    <cellStyle name="Milliers 5 2 2 2" xfId="679" xr:uid="{36EBC686-39D3-4C0A-9B91-27E6DCA1A536}"/>
    <cellStyle name="Milliers 5 2 2 2 2" xfId="997" xr:uid="{8F0CD39B-0657-4FB0-BF58-23AA676632D4}"/>
    <cellStyle name="Milliers 5 2 2 2 2 2" xfId="1564" xr:uid="{74C71380-2F0F-4240-A201-6A0CCB624CD5}"/>
    <cellStyle name="Milliers 5 2 2 2 3" xfId="1246" xr:uid="{12367BD2-C91B-4B46-85D8-942A47EE9219}"/>
    <cellStyle name="Milliers 5 2 2 3" xfId="758" xr:uid="{96A5E325-CE0F-48E7-AB5A-76C69046345C}"/>
    <cellStyle name="Milliers 5 2 2 3 2" xfId="1076" xr:uid="{570DE085-DA14-476E-9972-8D46BCC8E93E}"/>
    <cellStyle name="Milliers 5 2 2 3 2 2" xfId="1643" xr:uid="{758D1EA5-D3A3-4F10-A9FD-E9DC18442BE4}"/>
    <cellStyle name="Milliers 5 2 2 3 3" xfId="1325" xr:uid="{B2F247BD-15BD-4D04-AA8E-BDE538006CE7}"/>
    <cellStyle name="Milliers 5 2 2 4" xfId="918" xr:uid="{2C78399A-8542-4DE0-AC30-6AB96E7625F8}"/>
    <cellStyle name="Milliers 5 2 2 4 2" xfId="1485" xr:uid="{4E199B90-FDA9-4552-B479-46C9CF14960B}"/>
    <cellStyle name="Milliers 5 2 2 5" xfId="839" xr:uid="{24D3EED6-AE7C-41A7-AEEB-B15AE4623A58}"/>
    <cellStyle name="Milliers 5 2 2 5 2" xfId="1406" xr:uid="{7275E0C5-45F2-4D1C-9C81-A63728766CC7}"/>
    <cellStyle name="Milliers 5 2 2 6" xfId="1163" xr:uid="{3FC3A529-0CE5-42FE-A74D-8F3C93395C26}"/>
    <cellStyle name="Milliers 5 3" xfId="539" xr:uid="{3EBC0553-6268-426E-93A0-E0B10989E02A}"/>
    <cellStyle name="Milliers 5 3 2" xfId="680" xr:uid="{37F58273-8938-46FD-9C0E-0544DD5742A4}"/>
    <cellStyle name="Milliers 5 3 2 2" xfId="998" xr:uid="{90687646-5EB2-472A-A2B8-3E9B975F14E0}"/>
    <cellStyle name="Milliers 5 3 2 2 2" xfId="1565" xr:uid="{41EF0447-F43B-409E-940E-A2E3A79A55F5}"/>
    <cellStyle name="Milliers 5 3 2 3" xfId="1247" xr:uid="{272C0DE6-61EC-43B2-AB63-8CA9C656C794}"/>
    <cellStyle name="Milliers 5 3 3" xfId="759" xr:uid="{D71A91DD-D066-4654-A750-216E8D27B94B}"/>
    <cellStyle name="Milliers 5 3 3 2" xfId="1077" xr:uid="{9401FB43-C387-4C9C-9FF7-C7042C5B8B11}"/>
    <cellStyle name="Milliers 5 3 3 2 2" xfId="1644" xr:uid="{6F1A5F88-640C-43EF-B60A-D1A7267F5D63}"/>
    <cellStyle name="Milliers 5 3 3 3" xfId="1326" xr:uid="{3E7AF062-CFF4-41E7-9A0D-6C37995FD3E8}"/>
    <cellStyle name="Milliers 5 3 4" xfId="919" xr:uid="{FED732B4-BD8D-4483-BF16-B0A1FA1CA425}"/>
    <cellStyle name="Milliers 5 3 4 2" xfId="1486" xr:uid="{09A79147-7EB0-49E4-A443-741FA09866F2}"/>
    <cellStyle name="Milliers 5 3 5" xfId="840" xr:uid="{0411EB75-1734-4F77-911D-11F2E1B55DBD}"/>
    <cellStyle name="Milliers 5 3 5 2" xfId="1407" xr:uid="{C85A6B01-9608-4376-80E4-2E6241377898}"/>
    <cellStyle name="Milliers 5 3 6" xfId="1164" xr:uid="{405F9325-D843-4079-AC92-7FB5ABD3123E}"/>
    <cellStyle name="Milliers 6" xfId="540" xr:uid="{E6978AB3-2B74-42FD-9A84-56521347E983}"/>
    <cellStyle name="Milliers 6 2" xfId="541" xr:uid="{CFE48A4A-1EFB-4FEB-8FC1-9CD83D8772FF}"/>
    <cellStyle name="Milliers 6 2 2" xfId="542" xr:uid="{E5A55280-13D4-48F3-BBA4-8183FF28BFB5}"/>
    <cellStyle name="Milliers 6 2 2 2" xfId="681" xr:uid="{892FA79E-E665-48B1-8A13-A3A2A1CC1184}"/>
    <cellStyle name="Milliers 6 2 2 2 2" xfId="999" xr:uid="{F24FC40E-E728-450E-90E0-919B9B210659}"/>
    <cellStyle name="Milliers 6 2 2 2 2 2" xfId="1566" xr:uid="{7B2A1EEF-2D24-4707-A727-02E109E5032B}"/>
    <cellStyle name="Milliers 6 2 2 2 3" xfId="1248" xr:uid="{6E2BAC35-6533-4594-A14F-7FCCE4CB7BCD}"/>
    <cellStyle name="Milliers 6 2 2 3" xfId="760" xr:uid="{8E2F773D-E748-4984-A716-604CD97B608A}"/>
    <cellStyle name="Milliers 6 2 2 3 2" xfId="1078" xr:uid="{42F65BE7-491B-4B5B-8D15-86869326EAB1}"/>
    <cellStyle name="Milliers 6 2 2 3 2 2" xfId="1645" xr:uid="{7070C646-2BB9-4D17-A79A-D61786DB57A3}"/>
    <cellStyle name="Milliers 6 2 2 3 3" xfId="1327" xr:uid="{816A2E25-E88E-40DA-8E1C-77A17894E23F}"/>
    <cellStyle name="Milliers 6 2 2 4" xfId="920" xr:uid="{BCFC8AF0-3288-4AE1-B754-69CE96D274C5}"/>
    <cellStyle name="Milliers 6 2 2 4 2" xfId="1487" xr:uid="{14D50582-C6FF-442D-BE9D-6E1C8BFF27BA}"/>
    <cellStyle name="Milliers 6 2 2 5" xfId="841" xr:uid="{C8790E3B-5629-4AC6-B215-16A436A6A190}"/>
    <cellStyle name="Milliers 6 2 2 5 2" xfId="1408" xr:uid="{0B212680-BF80-4C28-B6B7-43A21650FA86}"/>
    <cellStyle name="Milliers 6 2 2 6" xfId="1165" xr:uid="{1FAB8D59-2F13-464E-8D77-DB5AD75838F9}"/>
    <cellStyle name="Milliers 6 3" xfId="543" xr:uid="{E8AABF53-E3DE-4E5E-9AE3-FD534EDE2476}"/>
    <cellStyle name="Milliers 6 3 2" xfId="682" xr:uid="{50E041C3-4A34-4576-9259-552D44BC0D5F}"/>
    <cellStyle name="Milliers 6 3 2 2" xfId="1000" xr:uid="{6A1040BF-63C6-42AC-A6E9-35808C6B0970}"/>
    <cellStyle name="Milliers 6 3 2 2 2" xfId="1567" xr:uid="{66CD9286-1C22-4CAF-A5E8-C6B883558BD9}"/>
    <cellStyle name="Milliers 6 3 2 3" xfId="1249" xr:uid="{0296D531-37D7-4DAC-A338-3CF2AFC9DC2D}"/>
    <cellStyle name="Milliers 6 3 3" xfId="761" xr:uid="{01B5117E-1A64-4FF7-8DD1-42679951360B}"/>
    <cellStyle name="Milliers 6 3 3 2" xfId="1079" xr:uid="{E749E221-9A60-4693-BC75-F50A52703330}"/>
    <cellStyle name="Milliers 6 3 3 2 2" xfId="1646" xr:uid="{D219656A-9D38-4E7C-AB56-60A16B16A478}"/>
    <cellStyle name="Milliers 6 3 3 3" xfId="1328" xr:uid="{F2E63E66-2642-41DA-86E6-F38CAD13272C}"/>
    <cellStyle name="Milliers 6 3 4" xfId="921" xr:uid="{25E1BC35-24AD-41D4-A787-EC826C21D038}"/>
    <cellStyle name="Milliers 6 3 4 2" xfId="1488" xr:uid="{802DE2CD-3265-45D3-82BC-97A0E9F9882B}"/>
    <cellStyle name="Milliers 6 3 5" xfId="842" xr:uid="{E3D73193-1740-457F-BEE7-D106037141CC}"/>
    <cellStyle name="Milliers 6 3 5 2" xfId="1409" xr:uid="{27C55F92-A7B1-4CEC-A158-17200B60302B}"/>
    <cellStyle name="Milliers 6 3 6" xfId="1166" xr:uid="{85C84D7C-08DA-4EA8-8F5C-34AEDD019880}"/>
    <cellStyle name="Milliers 7" xfId="544" xr:uid="{F49D34AC-1EC0-4337-B48E-526803F9C8E3}"/>
    <cellStyle name="Milliers 7 2" xfId="545" xr:uid="{CDB0E18D-27BA-479B-81C5-0164077710DE}"/>
    <cellStyle name="Milliers 7 2 2" xfId="684" xr:uid="{FF73CB15-C307-4CEA-8386-1E741D0CDCC2}"/>
    <cellStyle name="Milliers 7 2 2 2" xfId="1002" xr:uid="{5FE55E88-105B-4D8A-943F-777E488EF75A}"/>
    <cellStyle name="Milliers 7 2 2 2 2" xfId="1569" xr:uid="{B05B0F07-B40A-4F54-AE2C-7BDEAA1E029A}"/>
    <cellStyle name="Milliers 7 2 2 3" xfId="1251" xr:uid="{A6172BEA-3C49-4ADD-955A-9DD40B2A23E0}"/>
    <cellStyle name="Milliers 7 2 3" xfId="763" xr:uid="{36033702-17D2-4D64-817A-BC39DAEA1DB9}"/>
    <cellStyle name="Milliers 7 2 3 2" xfId="1081" xr:uid="{CA2663D0-34DC-4F2A-80FA-B5243CFA8172}"/>
    <cellStyle name="Milliers 7 2 3 2 2" xfId="1648" xr:uid="{24FEC017-85BD-4313-A3BE-3396C5D9AD2C}"/>
    <cellStyle name="Milliers 7 2 3 3" xfId="1330" xr:uid="{CB1C841F-C130-41B8-B960-DE52846437DA}"/>
    <cellStyle name="Milliers 7 2 4" xfId="923" xr:uid="{63F7DA1A-DC48-4D77-BBF2-8745FD999A47}"/>
    <cellStyle name="Milliers 7 2 4 2" xfId="1490" xr:uid="{EFF63B84-CCF9-435A-8233-D4EFC8FF099B}"/>
    <cellStyle name="Milliers 7 2 5" xfId="844" xr:uid="{75AD7342-DCE7-47CB-AC3A-6209B9DD2D30}"/>
    <cellStyle name="Milliers 7 2 5 2" xfId="1411" xr:uid="{0F747B9C-02A8-429E-AC3B-895B6BE4B52A}"/>
    <cellStyle name="Milliers 7 2 6" xfId="1168" xr:uid="{1D65EDC7-B526-4ECF-9CF2-8F25E9B4B291}"/>
    <cellStyle name="Milliers 7 3" xfId="683" xr:uid="{946D8D7D-5CFF-4AA7-94EF-17C34EAD6BC0}"/>
    <cellStyle name="Milliers 7 3 2" xfId="1001" xr:uid="{4FABBCEB-5730-4116-A66A-C8AC8BC7EF88}"/>
    <cellStyle name="Milliers 7 3 2 2" xfId="1568" xr:uid="{A1D066D4-2283-4D2A-A564-B95EE7EC0049}"/>
    <cellStyle name="Milliers 7 3 3" xfId="1250" xr:uid="{D33C7E28-F692-4C1D-94F1-D5DEFA8AB31C}"/>
    <cellStyle name="Milliers 7 4" xfId="762" xr:uid="{B3256A45-68CD-4218-88B7-287B54DFFEC3}"/>
    <cellStyle name="Milliers 7 4 2" xfId="1080" xr:uid="{99201094-474F-4E89-9335-F1DEB1A25437}"/>
    <cellStyle name="Milliers 7 4 2 2" xfId="1647" xr:uid="{B5F732CE-CF9F-4D23-A0F1-8D65BA83E7C1}"/>
    <cellStyle name="Milliers 7 4 3" xfId="1329" xr:uid="{3B49403A-D669-44AF-9AA0-E4BFDB8FDD52}"/>
    <cellStyle name="Milliers 7 5" xfId="922" xr:uid="{9994745E-8ED8-430D-B430-A3EE4CC2E015}"/>
    <cellStyle name="Milliers 7 5 2" xfId="1489" xr:uid="{82C75A8B-8D5C-42C1-A0AC-31A1B7C21D91}"/>
    <cellStyle name="Milliers 7 6" xfId="843" xr:uid="{6CB1885C-9BEC-4945-A0D0-17C4DE9DA2B0}"/>
    <cellStyle name="Milliers 7 6 2" xfId="1410" xr:uid="{D5E47F83-1096-4E56-82C2-0A663E478E78}"/>
    <cellStyle name="Milliers 7 7" xfId="1167" xr:uid="{95BC9E49-BBB4-4B38-A8B4-57AC03B1D02F}"/>
    <cellStyle name="Neutral 2" xfId="546" xr:uid="{9516B6CE-7EE4-4439-AC70-876D94977B36}"/>
    <cellStyle name="Normal" xfId="0" builtinId="0"/>
    <cellStyle name="Normal 10" xfId="82" xr:uid="{A07408AE-6ADE-4CC8-92FC-2E0A7BB56FC3}"/>
    <cellStyle name="Normal 10 2" xfId="218" xr:uid="{50B7515B-6F05-4574-912D-FA3682422A21}"/>
    <cellStyle name="Normal 10 3" xfId="547" xr:uid="{D3CAA9BF-1F0F-44B7-AA6D-0C64A9E0D973}"/>
    <cellStyle name="Normal 11" xfId="100" xr:uid="{0484FAE0-977E-445B-A156-391F5E19713E}"/>
    <cellStyle name="Normal 11 2" xfId="236" xr:uid="{E8A6C35E-1A6E-4950-A85C-AC2EB8688AA6}"/>
    <cellStyle name="Normal 11 2 2" xfId="1705" xr:uid="{978A31CD-1F27-43E2-A7E2-3BC8E5654EC7}"/>
    <cellStyle name="Normal 11 3" xfId="548" xr:uid="{E3DF7CFB-F721-43E9-86DD-656129E1BE07}"/>
    <cellStyle name="Normal 12" xfId="118" xr:uid="{A64E0FAC-A95E-4F89-AC24-676048913727}"/>
    <cellStyle name="Normal 12 2" xfId="549" xr:uid="{6316C3C7-7414-46AE-BB53-AC19654F27CA}"/>
    <cellStyle name="Normal 13" xfId="122" xr:uid="{3D338FC2-D8C7-4039-A243-3179899BBFE5}"/>
    <cellStyle name="Normal 13 2" xfId="695" xr:uid="{26ED3F73-675F-4ED1-B02D-E5C7F82C02DB}"/>
    <cellStyle name="Normal 13 2 2" xfId="1013" xr:uid="{4234516E-833E-4290-A0AD-D266309F566D}"/>
    <cellStyle name="Normal 13 2 2 2" xfId="1580" xr:uid="{807C1589-A4B8-4BE2-83A5-D57E25C48221}"/>
    <cellStyle name="Normal 13 2 3" xfId="1262" xr:uid="{5A365ABC-A57A-4468-AE07-3EC98F7E183E}"/>
    <cellStyle name="Normal 13 3" xfId="774" xr:uid="{3E8EC284-4095-4041-ACE6-89E39700E76C}"/>
    <cellStyle name="Normal 13 3 2" xfId="1092" xr:uid="{15A1CD90-6F6D-4184-9851-C4EAA93D614D}"/>
    <cellStyle name="Normal 13 3 2 2" xfId="1659" xr:uid="{FAD9713F-2CC2-44FE-8FCA-BBF00C1B62B1}"/>
    <cellStyle name="Normal 13 3 3" xfId="1341" xr:uid="{F9BC5FB0-5BE2-4C44-9711-8A1B7FB13459}"/>
    <cellStyle name="Normal 13 4" xfId="934" xr:uid="{E98DF13F-4642-46B8-821D-38C85B99F4CC}"/>
    <cellStyle name="Normal 13 4 2" xfId="1501" xr:uid="{06938470-7F2E-47C4-87B9-8FD05C3EED5C}"/>
    <cellStyle name="Normal 13 5" xfId="855" xr:uid="{429C91AE-D7D5-402C-BFFA-FA0AB1B0C2AF}"/>
    <cellStyle name="Normal 13 5 2" xfId="1422" xr:uid="{497779C8-DF97-4506-8EE1-2AE4995E972C}"/>
    <cellStyle name="Normal 13 6" xfId="1181" xr:uid="{34E03A49-49E6-4DF5-8399-21A43A45CA0F}"/>
    <cellStyle name="Normal 13 7" xfId="609" xr:uid="{EBF2A44E-7033-4B83-96D8-308E18C58E41}"/>
    <cellStyle name="Normal 14" xfId="140" xr:uid="{DF0BA075-F3B5-4434-8371-4FAFFB5BA6F5}"/>
    <cellStyle name="Normal 14 2" xfId="1113" xr:uid="{0F93EFB6-A2AB-41D1-89D2-E387A9EDF8D8}"/>
    <cellStyle name="Normal 14 2 2" xfId="1680" xr:uid="{442F670E-1679-4B54-8A62-998F5D6A244D}"/>
    <cellStyle name="Normal 14 3" xfId="1362" xr:uid="{1D061771-A3B2-426C-97BF-B7E476A53772}"/>
    <cellStyle name="Normal 14 4" xfId="795" xr:uid="{0D48EC68-B40B-4A19-94F8-AF311E3BF0FC}"/>
    <cellStyle name="Normal 15" xfId="254" xr:uid="{2C8C8F8F-6224-435E-9452-D436E613B82D}"/>
    <cellStyle name="Normal 15 2" xfId="1686" xr:uid="{1C08E04B-E01E-4445-AA30-59888BF938B0}"/>
    <cellStyle name="Normal 15 3" xfId="1119" xr:uid="{782C3B79-8427-422A-A161-E7A2CDF6B6C1}"/>
    <cellStyle name="Normal 16" xfId="257" xr:uid="{494596E4-3C98-42A7-8616-B689FAC7DBC5}"/>
    <cellStyle name="Normal 16 2" xfId="550" xr:uid="{D82A1C2A-8B65-4C59-8D78-931002E8ED03}"/>
    <cellStyle name="Normal 17" xfId="275" xr:uid="{CB898926-3CB3-4FF6-83DF-9F1A952952AE}"/>
    <cellStyle name="Normal 17 2" xfId="447" xr:uid="{635C3525-C8B2-4C4C-80DD-E7FC1FE8CD59}"/>
    <cellStyle name="Normal 18" xfId="293" xr:uid="{1E8FBC94-9BCC-4E2B-8DA2-D94930B711BC}"/>
    <cellStyle name="Normal 18 2" xfId="551" xr:uid="{1B726D7B-9208-4FCF-A451-E355C14C89E6}"/>
    <cellStyle name="Normal 19" xfId="311" xr:uid="{9D59E301-91D8-4AD9-8B45-AFBD247E4775}"/>
    <cellStyle name="Normal 2" xfId="4" xr:uid="{7BC0A1A2-A504-4926-80DE-AD9A634E01B0}"/>
    <cellStyle name="Normal 2 10" xfId="553" xr:uid="{DA3FC415-E4CF-40C1-912F-638202AF3A92}"/>
    <cellStyle name="Normal 2 11" xfId="554" xr:uid="{82C49548-E918-44AE-84F8-01953474C811}"/>
    <cellStyle name="Normal 2 12" xfId="555" xr:uid="{5CAC37A7-87E9-4F8E-B50D-CE520ABD4925}"/>
    <cellStyle name="Normal 2 13" xfId="556" xr:uid="{DF0FD0F4-86E4-4F87-A71B-275B77E4A622}"/>
    <cellStyle name="Normal 2 14" xfId="557" xr:uid="{D5A4551C-C3F6-447C-BEA3-0EEEB3657BB8}"/>
    <cellStyle name="Normal 2 14 2" xfId="686" xr:uid="{D59B83C6-2E87-465C-969A-8DA333ECBFD9}"/>
    <cellStyle name="Normal 2 14 2 2" xfId="1004" xr:uid="{BA8DEEC0-1541-45EC-860F-175871D6C79B}"/>
    <cellStyle name="Normal 2 14 2 2 2" xfId="1571" xr:uid="{352BFAE6-E81E-4D85-9E80-2FF4DDE8DCB1}"/>
    <cellStyle name="Normal 2 14 2 3" xfId="1253" xr:uid="{10309E62-0C59-4A04-83AD-FB85527E73C4}"/>
    <cellStyle name="Normal 2 14 3" xfId="765" xr:uid="{CC42197F-CA2A-4495-B3C1-090BDCF9811E}"/>
    <cellStyle name="Normal 2 14 3 2" xfId="1083" xr:uid="{3C1632C6-B592-4050-8E75-4ED6881D9B04}"/>
    <cellStyle name="Normal 2 14 3 2 2" xfId="1650" xr:uid="{62D16FB3-B9B9-4E5A-8392-E4E4DA1EC377}"/>
    <cellStyle name="Normal 2 14 3 3" xfId="1332" xr:uid="{895313FB-F15C-4FED-AC7E-D972E69138C1}"/>
    <cellStyle name="Normal 2 14 4" xfId="925" xr:uid="{721924CA-C3A5-4B2A-B3C2-8282842F6818}"/>
    <cellStyle name="Normal 2 14 4 2" xfId="1492" xr:uid="{CED16163-B112-4D71-BB7A-7C66FD8DF9A3}"/>
    <cellStyle name="Normal 2 14 5" xfId="846" xr:uid="{0AC0010D-8375-48C6-90F1-23FFCEDD3977}"/>
    <cellStyle name="Normal 2 14 5 2" xfId="1413" xr:uid="{2AB916D7-89FF-4251-8E86-FC1A431AA14B}"/>
    <cellStyle name="Normal 2 14 6" xfId="1170" xr:uid="{E0E887A3-DBF9-42E8-8CBD-9CACA9623621}"/>
    <cellStyle name="Normal 2 15" xfId="611" xr:uid="{BC9768FD-91D5-455F-9266-54E3C45A2C9E}"/>
    <cellStyle name="Normal 2 16" xfId="685" xr:uid="{FC91585E-8D34-4B6A-978F-E78A91D3FC90}"/>
    <cellStyle name="Normal 2 16 2" xfId="1003" xr:uid="{33669708-7A46-44D2-872D-BAD862FA4A14}"/>
    <cellStyle name="Normal 2 16 2 2" xfId="1570" xr:uid="{18C8980A-A180-4E74-95A9-D2336EC01EEF}"/>
    <cellStyle name="Normal 2 16 3" xfId="1252" xr:uid="{B60120FD-6771-4CE3-B268-18B22F02C80B}"/>
    <cellStyle name="Normal 2 17" xfId="764" xr:uid="{AFF79B6B-3876-406B-A868-DED12DE867B6}"/>
    <cellStyle name="Normal 2 17 2" xfId="1082" xr:uid="{C67A00AF-109E-4708-B245-61E99C443096}"/>
    <cellStyle name="Normal 2 17 2 2" xfId="1649" xr:uid="{7EC729F8-7699-4363-B56A-40CCD7209459}"/>
    <cellStyle name="Normal 2 17 3" xfId="1331" xr:uid="{730049A4-8E92-4FEC-802D-8BAFBB8B67CE}"/>
    <cellStyle name="Normal 2 18" xfId="924" xr:uid="{2D204A2D-B853-40B4-A620-55FF17437C71}"/>
    <cellStyle name="Normal 2 18 2" xfId="1491" xr:uid="{ACBE1A0C-ECE6-46CA-AB2D-2E20A9BFCF48}"/>
    <cellStyle name="Normal 2 19" xfId="845" xr:uid="{3C31D866-43AC-4719-85EE-3C96E8C08975}"/>
    <cellStyle name="Normal 2 19 2" xfId="1412" xr:uid="{8B235EC2-928C-4A3F-808E-87C48BD1CE35}"/>
    <cellStyle name="Normal 2 2" xfId="7" xr:uid="{CE041A8C-44E1-48E3-90ED-80DA99DCCF50}"/>
    <cellStyle name="Normal 2 2 10" xfId="559" xr:uid="{722F2FA8-6A0E-4A84-8A0B-13412F3A3120}"/>
    <cellStyle name="Normal 2 2 11" xfId="560" xr:uid="{4DF57208-6695-432D-A011-F95F1788D066}"/>
    <cellStyle name="Normal 2 2 12" xfId="561" xr:uid="{E192B1B3-7F5C-47FD-A5C7-AC296519C72F}"/>
    <cellStyle name="Normal 2 2 13" xfId="562" xr:uid="{2B76C010-DED2-42CB-BD79-BC4EC96B0EA3}"/>
    <cellStyle name="Normal 2 2 13 2" xfId="688" xr:uid="{4753CF2A-84BA-48D8-BA51-FA480186B8DB}"/>
    <cellStyle name="Normal 2 2 13 2 2" xfId="1006" xr:uid="{11D4189C-BE67-4D2C-B274-6EB0BD8F4FEA}"/>
    <cellStyle name="Normal 2 2 13 2 2 2" xfId="1573" xr:uid="{396CF6A6-B806-4324-B5C4-E97F8FFE04F3}"/>
    <cellStyle name="Normal 2 2 13 2 3" xfId="1255" xr:uid="{91B4E6DA-ECC0-4BB8-906F-91745F8EBD91}"/>
    <cellStyle name="Normal 2 2 13 3" xfId="767" xr:uid="{0CFC485F-4E45-47BC-8CA0-A2874FD473C7}"/>
    <cellStyle name="Normal 2 2 13 3 2" xfId="1085" xr:uid="{28FE348D-6B9F-46FF-9CDF-B10B05319979}"/>
    <cellStyle name="Normal 2 2 13 3 2 2" xfId="1652" xr:uid="{32589674-51EA-4B10-80EF-4C6B71794BD4}"/>
    <cellStyle name="Normal 2 2 13 3 3" xfId="1334" xr:uid="{58EA6B46-ED9F-4F47-BF95-7CE4D4582C11}"/>
    <cellStyle name="Normal 2 2 13 4" xfId="927" xr:uid="{24B89E17-3A7E-4BE4-9AED-8DC7321615EC}"/>
    <cellStyle name="Normal 2 2 13 4 2" xfId="1494" xr:uid="{2B3DDBF8-B30F-4C3C-B3CB-6990E1C7B577}"/>
    <cellStyle name="Normal 2 2 13 5" xfId="848" xr:uid="{CDBAD4F1-5212-4ED8-9A3B-EF821A66BF5D}"/>
    <cellStyle name="Normal 2 2 13 5 2" xfId="1415" xr:uid="{B657E647-56BB-475D-8A8F-C8AEE5B893D1}"/>
    <cellStyle name="Normal 2 2 13 6" xfId="1172" xr:uid="{61A77B91-F769-48C4-8501-39DA7F86E11D}"/>
    <cellStyle name="Normal 2 2 14" xfId="614" xr:uid="{92ACD202-2673-4B76-AE3C-AF2335F52C9F}"/>
    <cellStyle name="Normal 2 2 14 2" xfId="698" xr:uid="{CF7E30CC-CA31-4FA9-AD5C-E35722DF5021}"/>
    <cellStyle name="Normal 2 2 14 2 2" xfId="1016" xr:uid="{D602E2D8-4342-4BC4-A5AB-B1F6797C8C80}"/>
    <cellStyle name="Normal 2 2 14 2 2 2" xfId="1583" xr:uid="{ACB84F44-28A5-43EF-8AF5-D407498C6EE4}"/>
    <cellStyle name="Normal 2 2 14 2 3" xfId="1265" xr:uid="{34B85689-7B2A-4477-B852-CB43FCCD74E4}"/>
    <cellStyle name="Normal 2 2 14 3" xfId="777" xr:uid="{C16B5102-81DE-4198-B76D-0D3992A71D90}"/>
    <cellStyle name="Normal 2 2 14 3 2" xfId="1095" xr:uid="{2B7DAE3D-B94F-4B0E-A91F-60937E08A8E1}"/>
    <cellStyle name="Normal 2 2 14 3 2 2" xfId="1662" xr:uid="{4EAEA6D0-77FF-4D2D-A578-55AFA42D0B5A}"/>
    <cellStyle name="Normal 2 2 14 3 3" xfId="1344" xr:uid="{1E3DCEF8-C3D7-4A4B-97BF-C18CC2BBB622}"/>
    <cellStyle name="Normal 2 2 14 4" xfId="937" xr:uid="{C382D054-72D7-4D2E-B025-04CDBAB06028}"/>
    <cellStyle name="Normal 2 2 14 4 2" xfId="1504" xr:uid="{681B826E-8DC7-4170-BBAE-EDE95AD8FB16}"/>
    <cellStyle name="Normal 2 2 14 5" xfId="858" xr:uid="{E6D67343-8006-4BD3-8E92-7F553AB17E2A}"/>
    <cellStyle name="Normal 2 2 14 5 2" xfId="1425" xr:uid="{D30C5B90-0F3D-4978-BA8B-0A78E6682E8E}"/>
    <cellStyle name="Normal 2 2 14 6" xfId="1184" xr:uid="{90B3B57F-DE66-4062-9CB8-7CB8D960C7DD}"/>
    <cellStyle name="Normal 2 2 15" xfId="687" xr:uid="{224DD750-97AD-4253-A707-2D98100929D3}"/>
    <cellStyle name="Normal 2 2 15 2" xfId="1005" xr:uid="{3DB77DE9-9C32-4861-B79E-9EF38C546528}"/>
    <cellStyle name="Normal 2 2 15 2 2" xfId="1572" xr:uid="{28AE0CCB-5E14-4ECF-967C-E46363E4A5D0}"/>
    <cellStyle name="Normal 2 2 15 3" xfId="1254" xr:uid="{DE374C6B-DD92-4B0C-BE28-4756B3D84118}"/>
    <cellStyle name="Normal 2 2 16" xfId="766" xr:uid="{11DC8EC3-6191-4984-8ECD-857918E218BB}"/>
    <cellStyle name="Normal 2 2 16 2" xfId="1084" xr:uid="{E9C55CDD-7355-4958-8D46-5B0980C2C703}"/>
    <cellStyle name="Normal 2 2 16 2 2" xfId="1651" xr:uid="{A0C20899-4720-4AE7-A8A9-27581548995C}"/>
    <cellStyle name="Normal 2 2 16 3" xfId="1333" xr:uid="{015C3C2F-10E0-49B9-BD87-DA163238D530}"/>
    <cellStyle name="Normal 2 2 17" xfId="926" xr:uid="{E28419CF-30F7-44AC-8095-EF648F4968A6}"/>
    <cellStyle name="Normal 2 2 17 2" xfId="1493" xr:uid="{4AD7A522-6D3B-422F-B265-C4CC54922AB0}"/>
    <cellStyle name="Normal 2 2 18" xfId="847" xr:uid="{1E82BE65-DADB-4EEB-B35A-A697EFAB789E}"/>
    <cellStyle name="Normal 2 2 18 2" xfId="1414" xr:uid="{B4F1600D-2C3E-4084-89C1-B7A2AA8D2EF0}"/>
    <cellStyle name="Normal 2 2 19" xfId="1171" xr:uid="{E99DAB69-C7AB-4F0D-8F6F-36F10FE730F7}"/>
    <cellStyle name="Normal 2 2 2" xfId="563" xr:uid="{13FE4931-FD81-413C-AF08-CDC137CE1432}"/>
    <cellStyle name="Normal 2 2 2 2" xfId="621" xr:uid="{3E40588E-94B4-44E6-B82A-45BAE5256B0B}"/>
    <cellStyle name="Normal 2 2 2 2 2" xfId="704" xr:uid="{32282FC2-F089-4B64-9341-B239DD885CE2}"/>
    <cellStyle name="Normal 2 2 2 2 2 2" xfId="1022" xr:uid="{75BE2D40-1D01-4129-A330-C8FA2A4E509D}"/>
    <cellStyle name="Normal 2 2 2 2 2 2 2" xfId="1589" xr:uid="{18894BB3-4A9E-4353-84F1-DF93CB02AFF8}"/>
    <cellStyle name="Normal 2 2 2 2 2 3" xfId="1271" xr:uid="{1BAABDA4-1EBB-48B1-B3F9-30B01ED3B4F1}"/>
    <cellStyle name="Normal 2 2 2 2 3" xfId="783" xr:uid="{F08F2E09-62B6-40B8-AB8E-A5E32D994E95}"/>
    <cellStyle name="Normal 2 2 2 2 3 2" xfId="1101" xr:uid="{9062C4B1-8D85-4777-AA23-B5257807E402}"/>
    <cellStyle name="Normal 2 2 2 2 3 2 2" xfId="1668" xr:uid="{A2ACFB05-5237-475C-8EF5-2BA58EB18EAC}"/>
    <cellStyle name="Normal 2 2 2 2 3 3" xfId="1350" xr:uid="{23A30BBD-FBEC-43C9-84F4-FA6875353533}"/>
    <cellStyle name="Normal 2 2 2 2 4" xfId="943" xr:uid="{98A10A4A-3B6E-4D96-B179-63989C3A4865}"/>
    <cellStyle name="Normal 2 2 2 2 4 2" xfId="1510" xr:uid="{8EAEFE40-A364-427D-BDBC-CDACE76F1F17}"/>
    <cellStyle name="Normal 2 2 2 2 5" xfId="864" xr:uid="{E1B20442-7405-4569-93CC-BBABA1574363}"/>
    <cellStyle name="Normal 2 2 2 2 5 2" xfId="1431" xr:uid="{97EB7DF1-3657-49D6-B0D6-4420E4D08F30}"/>
    <cellStyle name="Normal 2 2 2 2 6" xfId="1190" xr:uid="{DEEF82E5-79E9-4098-BAD5-E295BA690A80}"/>
    <cellStyle name="Normal 2 2 2 3" xfId="689" xr:uid="{3928567D-A357-4EFE-810D-29BDB823D5A5}"/>
    <cellStyle name="Normal 2 2 2 3 2" xfId="1007" xr:uid="{1B01E6C9-8C09-4E82-8A52-92DBF2650673}"/>
    <cellStyle name="Normal 2 2 2 3 2 2" xfId="1574" xr:uid="{9D78A7DA-CBC7-44E2-A262-3283649437E9}"/>
    <cellStyle name="Normal 2 2 2 3 3" xfId="1256" xr:uid="{2C3E40A7-B436-4383-BFA1-C07613813A92}"/>
    <cellStyle name="Normal 2 2 2 4" xfId="768" xr:uid="{E59A0893-C2FD-41A2-B824-EF76AF6FCE23}"/>
    <cellStyle name="Normal 2 2 2 4 2" xfId="1086" xr:uid="{DE0BF4B3-034B-4E98-8460-4F9909C99B62}"/>
    <cellStyle name="Normal 2 2 2 4 2 2" xfId="1653" xr:uid="{E6F6C510-55AE-40E4-9ED4-5FBA0CEFF531}"/>
    <cellStyle name="Normal 2 2 2 4 3" xfId="1335" xr:uid="{F82CA45B-1342-4940-8D61-22CDEE873042}"/>
    <cellStyle name="Normal 2 2 2 5" xfId="928" xr:uid="{9DA97D61-13DB-4A3F-8C25-C58E0C5A56E1}"/>
    <cellStyle name="Normal 2 2 2 5 2" xfId="1495" xr:uid="{6470F367-ACA5-4E23-AA97-A8445CC40BB1}"/>
    <cellStyle name="Normal 2 2 2 6" xfId="849" xr:uid="{8C6217E3-2659-4595-8F43-048FBC04A96B}"/>
    <cellStyle name="Normal 2 2 2 6 2" xfId="1416" xr:uid="{544F8543-6F22-4E1A-9D48-4A5049E2DB44}"/>
    <cellStyle name="Normal 2 2 2 7" xfId="1173" xr:uid="{9D6D6690-854B-4DCC-A929-2FAD0743FC5A}"/>
    <cellStyle name="Normal 2 2 20" xfId="1703" xr:uid="{241F365A-5314-4190-BCE8-C916D673A407}"/>
    <cellStyle name="Normal 2 2 21" xfId="558" xr:uid="{BB0E588F-384E-409D-803A-F82AC7C0EE2C}"/>
    <cellStyle name="Normal 2 2 3" xfId="564" xr:uid="{9F9D75AE-8110-4B36-BE4B-6D22974912B3}"/>
    <cellStyle name="Normal 2 2 3 2" xfId="690" xr:uid="{507C5251-E624-4089-A28B-BBCD05FA55DF}"/>
    <cellStyle name="Normal 2 2 3 2 2" xfId="1008" xr:uid="{A639E8D1-4A0C-4C65-923A-0CD325B77152}"/>
    <cellStyle name="Normal 2 2 3 2 2 2" xfId="1575" xr:uid="{35212955-B16E-4B1C-B0EB-1B8BED09FA33}"/>
    <cellStyle name="Normal 2 2 3 2 3" xfId="1257" xr:uid="{6B9C3350-B1FA-4158-B3BE-B322282B2289}"/>
    <cellStyle name="Normal 2 2 3 3" xfId="769" xr:uid="{5BF6B900-E0CE-4E23-A8AA-30AE53FDD28C}"/>
    <cellStyle name="Normal 2 2 3 3 2" xfId="1087" xr:uid="{E0CD0B05-8CBE-4C86-8B89-017B009FE031}"/>
    <cellStyle name="Normal 2 2 3 3 2 2" xfId="1654" xr:uid="{AC55DED5-D688-415D-9CA1-3E1332623E04}"/>
    <cellStyle name="Normal 2 2 3 3 3" xfId="1336" xr:uid="{C71ED2CC-C799-47FD-A602-52407FE9B1A2}"/>
    <cellStyle name="Normal 2 2 3 4" xfId="929" xr:uid="{C7684E9E-B1D5-48B4-88B8-5AFD9BA21AEA}"/>
    <cellStyle name="Normal 2 2 3 4 2" xfId="1496" xr:uid="{F075C6C5-C1F7-4D4F-AA22-33FBAFFBBB60}"/>
    <cellStyle name="Normal 2 2 3 5" xfId="850" xr:uid="{CBD79B73-F6B3-44E7-BB47-AB97BEDEDEB6}"/>
    <cellStyle name="Normal 2 2 3 5 2" xfId="1417" xr:uid="{E9A1AA87-83C5-4692-B6E7-0A9B911A9EBD}"/>
    <cellStyle name="Normal 2 2 3 6" xfId="1174" xr:uid="{25DDC25A-2AF2-49BD-8662-F254359555E0}"/>
    <cellStyle name="Normal 2 2 4" xfId="565" xr:uid="{A713E4D9-5BED-42D9-9D95-431222358088}"/>
    <cellStyle name="Normal 2 2 4 4 2" xfId="1700" xr:uid="{D6BA6B26-26E6-48D6-A651-10A53C7E8A80}"/>
    <cellStyle name="Normal 2 2 5" xfId="566" xr:uid="{274158E2-E0E0-49D3-A495-73586067E7CB}"/>
    <cellStyle name="Normal 2 2 6" xfId="567" xr:uid="{A124AF7A-A4BA-4CDB-9FA0-8F117744889C}"/>
    <cellStyle name="Normal 2 2 7" xfId="568" xr:uid="{B8DD230C-55EC-419D-8A33-ABC66B6FB58C}"/>
    <cellStyle name="Normal 2 2 8" xfId="569" xr:uid="{4CB789F3-1CA9-465C-835B-786AC62FBC7C}"/>
    <cellStyle name="Normal 2 2 9" xfId="570" xr:uid="{D6406C96-766E-4C49-9792-753895482C70}"/>
    <cellStyle name="Normal 2 2_11 09 2013" xfId="571" xr:uid="{6D3F047F-FE33-49DD-BBBB-C68D91445A19}"/>
    <cellStyle name="Normal 2 20" xfId="1169" xr:uid="{63F40A07-72B9-4781-B7BE-7A0A0078301A}"/>
    <cellStyle name="Normal 2 21" xfId="1704" xr:uid="{493A3736-9A91-4B70-BF07-CBCB2B1FF192}"/>
    <cellStyle name="Normal 2 22" xfId="552" xr:uid="{5B71DCB2-11BA-493A-BEA9-E7D2FA65DFDC}"/>
    <cellStyle name="Normal 2 3" xfId="144" xr:uid="{B9E352F9-183A-4125-B550-568D9A9E2ADC}"/>
    <cellStyle name="Normal 2 3 2" xfId="1702" xr:uid="{FB7326FD-5BC3-4039-8266-161A2273E66F}"/>
    <cellStyle name="Normal 2 3 3" xfId="572" xr:uid="{E594A40D-D70A-4DFA-957B-7FA3F891054D}"/>
    <cellStyle name="Normal 2 4" xfId="573" xr:uid="{F8159F75-A157-47E3-8C38-F7BD682ADF8D}"/>
    <cellStyle name="Normal 2 5" xfId="574" xr:uid="{72C1A868-BA97-49CE-A2EF-E7B1F64EDB47}"/>
    <cellStyle name="Normal 2 6" xfId="575" xr:uid="{EE01679C-D722-4095-B98F-685A8DB638C9}"/>
    <cellStyle name="Normal 2 7" xfId="576" xr:uid="{5B9E9F6C-C4CC-4292-AC0B-013B2E55B572}"/>
    <cellStyle name="Normal 2 8" xfId="577" xr:uid="{B186229F-AB54-4860-850D-EB9ACDF424F4}"/>
    <cellStyle name="Normal 2 9" xfId="578" xr:uid="{FCE4B463-96FF-4AE4-9A83-AEC2A7E1E8AD}"/>
    <cellStyle name="Normal 2_11 09 2013" xfId="579" xr:uid="{679C6585-16FA-4159-8BDA-1D768C1E7000}"/>
    <cellStyle name="Normal 20" xfId="329" xr:uid="{91C891E5-AC97-40B9-8587-5B988718A762}"/>
    <cellStyle name="Normal 21" xfId="347" xr:uid="{3D728F3C-C91B-472D-8D15-9DF4E701573A}"/>
    <cellStyle name="Normal 22" xfId="350" xr:uid="{BE6477A3-B2A3-4D6F-8E66-DA5521AFB7F2}"/>
    <cellStyle name="Normal 23" xfId="368" xr:uid="{374F3B0F-5548-4AE8-92D8-0DC9F1E3AE42}"/>
    <cellStyle name="Normal 24" xfId="386" xr:uid="{4B6B3C6B-CD49-4EF7-A908-1FED3B5094EB}"/>
    <cellStyle name="Normal 25" xfId="388" xr:uid="{87D76313-FB69-4784-9D8F-18C400FAEF2A}"/>
    <cellStyle name="Normal 26" xfId="406" xr:uid="{5F799548-FEA8-4528-B1C1-9995F679477A}"/>
    <cellStyle name="Normal 27" xfId="408" xr:uid="{42BF9208-A39A-4357-8930-B8731CDDEF49}"/>
    <cellStyle name="Normal 28" xfId="426" xr:uid="{BFC2BF43-53ED-4BB1-AFE7-71094A40E37B}"/>
    <cellStyle name="Normal 29" xfId="429" xr:uid="{A80A9A54-BA72-495E-960B-F5CB9F69DE3E}"/>
    <cellStyle name="Normal 3" xfId="5" xr:uid="{D88C64C1-92F7-4064-A417-F33C517F087A}"/>
    <cellStyle name="Normal 3 10" xfId="145" xr:uid="{C6B27313-0740-4B98-855D-75002143DB4A}"/>
    <cellStyle name="Normal 3 11" xfId="259" xr:uid="{16768671-7969-4E62-A2AB-52D6E2C7AB02}"/>
    <cellStyle name="Normal 3 12" xfId="276" xr:uid="{5809C7C0-0665-4C26-9F90-DAD8A21CF326}"/>
    <cellStyle name="Normal 3 13" xfId="294" xr:uid="{CFACBB0C-A4F5-44D1-A865-F9A856F70723}"/>
    <cellStyle name="Normal 3 14" xfId="313" xr:uid="{9C28CE87-ABC1-400E-9175-256B811C5845}"/>
    <cellStyle name="Normal 3 15" xfId="331" xr:uid="{91F093D7-0BD0-4F37-AF8B-423D61A55410}"/>
    <cellStyle name="Normal 3 16" xfId="352" xr:uid="{2E359508-8629-4C87-86A0-C92D7F32C7AD}"/>
    <cellStyle name="Normal 3 17" xfId="369" xr:uid="{518510A2-6D90-46D9-BAA8-E71C01944821}"/>
    <cellStyle name="Normal 3 18" xfId="389" xr:uid="{CB5EF33F-DA76-4A67-893C-4FAC68AC070E}"/>
    <cellStyle name="Normal 3 19" xfId="410" xr:uid="{A9439FE1-7826-4330-98AC-E21FC2CCA45A}"/>
    <cellStyle name="Normal 3 2" xfId="11" xr:uid="{63BDAF49-F722-402B-B41B-E115CDCC9FD2}"/>
    <cellStyle name="Normal 3 2 10" xfId="83" xr:uid="{336F03AF-716E-40F8-AC7D-32A3BAEC3A4E}"/>
    <cellStyle name="Normal 3 2 10 2" xfId="219" xr:uid="{9F33EE71-115A-4F09-84A6-21DDEA9D9460}"/>
    <cellStyle name="Normal 3 2 11" xfId="101" xr:uid="{7684396C-0794-4630-B8E1-701B6448EDC3}"/>
    <cellStyle name="Normal 3 2 11 2" xfId="237" xr:uid="{EA226016-3FCE-43B3-96AF-FD81457ABD0B}"/>
    <cellStyle name="Normal 3 2 12" xfId="125" xr:uid="{51E4748B-771B-459E-B8BE-0CFAE027618D}"/>
    <cellStyle name="Normal 3 2 13" xfId="149" xr:uid="{493BBAFE-DE66-49BF-BD00-0BD4C192BCEC}"/>
    <cellStyle name="Normal 3 2 14" xfId="260" xr:uid="{54F6D48F-8D88-40D8-A6CE-C2D620761C82}"/>
    <cellStyle name="Normal 3 2 15" xfId="277" xr:uid="{6001B289-0B56-479B-8174-BD730E620951}"/>
    <cellStyle name="Normal 3 2 16" xfId="295" xr:uid="{E7136DE6-2BE7-4310-904D-CA14849FE121}"/>
    <cellStyle name="Normal 3 2 17" xfId="314" xr:uid="{29CE7928-9C6F-4EED-99C8-B113CCF78743}"/>
    <cellStyle name="Normal 3 2 18" xfId="332" xr:uid="{FD73F9E8-2B9B-4FD9-92EC-162FCF322DD0}"/>
    <cellStyle name="Normal 3 2 19" xfId="353" xr:uid="{797407D9-0AFD-4F9B-B4D9-5678EB1FB204}"/>
    <cellStyle name="Normal 3 2 2" xfId="12" xr:uid="{F9E8A823-EBCB-4670-B8A3-29E445BE1402}"/>
    <cellStyle name="Normal 3 2 2 10" xfId="278" xr:uid="{0E99A958-0A95-41F3-9F8C-82896AA7C0F2}"/>
    <cellStyle name="Normal 3 2 2 11" xfId="296" xr:uid="{900A87CB-1FD5-4D5C-8282-516BFFBFECE5}"/>
    <cellStyle name="Normal 3 2 2 12" xfId="315" xr:uid="{C3F040E8-E8CC-46A6-ABC0-1A256E9C4A1B}"/>
    <cellStyle name="Normal 3 2 2 13" xfId="333" xr:uid="{CBE20589-2F9D-4EA4-833E-66DF5791B81F}"/>
    <cellStyle name="Normal 3 2 2 14" xfId="354" xr:uid="{57AADD73-3F96-4E60-A058-EE68F77E6F60}"/>
    <cellStyle name="Normal 3 2 2 15" xfId="370" xr:uid="{7F3DF694-0B51-4877-9305-F8CF4A0B2BF5}"/>
    <cellStyle name="Normal 3 2 2 16" xfId="390" xr:uid="{8A0EA1F8-37A5-41D3-9851-DD82F2486D82}"/>
    <cellStyle name="Normal 3 2 2 17" xfId="412" xr:uid="{F31C790C-61D3-4001-854E-CACE5AE9D9E0}"/>
    <cellStyle name="Normal 3 2 2 18" xfId="430" xr:uid="{7BA27840-2316-4304-81DA-D135CA39F7D6}"/>
    <cellStyle name="Normal 3 2 2 19" xfId="1697" xr:uid="{7FDADF37-6F7B-468F-823D-C95544A3F6B9}"/>
    <cellStyle name="Normal 3 2 2 2" xfId="32" xr:uid="{08EC18F5-70F7-4F95-8CE6-0449C463B951}"/>
    <cellStyle name="Normal 3 2 2 2 2" xfId="168" xr:uid="{608D7FD2-7878-4882-B428-07172D74FA88}"/>
    <cellStyle name="Normal 3 2 2 3" xfId="50" xr:uid="{EC5E65FB-B742-46A0-BC5E-607E2349F3A8}"/>
    <cellStyle name="Normal 3 2 2 3 2" xfId="186" xr:uid="{86C1465E-BDD4-4CC8-AE68-0A196A6CE2FF}"/>
    <cellStyle name="Normal 3 2 2 4" xfId="68" xr:uid="{1FE3B7F0-A912-4FE3-BED5-C6338640F1F0}"/>
    <cellStyle name="Normal 3 2 2 4 2" xfId="204" xr:uid="{087A4157-A406-43F5-848E-1876CDFD00D8}"/>
    <cellStyle name="Normal 3 2 2 5" xfId="84" xr:uid="{B2B21B88-6355-43B8-B0C5-A98CC101A24B}"/>
    <cellStyle name="Normal 3 2 2 5 2" xfId="220" xr:uid="{BEF5DDAF-FDEF-4267-8FAD-FFCEE28278FD}"/>
    <cellStyle name="Normal 3 2 2 6" xfId="102" xr:uid="{B12E4302-0BF9-475D-B8FB-CF4CB3A950EF}"/>
    <cellStyle name="Normal 3 2 2 6 2" xfId="238" xr:uid="{3423A8E3-B095-43A9-A8C5-5A72005DA3AE}"/>
    <cellStyle name="Normal 3 2 2 7" xfId="126" xr:uid="{177BE01E-96DE-4C5D-830E-993C0DE1DFC4}"/>
    <cellStyle name="Normal 3 2 2 8" xfId="150" xr:uid="{1CBF15F7-0324-4201-9B87-4CE0ECDA64DC}"/>
    <cellStyle name="Normal 3 2 2 9" xfId="261" xr:uid="{683CB35A-56FC-4BF8-B20B-599F45EF7305}"/>
    <cellStyle name="Normal 3 2 20" xfId="371" xr:uid="{440F0626-73A2-471E-A74F-3F3D7919BCE3}"/>
    <cellStyle name="Normal 3 2 21" xfId="391" xr:uid="{7821AF0D-3A23-4B01-97AB-51C99524AF9F}"/>
    <cellStyle name="Normal 3 2 22" xfId="411" xr:uid="{4B1B0D62-936A-48FA-A101-3B0B014E8AC8}"/>
    <cellStyle name="Normal 3 2 23" xfId="431" xr:uid="{58DE27FD-320D-4F7D-9A31-E86684813101}"/>
    <cellStyle name="Normal 3 2 24" xfId="1727" xr:uid="{21A2C81A-5BD6-43EE-ACF9-9714F9A18182}"/>
    <cellStyle name="Normal 3 2 25" xfId="1720" xr:uid="{F038293F-5182-4A76-87E4-F0D4E594E074}"/>
    <cellStyle name="Normal 3 2 3" xfId="13" xr:uid="{743060F2-066C-43CF-B134-8AEDE2DD5318}"/>
    <cellStyle name="Normal 3 2 3 10" xfId="279" xr:uid="{4083A1FA-79A1-4547-979C-4A264277D3C2}"/>
    <cellStyle name="Normal 3 2 3 11" xfId="297" xr:uid="{96262F30-A485-4799-9648-D9AA38FB6221}"/>
    <cellStyle name="Normal 3 2 3 12" xfId="316" xr:uid="{EF762A9E-F649-4866-9AF4-970FB2E10447}"/>
    <cellStyle name="Normal 3 2 3 13" xfId="334" xr:uid="{CDB484B9-A208-4822-89F9-229B11A43EC1}"/>
    <cellStyle name="Normal 3 2 3 14" xfId="355" xr:uid="{33305C39-014D-4C78-AB7D-E0528A96630B}"/>
    <cellStyle name="Normal 3 2 3 15" xfId="372" xr:uid="{26B41B04-F8D2-4A35-9A04-1ECACD78AF85}"/>
    <cellStyle name="Normal 3 2 3 16" xfId="392" xr:uid="{AEAEE8C9-71E7-455D-9562-6779A5ED1009}"/>
    <cellStyle name="Normal 3 2 3 17" xfId="413" xr:uid="{19907D4E-CBA8-4E06-9896-4F62E97CB6C9}"/>
    <cellStyle name="Normal 3 2 3 18" xfId="432" xr:uid="{25341C70-453A-450E-B99A-6DBED876553E}"/>
    <cellStyle name="Normal 3 2 3 19" xfId="581" xr:uid="{985DD6CB-E312-4E95-A27D-C1C629E72AE0}"/>
    <cellStyle name="Normal 3 2 3 2" xfId="33" xr:uid="{E15972D2-1710-47AE-A9C1-4AE4726A93FE}"/>
    <cellStyle name="Normal 3 2 3 2 2" xfId="169" xr:uid="{84F2F064-8E1D-495E-BD46-2DE4E761F705}"/>
    <cellStyle name="Normal 3 2 3 3" xfId="51" xr:uid="{287008F2-74A9-41A2-A5AD-E425613E6C36}"/>
    <cellStyle name="Normal 3 2 3 3 2" xfId="187" xr:uid="{DBE89021-9F19-4E8B-A6EC-A1805FB29EA6}"/>
    <cellStyle name="Normal 3 2 3 4" xfId="69" xr:uid="{DC734F3E-9450-4DE7-8227-3318C817686E}"/>
    <cellStyle name="Normal 3 2 3 4 2" xfId="205" xr:uid="{8028B0E5-0257-4B3C-A517-C4A27F136B1E}"/>
    <cellStyle name="Normal 3 2 3 5" xfId="85" xr:uid="{B3E678D5-BC3B-43D2-B5A0-867A1295D46B}"/>
    <cellStyle name="Normal 3 2 3 5 2" xfId="221" xr:uid="{862FBF3E-E17E-4EE3-9128-52747C0BBCE7}"/>
    <cellStyle name="Normal 3 2 3 6" xfId="103" xr:uid="{6F4C2090-82EF-4EF3-8B34-189570EECC42}"/>
    <cellStyle name="Normal 3 2 3 6 2" xfId="239" xr:uid="{DB10726C-652D-491C-91D4-A45C8438888F}"/>
    <cellStyle name="Normal 3 2 3 7" xfId="127" xr:uid="{B0C1A8CD-4FD8-4365-A9B8-ECEA44B8BCB7}"/>
    <cellStyle name="Normal 3 2 3 8" xfId="151" xr:uid="{DFFFC42E-B43B-475C-8B89-6217671F69F3}"/>
    <cellStyle name="Normal 3 2 3 9" xfId="262" xr:uid="{FCD7803B-B5AA-4C5D-B436-100A0899D8FB}"/>
    <cellStyle name="Normal 3 2 4" xfId="14" xr:uid="{BAB74EA9-01C6-4452-A3CB-1E047469AAFF}"/>
    <cellStyle name="Normal 3 2 4 10" xfId="280" xr:uid="{46FBEA15-2435-49E7-8BA5-AC1FBB2CA40A}"/>
    <cellStyle name="Normal 3 2 4 11" xfId="298" xr:uid="{A9306850-3D62-4ECF-8B0B-D1480E302DA9}"/>
    <cellStyle name="Normal 3 2 4 12" xfId="317" xr:uid="{3A214862-5532-4A76-937D-D90B5B430EA8}"/>
    <cellStyle name="Normal 3 2 4 13" xfId="335" xr:uid="{19F4300B-593C-4BD6-A0F3-24643402D085}"/>
    <cellStyle name="Normal 3 2 4 14" xfId="356" xr:uid="{06B6DFAA-F8F3-4986-8076-015F29DB0C25}"/>
    <cellStyle name="Normal 3 2 4 15" xfId="373" xr:uid="{3B207DDB-DFFC-402A-B560-C25DDF6BC7E1}"/>
    <cellStyle name="Normal 3 2 4 16" xfId="393" xr:uid="{1D80F29D-0380-405B-B9EE-0B6322BD76F5}"/>
    <cellStyle name="Normal 3 2 4 17" xfId="414" xr:uid="{794B4EEC-C281-45E4-A743-34695C0706F2}"/>
    <cellStyle name="Normal 3 2 4 18" xfId="433" xr:uid="{3D9FD536-C1BD-4216-A423-781A44AE798E}"/>
    <cellStyle name="Normal 3 2 4 19" xfId="1714" xr:uid="{BEA6850E-087B-402B-AA56-5BE5FC37C421}"/>
    <cellStyle name="Normal 3 2 4 2" xfId="34" xr:uid="{BA896ED7-36D8-4AD4-9FA9-E862F1D6749F}"/>
    <cellStyle name="Normal 3 2 4 2 2" xfId="170" xr:uid="{49F0DC4F-F54A-4B32-86EF-EA9AA7EA4C00}"/>
    <cellStyle name="Normal 3 2 4 3" xfId="52" xr:uid="{2571FBDB-30B9-4060-BD86-8A6A1C45BBC6}"/>
    <cellStyle name="Normal 3 2 4 3 2" xfId="188" xr:uid="{C927C6E3-E7AB-47A2-BC36-4946FE8A5BD7}"/>
    <cellStyle name="Normal 3 2 4 4" xfId="70" xr:uid="{0D4401EE-4D16-49D2-B563-203421BB92B0}"/>
    <cellStyle name="Normal 3 2 4 4 2" xfId="206" xr:uid="{3DB09138-EA14-4CB7-9662-062CCCD4E118}"/>
    <cellStyle name="Normal 3 2 4 5" xfId="86" xr:uid="{5F8AA04D-7F7E-4DA2-B703-79BCDCDC8362}"/>
    <cellStyle name="Normal 3 2 4 5 2" xfId="222" xr:uid="{971157A9-CF33-49A4-B7C3-1FD5CC661C0D}"/>
    <cellStyle name="Normal 3 2 4 6" xfId="104" xr:uid="{C884D5BD-2CF2-46B6-A6BE-172F2D6DBCAD}"/>
    <cellStyle name="Normal 3 2 4 6 2" xfId="240" xr:uid="{DB6F10E0-407C-4DAC-B682-9307BE2CD3E6}"/>
    <cellStyle name="Normal 3 2 4 7" xfId="128" xr:uid="{35D0B0AA-EB25-4C97-A277-31133D7347CB}"/>
    <cellStyle name="Normal 3 2 4 8" xfId="152" xr:uid="{A00C0F5B-84EA-41D4-92C6-4A3092E9EB84}"/>
    <cellStyle name="Normal 3 2 4 9" xfId="263" xr:uid="{45C9030E-0A13-4CBB-9D29-6947ABBB945A}"/>
    <cellStyle name="Normal 3 2 5" xfId="15" xr:uid="{F67F9C18-1336-493B-8CFC-0A7B87A86F85}"/>
    <cellStyle name="Normal 3 2 5 10" xfId="281" xr:uid="{85236569-B22E-4E66-A24E-6E64EAAA24C2}"/>
    <cellStyle name="Normal 3 2 5 11" xfId="299" xr:uid="{23E51814-1C9E-4518-992E-C625EE2AAA03}"/>
    <cellStyle name="Normal 3 2 5 12" xfId="318" xr:uid="{49A04B84-5FBE-4193-A9DC-325F9D549B73}"/>
    <cellStyle name="Normal 3 2 5 13" xfId="336" xr:uid="{083CC02A-1D90-40F9-962A-5BE07EEFD6EF}"/>
    <cellStyle name="Normal 3 2 5 14" xfId="357" xr:uid="{BEB3B1A2-7E54-4018-8795-985E4712BBEB}"/>
    <cellStyle name="Normal 3 2 5 15" xfId="374" xr:uid="{7D8334D4-1518-49BC-8E21-D663D04A0258}"/>
    <cellStyle name="Normal 3 2 5 16" xfId="394" xr:uid="{D6CA4C65-2C53-4418-94C9-5D7C1A67B3BE}"/>
    <cellStyle name="Normal 3 2 5 17" xfId="415" xr:uid="{198886D6-EAEB-4254-A45E-E763410C0439}"/>
    <cellStyle name="Normal 3 2 5 18" xfId="434" xr:uid="{23DE3EC8-FD9D-47E5-B937-6BA515CE9BDB}"/>
    <cellStyle name="Normal 3 2 5 19" xfId="1707" xr:uid="{A80CB39E-2F1D-478F-B464-9C3000E2BBB6}"/>
    <cellStyle name="Normal 3 2 5 2" xfId="35" xr:uid="{16782727-C1A1-45C3-AA1D-A4D0B970DFE5}"/>
    <cellStyle name="Normal 3 2 5 2 2" xfId="171" xr:uid="{4CA38398-6294-4B13-ADA9-D57A2897F85D}"/>
    <cellStyle name="Normal 3 2 5 3" xfId="53" xr:uid="{6138333A-E07C-42B4-A7AF-929E2D87E038}"/>
    <cellStyle name="Normal 3 2 5 3 2" xfId="189" xr:uid="{113FBAF8-E2B0-42AF-9FC0-5AB50A8D9AEB}"/>
    <cellStyle name="Normal 3 2 5 4" xfId="71" xr:uid="{2C9F04ED-A8A2-4D3F-B71E-63DB8DF8859D}"/>
    <cellStyle name="Normal 3 2 5 4 2" xfId="207" xr:uid="{70D2EEFA-F87A-4485-8688-9CDD768E28B7}"/>
    <cellStyle name="Normal 3 2 5 5" xfId="87" xr:uid="{1B8D62C6-0B08-4CEF-82B0-932B14024819}"/>
    <cellStyle name="Normal 3 2 5 5 2" xfId="223" xr:uid="{2AE60274-DE57-40D1-BA2C-FE497055F8FB}"/>
    <cellStyle name="Normal 3 2 5 6" xfId="105" xr:uid="{FE5305C9-13A0-4FF9-83D0-DE3434817A31}"/>
    <cellStyle name="Normal 3 2 5 6 2" xfId="241" xr:uid="{7A474F69-A00A-42D5-B77C-EF679EDF0DC3}"/>
    <cellStyle name="Normal 3 2 5 7" xfId="129" xr:uid="{2A57BBC9-18ED-43F6-A366-42576BD2237A}"/>
    <cellStyle name="Normal 3 2 5 8" xfId="153" xr:uid="{2DF95648-A74D-4A4D-B60A-DBE639B0FC13}"/>
    <cellStyle name="Normal 3 2 5 9" xfId="264" xr:uid="{E5815D6A-F64E-4237-AA76-F19A481D3183}"/>
    <cellStyle name="Normal 3 2 6" xfId="16" xr:uid="{0699BC60-A469-43B5-8D54-D6644BB13973}"/>
    <cellStyle name="Normal 3 2 6 10" xfId="265" xr:uid="{8217738B-81E5-4A71-BBCE-7F36963A1FA0}"/>
    <cellStyle name="Normal 3 2 6 11" xfId="282" xr:uid="{2284C023-52C5-4033-B995-C803A46C2F0E}"/>
    <cellStyle name="Normal 3 2 6 12" xfId="300" xr:uid="{A3F091BD-24FC-46E3-A69C-235302D4F1FE}"/>
    <cellStyle name="Normal 3 2 6 13" xfId="319" xr:uid="{D04A42F0-68AE-4C64-B339-10C8C1F03044}"/>
    <cellStyle name="Normal 3 2 6 14" xfId="337" xr:uid="{B44B6F3A-74BE-41C2-8186-3C41198BF15A}"/>
    <cellStyle name="Normal 3 2 6 15" xfId="358" xr:uid="{8FA2D693-9724-4A24-9A4B-BC7E4BBB46ED}"/>
    <cellStyle name="Normal 3 2 6 16" xfId="375" xr:uid="{66A0EBE1-DEFA-46E5-ABCA-7539452279D2}"/>
    <cellStyle name="Normal 3 2 6 17" xfId="395" xr:uid="{822B3ED0-9055-468F-A6AE-919B036B3AC3}"/>
    <cellStyle name="Normal 3 2 6 18" xfId="416" xr:uid="{42BEA0D3-4F95-4C5E-B031-6777C954674D}"/>
    <cellStyle name="Normal 3 2 6 19" xfId="435" xr:uid="{FF776D5F-8ACB-4D71-8798-0ABE8D5051DE}"/>
    <cellStyle name="Normal 3 2 6 2" xfId="17" xr:uid="{ACE24C42-BAD0-48EB-8D0D-D4CBC6B69428}"/>
    <cellStyle name="Normal 3 2 6 2 10" xfId="266" xr:uid="{FF084462-AD86-4CE7-9E29-C6E1F36365C7}"/>
    <cellStyle name="Normal 3 2 6 2 11" xfId="283" xr:uid="{2FB866DE-C6BA-4772-88DC-EE3F7B84AF38}"/>
    <cellStyle name="Normal 3 2 6 2 12" xfId="301" xr:uid="{D5E62129-656D-43DA-AE27-F064259C4025}"/>
    <cellStyle name="Normal 3 2 6 2 13" xfId="320" xr:uid="{5A3E990A-0881-445B-BB19-29E70DE2884F}"/>
    <cellStyle name="Normal 3 2 6 2 14" xfId="338" xr:uid="{F9A77717-F407-4747-990D-C1D068A6A8F8}"/>
    <cellStyle name="Normal 3 2 6 2 15" xfId="359" xr:uid="{56BBD1E5-F43F-4E3B-A204-67C506161533}"/>
    <cellStyle name="Normal 3 2 6 2 16" xfId="376" xr:uid="{A6E21706-12FA-47C1-98EC-A05694A15169}"/>
    <cellStyle name="Normal 3 2 6 2 17" xfId="396" xr:uid="{76B5A930-936F-4EE1-8739-E0D28F27A0D4}"/>
    <cellStyle name="Normal 3 2 6 2 18" xfId="417" xr:uid="{A222515F-B403-4289-93A8-2495BB08460C}"/>
    <cellStyle name="Normal 3 2 6 2 19" xfId="436" xr:uid="{F9E3AFE9-1180-4A90-852D-EDD8CF3928E9}"/>
    <cellStyle name="Normal 3 2 6 2 2" xfId="18" xr:uid="{5DC61498-779C-4C91-96EC-95C58B29716A}"/>
    <cellStyle name="Normal 3 2 6 2 2 10" xfId="156" xr:uid="{71BB7874-A81A-4A03-9A51-99A5C42A4AA7}"/>
    <cellStyle name="Normal 3 2 6 2 2 11" xfId="267" xr:uid="{95545E9D-46D3-4324-94B7-420114F968EE}"/>
    <cellStyle name="Normal 3 2 6 2 2 12" xfId="284" xr:uid="{77AEEED5-FE39-4443-B8FF-F677D46B0182}"/>
    <cellStyle name="Normal 3 2 6 2 2 13" xfId="302" xr:uid="{5AEA054E-BDCD-46AB-8B20-E3F4E1C4F000}"/>
    <cellStyle name="Normal 3 2 6 2 2 14" xfId="321" xr:uid="{A9148898-3DB2-4323-9FAA-D46DD53BDB87}"/>
    <cellStyle name="Normal 3 2 6 2 2 15" xfId="339" xr:uid="{B9FD3D5E-7B93-41E5-9EA8-EDEB052A7CBB}"/>
    <cellStyle name="Normal 3 2 6 2 2 16" xfId="360" xr:uid="{22AF4DA8-8323-4FCA-BC6E-B944B6AAE4B6}"/>
    <cellStyle name="Normal 3 2 6 2 2 17" xfId="377" xr:uid="{E8952B19-2983-4F34-8BE7-294833576C52}"/>
    <cellStyle name="Normal 3 2 6 2 2 18" xfId="397" xr:uid="{520DB6C3-E31C-4AB2-9870-3F64894B0C79}"/>
    <cellStyle name="Normal 3 2 6 2 2 19" xfId="418" xr:uid="{FA6F4C2B-95C6-4852-A1F5-6E1B89FEF1D0}"/>
    <cellStyle name="Normal 3 2 6 2 2 2" xfId="19" xr:uid="{504A0DB8-8919-491B-8825-B86D948848AA}"/>
    <cellStyle name="Normal 3 2 6 2 2 2 10" xfId="285" xr:uid="{FC0A7444-DE22-4F42-8488-C35DE0C3541B}"/>
    <cellStyle name="Normal 3 2 6 2 2 2 11" xfId="303" xr:uid="{9E0E863F-851A-4AF3-B635-2B034D419AEB}"/>
    <cellStyle name="Normal 3 2 6 2 2 2 12" xfId="322" xr:uid="{CA527A01-474F-4E7F-BDBA-FC1C795AA933}"/>
    <cellStyle name="Normal 3 2 6 2 2 2 13" xfId="340" xr:uid="{121118FC-8DD6-4EE7-9ED1-BC75F8A56B5F}"/>
    <cellStyle name="Normal 3 2 6 2 2 2 14" xfId="361" xr:uid="{FB1DCAC9-D4D6-40A0-A7AE-FCE60B1A40F4}"/>
    <cellStyle name="Normal 3 2 6 2 2 2 15" xfId="378" xr:uid="{F94C3C1A-0127-48E0-825C-FE0A3CB72054}"/>
    <cellStyle name="Normal 3 2 6 2 2 2 16" xfId="398" xr:uid="{9C6038D7-51F3-4FB8-9510-AB7C0BDE054A}"/>
    <cellStyle name="Normal 3 2 6 2 2 2 17" xfId="419" xr:uid="{B0ADE9B9-47C8-4D59-91B9-C8493E0E82CB}"/>
    <cellStyle name="Normal 3 2 6 2 2 2 18" xfId="437" xr:uid="{EAE10155-EB03-4D25-93BC-B8C59A2FC7D8}"/>
    <cellStyle name="Normal 3 2 6 2 2 2 19" xfId="1717" xr:uid="{CFB3EAB8-C5F1-4D08-9592-04925038DB57}"/>
    <cellStyle name="Normal 3 2 6 2 2 2 2" xfId="39" xr:uid="{E103A591-06C1-436E-B51F-0ED240EC5DBB}"/>
    <cellStyle name="Normal 3 2 6 2 2 2 2 2" xfId="175" xr:uid="{D89C716A-C9FE-4FD7-BDA1-0BE9AC9E10D1}"/>
    <cellStyle name="Normal 3 2 6 2 2 2 3" xfId="57" xr:uid="{801D1045-1245-4892-9624-5BBAECB7C357}"/>
    <cellStyle name="Normal 3 2 6 2 2 2 3 2" xfId="193" xr:uid="{39749C85-BECD-4BE7-B181-7364D157B878}"/>
    <cellStyle name="Normal 3 2 6 2 2 2 4" xfId="75" xr:uid="{575CB962-8083-42FF-BD94-5026F95CA06F}"/>
    <cellStyle name="Normal 3 2 6 2 2 2 4 2" xfId="211" xr:uid="{DD681656-DACE-48BD-A5BD-B1E8DAAB0A65}"/>
    <cellStyle name="Normal 3 2 6 2 2 2 5" xfId="88" xr:uid="{53502F63-62AF-44E2-8096-F385D2E9D85C}"/>
    <cellStyle name="Normal 3 2 6 2 2 2 5 2" xfId="224" xr:uid="{8C8A5E2B-A9FF-43A7-A9C4-47DCE58A2021}"/>
    <cellStyle name="Normal 3 2 6 2 2 2 6" xfId="106" xr:uid="{177E0EB2-C814-408E-B1D7-510170688885}"/>
    <cellStyle name="Normal 3 2 6 2 2 2 6 2" xfId="242" xr:uid="{C7BB78B8-725D-412F-BC3A-BCF7288A0933}"/>
    <cellStyle name="Normal 3 2 6 2 2 2 7" xfId="133" xr:uid="{0689B236-C47D-4181-839A-B32A40CF699B}"/>
    <cellStyle name="Normal 3 2 6 2 2 2 8" xfId="157" xr:uid="{F776A2AF-AED2-4C5B-9397-A877E5F82A2F}"/>
    <cellStyle name="Normal 3 2 6 2 2 2 9" xfId="268" xr:uid="{8B3C4F40-D6F3-449B-ABDC-BAB1C98AB471}"/>
    <cellStyle name="Normal 3 2 6 2 2 20" xfId="438" xr:uid="{83C63476-E0D8-4A6E-8BF4-B9973B2860A9}"/>
    <cellStyle name="Normal 3 2 6 2 2 21" xfId="1724" xr:uid="{1A9830E0-DF3F-4632-8B31-8F826832FDD9}"/>
    <cellStyle name="Normal 3 2 6 2 2 3" xfId="20" xr:uid="{93E79761-ECC1-4EAC-8FE3-CDD064AB9B13}"/>
    <cellStyle name="Normal 3 2 6 2 2 3 10" xfId="89" xr:uid="{01C86221-B9CE-4926-95E9-C27002CFB6C5}"/>
    <cellStyle name="Normal 3 2 6 2 2 3 10 2" xfId="225" xr:uid="{A86F0FAF-433C-46AE-8F5A-F26B7E9D6CDD}"/>
    <cellStyle name="Normal 3 2 6 2 2 3 11" xfId="107" xr:uid="{BEBDD093-24CD-4971-AE5C-ACA2CC97AC15}"/>
    <cellStyle name="Normal 3 2 6 2 2 3 11 2" xfId="243" xr:uid="{C28093C5-CA29-49FB-89CA-79A14C73AACD}"/>
    <cellStyle name="Normal 3 2 6 2 2 3 12" xfId="123" xr:uid="{F0308AE0-7F97-462F-8C00-997329DA8616}"/>
    <cellStyle name="Normal 3 2 6 2 2 3 13" xfId="158" xr:uid="{11933A3E-45A0-4C51-8010-F5E3D3099FDB}"/>
    <cellStyle name="Normal 3 2 6 2 2 3 14" xfId="258" xr:uid="{43553A9C-32E5-4F3F-9955-A19A9E3188FD}"/>
    <cellStyle name="Normal 3 2 6 2 2 3 15" xfId="286" xr:uid="{A63F6CB7-62CA-49AA-B488-9FD34191A799}"/>
    <cellStyle name="Normal 3 2 6 2 2 3 16" xfId="304" xr:uid="{EDF94C29-C0E3-407C-B338-33440A1D6000}"/>
    <cellStyle name="Normal 3 2 6 2 2 3 17" xfId="323" xr:uid="{12DF3AD2-E8DA-4CDC-B851-3D0B5C14B665}"/>
    <cellStyle name="Normal 3 2 6 2 2 3 18" xfId="341" xr:uid="{F917F1F6-9566-4E1C-A465-61137F673170}"/>
    <cellStyle name="Normal 3 2 6 2 2 3 19" xfId="351" xr:uid="{323E53DF-0A31-45BA-A408-9D8A595F926D}"/>
    <cellStyle name="Normal 3 2 6 2 2 3 2" xfId="21" xr:uid="{8FE139F8-A905-4BD0-9B84-CAC32762731B}"/>
    <cellStyle name="Normal 3 2 6 2 2 3 2 10" xfId="287" xr:uid="{5F0F4C61-C66D-4F51-83A9-D7BADD6C8E62}"/>
    <cellStyle name="Normal 3 2 6 2 2 3 2 11" xfId="305" xr:uid="{8F574A34-CBC8-4CEA-A814-5D8DB4253979}"/>
    <cellStyle name="Normal 3 2 6 2 2 3 2 12" xfId="324" xr:uid="{705E1B0E-8A56-4690-96DE-F583AA8AA71F}"/>
    <cellStyle name="Normal 3 2 6 2 2 3 2 13" xfId="342" xr:uid="{38287888-9C7A-4B54-9AFD-4445757B482C}"/>
    <cellStyle name="Normal 3 2 6 2 2 3 2 14" xfId="362" xr:uid="{2836F455-7545-465B-A9F6-93C2D64E8065}"/>
    <cellStyle name="Normal 3 2 6 2 2 3 2 15" xfId="379" xr:uid="{6DB4FE32-0CA6-46A5-871B-8D67DA84BEF2}"/>
    <cellStyle name="Normal 3 2 6 2 2 3 2 16" xfId="399" xr:uid="{F6B4F2B2-994C-4DCF-B339-00030C06D60F}"/>
    <cellStyle name="Normal 3 2 6 2 2 3 2 17" xfId="421" xr:uid="{558F1820-3DB3-4799-BE31-C234F90FBEBE}"/>
    <cellStyle name="Normal 3 2 6 2 2 3 2 18" xfId="439" xr:uid="{F518A9A7-A335-4DFF-975F-1168875A3886}"/>
    <cellStyle name="Normal 3 2 6 2 2 3 2 19" xfId="1711" xr:uid="{29D1AE72-DAC3-47BC-843A-149627C747A1}"/>
    <cellStyle name="Normal 3 2 6 2 2 3 2 2" xfId="41" xr:uid="{AC05076E-D1C7-4C4F-A323-A54AD5D116C6}"/>
    <cellStyle name="Normal 3 2 6 2 2 3 2 2 2" xfId="177" xr:uid="{FE883202-F275-4D30-A381-53BAC6F41457}"/>
    <cellStyle name="Normal 3 2 6 2 2 3 2 3" xfId="59" xr:uid="{9374D6C2-6EDE-4259-A449-9C49BAED9EB7}"/>
    <cellStyle name="Normal 3 2 6 2 2 3 2 3 2" xfId="195" xr:uid="{7D49946D-93FA-48C0-8EB6-08AC8128F3F7}"/>
    <cellStyle name="Normal 3 2 6 2 2 3 2 4" xfId="76" xr:uid="{6B3796FD-9FAA-4449-AA61-C05EA5978D55}"/>
    <cellStyle name="Normal 3 2 6 2 2 3 2 4 2" xfId="212" xr:uid="{6365A488-D80F-43E2-B85B-1093BB3F9E07}"/>
    <cellStyle name="Normal 3 2 6 2 2 3 2 5" xfId="90" xr:uid="{21FCFD5B-8828-4019-B0B8-4DEBB41EBD0C}"/>
    <cellStyle name="Normal 3 2 6 2 2 3 2 5 2" xfId="226" xr:uid="{6D7AB474-3E83-452D-937E-4D6D99519288}"/>
    <cellStyle name="Normal 3 2 6 2 2 3 2 6" xfId="108" xr:uid="{5E44A88A-5C5B-4FC6-9EBF-5E025F61CAFA}"/>
    <cellStyle name="Normal 3 2 6 2 2 3 2 6 2" xfId="244" xr:uid="{3C67B20B-A289-4FF5-92BB-B7041F73955E}"/>
    <cellStyle name="Normal 3 2 6 2 2 3 2 7" xfId="134" xr:uid="{558D453D-3785-41BB-9B90-31D432BF9191}"/>
    <cellStyle name="Normal 3 2 6 2 2 3 2 8" xfId="159" xr:uid="{DE704B37-F0ED-4ECB-BEAC-7B18D3F3D57F}"/>
    <cellStyle name="Normal 3 2 6 2 2 3 2 9" xfId="269" xr:uid="{111F7997-02AF-47ED-808B-6510F480C434}"/>
    <cellStyle name="Normal 3 2 6 2 2 3 20" xfId="380" xr:uid="{B9387277-1655-4F14-B8E0-CC1B2AAEFB37}"/>
    <cellStyle name="Normal 3 2 6 2 2 3 21" xfId="400" xr:uid="{D72BB2CF-5857-40A1-B18D-018581FF6B72}"/>
    <cellStyle name="Normal 3 2 6 2 2 3 22" xfId="420" xr:uid="{898B88A6-064D-4736-9F74-B2B9B0D07DDD}"/>
    <cellStyle name="Normal 3 2 6 2 2 3 23" xfId="440" xr:uid="{788FE6A9-8473-44EE-99B1-C8DA0B5C1091}"/>
    <cellStyle name="Normal 3 2 6 2 2 3 24" xfId="1726" xr:uid="{3AB7C8F5-C992-4FCD-91FE-84A8E39392E9}"/>
    <cellStyle name="Normal 3 2 6 2 2 3 25" xfId="1739" xr:uid="{17EA5AD4-C40E-4513-831C-30BCA6CF94F3}"/>
    <cellStyle name="Normal 3 2 6 2 2 3 26" xfId="1749" xr:uid="{E7333391-8870-410D-881B-7B9EF6A89696}"/>
    <cellStyle name="Normal 3 2 6 2 2 3 27" xfId="1754" xr:uid="{189A03AD-DCAE-49CC-9DAC-14FF594FD68C}"/>
    <cellStyle name="Normal 3 2 6 2 2 3 28" xfId="1758" xr:uid="{423107AC-7B09-4054-A82B-62E7720BA4DD}"/>
    <cellStyle name="Normal 3 2 6 2 2 3 29" xfId="1780" xr:uid="{64AB49EC-D02D-4ED0-936A-B52047889C30}"/>
    <cellStyle name="Normal 3 2 6 2 2 3 3" xfId="22" xr:uid="{00FC6D69-3691-428C-B3EB-8DC8CC578474}"/>
    <cellStyle name="Normal 3 2 6 2 2 3 3 10" xfId="288" xr:uid="{565CD64D-DE1F-4CF6-B957-3762867F2B90}"/>
    <cellStyle name="Normal 3 2 6 2 2 3 3 11" xfId="306" xr:uid="{D167679A-7B2D-4A69-BB82-5238E59C2A46}"/>
    <cellStyle name="Normal 3 2 6 2 2 3 3 12" xfId="325" xr:uid="{E572EEF3-528E-4E24-8C75-E852269D38FC}"/>
    <cellStyle name="Normal 3 2 6 2 2 3 3 13" xfId="343" xr:uid="{E7023A21-0B70-4DDE-9E31-2643954FE33E}"/>
    <cellStyle name="Normal 3 2 6 2 2 3 3 14" xfId="363" xr:uid="{50455F87-E050-456D-A6BA-307FB04589EA}"/>
    <cellStyle name="Normal 3 2 6 2 2 3 3 15" xfId="381" xr:uid="{92CE2D4E-153B-4E3D-A3C0-B26FE3DDC8C5}"/>
    <cellStyle name="Normal 3 2 6 2 2 3 3 16" xfId="401" xr:uid="{BD7309BA-FD0A-4CE6-A68C-B8BAC5CCE0F0}"/>
    <cellStyle name="Normal 3 2 6 2 2 3 3 17" xfId="422" xr:uid="{187ACAC5-7E77-4D59-972B-F6614CDCE323}"/>
    <cellStyle name="Normal 3 2 6 2 2 3 3 18" xfId="441" xr:uid="{6825FB00-F4D3-4CB9-9DCF-76346942C3A1}"/>
    <cellStyle name="Normal 3 2 6 2 2 3 3 19" xfId="1713" xr:uid="{0A5499BA-8B69-4624-9805-0B606BCA633D}"/>
    <cellStyle name="Normal 3 2 6 2 2 3 3 2" xfId="42" xr:uid="{D2081FFF-E35A-408E-AA4D-E661BF2AC49A}"/>
    <cellStyle name="Normal 3 2 6 2 2 3 3 2 2" xfId="178" xr:uid="{DA5789E7-2B12-4D91-9625-332C997B12D1}"/>
    <cellStyle name="Normal 3 2 6 2 2 3 3 3" xfId="60" xr:uid="{AA56DD84-5D69-47CB-B23A-E7962EB70F37}"/>
    <cellStyle name="Normal 3 2 6 2 2 3 3 3 2" xfId="196" xr:uid="{485DB1C4-87EE-4F7B-B851-1976FF286DBD}"/>
    <cellStyle name="Normal 3 2 6 2 2 3 3 4" xfId="77" xr:uid="{15834FDC-5538-462D-8B77-B43D2BC92E30}"/>
    <cellStyle name="Normal 3 2 6 2 2 3 3 4 2" xfId="213" xr:uid="{D7FCCD6F-CA64-4A4F-9F3F-ED7754B330DA}"/>
    <cellStyle name="Normal 3 2 6 2 2 3 3 5" xfId="91" xr:uid="{A53992DF-762F-4AB1-8B04-984A65FB147C}"/>
    <cellStyle name="Normal 3 2 6 2 2 3 3 5 2" xfId="227" xr:uid="{51200FB2-0F51-427E-90DF-BC0E7DFE93C7}"/>
    <cellStyle name="Normal 3 2 6 2 2 3 3 6" xfId="109" xr:uid="{18843C4E-6D3F-417B-848B-C722262DE61E}"/>
    <cellStyle name="Normal 3 2 6 2 2 3 3 6 2" xfId="245" xr:uid="{120137CE-6E1A-47DD-9817-A21C52AD9E21}"/>
    <cellStyle name="Normal 3 2 6 2 2 3 3 7" xfId="135" xr:uid="{7075C6AE-0B30-4591-9213-14768443A79B}"/>
    <cellStyle name="Normal 3 2 6 2 2 3 3 8" xfId="160" xr:uid="{13FED90F-A90D-4494-B376-057142CAA488}"/>
    <cellStyle name="Normal 3 2 6 2 2 3 3 9" xfId="270" xr:uid="{411CABCD-60E1-4079-8852-5E99894605F8}"/>
    <cellStyle name="Normal 3 2 6 2 2 3 30" xfId="1785" xr:uid="{D7441C35-7D1E-482A-B24B-4751CB67B982}"/>
    <cellStyle name="Normal 3 2 6 2 2 3 31" xfId="1794" xr:uid="{484C942A-0B8C-4178-9FE2-8FB6C9BD25F7}"/>
    <cellStyle name="Normal 3 2 6 2 2 3 32" xfId="1798" xr:uid="{F57C9DD5-7448-4D55-A46C-08E6C1E27614}"/>
    <cellStyle name="Normal 3 2 6 2 2 3 4" xfId="23" xr:uid="{82B0943C-1E77-4548-8954-3C76220DF130}"/>
    <cellStyle name="Normal 3 2 6 2 2 3 4 10" xfId="289" xr:uid="{4906BF0E-AE0C-4E1C-80E3-C286DAEBE5CF}"/>
    <cellStyle name="Normal 3 2 6 2 2 3 4 11" xfId="307" xr:uid="{0701C114-7852-42A8-BA3C-AB8F49C012BD}"/>
    <cellStyle name="Normal 3 2 6 2 2 3 4 12" xfId="326" xr:uid="{CF6E8802-73C5-4CEC-98B6-C7A2DD86F510}"/>
    <cellStyle name="Normal 3 2 6 2 2 3 4 13" xfId="344" xr:uid="{F673976D-FDF7-4310-BF68-EB639CCEAD8E}"/>
    <cellStyle name="Normal 3 2 6 2 2 3 4 14" xfId="365" xr:uid="{FF25DCC3-8B17-455F-AEA6-A48BA726AC89}"/>
    <cellStyle name="Normal 3 2 6 2 2 3 4 15" xfId="382" xr:uid="{3A3F926B-661B-47A4-9B74-1AEDC1FE50F1}"/>
    <cellStyle name="Normal 3 2 6 2 2 3 4 16" xfId="402" xr:uid="{1BE9D797-D61A-4E53-9FEA-B5E4186B27AB}"/>
    <cellStyle name="Normal 3 2 6 2 2 3 4 17" xfId="423" xr:uid="{E1B7281F-7773-4527-8161-D24E7262CB51}"/>
    <cellStyle name="Normal 3 2 6 2 2 3 4 18" xfId="442" xr:uid="{5F436DAD-5B6A-4854-856F-6774E83E1077}"/>
    <cellStyle name="Normal 3 2 6 2 2 3 4 19" xfId="1721" xr:uid="{F33CCEC2-C7AF-4C45-BFB7-161FBC25535F}"/>
    <cellStyle name="Normal 3 2 6 2 2 3 4 2" xfId="43" xr:uid="{08EF41BF-5571-47E5-A11B-7D56B9B06D05}"/>
    <cellStyle name="Normal 3 2 6 2 2 3 4 2 2" xfId="179" xr:uid="{689DCCC4-86F6-41FB-967C-6AAA841BD251}"/>
    <cellStyle name="Normal 3 2 6 2 2 3 4 3" xfId="61" xr:uid="{7E49F14D-3FC4-4CFE-B2CA-D27AF28FCA20}"/>
    <cellStyle name="Normal 3 2 6 2 2 3 4 3 2" xfId="197" xr:uid="{8BC6B34C-806D-4FBF-8D25-306F7350FB52}"/>
    <cellStyle name="Normal 3 2 6 2 2 3 4 4" xfId="79" xr:uid="{16B8B41A-62A7-4959-9F0B-0FE6D4C15075}"/>
    <cellStyle name="Normal 3 2 6 2 2 3 4 4 2" xfId="215" xr:uid="{547FFF69-3DD3-4093-B402-28239B05F81B}"/>
    <cellStyle name="Normal 3 2 6 2 2 3 4 5" xfId="92" xr:uid="{EE243485-A180-4442-90ED-0551FFB4EB5F}"/>
    <cellStyle name="Normal 3 2 6 2 2 3 4 5 2" xfId="228" xr:uid="{A713CA11-BE38-4211-996C-C3AEC7D7DE0E}"/>
    <cellStyle name="Normal 3 2 6 2 2 3 4 6" xfId="110" xr:uid="{5B166711-3573-4E75-BFCC-6D385A438AAB}"/>
    <cellStyle name="Normal 3 2 6 2 2 3 4 6 2" xfId="246" xr:uid="{0384A86F-D9B9-4F31-BE91-2692795A8C81}"/>
    <cellStyle name="Normal 3 2 6 2 2 3 4 7" xfId="137" xr:uid="{F3CB4CB6-9CFE-4B66-B73E-800215F13313}"/>
    <cellStyle name="Normal 3 2 6 2 2 3 4 8" xfId="161" xr:uid="{F44CDC5F-3FD7-4471-9027-A6A89D23583E}"/>
    <cellStyle name="Normal 3 2 6 2 2 3 4 9" xfId="272" xr:uid="{2C3D2AC3-83A7-4902-8A4A-EEC01571AA65}"/>
    <cellStyle name="Normal 3 2 6 2 2 3 5" xfId="24" xr:uid="{9D29915F-63B9-4320-B33D-745FDF22202D}"/>
    <cellStyle name="Normal 3 2 6 2 2 3 5 10" xfId="273" xr:uid="{BB415FBD-B7D5-4F1A-8038-3C2E1E79A995}"/>
    <cellStyle name="Normal 3 2 6 2 2 3 5 11" xfId="290" xr:uid="{E80EB516-6CCA-4EDB-81A4-8DECE83A6A85}"/>
    <cellStyle name="Normal 3 2 6 2 2 3 5 12" xfId="308" xr:uid="{155DB4D1-5696-4FFB-9281-1C6CB205F39B}"/>
    <cellStyle name="Normal 3 2 6 2 2 3 5 13" xfId="327" xr:uid="{35AA1079-1582-4C8B-802F-A442B5C206C5}"/>
    <cellStyle name="Normal 3 2 6 2 2 3 5 14" xfId="345" xr:uid="{7E039543-18C7-4DAC-81E2-B8FD667D743B}"/>
    <cellStyle name="Normal 3 2 6 2 2 3 5 15" xfId="366" xr:uid="{DDA2AACD-5A02-416E-A2C1-77DF1F7360C5}"/>
    <cellStyle name="Normal 3 2 6 2 2 3 5 16" xfId="383" xr:uid="{7CDA2FFF-26C7-4A51-8483-A3E9657BB52A}"/>
    <cellStyle name="Normal 3 2 6 2 2 3 5 17" xfId="403" xr:uid="{67E1D126-6DFA-43A5-A7A6-3BC81E351C3C}"/>
    <cellStyle name="Normal 3 2 6 2 2 3 5 18" xfId="424" xr:uid="{4EC86BBF-7FC8-478D-9DA9-35370F888EA9}"/>
    <cellStyle name="Normal 3 2 6 2 2 3 5 19" xfId="443" xr:uid="{085A02C1-BE2C-4DAC-B43B-25DDD1AC4A42}"/>
    <cellStyle name="Normal 3 2 6 2 2 3 5 2" xfId="25" xr:uid="{377A754D-5B2D-4F7F-903F-D0B527138D9A}"/>
    <cellStyle name="Normal 3 2 6 2 2 3 5 2 10" xfId="291" xr:uid="{D23C9A06-407B-4F60-979C-2C1E43C0701B}"/>
    <cellStyle name="Normal 3 2 6 2 2 3 5 2 11" xfId="309" xr:uid="{1DF28240-2C72-4BA9-A782-2C27014759C0}"/>
    <cellStyle name="Normal 3 2 6 2 2 3 5 2 12" xfId="328" xr:uid="{550874A7-4630-4357-9775-75A0A3DF6771}"/>
    <cellStyle name="Normal 3 2 6 2 2 3 5 2 13" xfId="346" xr:uid="{639497B8-0C03-43C1-AF73-A8A2B09139C2}"/>
    <cellStyle name="Normal 3 2 6 2 2 3 5 2 14" xfId="367" xr:uid="{87C97745-8709-49B5-B919-EB3D594AF021}"/>
    <cellStyle name="Normal 3 2 6 2 2 3 5 2 15" xfId="384" xr:uid="{5F5554B4-2BDC-4B1F-86C2-EE771C1D3F5E}"/>
    <cellStyle name="Normal 3 2 6 2 2 3 5 2 16" xfId="404" xr:uid="{E479B558-1E0F-4641-B69E-0EA7DE6C7E5A}"/>
    <cellStyle name="Normal 3 2 6 2 2 3 5 2 17" xfId="425" xr:uid="{6C3A673E-1E94-4FBD-8AC2-08D9DA67CD79}"/>
    <cellStyle name="Normal 3 2 6 2 2 3 5 2 18" xfId="444" xr:uid="{2D1E0FAE-AEEB-47FC-AE19-07DA762B3F79}"/>
    <cellStyle name="Normal 3 2 6 2 2 3 5 2 19" xfId="1730" xr:uid="{6F78753D-A8B5-4551-86EE-97F275BBE0D4}"/>
    <cellStyle name="Normal 3 2 6 2 2 3 5 2 2" xfId="45" xr:uid="{DE76FE5C-3AAB-4633-A1CB-15E23FF682D7}"/>
    <cellStyle name="Normal 3 2 6 2 2 3 5 2 2 2" xfId="181" xr:uid="{869B62A0-0EEC-4141-B354-200412FF312E}"/>
    <cellStyle name="Normal 3 2 6 2 2 3 5 2 3" xfId="63" xr:uid="{1C0ED667-D4A6-43B8-ABA0-C5D3D75D52A5}"/>
    <cellStyle name="Normal 3 2 6 2 2 3 5 2 3 2" xfId="199" xr:uid="{C1B1F06A-D7E1-4C9F-901B-71F314DA7AA8}"/>
    <cellStyle name="Normal 3 2 6 2 2 3 5 2 4" xfId="81" xr:uid="{2BE75E78-9CF2-4524-B012-6E8B195D2254}"/>
    <cellStyle name="Normal 3 2 6 2 2 3 5 2 4 2" xfId="217" xr:uid="{B33E747F-C7C7-40FB-B603-495B67071717}"/>
    <cellStyle name="Normal 3 2 6 2 2 3 5 2 5" xfId="93" xr:uid="{2CAEDD49-6C95-4C07-A226-A3C199BCA412}"/>
    <cellStyle name="Normal 3 2 6 2 2 3 5 2 5 2" xfId="229" xr:uid="{B96E06F7-9BFD-4129-8E81-37DCBFB5EB88}"/>
    <cellStyle name="Normal 3 2 6 2 2 3 5 2 6" xfId="111" xr:uid="{A4BB4126-8861-460B-AAD9-B7927927361D}"/>
    <cellStyle name="Normal 3 2 6 2 2 3 5 2 6 2" xfId="247" xr:uid="{4CD9C8CE-D3E9-41D4-B095-DD0507A7D5D6}"/>
    <cellStyle name="Normal 3 2 6 2 2 3 5 2 7" xfId="139" xr:uid="{310103BB-F868-417D-9F06-CC3508004483}"/>
    <cellStyle name="Normal 3 2 6 2 2 3 5 2 8" xfId="163" xr:uid="{518564E6-4EF7-4A1F-9572-B4EB7297F0FE}"/>
    <cellStyle name="Normal 3 2 6 2 2 3 5 2 9" xfId="274" xr:uid="{C0FAD9EE-5C89-4987-BFAE-3EAB9A04E2DA}"/>
    <cellStyle name="Normal 3 2 6 2 2 3 5 20" xfId="1716" xr:uid="{9815C5A3-66E9-4C9E-8DAA-8A4B31579B77}"/>
    <cellStyle name="Normal 3 2 6 2 2 3 5 3" xfId="44" xr:uid="{16C1B4BC-771C-4C7A-A611-CDB7BD9FE8CA}"/>
    <cellStyle name="Normal 3 2 6 2 2 3 5 3 2" xfId="180" xr:uid="{2180C6CC-EA35-4EF0-8BFB-E3AB7269564F}"/>
    <cellStyle name="Normal 3 2 6 2 2 3 5 4" xfId="62" xr:uid="{493EF0B0-A5C8-4B97-8C9F-AB7960AFD0B0}"/>
    <cellStyle name="Normal 3 2 6 2 2 3 5 4 2" xfId="198" xr:uid="{4B0DE437-9D9B-4BEC-A995-0F9A0C926F41}"/>
    <cellStyle name="Normal 3 2 6 2 2 3 5 5" xfId="80" xr:uid="{96BBADA3-47E1-4B7A-A230-274364718AE5}"/>
    <cellStyle name="Normal 3 2 6 2 2 3 5 5 2" xfId="216" xr:uid="{20C5A1F4-2EF5-44D9-AAE5-66DE1FE6894B}"/>
    <cellStyle name="Normal 3 2 6 2 2 3 5 6" xfId="94" xr:uid="{A4B16C16-25B3-4400-8E8B-CD1A0D71CFDC}"/>
    <cellStyle name="Normal 3 2 6 2 2 3 5 6 2" xfId="230" xr:uid="{A7DFB5B7-779D-4A03-BB3C-66BBB535B705}"/>
    <cellStyle name="Normal 3 2 6 2 2 3 5 7" xfId="112" xr:uid="{A2BBB195-3C24-48F8-AF9D-A7FB7A9F189D}"/>
    <cellStyle name="Normal 3 2 6 2 2 3 5 7 2" xfId="248" xr:uid="{66C3FB70-B893-4596-AFC5-7579AC0047DE}"/>
    <cellStyle name="Normal 3 2 6 2 2 3 5 8" xfId="138" xr:uid="{9D431A7B-44C7-4A26-8A85-436469EEA55E}"/>
    <cellStyle name="Normal 3 2 6 2 2 3 5 9" xfId="162" xr:uid="{D92B14BE-3849-4660-AFA1-CECE2D72C305}"/>
    <cellStyle name="Normal 3 2 6 2 2 3 6" xfId="9" xr:uid="{68E2508B-F6AF-4E91-A3F1-966B750EC393}"/>
    <cellStyle name="Normal 3 2 6 2 2 3 6 10" xfId="292" xr:uid="{01FA34AF-43FF-4DF2-B91A-CF5AF34E62F2}"/>
    <cellStyle name="Normal 3 2 6 2 2 3 6 11" xfId="310" xr:uid="{AFF0B3BA-5D00-4663-9701-59DC321118BF}"/>
    <cellStyle name="Normal 3 2 6 2 2 3 6 12" xfId="312" xr:uid="{D50DE972-E8F6-4060-A5FD-5DADA761304A}"/>
    <cellStyle name="Normal 3 2 6 2 2 3 6 13" xfId="330" xr:uid="{4511A2D4-5B7B-46ED-B5A4-27E3CEC9F599}"/>
    <cellStyle name="Normal 3 2 6 2 2 3 6 14" xfId="364" xr:uid="{B97B846B-06E9-4271-9319-FA043BAAEEF9}"/>
    <cellStyle name="Normal 3 2 6 2 2 3 6 15" xfId="385" xr:uid="{597BAB6C-239A-4834-8D41-DC9036ABE4DA}"/>
    <cellStyle name="Normal 3 2 6 2 2 3 6 16" xfId="405" xr:uid="{4832391D-12E6-47DC-9E18-D4CE391AA7A8}"/>
    <cellStyle name="Normal 3 2 6 2 2 3 6 17" xfId="409" xr:uid="{2B93176F-3076-405E-ADB8-F03A010261DA}"/>
    <cellStyle name="Normal 3 2 6 2 2 3 6 18" xfId="445" xr:uid="{7C24D06C-1CD9-49FC-81D1-91AE6E5456C4}"/>
    <cellStyle name="Normal 3 2 6 2 2 3 6 19" xfId="1709" xr:uid="{DB0BA5AC-5D5B-4D5F-9E9A-51A772971B2F}"/>
    <cellStyle name="Normal 3 2 6 2 2 3 6 2" xfId="29" xr:uid="{487463FE-3B67-44D1-A928-043C12F81906}"/>
    <cellStyle name="Normal 3 2 6 2 2 3 6 2 2" xfId="165" xr:uid="{2C863605-6F89-4C8F-9933-5C61FC4D5CA2}"/>
    <cellStyle name="Normal 3 2 6 2 2 3 6 20" xfId="1786" xr:uid="{A57265B3-E9B2-4E26-AD14-7950F18569DD}"/>
    <cellStyle name="Normal 3 2 6 2 2 3 6 3" xfId="47" xr:uid="{C17DF75C-F952-41E6-BA72-41558C8AABCE}"/>
    <cellStyle name="Normal 3 2 6 2 2 3 6 3 2" xfId="183" xr:uid="{A9202BF3-E853-4275-9FF4-11DE708BF135}"/>
    <cellStyle name="Normal 3 2 6 2 2 3 6 4" xfId="78" xr:uid="{3D9629B1-B077-4E8E-9F58-690F0FFD1196}"/>
    <cellStyle name="Normal 3 2 6 2 2 3 6 4 2" xfId="214" xr:uid="{C1043D23-8068-4F67-99C0-DAAA485CDF75}"/>
    <cellStyle name="Normal 3 2 6 2 2 3 6 5" xfId="95" xr:uid="{C8F98E1A-AF35-444F-A387-095C7F286B6C}"/>
    <cellStyle name="Normal 3 2 6 2 2 3 6 5 2" xfId="231" xr:uid="{DA847A4C-DED1-4683-A63B-84786A3091E6}"/>
    <cellStyle name="Normal 3 2 6 2 2 3 6 6" xfId="113" xr:uid="{AD40F73E-990C-49E3-934B-403ED8DC2680}"/>
    <cellStyle name="Normal 3 2 6 2 2 3 6 6 2" xfId="249" xr:uid="{2036F2E1-156C-41D5-952A-C0B4F4AC83E7}"/>
    <cellStyle name="Normal 3 2 6 2 2 3 6 7" xfId="136" xr:uid="{A24ADB9D-019D-475A-BAB5-497239E6EB34}"/>
    <cellStyle name="Normal 3 2 6 2 2 3 6 8" xfId="147" xr:uid="{21AED1D6-B48B-49FD-874F-967B2D47C26E}"/>
    <cellStyle name="Normal 3 2 6 2 2 3 6 9" xfId="271" xr:uid="{FF13FD2C-34A8-4743-8241-78FC8BC72F49}"/>
    <cellStyle name="Normal 3 2 6 2 2 3 7" xfId="40" xr:uid="{DA5A2214-4D0E-4F42-BAF7-86E74A993720}"/>
    <cellStyle name="Normal 3 2 6 2 2 3 7 2" xfId="176" xr:uid="{0291EBBD-AAE5-48F9-8133-6D1D1360B458}"/>
    <cellStyle name="Normal 3 2 6 2 2 3 8" xfId="58" xr:uid="{B5C6F80E-885F-4E32-824E-5A8E6AC6CCA3}"/>
    <cellStyle name="Normal 3 2 6 2 2 3 8 2" xfId="194" xr:uid="{98F3C06A-3E4D-4CA4-AB92-D74E2B79B675}"/>
    <cellStyle name="Normal 3 2 6 2 2 3 9" xfId="65" xr:uid="{B7BE838A-641C-437D-B971-44BEC8CC95C0}"/>
    <cellStyle name="Normal 3 2 6 2 2 3 9 2" xfId="201" xr:uid="{4686BEA5-387B-4931-BF8B-5F618B4197A6}"/>
    <cellStyle name="Normal 3 2 6 2 2 4" xfId="38" xr:uid="{58CB9613-BFEE-4A34-9E77-F54A95BF2C0A}"/>
    <cellStyle name="Normal 3 2 6 2 2 4 2" xfId="174" xr:uid="{4471F545-C953-4A09-AF4F-580D0C849FD7}"/>
    <cellStyle name="Normal 3 2 6 2 2 5" xfId="56" xr:uid="{0D274271-C693-474D-93E1-25314C2F3DFF}"/>
    <cellStyle name="Normal 3 2 6 2 2 5 2" xfId="192" xr:uid="{11DA81BF-95CC-4791-A183-C48E704F57BB}"/>
    <cellStyle name="Normal 3 2 6 2 2 6" xfId="74" xr:uid="{720320A9-76CF-48C5-9D42-BE41FCED39A0}"/>
    <cellStyle name="Normal 3 2 6 2 2 6 2" xfId="210" xr:uid="{D28F5080-130D-4A70-B5C6-22CC2A693F9D}"/>
    <cellStyle name="Normal 3 2 6 2 2 7" xfId="96" xr:uid="{A995F98D-D6B2-4373-8355-92A71DF8D5BE}"/>
    <cellStyle name="Normal 3 2 6 2 2 7 2" xfId="232" xr:uid="{8CA51223-7F0E-43AC-8859-7FB5810316D0}"/>
    <cellStyle name="Normal 3 2 6 2 2 8" xfId="114" xr:uid="{CCCCB6AB-3554-4C5E-845A-364144810088}"/>
    <cellStyle name="Normal 3 2 6 2 2 8 2" xfId="250" xr:uid="{07552E8B-8E9E-4390-994A-55F924309136}"/>
    <cellStyle name="Normal 3 2 6 2 2 9" xfId="132" xr:uid="{1405D14E-B9FF-4EC8-9E28-D6272B04BC7B}"/>
    <cellStyle name="Normal 3 2 6 2 20" xfId="1719" xr:uid="{14AC873F-1A84-4179-8B0E-DECE72E42A49}"/>
    <cellStyle name="Normal 3 2 6 2 3" xfId="37" xr:uid="{73D345E6-5386-4FEF-B684-2FD9FF9ED509}"/>
    <cellStyle name="Normal 3 2 6 2 3 2" xfId="173" xr:uid="{05A44505-292D-4527-98F0-DBFE901DFE81}"/>
    <cellStyle name="Normal 3 2 6 2 4" xfId="55" xr:uid="{D0AEDB7F-A8FC-4C7B-9BF8-8777CC7EF527}"/>
    <cellStyle name="Normal 3 2 6 2 4 2" xfId="191" xr:uid="{655E8088-846B-43D2-92A1-C06BC5603F83}"/>
    <cellStyle name="Normal 3 2 6 2 5" xfId="73" xr:uid="{E55F50D7-015D-4F58-957F-A5676581F6E3}"/>
    <cellStyle name="Normal 3 2 6 2 5 2" xfId="209" xr:uid="{356BC7EC-C456-40E0-AD67-F999A6EF75AE}"/>
    <cellStyle name="Normal 3 2 6 2 6" xfId="97" xr:uid="{BF215106-6E29-4A9B-A88A-7A3C1AE5B5B1}"/>
    <cellStyle name="Normal 3 2 6 2 6 2" xfId="233" xr:uid="{68F7E6C3-84B7-41D2-88A7-9C66357E47A1}"/>
    <cellStyle name="Normal 3 2 6 2 7" xfId="115" xr:uid="{4F061CF5-6DAC-461A-9DE1-8395432C5056}"/>
    <cellStyle name="Normal 3 2 6 2 7 2" xfId="251" xr:uid="{881D0AC5-8F6F-4057-AA34-808E12102C4E}"/>
    <cellStyle name="Normal 3 2 6 2 8" xfId="131" xr:uid="{DDF43B79-9C78-4181-A046-1DBF9DDBF7D0}"/>
    <cellStyle name="Normal 3 2 6 2 9" xfId="155" xr:uid="{1ECCF324-4209-4116-AEFB-A88F421AAB1D}"/>
    <cellStyle name="Normal 3 2 6 20" xfId="1728" xr:uid="{CDF9AB18-BBDA-437D-9143-B8EF79B3E432}"/>
    <cellStyle name="Normal 3 2 6 3" xfId="36" xr:uid="{18D8A556-04EC-46F6-B6F1-DBD3DD4627E6}"/>
    <cellStyle name="Normal 3 2 6 3 2" xfId="172" xr:uid="{7ACB1278-7291-4CF8-B64D-61974BA3FC30}"/>
    <cellStyle name="Normal 3 2 6 4" xfId="54" xr:uid="{E04392BA-3D2B-4924-8BB2-0A6DB44B312D}"/>
    <cellStyle name="Normal 3 2 6 4 2" xfId="190" xr:uid="{00F87B41-7AB1-425D-A3E4-E685BAA99630}"/>
    <cellStyle name="Normal 3 2 6 5" xfId="72" xr:uid="{71977158-4AF6-4330-886A-2FB147C99326}"/>
    <cellStyle name="Normal 3 2 6 5 2" xfId="208" xr:uid="{512CEFE6-6868-4CED-AECC-1AE27A0BAAB6}"/>
    <cellStyle name="Normal 3 2 6 6" xfId="98" xr:uid="{46FDB7F5-5B26-4105-AA07-5490D971AEFF}"/>
    <cellStyle name="Normal 3 2 6 6 2" xfId="234" xr:uid="{EE415668-66CC-41D4-BBAF-A50FAD30A5AF}"/>
    <cellStyle name="Normal 3 2 6 7" xfId="116" xr:uid="{4888BD6B-D780-453D-A375-632A5E361B34}"/>
    <cellStyle name="Normal 3 2 6 7 2" xfId="252" xr:uid="{52716AD8-0116-4253-B7E0-73042483AA4A}"/>
    <cellStyle name="Normal 3 2 6 8" xfId="130" xr:uid="{BC4CDDF6-92E0-4A26-B455-F2E3D0A5B9AB}"/>
    <cellStyle name="Normal 3 2 6 9" xfId="154" xr:uid="{D1A60E82-43FC-4655-B4D3-B54F6FDA95E5}"/>
    <cellStyle name="Normal 3 2 7" xfId="31" xr:uid="{6EC4C432-0456-40AB-96FF-47CAB88F7B9A}"/>
    <cellStyle name="Normal 3 2 7 2" xfId="167" xr:uid="{B212A0D4-875E-461D-81C5-1DE9B552DF57}"/>
    <cellStyle name="Normal 3 2 8" xfId="49" xr:uid="{D43C3507-3391-4593-99F9-11B559B35B36}"/>
    <cellStyle name="Normal 3 2 8 2" xfId="185" xr:uid="{788E12B0-F69E-4FFF-B556-A08E3E1E9ACE}"/>
    <cellStyle name="Normal 3 2 9" xfId="67" xr:uid="{CE7FE11C-270C-4578-8C2B-34EC93E6C012}"/>
    <cellStyle name="Normal 3 2 9 2" xfId="203" xr:uid="{7B48B6EA-E73F-45A6-8F3F-F8FD2F31B295}"/>
    <cellStyle name="Normal 3 20" xfId="446" xr:uid="{A5203D4D-CC88-4690-A0C7-34A127BFEC94}"/>
    <cellStyle name="Normal 3 21" xfId="1715" xr:uid="{93ACEAF8-6F65-480C-8C6D-88B25523455F}"/>
    <cellStyle name="Normal 3 22" xfId="1712" xr:uid="{9F8C66F2-B6E5-4E96-90A5-4AAF50765B65}"/>
    <cellStyle name="Normal 3 3" xfId="10" xr:uid="{9A9EB343-D603-4C10-8DCA-8FBBD549B73D}"/>
    <cellStyle name="Normal 3 3 2" xfId="148" xr:uid="{9A6C42DB-D147-4A39-880D-DC49905C54FF}"/>
    <cellStyle name="Normal 3 4" xfId="30" xr:uid="{607AAF5B-5084-4871-B296-AD2D20A83A61}"/>
    <cellStyle name="Normal 3 4 2" xfId="166" xr:uid="{A795AA46-0B14-4852-AC11-3D7EBF1FD635}"/>
    <cellStyle name="Normal 3 5" xfId="48" xr:uid="{EEDF63CE-0D24-4848-96D1-35CFFF212081}"/>
    <cellStyle name="Normal 3 5 2" xfId="184" xr:uid="{2E9F05EB-F1EE-44BC-9137-7D08F356F439}"/>
    <cellStyle name="Normal 3 6" xfId="66" xr:uid="{6765062C-9D99-4C05-B356-E38B781A06A0}"/>
    <cellStyle name="Normal 3 6 2" xfId="202" xr:uid="{DEE5C96A-81B1-446E-BA36-2449803FAD3E}"/>
    <cellStyle name="Normal 3 7" xfId="99" xr:uid="{E42989C4-0EDA-4840-B726-2175AADB24B2}"/>
    <cellStyle name="Normal 3 7 2" xfId="235" xr:uid="{37612333-E075-4838-892B-2635C39E9B8D}"/>
    <cellStyle name="Normal 3 8" xfId="117" xr:uid="{D3CB816F-F593-4EAB-8BB4-D3D072297C48}"/>
    <cellStyle name="Normal 3 8 2" xfId="253" xr:uid="{5A56AD89-3DE0-4863-AA81-B09A6F847AE8}"/>
    <cellStyle name="Normal 3 9" xfId="124" xr:uid="{B7D4A9F0-84CD-4259-B538-433B3C173D4E}"/>
    <cellStyle name="Normal 30" xfId="580" xr:uid="{E064ABEC-0363-49DD-9495-5ED31CECD048}"/>
    <cellStyle name="Normal 31" xfId="1740" xr:uid="{5C1B8CF2-EADA-428D-AF2D-2A41218998A7}"/>
    <cellStyle name="Normal 32" xfId="1738" xr:uid="{6DBBF85A-463E-464D-824D-B974C0C024B1}"/>
    <cellStyle name="Normal 33" xfId="1745" xr:uid="{3D2FCA87-FD45-464E-BB3B-1F323F2B76CB}"/>
    <cellStyle name="Normal 34" xfId="1741" xr:uid="{97FB8C8F-F99E-4813-8B52-7FF20B4F65A9}"/>
    <cellStyle name="Normal 35" xfId="1742" xr:uid="{0E155537-E9BE-456A-B6B8-528341E3AF5D}"/>
    <cellStyle name="Normal 36" xfId="1744" xr:uid="{AF3E3AF0-74D8-4E97-8CC4-703D9E6F539F}"/>
    <cellStyle name="Normal 37" xfId="1743" xr:uid="{B9E2EF77-4459-4128-BF50-A74545AD2799}"/>
    <cellStyle name="Normal 38" xfId="1747" xr:uid="{C20EA5FA-AA0B-4424-BCAB-979D871C48FE}"/>
    <cellStyle name="Normal 39" xfId="1748" xr:uid="{B4250DD6-B747-45B1-A2BA-7D82FB389423}"/>
    <cellStyle name="Normal 4" xfId="8" xr:uid="{148C6907-D76E-4186-ADE4-A422AAF9155E}"/>
    <cellStyle name="Normal 4 2" xfId="582" xr:uid="{A420CB12-499A-41C5-8849-FD02E54EF82C}"/>
    <cellStyle name="Normal 4 3" xfId="583" xr:uid="{8BF71B46-F35C-4243-BA39-2A2148DC3B4A}"/>
    <cellStyle name="Normal 4 3 2" xfId="691" xr:uid="{BE3A0FE0-9569-4035-A6DF-9A132F9B4A58}"/>
    <cellStyle name="Normal 4 3 2 2" xfId="1009" xr:uid="{A09E151C-95E9-4983-B2DC-A41B67FF2CE5}"/>
    <cellStyle name="Normal 4 3 2 2 2" xfId="1576" xr:uid="{EBAAB261-D38E-4A14-BF5C-EEE767FB5040}"/>
    <cellStyle name="Normal 4 3 2 3" xfId="1258" xr:uid="{B64CDD28-C2AC-4095-9CFF-787D9DC32503}"/>
    <cellStyle name="Normal 4 3 3" xfId="770" xr:uid="{20AC1769-27F8-4049-AC31-2BD0C7860B51}"/>
    <cellStyle name="Normal 4 3 3 2" xfId="1088" xr:uid="{D494BB5A-EA72-42EE-8FA4-71AA0CD8B2B5}"/>
    <cellStyle name="Normal 4 3 3 2 2" xfId="1655" xr:uid="{B6130F42-B9F3-4C25-B639-2206E34D4469}"/>
    <cellStyle name="Normal 4 3 3 3" xfId="1337" xr:uid="{77569DF0-0646-435C-9980-E3CB0337AB4E}"/>
    <cellStyle name="Normal 4 3 4" xfId="930" xr:uid="{2E99103B-DAB0-47E1-A9C3-096D29F53879}"/>
    <cellStyle name="Normal 4 3 4 2" xfId="1497" xr:uid="{2BA4E219-36FF-44E5-986C-CC6AE6B99A49}"/>
    <cellStyle name="Normal 4 3 5" xfId="851" xr:uid="{2C5CCB9D-7C07-4096-8F2A-A3DBA6711CA0}"/>
    <cellStyle name="Normal 4 3 5 2" xfId="1418" xr:uid="{2558CA20-AF9A-4F99-B10E-8B359BADC590}"/>
    <cellStyle name="Normal 4 3 6" xfId="1175" xr:uid="{761737C1-EDC4-48EC-A6DE-80F4D5DBED87}"/>
    <cellStyle name="Normal 40" xfId="1750" xr:uid="{48A72D89-75A6-49B6-B605-B57EEC5C5664}"/>
    <cellStyle name="Normal 41" xfId="1751" xr:uid="{5B5847C5-A8C5-4FFE-8BB9-AA604B16EFB0}"/>
    <cellStyle name="Normal 42" xfId="1753" xr:uid="{2B418C63-8094-4E46-813C-21C9F356582A}"/>
    <cellStyle name="Normal 43" xfId="1755" xr:uid="{E078A206-919F-4F9B-845A-725DEF5707F7}"/>
    <cellStyle name="Normal 44" xfId="1752" xr:uid="{A72DA90D-E663-4197-8300-D3FDAC5820FC}"/>
    <cellStyle name="Normal 45" xfId="1756" xr:uid="{09EE342F-D567-410C-B934-C48E489CB4BC}"/>
    <cellStyle name="Normal 46" xfId="1757" xr:uid="{597455CD-2D57-4D33-8B25-AB9065D97A74}"/>
    <cellStyle name="Normal 47" xfId="1759" xr:uid="{DDD07FD9-F0DE-42DC-A903-2DB5C0CF43B6}"/>
    <cellStyle name="Normal 48" xfId="584" xr:uid="{423A76F6-D44F-441A-8070-3C5C9A9B7845}"/>
    <cellStyle name="Normal 49" xfId="1760" xr:uid="{F64A4194-6C1D-41A1-B5D1-5770FA03DF0A}"/>
    <cellStyle name="Normal 5" xfId="26" xr:uid="{972B69EE-4FCB-4C4A-97B1-584685DEF873}"/>
    <cellStyle name="Normal 5 2" xfId="623" xr:uid="{55DF7740-C85E-4969-A90B-C994FB0C8B93}"/>
    <cellStyle name="Normal 5 3" xfId="692" xr:uid="{3E4F9A74-9C48-48ED-AC1E-9139BAB14D7B}"/>
    <cellStyle name="Normal 5 3 2" xfId="1010" xr:uid="{FA365CFC-181F-44B6-B845-73E7DAFDAAB5}"/>
    <cellStyle name="Normal 5 3 2 2" xfId="1577" xr:uid="{33F3B892-D1EC-4EF4-8F4C-AABAD2E76222}"/>
    <cellStyle name="Normal 5 3 3" xfId="1259" xr:uid="{F22B44AB-63D4-4247-8A30-AD31E38CA033}"/>
    <cellStyle name="Normal 5 4" xfId="771" xr:uid="{0413070A-C0C7-4534-91E8-DC939F7088F3}"/>
    <cellStyle name="Normal 5 4 2" xfId="1089" xr:uid="{3B640686-541B-4E38-8868-A4F3F3681AE6}"/>
    <cellStyle name="Normal 5 4 2 2" xfId="1656" xr:uid="{FAD2ED9D-36D2-4600-9DA2-1342EEFDC39E}"/>
    <cellStyle name="Normal 5 4 3" xfId="1338" xr:uid="{99BA1FD1-14BD-43BC-8D8C-34E08D2A0FA5}"/>
    <cellStyle name="Normal 5 5" xfId="931" xr:uid="{93AEDC96-0CAF-4E69-BB80-7D6602E03999}"/>
    <cellStyle name="Normal 5 5 2" xfId="1498" xr:uid="{78AACABC-0267-4499-9698-7167261F6EE3}"/>
    <cellStyle name="Normal 5 6" xfId="852" xr:uid="{57BDB3A8-422E-4ACE-8A82-79648F91B8CA}"/>
    <cellStyle name="Normal 5 6 2" xfId="1419" xr:uid="{3D30EF7D-0A88-411A-979A-121ED4967FA0}"/>
    <cellStyle name="Normal 5 7" xfId="1116" xr:uid="{11D4EDDB-9B8D-4EE5-A513-C2E1B131A2FD}"/>
    <cellStyle name="Normal 5 7 2" xfId="1683" xr:uid="{F6435C7C-A9B8-476F-AF7E-8791CB05AF28}"/>
    <cellStyle name="Normal 5 8" xfId="1176" xr:uid="{6FEC2D0D-6203-4E5C-91CF-5C6C4604B1C1}"/>
    <cellStyle name="Normal 5 9" xfId="585" xr:uid="{714A6DAC-EA17-4CAA-A1B2-ADB6563A9719}"/>
    <cellStyle name="Normal 50" xfId="1761" xr:uid="{E3B02E37-A33D-420D-9A71-2C3440DE7BF8}"/>
    <cellStyle name="Normal 51" xfId="1763" xr:uid="{6C008171-F78C-47F7-AC90-08819650C403}"/>
    <cellStyle name="Normal 52" xfId="1762" xr:uid="{ABE8B72F-AFDE-4EA4-8800-5048C972C180}"/>
    <cellStyle name="Normal 53" xfId="1764" xr:uid="{9EAEA9F9-89C0-4E1C-8DBD-4AF7D38A8B68}"/>
    <cellStyle name="Normal 54" xfId="1765" xr:uid="{BB044C1E-1D5C-4BB5-B046-B716C46A14AF}"/>
    <cellStyle name="Normal 55" xfId="1766" xr:uid="{09259E9B-9379-42ED-9818-99294A7C454E}"/>
    <cellStyle name="Normal 56" xfId="1767" xr:uid="{0C3D4066-247C-4F22-B4F9-A57722A40EAB}"/>
    <cellStyle name="Normal 57" xfId="1768" xr:uid="{E227E4C4-BEC1-47AC-A8F4-151C4015F8B9}"/>
    <cellStyle name="Normal 58" xfId="1769" xr:uid="{E8411954-6BCB-4105-AD62-32FE4CCB47BA}"/>
    <cellStyle name="Normal 59" xfId="1770" xr:uid="{80286A7B-B85E-45B3-BCFD-3F2AC6AD3665}"/>
    <cellStyle name="Normal 6" xfId="6" xr:uid="{98093991-0A61-40E9-9470-10EC58EF8005}"/>
    <cellStyle name="Normal 6 2" xfId="146" xr:uid="{6CE6BDD3-286A-4B1F-B923-C1620D92E2AA}"/>
    <cellStyle name="Normal 6 2 2" xfId="587" xr:uid="{A7250585-8A2A-4E6B-859A-0B2C71557666}"/>
    <cellStyle name="Normal 6 3" xfId="586" xr:uid="{71F443CD-7958-4104-881F-7B4A672921EC}"/>
    <cellStyle name="Normal 60" xfId="1771" xr:uid="{7A8D9346-5D4E-4096-A1D6-4A4C8C793711}"/>
    <cellStyle name="Normal 61" xfId="1772" xr:uid="{70362E48-8D81-4274-89FC-1E47A1E2161E}"/>
    <cellStyle name="Normal 62" xfId="1773" xr:uid="{EC281899-529D-4CE7-B2DA-2E1FA8C10E9C}"/>
    <cellStyle name="Normal 63" xfId="1775" xr:uid="{1E4E64B9-6997-4F5E-8D82-9E8ED41F8791}"/>
    <cellStyle name="Normal 64" xfId="1774" xr:uid="{7388A964-45FC-4A13-A431-297B58DC0BAA}"/>
    <cellStyle name="Normal 65" xfId="1776" xr:uid="{1BAE48C4-BE1C-42B1-BE33-BC2CE781F23C}"/>
    <cellStyle name="Normal 66" xfId="1778" xr:uid="{6327A6C9-ADBE-40FC-9555-97F3B547B08C}"/>
    <cellStyle name="Normal 67" xfId="1779" xr:uid="{AD02755E-C49F-4187-9C73-D98AE02FF37A}"/>
    <cellStyle name="Normal 68" xfId="1777" xr:uid="{21908805-D66A-4672-8705-A0FC62DE8296}"/>
    <cellStyle name="Normal 69" xfId="1782" xr:uid="{380F40A9-BF18-4717-91DC-F580D48A70E9}"/>
    <cellStyle name="Normal 7" xfId="28" xr:uid="{D58F673D-FC91-4FC2-ACE2-926B42E1A90B}"/>
    <cellStyle name="Normal 7 2" xfId="164" xr:uid="{DAE8A51C-BA12-4021-8EA2-3EBA422DF97F}"/>
    <cellStyle name="Normal 7 2 2" xfId="589" xr:uid="{D6AA72AC-C2D5-4B74-94B8-1D18565CFD2D}"/>
    <cellStyle name="Normal 7 3" xfId="588" xr:uid="{3875F3FC-9C6B-41D0-88FA-0A541BA0959E}"/>
    <cellStyle name="Normal 70" xfId="1781" xr:uid="{034583BF-54E2-4A82-8685-0CE063054FB6}"/>
    <cellStyle name="Normal 71" xfId="1783" xr:uid="{F21DC16C-9BCF-454C-9DF4-2D7E1FFC70BD}"/>
    <cellStyle name="Normal 72" xfId="1784" xr:uid="{749DFF36-0224-45A0-A5F4-BDDE65A25673}"/>
    <cellStyle name="Normal 73" xfId="1787" xr:uid="{01F9CF09-606E-476E-94FA-6CB6698E4DA7}"/>
    <cellStyle name="Normal 74" xfId="1788" xr:uid="{3E7A0633-7FB8-432A-BADA-293A42BDA058}"/>
    <cellStyle name="Normal 75" xfId="1789" xr:uid="{ABB84061-0F37-4A02-A4CF-5D24A3F87D45}"/>
    <cellStyle name="Normal 76" xfId="1790" xr:uid="{36B8E417-CB13-467F-ABE4-1EADA8C31BAE}"/>
    <cellStyle name="Normal 77" xfId="1791" xr:uid="{89D3BB51-69A1-43AF-BF54-E58821DC6246}"/>
    <cellStyle name="Normal 78" xfId="1795" xr:uid="{ABA785FA-8892-4916-B751-3DD02A736370}"/>
    <cellStyle name="Normal 79" xfId="1796" xr:uid="{2EABFE03-B4BF-4B81-A380-C6743D44938E}"/>
    <cellStyle name="Normal 8" xfId="46" xr:uid="{537E4590-5D12-4EEA-84B1-C1FD73E65D07}"/>
    <cellStyle name="Normal 8 2" xfId="182" xr:uid="{AC4416F2-E101-42EB-A232-3266BC22BC13}"/>
    <cellStyle name="Normal 8 3" xfId="590" xr:uid="{D52ACB25-2572-4E33-8282-B738A972E955}"/>
    <cellStyle name="Normal 80" xfId="1792" xr:uid="{3DC13712-AB04-4177-A24A-4192AD74A565}"/>
    <cellStyle name="Normal 81" xfId="1797" xr:uid="{D27D650C-3E43-4E06-B991-261E998A3F53}"/>
    <cellStyle name="Normal 82" xfId="1793" xr:uid="{02BAD3B2-C7D4-4724-A1A5-27E8DCA49558}"/>
    <cellStyle name="Normal 9" xfId="64" xr:uid="{41FEE617-6F83-41D2-B76E-C19A157DA68A}"/>
    <cellStyle name="Normal 9 2" xfId="200" xr:uid="{FFD0476F-D85B-4481-8A19-180DD45D02F1}"/>
    <cellStyle name="Normal 9 3" xfId="591" xr:uid="{F881ECA7-75A6-4838-A59E-DAAEED6BD579}"/>
    <cellStyle name="Note 2" xfId="592" xr:uid="{6A4CBEAF-DF62-4118-973A-F1818BB6C7D7}"/>
    <cellStyle name="Note 2 2" xfId="593" xr:uid="{62F07FD0-047F-49CC-B4DC-2FA7CF35119C}"/>
    <cellStyle name="Note 2 2 2" xfId="594" xr:uid="{99EA7B20-4385-42BA-9FC6-4F9168A9E8D1}"/>
    <cellStyle name="Note 2 3" xfId="595" xr:uid="{A7413F37-65FD-47B7-BD5C-64BBE6788E3D}"/>
    <cellStyle name="Note 2 3 2" xfId="634" xr:uid="{EA933885-89D8-4E97-B025-054BF3C7579D}"/>
    <cellStyle name="Note 2 3 2 2" xfId="1202" xr:uid="{963F1544-E404-4C69-A69F-BE6D59FE83C6}"/>
    <cellStyle name="Note 2 3 2 2 2" xfId="1731" xr:uid="{7A5B1388-F03D-4EF8-9607-F547EF8817B4}"/>
    <cellStyle name="Note 2 3 2 3" xfId="1691" xr:uid="{91E36BDA-B7C0-4C32-AD44-4143D4832C1B}"/>
    <cellStyle name="Note 2 3 2 3 2" xfId="1735" xr:uid="{A91ABAD4-C476-4C3B-AACD-AF059CD1BCFF}"/>
    <cellStyle name="Note 2 3 2 4" xfId="1710" xr:uid="{E3E970D5-470A-4948-8648-1FC3A1638AE6}"/>
    <cellStyle name="Note 2 3 3" xfId="1178" xr:uid="{F946DB6C-B454-44A8-B989-DBA696D03A40}"/>
    <cellStyle name="Note 2 3 3 2" xfId="1718" xr:uid="{DAF9FC75-907E-4D6D-A3C1-37CACFDC7FCC}"/>
    <cellStyle name="Note 2 3 4" xfId="1689" xr:uid="{64139097-E3BF-4778-B577-E3683F7C0214}"/>
    <cellStyle name="Note 2 3 4 2" xfId="1733" xr:uid="{7D3A3542-1222-41CF-9BC0-659AC85CE780}"/>
    <cellStyle name="Note 2 3 5" xfId="1729" xr:uid="{C51CDA32-71CE-4D65-A433-F511E3366A80}"/>
    <cellStyle name="Note 2 4" xfId="633" xr:uid="{BA380F75-1FBD-41D2-99E2-3D82F6DDF91A}"/>
    <cellStyle name="Note 2 4 2" xfId="1201" xr:uid="{CDBCD4B0-B9AE-48B0-9F37-6583395C8407}"/>
    <cellStyle name="Note 2 4 2 2" xfId="1722" xr:uid="{EE2B5788-5041-43AF-B6E7-F4D550F3E846}"/>
    <cellStyle name="Note 2 4 3" xfId="1690" xr:uid="{D4D8BBB1-C2C8-4DA0-A543-7FE02E985492}"/>
    <cellStyle name="Note 2 4 3 2" xfId="1734" xr:uid="{B1E8F560-3313-4387-AA82-D30414437484}"/>
    <cellStyle name="Note 2 4 4" xfId="1723" xr:uid="{282A3B23-D8FC-49CC-AC39-0F74777059D9}"/>
    <cellStyle name="Note 2 5" xfId="1177" xr:uid="{0DEC2738-1A00-46E6-9CEF-997297ABCAFF}"/>
    <cellStyle name="Note 2 5 2" xfId="1708" xr:uid="{64F1E1DC-DB00-4797-A817-F066BD593098}"/>
    <cellStyle name="Note 2 6" xfId="1688" xr:uid="{BDEB1D44-2B0F-4776-87CB-1E4DC0C6414F}"/>
    <cellStyle name="Note 2 6 2" xfId="1732" xr:uid="{F011BA8E-7818-4F11-B085-7B5A7FF43771}"/>
    <cellStyle name="Note 2 7" xfId="1725" xr:uid="{CE01BC05-23AA-4CF5-B475-6481024A703B}"/>
    <cellStyle name="Note 2_CIL Input Data" xfId="596" xr:uid="{D71FE477-2F88-45D5-BBA8-1A4695BC1BCD}"/>
    <cellStyle name="Note 3" xfId="597" xr:uid="{58A7B405-00A6-4BBE-AAA4-6234F11C91AE}"/>
    <cellStyle name="Note 4" xfId="598" xr:uid="{D5ED3A01-F6C0-4EF8-89A4-66F936D0206B}"/>
    <cellStyle name="Output 2" xfId="599" xr:uid="{8BC29D6A-3473-4C9B-BED0-2303E48A6D4D}"/>
    <cellStyle name="Percent" xfId="3" builtinId="5"/>
    <cellStyle name="Percent 2" xfId="27" xr:uid="{A269951C-AAB8-49B3-9B27-7436094BDA8F}"/>
    <cellStyle name="Percent 2 2" xfId="601" xr:uid="{7FE96EA7-3DE1-4B3F-BDD8-A7E56733E55E}"/>
    <cellStyle name="Percent 2 3" xfId="602" xr:uid="{8FA2D817-30BB-44EE-9BC8-390A60F2A521}"/>
    <cellStyle name="Percent 2 4" xfId="635" xr:uid="{554A8833-58F6-4B29-9BD3-0DD1C9FD9D8B}"/>
    <cellStyle name="Percent 2 5" xfId="612" xr:uid="{49FC71A3-E986-4BB5-87CC-8E9C6535D3EA}"/>
    <cellStyle name="Percent 2 6" xfId="1701" xr:uid="{BAB4F66F-4540-41B3-8809-B1950A732D1E}"/>
    <cellStyle name="Percent 2 7" xfId="600" xr:uid="{55378B77-516A-43DA-955D-D2AB3B1B776C}"/>
    <cellStyle name="Percent 3" xfId="121" xr:uid="{F64F9981-A124-4E06-B726-5E45728F4583}"/>
    <cellStyle name="Percent 3 10" xfId="1118" xr:uid="{2A4DA089-34A6-4F99-A266-87A6A61E8276}"/>
    <cellStyle name="Percent 3 10 2" xfId="1685" xr:uid="{8B35DBDB-7BAF-4316-AA2C-DC528E93051C}"/>
    <cellStyle name="Percent 3 11" xfId="1179" xr:uid="{C1F9FB41-D75A-42CA-BE4D-D2EA34D87F8F}"/>
    <cellStyle name="Percent 3 12" xfId="603" xr:uid="{481672BD-9562-469D-8653-E3D0CDD2484F}"/>
    <cellStyle name="Percent 3 2" xfId="636" xr:uid="{E25645C5-DE15-462C-BA8D-ECBB2E555DAB}"/>
    <cellStyle name="Percent 3 2 2" xfId="715" xr:uid="{9AC28D42-280E-4AE8-A593-BF351DD96C43}"/>
    <cellStyle name="Percent 3 2 2 2" xfId="1033" xr:uid="{D54AD9EB-8CD5-46AC-90E2-62E1A83ED7E2}"/>
    <cellStyle name="Percent 3 2 2 2 2" xfId="1600" xr:uid="{F2DC86AB-20B7-4F5F-A23B-5983F5A7AC5D}"/>
    <cellStyle name="Percent 3 2 2 3" xfId="1282" xr:uid="{5D83284C-B4EF-4003-95E5-51F236E28369}"/>
    <cellStyle name="Percent 3 2 3" xfId="794" xr:uid="{0C1F8ADB-A5C4-4711-8873-6EAC03FA2C5C}"/>
    <cellStyle name="Percent 3 2 3 2" xfId="1112" xr:uid="{8406544D-DDD2-4EAD-9164-510AA75A6F82}"/>
    <cellStyle name="Percent 3 2 3 2 2" xfId="1679" xr:uid="{4160F789-0977-48BA-A86C-5DABF7D76A8B}"/>
    <cellStyle name="Percent 3 2 3 3" xfId="1361" xr:uid="{0628EE57-C28F-4CDC-A125-D3CE570F85F6}"/>
    <cellStyle name="Percent 3 2 4" xfId="954" xr:uid="{24B5847D-CAD4-4B54-9ADF-9AA95EB03936}"/>
    <cellStyle name="Percent 3 2 4 2" xfId="1521" xr:uid="{6EB00B3E-B001-44AD-A695-84E403A83DF6}"/>
    <cellStyle name="Percent 3 2 5" xfId="875" xr:uid="{6528BF99-CD27-4B87-AB85-2F63EAFDC454}"/>
    <cellStyle name="Percent 3 2 5 2" xfId="1442" xr:uid="{58A57FBF-2975-4CD4-A49C-35493B9398CC}"/>
    <cellStyle name="Percent 3 2 6" xfId="1203" xr:uid="{585A8E3B-0F75-4CEC-BB3B-C6D85D76CA4B}"/>
    <cellStyle name="Percent 3 3" xfId="615" xr:uid="{C95A272A-3831-452C-9DF1-27B4E0FF4559}"/>
    <cellStyle name="Percent 3 4" xfId="693" xr:uid="{81E8A235-8411-4E34-9A45-80FA579123E5}"/>
    <cellStyle name="Percent 3 4 2" xfId="1011" xr:uid="{10A1BEFC-5E9C-43E3-A80E-7A4417830C9D}"/>
    <cellStyle name="Percent 3 4 2 2" xfId="1578" xr:uid="{E1DDA3CE-AD2F-4188-8E18-F246E7553E00}"/>
    <cellStyle name="Percent 3 4 3" xfId="1260" xr:uid="{654725AA-6150-4AE0-8536-53D8E6F3C53A}"/>
    <cellStyle name="Percent 3 5" xfId="772" xr:uid="{0C7C7511-C6B2-4DC4-8A96-FBEC4E5BFF4C}"/>
    <cellStyle name="Percent 3 5 2" xfId="1090" xr:uid="{78103C20-29E7-4BEC-AEBF-10F90B0E76ED}"/>
    <cellStyle name="Percent 3 5 2 2" xfId="1657" xr:uid="{1BEA27F3-62C8-4DC8-8884-AB54DB3278DE}"/>
    <cellStyle name="Percent 3 5 3" xfId="1339" xr:uid="{A9D8970D-3A73-4CC1-8686-107F14FFDBD0}"/>
    <cellStyle name="Percent 3 6" xfId="932" xr:uid="{0C6F0B6C-6CC9-4883-AFEB-45BF67621EDE}"/>
    <cellStyle name="Percent 3 6 2" xfId="1499" xr:uid="{F224E134-BE64-40E6-A714-A97AF1B573C4}"/>
    <cellStyle name="Percent 3 7" xfId="853" xr:uid="{C6D27492-2774-4B9F-892A-B7C8C234601B}"/>
    <cellStyle name="Percent 3 7 2" xfId="1420" xr:uid="{F5AA85D3-DABA-4200-B9A0-E8BEC1D5A9B4}"/>
    <cellStyle name="Percent 3 8" xfId="1115" xr:uid="{15BD922E-AB83-43A4-BF9B-68C9884B2E00}"/>
    <cellStyle name="Percent 3 8 2" xfId="1682" xr:uid="{1CE4B07C-247E-41A2-AB85-F48DF6E93295}"/>
    <cellStyle name="Percent 3 9" xfId="1117" xr:uid="{45077985-AE82-4888-9F9B-E23A76EB3A2A}"/>
    <cellStyle name="Percent 3 9 2" xfId="1684" xr:uid="{1D51E71A-1F8B-4BBE-BB4D-171A46D89DE3}"/>
    <cellStyle name="Percent 4" xfId="143" xr:uid="{44B4B4FF-7454-4CB6-8BCB-1F850C57E463}"/>
    <cellStyle name="Percent 4 2" xfId="604" xr:uid="{592E4435-189A-4B61-AB1F-2FC476D12DF5}"/>
    <cellStyle name="Percent 5" xfId="256" xr:uid="{4884F7D1-B9A2-4689-B134-EB41E65515DD}"/>
    <cellStyle name="Percent 5 2" xfId="696" xr:uid="{779B2B15-2C2C-46C7-A48C-61845AB1D584}"/>
    <cellStyle name="Percent 5 2 2" xfId="1014" xr:uid="{363AE44A-5EC7-4FCD-8D3D-F0B7F6B399F3}"/>
    <cellStyle name="Percent 5 2 2 2" xfId="1581" xr:uid="{ADEF3B86-6D53-4368-9CC6-273FF00A449A}"/>
    <cellStyle name="Percent 5 2 3" xfId="1263" xr:uid="{CB59E2F6-C096-45EB-9686-A8BAC7F5AC09}"/>
    <cellStyle name="Percent 5 3" xfId="775" xr:uid="{B0037AC1-E2A6-49C2-97F5-47B4066DC7AE}"/>
    <cellStyle name="Percent 5 3 2" xfId="1093" xr:uid="{3B1C956A-9870-4C3B-852D-E71A2FA31F14}"/>
    <cellStyle name="Percent 5 3 2 2" xfId="1660" xr:uid="{38E84719-BF38-4730-9798-04D76F5A84A6}"/>
    <cellStyle name="Percent 5 3 3" xfId="1342" xr:uid="{22C84ADD-AB4A-4E41-B43A-9C13AB0A5CDF}"/>
    <cellStyle name="Percent 5 4" xfId="935" xr:uid="{DD0CC5B2-0D00-4915-8FDF-DB56D11F429C}"/>
    <cellStyle name="Percent 5 4 2" xfId="1502" xr:uid="{AEBB22E5-D591-43DD-B892-DE804D325A76}"/>
    <cellStyle name="Percent 5 5" xfId="856" xr:uid="{18DF8713-2104-446C-80F6-34FF19F8225C}"/>
    <cellStyle name="Percent 5 5 2" xfId="1423" xr:uid="{320063C8-CC7D-481A-A7EC-2F84A7AD7895}"/>
    <cellStyle name="Percent 5 6" xfId="1182" xr:uid="{E2021583-558E-4E1C-BE9B-B24CAE71BA2C}"/>
    <cellStyle name="Percent 5 7" xfId="610" xr:uid="{B899793A-F916-470D-AA79-27D383FADB62}"/>
    <cellStyle name="Percent 6" xfId="348" xr:uid="{3F92A719-17CD-4B87-86EE-7005230EC917}"/>
    <cellStyle name="Percent 6 2" xfId="1687" xr:uid="{4AED293B-E3FD-4A12-8067-893A4B2C3EA1}"/>
    <cellStyle name="Percent 6 3" xfId="1120" xr:uid="{BA7E2997-F567-4708-B357-A0575FEB9CEC}"/>
    <cellStyle name="Percent 7" xfId="407" xr:uid="{7DFED62C-B965-400C-BFC8-25A44A749406}"/>
    <cellStyle name="Percent 7 2" xfId="1692" xr:uid="{E61A72A5-3FAA-4A7B-9B9A-A2520DA925DE}"/>
    <cellStyle name="Percent 8" xfId="427" xr:uid="{964D774A-EF4F-416F-B5D2-80A2D35EA881}"/>
    <cellStyle name="Percent 9" xfId="1737" xr:uid="{B2192705-9D62-4E1D-B2CD-3E67368FE1BA}"/>
    <cellStyle name="Pourcentage 2" xfId="605" xr:uid="{99411BEF-3721-46ED-9BF9-0723C6E3DB31}"/>
    <cellStyle name="Total 2" xfId="606" xr:uid="{FF183AB0-4563-4E5A-B8C8-28F9A2DD0EBC}"/>
    <cellStyle name="Warning Text 2" xfId="607" xr:uid="{87CFE417-5F29-4B9D-8E30-7C90C8B1E957}"/>
  </cellStyles>
  <dxfs count="1575">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strike val="0"/>
        <color rgb="FFFF0000"/>
      </font>
    </dxf>
    <dxf>
      <font>
        <strike val="0"/>
        <color rgb="FF00F66F"/>
      </font>
    </dxf>
    <dxf>
      <font>
        <color rgb="FF9C0006"/>
      </font>
      <fill>
        <patternFill>
          <bgColor rgb="FFFFC7CE"/>
        </patternFill>
      </fill>
    </dxf>
    <dxf>
      <font>
        <color rgb="FF9C0006"/>
      </font>
      <fill>
        <patternFill>
          <bgColor rgb="FFFFC7CE"/>
        </patternFill>
      </fill>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color rgb="FFFF0000"/>
      </font>
      <fill>
        <patternFill patternType="solid">
          <bgColor theme="0"/>
        </patternFill>
      </fill>
    </dxf>
    <dxf>
      <font>
        <color auto="1"/>
      </font>
    </dxf>
    <dxf>
      <font>
        <strike val="0"/>
        <color rgb="FFFF0000"/>
      </font>
    </dxf>
    <dxf>
      <font>
        <strike val="0"/>
        <color rgb="FF00F66F"/>
      </font>
    </dxf>
    <dxf>
      <font>
        <color rgb="FFFF0000"/>
      </font>
      <fill>
        <patternFill patternType="solid">
          <bgColor theme="0"/>
        </patternFill>
      </fill>
    </dxf>
    <dxf>
      <font>
        <color auto="1"/>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strike val="0"/>
        <color rgb="FFFF0000"/>
      </font>
    </dxf>
    <dxf>
      <font>
        <strike val="0"/>
        <color rgb="FF00F66F"/>
      </font>
    </dxf>
    <dxf>
      <font>
        <color rgb="FFFF0000"/>
      </font>
      <fill>
        <patternFill patternType="solid">
          <bgColor theme="0"/>
        </patternFill>
      </fill>
    </dxf>
    <dxf>
      <font>
        <color auto="1"/>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color rgb="FF9C0006"/>
      </font>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auto="1"/>
      </font>
      <fill>
        <patternFill>
          <bgColor rgb="FFFFC7CE"/>
        </patternFill>
      </fill>
    </dxf>
    <dxf>
      <fill>
        <patternFill>
          <bgColor theme="0"/>
        </patternFill>
      </fill>
    </dxf>
    <dxf>
      <font>
        <color auto="1"/>
      </font>
      <fill>
        <patternFill>
          <bgColor rgb="FFC6EFCE"/>
        </patternFill>
      </fill>
    </dxf>
    <dxf>
      <font>
        <color rgb="FF9C0006"/>
      </font>
    </dxf>
    <dxf>
      <font>
        <color rgb="FF006100"/>
      </font>
    </dxf>
    <dxf>
      <font>
        <color rgb="FF0070C0"/>
      </font>
    </dxf>
    <dxf>
      <fill>
        <patternFill>
          <bgColor rgb="FFC6EFCE"/>
        </patternFill>
      </fill>
    </dxf>
    <dxf>
      <fill>
        <patternFill>
          <bgColor theme="0"/>
        </patternFill>
      </fill>
    </dxf>
    <dxf>
      <fill>
        <patternFill>
          <bgColor theme="0"/>
        </patternFill>
      </fill>
    </dxf>
    <dxf>
      <fill>
        <patternFill>
          <bgColor rgb="FFFFC7CE"/>
        </patternFill>
      </fill>
    </dxf>
    <dxf>
      <font>
        <color rgb="FF006100"/>
      </font>
    </dxf>
    <dxf>
      <fill>
        <patternFill>
          <bgColor rgb="FFFFC7CE"/>
        </patternFill>
      </fill>
    </dxf>
    <dxf>
      <fill>
        <patternFill>
          <bgColor theme="0"/>
        </patternFill>
      </fill>
    </dxf>
    <dxf>
      <fill>
        <patternFill>
          <bgColor theme="0"/>
        </patternFill>
      </fill>
    </dxf>
    <dxf>
      <font>
        <color rgb="FF0070C0"/>
      </font>
    </dxf>
    <dxf>
      <font>
        <color rgb="FF9C0006"/>
      </font>
    </dxf>
    <dxf>
      <fill>
        <patternFill>
          <bgColor rgb="FFC6EFCE"/>
        </patternFill>
      </fill>
    </dxf>
    <dxf>
      <font>
        <color auto="1"/>
      </font>
      <fill>
        <patternFill>
          <bgColor rgb="FFC6EFCE"/>
        </patternFill>
      </fill>
    </dxf>
    <dxf>
      <fill>
        <patternFill>
          <bgColor theme="0"/>
        </patternFill>
      </fill>
    </dxf>
    <dxf>
      <font>
        <color auto="1"/>
      </font>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90000"/>
      </font>
      <fill>
        <patternFill>
          <bgColor rgb="FFFFC6CE"/>
        </patternFill>
      </fill>
    </dxf>
    <dxf>
      <font>
        <color rgb="FF9C0006"/>
      </font>
      <fill>
        <patternFill>
          <bgColor rgb="FFFFC6CE"/>
        </patternFill>
      </fill>
    </dxf>
    <dxf>
      <font>
        <color rgb="FF006100"/>
      </font>
      <fill>
        <patternFill>
          <bgColor rgb="FFC6EFCE"/>
        </patternFill>
      </fill>
    </dxf>
    <dxf>
      <font>
        <color rgb="FF990000"/>
      </font>
      <fill>
        <patternFill>
          <bgColor rgb="FFFFC6CE"/>
        </patternFill>
      </fill>
    </dxf>
    <dxf>
      <font>
        <color rgb="FF006100"/>
      </font>
      <fill>
        <patternFill>
          <bgColor rgb="FFC6EFCE"/>
        </patternFill>
      </fill>
    </dxf>
    <dxf>
      <font>
        <color rgb="FF9C0006"/>
      </font>
      <fill>
        <patternFill>
          <bgColor rgb="FFFFC6CE"/>
        </patternFill>
      </fill>
    </dxf>
    <dxf>
      <font>
        <color rgb="FF006100"/>
      </font>
      <fill>
        <patternFill>
          <bgColor rgb="FFC6EFCE"/>
        </patternFill>
      </fill>
    </dxf>
    <dxf>
      <font>
        <color rgb="FF990000"/>
      </font>
      <fill>
        <patternFill>
          <bgColor rgb="FFFFC6CE"/>
        </patternFill>
      </fill>
    </dxf>
    <dxf>
      <font>
        <color rgb="FF006100"/>
      </font>
      <fill>
        <patternFill>
          <bgColor rgb="FFC6EFCE"/>
        </patternFill>
      </fill>
    </dxf>
    <dxf>
      <font>
        <color rgb="FF006100"/>
      </font>
      <fill>
        <patternFill>
          <bgColor rgb="FFC6EFCE"/>
        </patternFill>
      </fill>
    </dxf>
    <dxf>
      <font>
        <color rgb="FF9C0006"/>
      </font>
      <fill>
        <patternFill>
          <bgColor rgb="FFFFC6CE"/>
        </patternFill>
      </fill>
    </dxf>
    <dxf>
      <font>
        <color rgb="FF990000"/>
      </font>
      <fill>
        <patternFill>
          <bgColor rgb="FFFFC6CE"/>
        </patternFill>
      </fill>
    </dxf>
    <dxf>
      <font>
        <color rgb="FF006100"/>
      </font>
      <fill>
        <patternFill>
          <bgColor rgb="FFC6EFCE"/>
        </patternFill>
      </fill>
    </dxf>
    <dxf>
      <font>
        <color rgb="FF9C0006"/>
      </font>
      <fill>
        <patternFill>
          <bgColor rgb="FFFFC6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7CE"/>
        </patternFill>
      </fill>
    </dxf>
    <dxf>
      <fill>
        <patternFill>
          <bgColor rgb="FFC6EF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ont>
        <color rgb="FF9C0006"/>
      </font>
    </dxf>
    <dxf>
      <font>
        <color rgb="FF0070C0"/>
      </font>
    </dxf>
    <dxf>
      <fill>
        <patternFill>
          <bgColor theme="0"/>
        </patternFill>
      </fill>
    </dxf>
    <dxf>
      <fill>
        <patternFill>
          <bgColor rgb="FFFFC7CE"/>
        </patternFill>
      </fill>
    </dxf>
    <dxf>
      <fill>
        <patternFill>
          <bgColor rgb="FFC6EFCE"/>
        </patternFill>
      </fill>
    </dxf>
    <dxf>
      <font>
        <color rgb="FF006100"/>
      </font>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9C0006"/>
      </font>
    </dxf>
    <dxf>
      <font>
        <color rgb="FF006100"/>
      </font>
    </dxf>
    <dxf>
      <font>
        <color rgb="FF0070C0"/>
      </font>
    </dxf>
    <dxf>
      <fill>
        <patternFill>
          <bgColor theme="0"/>
        </patternFill>
      </fill>
    </dxf>
    <dxf>
      <fill>
        <patternFill>
          <bgColor rgb="FFC6EFCE"/>
        </patternFill>
      </fill>
    </dxf>
    <dxf>
      <fill>
        <patternFill>
          <bgColor rgb="FFFFC7CE"/>
        </patternFill>
      </fill>
    </dxf>
    <dxf>
      <fill>
        <patternFill>
          <bgColor rgb="FFFFC7CE"/>
        </patternFill>
      </fill>
    </dxf>
    <dxf>
      <fill>
        <patternFill>
          <bgColor theme="0"/>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ill>
        <patternFill>
          <bgColor rgb="FFFFC7CE"/>
        </patternFill>
      </fill>
    </dxf>
    <dxf>
      <fill>
        <patternFill>
          <bgColor theme="0"/>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ont>
        <color rgb="FF006100"/>
      </font>
    </dxf>
    <dxf>
      <font>
        <color rgb="FF9C0006"/>
      </font>
    </dxf>
    <dxf>
      <fill>
        <patternFill>
          <bgColor rgb="FFFFC7CE"/>
        </patternFill>
      </fill>
    </dxf>
    <dxf>
      <fill>
        <patternFill>
          <bgColor theme="0"/>
        </patternFill>
      </fill>
    </dxf>
    <dxf>
      <font>
        <color rgb="FF0070C0"/>
      </font>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dxf>
    <dxf>
      <font>
        <color rgb="FF9C0006"/>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ont>
        <color rgb="FF0070C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0070C0"/>
      </font>
    </dxf>
    <dxf>
      <font>
        <color rgb="FF006100"/>
      </font>
    </dxf>
    <dxf>
      <font>
        <color rgb="FF9C0006"/>
      </font>
    </dxf>
    <dxf>
      <font>
        <color rgb="FF0070C0"/>
      </font>
    </dxf>
    <dxf>
      <font>
        <color rgb="FF006100"/>
      </font>
    </dxf>
    <dxf>
      <font>
        <color rgb="FF9C0006"/>
      </font>
    </dxf>
    <dxf>
      <font>
        <color rgb="FF0070C0"/>
      </font>
    </dxf>
    <dxf>
      <font>
        <color rgb="FF006100"/>
      </font>
    </dxf>
    <dxf>
      <font>
        <color rgb="FF9C0006"/>
      </font>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ill>
        <patternFill>
          <bgColor theme="0"/>
        </patternFill>
      </fill>
    </dxf>
    <dxf>
      <fill>
        <patternFill>
          <bgColor theme="0"/>
        </patternFill>
      </fill>
    </dxf>
    <dxf>
      <font>
        <color auto="1"/>
      </font>
      <fill>
        <patternFill>
          <bgColor rgb="FFC6EFCE"/>
        </patternFill>
      </fill>
    </dxf>
    <dxf>
      <font>
        <color auto="1"/>
      </font>
      <fill>
        <patternFill>
          <bgColor rgb="FFFFC7CE"/>
        </patternFill>
      </fill>
    </dxf>
    <dxf>
      <font>
        <color auto="1"/>
      </font>
      <fill>
        <patternFill>
          <bgColor rgb="FFC6EFCE"/>
        </patternFill>
      </fill>
    </dxf>
    <dxf>
      <fill>
        <patternFill>
          <bgColor theme="0"/>
        </patternFill>
      </fill>
    </dxf>
    <dxf>
      <font>
        <color auto="1"/>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patternType="solid">
          <bgColor rgb="FFFF0000"/>
        </patternFill>
      </fill>
    </dxf>
    <dxf>
      <fill>
        <patternFill patternType="solid">
          <bgColor rgb="FF00B050"/>
        </patternFill>
      </fill>
    </dxf>
    <dxf>
      <fill>
        <patternFill patternType="solid">
          <bgColor rgb="FFFFFF00"/>
        </patternFill>
      </fill>
    </dxf>
    <dxf>
      <font>
        <b/>
        <i val="0"/>
        <color indexed="8"/>
      </font>
      <fill>
        <patternFill patternType="solid">
          <bgColor indexed="11"/>
        </patternFill>
      </fill>
    </dxf>
    <dxf>
      <font>
        <b/>
        <i val="0"/>
        <color indexed="8"/>
      </font>
      <fill>
        <patternFill patternType="solid">
          <bgColor indexed="10"/>
        </patternFill>
      </fill>
    </dxf>
    <dxf>
      <font>
        <b/>
        <i val="0"/>
        <color indexed="8"/>
      </font>
      <fill>
        <patternFill patternType="solid">
          <bgColor indexed="51"/>
        </patternFill>
      </fill>
    </dxf>
    <dxf>
      <fill>
        <patternFill patternType="solid">
          <bgColor rgb="FFFF0000"/>
        </patternFill>
      </fill>
    </dxf>
    <dxf>
      <fill>
        <patternFill patternType="solid">
          <bgColor rgb="FF00B050"/>
        </patternFill>
      </fill>
    </dxf>
    <dxf>
      <fill>
        <patternFill patternType="solid">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rgb="FFC00000"/>
      </font>
    </dxf>
    <dxf>
      <font>
        <color rgb="FF00B050"/>
      </font>
    </dxf>
    <dxf>
      <font>
        <color rgb="FF9C0006"/>
      </font>
    </dxf>
    <dxf>
      <fill>
        <patternFill>
          <bgColor theme="0"/>
        </patternFill>
      </fill>
    </dxf>
    <dxf>
      <font>
        <color auto="1"/>
      </font>
      <fill>
        <patternFill>
          <bgColor rgb="FFFFC7CE"/>
        </patternFill>
      </fill>
    </dxf>
    <dxf>
      <font>
        <color auto="1"/>
      </font>
      <fill>
        <patternFill>
          <bgColor rgb="FFC6EFCE"/>
        </patternFill>
      </fill>
    </dxf>
    <dxf>
      <fill>
        <patternFill>
          <bgColor rgb="FFC6EFCE"/>
        </patternFill>
      </fill>
    </dxf>
    <dxf>
      <fill>
        <patternFill>
          <bgColor theme="0"/>
        </patternFill>
      </fill>
    </dxf>
    <dxf>
      <fill>
        <patternFill>
          <bgColor rgb="FFFFC7CE"/>
        </patternFill>
      </fill>
    </dxf>
    <dxf>
      <font>
        <color auto="1"/>
      </font>
      <fill>
        <patternFill>
          <bgColor rgb="FFC6EFCE"/>
        </patternFill>
      </fill>
    </dxf>
    <dxf>
      <fill>
        <patternFill>
          <bgColor theme="0"/>
        </patternFill>
      </fill>
    </dxf>
    <dxf>
      <font>
        <color auto="1"/>
      </font>
      <fill>
        <patternFill>
          <bgColor rgb="FFFFC7CE"/>
        </patternFill>
      </fill>
    </dxf>
    <dxf>
      <fill>
        <patternFill>
          <bgColor rgb="FFC6EFCE"/>
        </patternFill>
      </fill>
    </dxf>
    <dxf>
      <fill>
        <patternFill>
          <bgColor rgb="FFFFC7CE"/>
        </patternFill>
      </fill>
    </dxf>
    <dxf>
      <font>
        <color rgb="FF006100"/>
      </font>
    </dxf>
    <dxf>
      <font>
        <color rgb="FF0070C0"/>
      </font>
    </dxf>
    <dxf>
      <font>
        <color rgb="FF9C0006"/>
      </font>
    </dxf>
    <dxf>
      <fill>
        <patternFill>
          <bgColor rgb="FFC6EFCE"/>
        </patternFill>
      </fill>
    </dxf>
    <dxf>
      <fill>
        <patternFill>
          <bgColor rgb="FFFFC7CE"/>
        </patternFill>
      </fill>
    </dxf>
    <dxf>
      <font>
        <color auto="1"/>
      </font>
      <fill>
        <patternFill>
          <bgColor rgb="FFC6EFCE"/>
        </patternFill>
      </fill>
    </dxf>
    <dxf>
      <font>
        <color auto="1"/>
      </font>
      <fill>
        <patternFill>
          <bgColor rgb="FFFFC7CE"/>
        </patternFill>
      </fill>
    </dxf>
    <dxf>
      <fill>
        <patternFill>
          <bgColor theme="0"/>
        </patternFill>
      </fill>
    </dxf>
    <dxf>
      <font>
        <color rgb="FF006100"/>
      </font>
    </dxf>
    <dxf>
      <font>
        <color rgb="FF0070C0"/>
      </font>
    </dxf>
    <dxf>
      <fill>
        <patternFill>
          <bgColor rgb="FFFFC7CE"/>
        </patternFill>
      </fill>
    </dxf>
    <dxf>
      <fill>
        <patternFill>
          <bgColor rgb="FFC6EFCE"/>
        </patternFill>
      </fill>
    </dxf>
    <dxf>
      <font>
        <color rgb="FF9C0006"/>
      </font>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rgb="FFFFC7CE"/>
        </patternFill>
      </fill>
    </dxf>
    <dxf>
      <fill>
        <patternFill>
          <bgColor rgb="FFC6EFCE"/>
        </patternFill>
      </fill>
    </dxf>
    <dxf>
      <font>
        <color auto="1"/>
      </font>
      <fill>
        <patternFill>
          <bgColor rgb="FFC6EFCE"/>
        </patternFill>
      </fill>
    </dxf>
    <dxf>
      <font>
        <color auto="1"/>
      </font>
      <fill>
        <patternFill>
          <bgColor rgb="FFFFC7CE"/>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C00000"/>
      </font>
    </dxf>
    <dxf>
      <font>
        <color rgb="FF00B050"/>
      </font>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rgb="FFC00000"/>
      </font>
    </dxf>
    <dxf>
      <font>
        <color rgb="FF00B050"/>
      </font>
    </dxf>
    <dxf>
      <font>
        <color auto="1"/>
      </font>
      <fill>
        <patternFill>
          <bgColor rgb="FFC6EFCE"/>
        </patternFill>
      </fill>
    </dxf>
    <dxf>
      <font>
        <color auto="1"/>
      </font>
      <fill>
        <patternFill>
          <bgColor rgb="FFFFC7CE"/>
        </patternFill>
      </fill>
    </dxf>
    <dxf>
      <fill>
        <patternFill>
          <bgColor rgb="FFFFC7CE"/>
        </patternFill>
      </fill>
    </dxf>
    <dxf>
      <fill>
        <patternFill>
          <bgColor rgb="FFC6EFCE"/>
        </patternFill>
      </fill>
    </dxf>
    <dxf>
      <font>
        <color rgb="FF0070C0"/>
      </font>
    </dxf>
    <dxf>
      <font>
        <color rgb="FF006100"/>
      </font>
    </dxf>
    <dxf>
      <font>
        <color rgb="FF9C0006"/>
      </font>
    </dxf>
    <dxf>
      <font>
        <color auto="1"/>
      </font>
      <fill>
        <patternFill>
          <bgColor rgb="FFC6EFCE"/>
        </patternFill>
      </fill>
    </dxf>
    <dxf>
      <font>
        <color auto="1"/>
      </font>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ont>
        <color auto="1"/>
      </font>
      <fill>
        <patternFill>
          <bgColor rgb="FFC6EFCE"/>
        </patternFill>
      </fill>
    </dxf>
    <dxf>
      <font>
        <color auto="1"/>
      </font>
      <fill>
        <patternFill>
          <bgColor rgb="FFFFC7CE"/>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ont>
        <color auto="1"/>
      </font>
      <fill>
        <patternFill>
          <bgColor rgb="FFFFC7CE"/>
        </patternFill>
      </fill>
    </dxf>
    <dxf>
      <font>
        <color auto="1"/>
      </font>
      <fill>
        <patternFill>
          <bgColor rgb="FFC6EFCE"/>
        </patternFill>
      </fill>
    </dxf>
    <dxf>
      <font>
        <color rgb="FF9C0006"/>
      </font>
    </dxf>
    <dxf>
      <font>
        <color rgb="FF006100"/>
      </font>
    </dxf>
    <dxf>
      <fill>
        <patternFill>
          <bgColor rgb="FFFFC7CE"/>
        </patternFill>
      </fill>
    </dxf>
    <dxf>
      <fill>
        <patternFill>
          <bgColor rgb="FFC6EFCE"/>
        </patternFill>
      </fill>
    </dxf>
    <dxf>
      <font>
        <color rgb="FF0070C0"/>
      </font>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rgb="FF9C5700"/>
      </font>
      <fill>
        <patternFill>
          <bgColor rgb="FFFFEB9C"/>
        </patternFill>
      </fill>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ill>
        <patternFill>
          <bgColor theme="7"/>
        </patternFill>
      </fill>
    </dxf>
    <dxf>
      <fill>
        <patternFill>
          <bgColor rgb="FFFF0000"/>
        </patternFill>
      </fill>
    </dxf>
    <dxf>
      <fill>
        <patternFill>
          <bgColor theme="8"/>
        </patternFill>
      </fill>
    </dxf>
  </dxfs>
  <tableStyles count="1" defaultTableStyle="TableStyleMedium2" defaultPivotStyle="PivotStyleLight16">
    <tableStyle name="Invisible" pivot="0" table="0" count="0" xr9:uid="{B3F1BF1D-7E7E-405F-99E1-F76652573228}"/>
  </tableStyles>
  <colors>
    <mruColors>
      <color rgb="FFFFF9E7"/>
      <color rgb="FFFFC7CE"/>
      <color rgb="FF006600"/>
      <color rgb="FF006100"/>
      <color rgb="FFFFBDBD"/>
      <color rgb="FFC6EFCE"/>
      <color rgb="FF9C0006"/>
      <color rgb="FFFFC6CE"/>
      <color rgb="FF990000"/>
      <color rgb="FFBDFF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r>
              <a:rPr lang="en-US" b="1"/>
              <a:t>DD / DEVELOPMENT METERS (m)</a:t>
            </a: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SUMMARY!$L$43</c:f>
              <c:strCache>
                <c:ptCount val="1"/>
                <c:pt idx="0">
                  <c:v>Actual - MTD</c:v>
                </c:pt>
              </c:strCache>
            </c:strRef>
          </c:tx>
          <c:spPr>
            <a:solidFill>
              <a:schemeClr val="accent1"/>
            </a:solidFill>
            <a:ln>
              <a:noFill/>
            </a:ln>
            <a:effectLst/>
          </c:spPr>
          <c:invertIfNegative val="0"/>
          <c:cat>
            <c:strRef>
              <c:f>SUMMARY!$I$44:$I$45</c:f>
              <c:strCache>
                <c:ptCount val="2"/>
                <c:pt idx="0">
                  <c:v>Diamond Drilling</c:v>
                </c:pt>
                <c:pt idx="1">
                  <c:v>Development</c:v>
                </c:pt>
              </c:strCache>
            </c:strRef>
          </c:cat>
          <c:val>
            <c:numRef>
              <c:f>SUMMARY!$L$44:$L$45</c:f>
              <c:numCache>
                <c:formatCode>_-* #,##0.0_-;\-* #,##0.0_-;_-* "-"??_-;_-@_-</c:formatCode>
                <c:ptCount val="2"/>
                <c:pt idx="0">
                  <c:v>262.8</c:v>
                </c:pt>
                <c:pt idx="1">
                  <c:v>180.29999999999998</c:v>
                </c:pt>
              </c:numCache>
            </c:numRef>
          </c:val>
          <c:extLst>
            <c:ext xmlns:c16="http://schemas.microsoft.com/office/drawing/2014/chart" uri="{C3380CC4-5D6E-409C-BE32-E72D297353CC}">
              <c16:uniqueId val="{00000000-64A5-40DD-8AF8-9F3F65CEF987}"/>
            </c:ext>
          </c:extLst>
        </c:ser>
        <c:ser>
          <c:idx val="1"/>
          <c:order val="1"/>
          <c:tx>
            <c:strRef>
              <c:f>SUMMARY!$M$43</c:f>
              <c:strCache>
                <c:ptCount val="1"/>
                <c:pt idx="0">
                  <c:v>Plan - MTD</c:v>
                </c:pt>
              </c:strCache>
            </c:strRef>
          </c:tx>
          <c:spPr>
            <a:solidFill>
              <a:schemeClr val="accent2"/>
            </a:solidFill>
            <a:ln>
              <a:noFill/>
            </a:ln>
            <a:effectLst/>
          </c:spPr>
          <c:invertIfNegative val="0"/>
          <c:cat>
            <c:strRef>
              <c:f>SUMMARY!$I$44:$I$45</c:f>
              <c:strCache>
                <c:ptCount val="2"/>
                <c:pt idx="0">
                  <c:v>Diamond Drilling</c:v>
                </c:pt>
                <c:pt idx="1">
                  <c:v>Development</c:v>
                </c:pt>
              </c:strCache>
            </c:strRef>
          </c:cat>
          <c:val>
            <c:numRef>
              <c:f>SUMMARY!$M$44:$M$45</c:f>
              <c:numCache>
                <c:formatCode>_-* #,##0.0_-;\-* #,##0.0_-;_-* "-"??_-;_-@_-</c:formatCode>
                <c:ptCount val="2"/>
                <c:pt idx="0">
                  <c:v>248</c:v>
                </c:pt>
                <c:pt idx="1">
                  <c:v>184.29999999999995</c:v>
                </c:pt>
              </c:numCache>
            </c:numRef>
          </c:val>
          <c:extLst>
            <c:ext xmlns:c16="http://schemas.microsoft.com/office/drawing/2014/chart" uri="{C3380CC4-5D6E-409C-BE32-E72D297353CC}">
              <c16:uniqueId val="{00000001-64A5-40DD-8AF8-9F3F65CEF987}"/>
            </c:ext>
          </c:extLst>
        </c:ser>
        <c:dLbls>
          <c:showLegendKey val="0"/>
          <c:showVal val="0"/>
          <c:showCatName val="0"/>
          <c:showSerName val="0"/>
          <c:showPercent val="0"/>
          <c:showBubbleSize val="0"/>
        </c:dLbls>
        <c:gapWidth val="150"/>
        <c:overlap val="-9"/>
        <c:axId val="1235466656"/>
        <c:axId val="1235470976"/>
      </c:barChart>
      <c:catAx>
        <c:axId val="123546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1235470976"/>
        <c:crosses val="autoZero"/>
        <c:auto val="1"/>
        <c:lblAlgn val="ctr"/>
        <c:lblOffset val="100"/>
        <c:noMultiLvlLbl val="0"/>
      </c:catAx>
      <c:valAx>
        <c:axId val="1235470976"/>
        <c:scaling>
          <c:orientation val="minMax"/>
        </c:scaling>
        <c:delete val="0"/>
        <c:axPos val="l"/>
        <c:majorGridlines>
          <c:spPr>
            <a:ln w="9525" cap="flat" cmpd="sng" algn="ctr">
              <a:solidFill>
                <a:schemeClr val="tx1">
                  <a:lumMod val="15000"/>
                  <a:lumOff val="85000"/>
                </a:schemeClr>
              </a:solidFill>
              <a:round/>
            </a:ln>
            <a:effectLst/>
          </c:spPr>
        </c:majorGridlines>
        <c:numFmt formatCode="#,##0.0_);[Red]\(#,##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12354666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lt1"/>
    </a:solidFill>
    <a:ln w="9525" cap="flat" cmpd="sng" algn="ctr">
      <a:solidFill>
        <a:schemeClr val="dk1"/>
      </a:solidFill>
      <a:prstDash val="solid"/>
      <a:miter lim="800000"/>
    </a:ln>
    <a:effectLst/>
  </c:spPr>
  <c:txPr>
    <a:bodyPr/>
    <a:lstStyle/>
    <a:p>
      <a:pPr>
        <a:defRPr sz="800">
          <a:solidFill>
            <a:sysClr val="windowText" lastClr="00000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SUMMARY!$J$47</c:f>
          <c:strCache>
            <c:ptCount val="1"/>
            <c:pt idx="0">
              <c:v>TONNES (t)</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1"/>
          <c:tx>
            <c:strRef>
              <c:f>SUMMARY!$P$48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SUMMARY!$I$49:$I$53</c15:sqref>
                  </c15:fullRef>
                </c:ext>
              </c:extLst>
              <c:f>(SUMMARY!$I$49,SUMMARY!$I$51:$I$53)</c:f>
              <c:strCache>
                <c:ptCount val="4"/>
                <c:pt idx="0">
                  <c:v>Broken</c:v>
                </c:pt>
                <c:pt idx="1">
                  <c:v>Hoisted</c:v>
                </c:pt>
                <c:pt idx="2">
                  <c:v>Crushed</c:v>
                </c:pt>
                <c:pt idx="3">
                  <c:v>Milled</c:v>
                </c:pt>
              </c:strCache>
            </c:strRef>
          </c:cat>
          <c:val>
            <c:numRef>
              <c:extLst>
                <c:ext xmlns:c15="http://schemas.microsoft.com/office/drawing/2012/chart" uri="{02D57815-91ED-43cb-92C2-25804820EDAC}">
                  <c15:fullRef>
                    <c15:sqref>SUMMARY!$P$49:$P$53</c15:sqref>
                  </c15:fullRef>
                </c:ext>
              </c:extLst>
              <c:f>(SUMMARY!$P$49,SUMMARY!$P$51:$P$53)</c:f>
              <c:numCache>
                <c:formatCode>_-* #,##0_-;\-* #,##0_-;_-* "-"??_-;_-@_-</c:formatCode>
                <c:ptCount val="4"/>
                <c:pt idx="0">
                  <c:v>5713</c:v>
                </c:pt>
                <c:pt idx="1">
                  <c:v>5350</c:v>
                </c:pt>
                <c:pt idx="2">
                  <c:v>4285.2205000000004</c:v>
                </c:pt>
                <c:pt idx="3">
                  <c:v>5244.8028999999997</c:v>
                </c:pt>
              </c:numCache>
            </c:numRef>
          </c:val>
          <c:extLst>
            <c:ext xmlns:c16="http://schemas.microsoft.com/office/drawing/2014/chart" uri="{C3380CC4-5D6E-409C-BE32-E72D297353CC}">
              <c16:uniqueId val="{00000000-36E9-436C-9EA5-3A635834786C}"/>
            </c:ext>
          </c:extLst>
        </c:ser>
        <c:dLbls>
          <c:showLegendKey val="0"/>
          <c:showVal val="0"/>
          <c:showCatName val="0"/>
          <c:showSerName val="0"/>
          <c:showPercent val="0"/>
          <c:showBubbleSize val="0"/>
        </c:dLbls>
        <c:gapWidth val="219"/>
        <c:overlap val="-27"/>
        <c:axId val="700386896"/>
        <c:axId val="700384976"/>
        <c:extLst>
          <c:ext xmlns:c15="http://schemas.microsoft.com/office/drawing/2012/chart" uri="{02D57815-91ED-43cb-92C2-25804820EDAC}">
            <c15:filteredBarSeries>
              <c15:ser>
                <c:idx val="0"/>
                <c:order val="0"/>
                <c:tx>
                  <c:strRef>
                    <c:extLst>
                      <c:ext uri="{02D57815-91ED-43cb-92C2-25804820EDAC}">
                        <c15:formulaRef>
                          <c15:sqref>SUMMARY!#REF!</c15:sqref>
                        </c15:formulaRef>
                      </c:ext>
                    </c:extLst>
                    <c:strCache>
                      <c:ptCount val="1"/>
                      <c:pt idx="0">
                        <c:v>#REF!</c:v>
                      </c:pt>
                    </c:strCache>
                  </c:strRef>
                </c:tx>
                <c:spPr>
                  <a:solidFill>
                    <a:schemeClr val="accent2"/>
                  </a:solidFill>
                  <a:ln>
                    <a:noFill/>
                  </a:ln>
                  <a:effectLst/>
                </c:spPr>
                <c:invertIfNegative val="0"/>
                <c:cat>
                  <c:strRef>
                    <c:extLst>
                      <c:ext uri="{02D57815-91ED-43cb-92C2-25804820EDAC}">
                        <c15:fullRef>
                          <c15:sqref>SUMMARY!$I$49:$I$53</c15:sqref>
                        </c15:fullRef>
                        <c15:formulaRef>
                          <c15:sqref>(SUMMARY!$I$49,SUMMARY!$I$51:$I$53)</c15:sqref>
                        </c15:formulaRef>
                      </c:ext>
                    </c:extLst>
                    <c:strCache>
                      <c:ptCount val="4"/>
                      <c:pt idx="0">
                        <c:v>Broken</c:v>
                      </c:pt>
                      <c:pt idx="1">
                        <c:v>Hoisted</c:v>
                      </c:pt>
                      <c:pt idx="2">
                        <c:v>Crushed</c:v>
                      </c:pt>
                      <c:pt idx="3">
                        <c:v>Milled</c:v>
                      </c:pt>
                    </c:strCache>
                  </c:strRef>
                </c:cat>
                <c:val>
                  <c:numRef>
                    <c:extLst>
                      <c:ext uri="{02D57815-91ED-43cb-92C2-25804820EDAC}">
                        <c15:fullRef>
                          <c15:sqref>SUMMARY!$J$49:$J$53</c15:sqref>
                        </c15:fullRef>
                        <c15:formulaRef>
                          <c15:sqref>(SUMMARY!$J$49,SUMMARY!$J$51:$J$53)</c15:sqref>
                        </c15:formulaRef>
                      </c:ext>
                    </c:extLst>
                    <c:numCache>
                      <c:formatCode>_-* #,##0_-;\-* #,##0_-;_-* "-"??_-;_-@_-</c:formatCode>
                      <c:ptCount val="4"/>
                      <c:pt idx="0">
                        <c:v>987</c:v>
                      </c:pt>
                      <c:pt idx="1">
                        <c:v>966</c:v>
                      </c:pt>
                      <c:pt idx="2">
                        <c:v>0</c:v>
                      </c:pt>
                      <c:pt idx="3">
                        <c:v>0</c:v>
                      </c:pt>
                    </c:numCache>
                  </c:numRef>
                </c:val>
                <c:extLst>
                  <c:ext xmlns:c16="http://schemas.microsoft.com/office/drawing/2014/chart" uri="{C3380CC4-5D6E-409C-BE32-E72D297353CC}">
                    <c16:uniqueId val="{00000002-36E9-436C-9EA5-3A635834786C}"/>
                  </c:ext>
                </c:extLst>
              </c15:ser>
            </c15:filteredBarSeries>
          </c:ext>
        </c:extLst>
      </c:barChart>
      <c:lineChart>
        <c:grouping val="stacked"/>
        <c:varyColors val="0"/>
        <c:ser>
          <c:idx val="2"/>
          <c:order val="2"/>
          <c:tx>
            <c:strRef>
              <c:f>SUMMARY!$Q$48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SUMMARY!$I$49:$I$53</c15:sqref>
                  </c15:fullRef>
                </c:ext>
              </c:extLst>
              <c:f>(SUMMARY!$I$49,SUMMARY!$I$51:$I$53)</c:f>
              <c:strCache>
                <c:ptCount val="4"/>
                <c:pt idx="0">
                  <c:v>Broken</c:v>
                </c:pt>
                <c:pt idx="1">
                  <c:v>Hoisted</c:v>
                </c:pt>
                <c:pt idx="2">
                  <c:v>Crushed</c:v>
                </c:pt>
                <c:pt idx="3">
                  <c:v>Milled</c:v>
                </c:pt>
              </c:strCache>
            </c:strRef>
          </c:cat>
          <c:val>
            <c:numRef>
              <c:extLst>
                <c:ext xmlns:c15="http://schemas.microsoft.com/office/drawing/2012/chart" uri="{02D57815-91ED-43cb-92C2-25804820EDAC}">
                  <c15:fullRef>
                    <c15:sqref>SUMMARY!$Q$49:$Q$53</c15:sqref>
                  </c15:fullRef>
                </c:ext>
              </c:extLst>
              <c:f>(SUMMARY!$Q$49,SUMMARY!$Q$51:$Q$53)</c:f>
              <c:numCache>
                <c:formatCode>_-* #,##0_-;\-* #,##0_-;_-* "-"??_-;_-@_-</c:formatCode>
                <c:ptCount val="4"/>
                <c:pt idx="0">
                  <c:v>5460</c:v>
                </c:pt>
                <c:pt idx="1">
                  <c:v>4990</c:v>
                </c:pt>
                <c:pt idx="2">
                  <c:v>6456.2915999999977</c:v>
                </c:pt>
                <c:pt idx="3">
                  <c:v>6456.2915999999977</c:v>
                </c:pt>
              </c:numCache>
            </c:numRef>
          </c:val>
          <c:smooth val="0"/>
          <c:extLst>
            <c:ext xmlns:c16="http://schemas.microsoft.com/office/drawing/2014/chart" uri="{C3380CC4-5D6E-409C-BE32-E72D297353CC}">
              <c16:uniqueId val="{00000001-36E9-436C-9EA5-3A635834786C}"/>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SUMMARY!$T$47</c:f>
          <c:strCache>
            <c:ptCount val="1"/>
            <c:pt idx="0">
              <c:v>GOLD (kg)</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20704724409448819"/>
          <c:y val="0.17655157371256572"/>
          <c:w val="0.72443466219714292"/>
          <c:h val="0.43578649651552176"/>
        </c:manualLayout>
      </c:layout>
      <c:barChart>
        <c:barDir val="col"/>
        <c:grouping val="clustered"/>
        <c:varyColors val="0"/>
        <c:ser>
          <c:idx val="0"/>
          <c:order val="0"/>
          <c:tx>
            <c:strRef>
              <c:f>SUMMARY!$T$48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SUMMARY!$T$49:$T$55</c15:sqref>
                  </c15:fullRef>
                </c:ext>
              </c:extLst>
              <c:f>(SUMMARY!$T$49,SUMMARY!$T$51:$T$54)</c:f>
              <c:numCache>
                <c:formatCode>_-* #,##0.0_-;\-* #,##0.0_-;_-* "-"??_-;_-@_-</c:formatCode>
                <c:ptCount val="5"/>
                <c:pt idx="0">
                  <c:v>16.704609999999999</c:v>
                </c:pt>
                <c:pt idx="1">
                  <c:v>9.4905000000000008</c:v>
                </c:pt>
                <c:pt idx="2">
                  <c:v>8.6470312599099994</c:v>
                </c:pt>
                <c:pt idx="3">
                  <c:v>9.4538548259700015</c:v>
                </c:pt>
                <c:pt idx="4">
                  <c:v>11.34262299204074</c:v>
                </c:pt>
              </c:numCache>
            </c:numRef>
          </c:val>
          <c:extLst xmlns:c15="http://schemas.microsoft.com/office/drawing/2012/chart">
            <c:ext xmlns:c16="http://schemas.microsoft.com/office/drawing/2014/chart" uri="{C3380CC4-5D6E-409C-BE32-E72D297353CC}">
              <c16:uniqueId val="{00000000-F09C-4985-A896-5BB3BE4CD031}"/>
            </c:ext>
          </c:extLst>
        </c:ser>
        <c:dLbls>
          <c:showLegendKey val="0"/>
          <c:showVal val="0"/>
          <c:showCatName val="0"/>
          <c:showSerName val="0"/>
          <c:showPercent val="0"/>
          <c:showBubbleSize val="0"/>
        </c:dLbls>
        <c:gapWidth val="219"/>
        <c:overlap val="-25"/>
        <c:axId val="700386896"/>
        <c:axId val="700384976"/>
        <c:extLst/>
      </c:barChart>
      <c:lineChart>
        <c:grouping val="stacked"/>
        <c:varyColors val="0"/>
        <c:ser>
          <c:idx val="1"/>
          <c:order val="1"/>
          <c:tx>
            <c:strRef>
              <c:f>SUMMARY!$U$48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SUMMARY!$U$49:$U$55</c15:sqref>
                  </c15:fullRef>
                </c:ext>
              </c:extLst>
              <c:f>(SUMMARY!$U$49,SUMMARY!$U$51:$U$54)</c:f>
              <c:numCache>
                <c:formatCode>_-* #,##0.0_-;\-* #,##0.0_-;_-* "-"??_-;_-@_-</c:formatCode>
                <c:ptCount val="5"/>
                <c:pt idx="0">
                  <c:v>12.319836448598128</c:v>
                </c:pt>
                <c:pt idx="1">
                  <c:v>11.149572137850464</c:v>
                </c:pt>
                <c:pt idx="2">
                  <c:v>14.105237915152351</c:v>
                </c:pt>
                <c:pt idx="3">
                  <c:v>14.105237915152351</c:v>
                </c:pt>
                <c:pt idx="4">
                  <c:v>14.105237915152351</c:v>
                </c:pt>
              </c:numCache>
            </c:numRef>
          </c:val>
          <c:smooth val="0"/>
          <c:extLst>
            <c:ext xmlns:c16="http://schemas.microsoft.com/office/drawing/2014/chart" uri="{C3380CC4-5D6E-409C-BE32-E72D297353CC}">
              <c16:uniqueId val="{00000001-F09C-4985-A896-5BB3BE4CD031}"/>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SUMMARY!$R$47</c:f>
          <c:strCache>
            <c:ptCount val="1"/>
            <c:pt idx="0">
              <c:v>GRADE (g/t)</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20704724409448819"/>
          <c:y val="0.17655157371256572"/>
          <c:w val="0.72443466219714292"/>
          <c:h val="0.43578649651552176"/>
        </c:manualLayout>
      </c:layout>
      <c:barChart>
        <c:barDir val="col"/>
        <c:grouping val="clustered"/>
        <c:varyColors val="0"/>
        <c:ser>
          <c:idx val="0"/>
          <c:order val="0"/>
          <c:tx>
            <c:strRef>
              <c:f>SUMMARY!$R$48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SUMMARY!$R$49:$R$55</c15:sqref>
                  </c15:fullRef>
                </c:ext>
              </c:extLst>
              <c:f>(SUMMARY!$R$49,SUMMARY!$R$51:$R$54)</c:f>
              <c:numCache>
                <c:formatCode>_(* #,##0.00_);_(* \(#,##0.00\);_(* "-"??_);_(@_)</c:formatCode>
                <c:ptCount val="5"/>
                <c:pt idx="0">
                  <c:v>2.92396464204446</c:v>
                </c:pt>
                <c:pt idx="1">
                  <c:v>1.7739252336448599</c:v>
                </c:pt>
                <c:pt idx="2">
                  <c:v>2.0178731199269673</c:v>
                </c:pt>
                <c:pt idx="3">
                  <c:v>1.8025186086535305</c:v>
                </c:pt>
                <c:pt idx="4">
                  <c:v>2.1626404668211157</c:v>
                </c:pt>
              </c:numCache>
            </c:numRef>
          </c:val>
          <c:extLst xmlns:c15="http://schemas.microsoft.com/office/drawing/2012/chart">
            <c:ext xmlns:c16="http://schemas.microsoft.com/office/drawing/2014/chart" uri="{C3380CC4-5D6E-409C-BE32-E72D297353CC}">
              <c16:uniqueId val="{00000000-400B-4C02-A5E8-79084D582DA5}"/>
            </c:ext>
          </c:extLst>
        </c:ser>
        <c:dLbls>
          <c:showLegendKey val="0"/>
          <c:showVal val="0"/>
          <c:showCatName val="0"/>
          <c:showSerName val="0"/>
          <c:showPercent val="0"/>
          <c:showBubbleSize val="0"/>
        </c:dLbls>
        <c:gapWidth val="219"/>
        <c:overlap val="-25"/>
        <c:axId val="700386896"/>
        <c:axId val="700384976"/>
        <c:extLst/>
      </c:barChart>
      <c:lineChart>
        <c:grouping val="stacked"/>
        <c:varyColors val="0"/>
        <c:ser>
          <c:idx val="1"/>
          <c:order val="1"/>
          <c:tx>
            <c:strRef>
              <c:f>SUMMARY!$S$48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SUMMARY!$S$49:$S$55</c15:sqref>
                  </c15:fullRef>
                </c:ext>
              </c:extLst>
              <c:f>(SUMMARY!$S$49,SUMMARY!$S$51:$S$54)</c:f>
              <c:numCache>
                <c:formatCode>_(* #,##0.00_);_(* \(#,##0.00\);_(* "-"??_);_(@_)</c:formatCode>
                <c:ptCount val="5"/>
                <c:pt idx="0">
                  <c:v>2.2563803019410491</c:v>
                </c:pt>
                <c:pt idx="1">
                  <c:v>2.234383193958009</c:v>
                </c:pt>
                <c:pt idx="2">
                  <c:v>2.1847275168228704</c:v>
                </c:pt>
                <c:pt idx="3">
                  <c:v>2.1847275168228704</c:v>
                </c:pt>
                <c:pt idx="4">
                  <c:v>2.1847275168228704</c:v>
                </c:pt>
              </c:numCache>
            </c:numRef>
          </c:val>
          <c:smooth val="0"/>
          <c:extLst>
            <c:ext xmlns:c16="http://schemas.microsoft.com/office/drawing/2014/chart" uri="{C3380CC4-5D6E-409C-BE32-E72D297353CC}">
              <c16:uniqueId val="{00000001-400B-4C02-A5E8-79084D582DA5}"/>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DIAMOND</a:t>
            </a:r>
            <a:r>
              <a:rPr lang="en-US" b="1" baseline="0"/>
              <a:t> DRILLING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KPIs!$C$15</c:f>
              <c:strCache>
                <c:ptCount val="1"/>
                <c:pt idx="0">
                  <c:v>Underground</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KPIs!$D$63:$AH$63</c:f>
              <c:numCache>
                <c:formatCode>_-* #,##0.0_-;\-* #,##0.0_-;_-* "-"??_-;_-@_-</c:formatCode>
                <c:ptCount val="31"/>
                <c:pt idx="0">
                  <c:v>68</c:v>
                </c:pt>
                <c:pt idx="1">
                  <c:v>54.7</c:v>
                </c:pt>
                <c:pt idx="2">
                  <c:v>39.5</c:v>
                </c:pt>
                <c:pt idx="3">
                  <c:v>51</c:v>
                </c:pt>
                <c:pt idx="4">
                  <c:v>49.6</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F1C3-46BA-9870-661E3FCB4EA0}"/>
            </c:ext>
          </c:extLst>
        </c:ser>
        <c:ser>
          <c:idx val="1"/>
          <c:order val="1"/>
          <c:tx>
            <c:strRef>
              <c:f>KPIs!$C$14</c:f>
              <c:strCache>
                <c:ptCount val="1"/>
                <c:pt idx="0">
                  <c:v>Surface</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KPIs!$D$57:$AH$57</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F1C3-46BA-9870-661E3FCB4EA0}"/>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2"/>
          <c:tx>
            <c:strRef>
              <c:f>KPIs!$C$71</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KPIs!$D$71:$AH$71</c:f>
              <c:numCache>
                <c:formatCode>_-* #,##0.0_-;\-* #,##0.0_-;_-* "-"??_-;_-@_-</c:formatCode>
                <c:ptCount val="31"/>
                <c:pt idx="0">
                  <c:v>38</c:v>
                </c:pt>
                <c:pt idx="1">
                  <c:v>38</c:v>
                </c:pt>
                <c:pt idx="2">
                  <c:v>48</c:v>
                </c:pt>
                <c:pt idx="3">
                  <c:v>66</c:v>
                </c:pt>
                <c:pt idx="4">
                  <c:v>58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F1C3-46BA-9870-661E3FCB4EA0}"/>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EQUIPING</a:t>
            </a:r>
            <a:r>
              <a:rPr lang="en-US" b="1" baseline="0"/>
              <a:t>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KPIs!$C$11</c:f>
              <c:strCache>
                <c:ptCount val="1"/>
                <c:pt idx="0">
                  <c:v>Southwell Shaft</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KPIs!$D$51:$AH$51</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5A17-4F70-8450-69B8F6BF8BD0}"/>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1"/>
          <c:tx>
            <c:strRef>
              <c:f>KPIs!$C$53</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KPIs!$D$53:$AH$53</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5A17-4F70-8450-69B8F6BF8BD0}"/>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EQUIPING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7"/>
          <c:order val="0"/>
          <c:tx>
            <c:strRef>
              <c:f>KPIs!$C$11</c:f>
              <c:strCache>
                <c:ptCount val="1"/>
                <c:pt idx="0">
                  <c:v>Southwell Shaft</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KPIs!$D$52:$AH$52</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192-48C2-88F4-B32634C9BA82}"/>
            </c:ext>
          </c:extLst>
        </c:ser>
        <c:ser>
          <c:idx val="0"/>
          <c:order val="1"/>
          <c:tx>
            <c:strRef>
              <c:f>KPIs!$C$53</c:f>
              <c:strCache>
                <c:ptCount val="1"/>
                <c:pt idx="0">
                  <c:v>Plan</c:v>
                </c:pt>
              </c:strCache>
            </c:strRef>
          </c:tx>
          <c:spPr>
            <a:solidFill>
              <a:schemeClr val="accent2"/>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KPIs!$D$54:$AH$54</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E192-48C2-88F4-B32634C9BA82}"/>
            </c:ext>
          </c:extLst>
        </c:ser>
        <c:dLbls>
          <c:showLegendKey val="0"/>
          <c:showVal val="0"/>
          <c:showCatName val="0"/>
          <c:showSerName val="0"/>
          <c:showPercent val="0"/>
          <c:showBubbleSize val="0"/>
        </c:dLbls>
        <c:gapWidth val="50"/>
        <c:axId val="174950432"/>
        <c:axId val="174953792"/>
      </c:bar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DIAMOND</a:t>
            </a:r>
            <a:r>
              <a:rPr lang="en-US" b="1" baseline="0"/>
              <a:t> DRILLING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cked"/>
        <c:varyColors val="0"/>
        <c:ser>
          <c:idx val="1"/>
          <c:order val="1"/>
          <c:tx>
            <c:strRef>
              <c:f>KPIs!$C$14</c:f>
              <c:strCache>
                <c:ptCount val="1"/>
                <c:pt idx="0">
                  <c:v>Surface</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KPIs!$D$58:$AH$58</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83B-4C4B-A631-D9D922E84E99}"/>
            </c:ext>
          </c:extLst>
        </c:ser>
        <c:ser>
          <c:idx val="7"/>
          <c:order val="2"/>
          <c:tx>
            <c:strRef>
              <c:f>KPIs!$C$15</c:f>
              <c:strCache>
                <c:ptCount val="1"/>
                <c:pt idx="0">
                  <c:v>Underground</c:v>
                </c:pt>
              </c:strCache>
            </c:strRef>
          </c:tx>
          <c:spPr>
            <a:solidFill>
              <a:schemeClr val="accent1"/>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KPIs!$D$64:$AH$64</c:f>
              <c:numCache>
                <c:formatCode>_-* #,##0.0_-;\-* #,##0.0_-;_-* "-"??_-;_-@_-</c:formatCode>
                <c:ptCount val="31"/>
                <c:pt idx="0">
                  <c:v>68</c:v>
                </c:pt>
                <c:pt idx="1">
                  <c:v>122.7</c:v>
                </c:pt>
                <c:pt idx="2">
                  <c:v>162.19999999999999</c:v>
                </c:pt>
                <c:pt idx="3">
                  <c:v>213.2</c:v>
                </c:pt>
                <c:pt idx="4">
                  <c:v>262.8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598-402B-8F5C-0E680CFA362C}"/>
            </c:ext>
          </c:extLst>
        </c:ser>
        <c:dLbls>
          <c:showLegendKey val="0"/>
          <c:showVal val="0"/>
          <c:showCatName val="0"/>
          <c:showSerName val="0"/>
          <c:showPercent val="0"/>
          <c:showBubbleSize val="0"/>
        </c:dLbls>
        <c:axId val="174950432"/>
        <c:axId val="174953792"/>
      </c:areaChart>
      <c:lineChart>
        <c:grouping val="standard"/>
        <c:varyColors val="0"/>
        <c:ser>
          <c:idx val="0"/>
          <c:order val="0"/>
          <c:tx>
            <c:strRef>
              <c:f>KPIs!$C$71</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KPIs!$D$72:$AH$72</c:f>
              <c:numCache>
                <c:formatCode>_-* #,##0.0_-;\-* #,##0.0_-;_-* "-"??_-;_-@_-</c:formatCode>
                <c:ptCount val="31"/>
                <c:pt idx="0">
                  <c:v>38</c:v>
                </c:pt>
                <c:pt idx="1">
                  <c:v>76</c:v>
                </c:pt>
                <c:pt idx="2">
                  <c:v>124</c:v>
                </c:pt>
                <c:pt idx="3">
                  <c:v>190</c:v>
                </c:pt>
                <c:pt idx="4">
                  <c:v>248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A598-402B-8F5C-0E680CFA362C}"/>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DEVELOPMENT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KPIs!$C$20</c:f>
              <c:strCache>
                <c:ptCount val="1"/>
                <c:pt idx="0">
                  <c:v>ROM</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KPIs!$D$81:$AH$81</c:f>
              <c:numCache>
                <c:formatCode>_-* #,##0.0_-;\-* #,##0.0_-;_-* "-"??_-;_-@_-</c:formatCode>
                <c:ptCount val="31"/>
                <c:pt idx="0">
                  <c:v>33.199999999999989</c:v>
                </c:pt>
                <c:pt idx="1">
                  <c:v>34.699999999999996</c:v>
                </c:pt>
                <c:pt idx="2">
                  <c:v>0</c:v>
                </c:pt>
                <c:pt idx="3">
                  <c:v>35.1</c:v>
                </c:pt>
                <c:pt idx="4">
                  <c:v>34.9</c:v>
                </c:pt>
                <c:pt idx="5">
                  <c:v>17.299999999999997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398B-405B-BB3E-593DA7DD0657}"/>
            </c:ext>
          </c:extLst>
        </c:ser>
        <c:ser>
          <c:idx val="1"/>
          <c:order val="1"/>
          <c:tx>
            <c:strRef>
              <c:f>KPIs!$C$19</c:f>
              <c:strCache>
                <c:ptCount val="1"/>
                <c:pt idx="0">
                  <c:v>CAPEX</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KPIs!$D$75:$AH$75</c:f>
              <c:numCache>
                <c:formatCode>_-* #,##0.0_-;\-* #,##0.0_-;_-* "-"??_-;_-@_-</c:formatCode>
                <c:ptCount val="31"/>
                <c:pt idx="0">
                  <c:v>5.7</c:v>
                </c:pt>
                <c:pt idx="1">
                  <c:v>4.9000000000000004</c:v>
                </c:pt>
                <c:pt idx="2">
                  <c:v>2.9000000000000004</c:v>
                </c:pt>
                <c:pt idx="3">
                  <c:v>3.8</c:v>
                </c:pt>
                <c:pt idx="4">
                  <c:v>4</c:v>
                </c:pt>
                <c:pt idx="5">
                  <c:v>3.8000000000000003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398B-405B-BB3E-593DA7DD0657}"/>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2"/>
          <c:tx>
            <c:strRef>
              <c:f>KPIs!$C$89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KPIs!$D$89:$AH$89</c:f>
              <c:numCache>
                <c:formatCode>_-* #,##0.0_-;\-* #,##0.0_-;_-* "-"??_-;_-@_-</c:formatCode>
                <c:ptCount val="31"/>
                <c:pt idx="0">
                  <c:v>35.699999999999996</c:v>
                </c:pt>
                <c:pt idx="1">
                  <c:v>35.699999999999996</c:v>
                </c:pt>
                <c:pt idx="2">
                  <c:v>0.9</c:v>
                </c:pt>
                <c:pt idx="3">
                  <c:v>36.599999999999994</c:v>
                </c:pt>
                <c:pt idx="4">
                  <c:v>36.599999999999994</c:v>
                </c:pt>
                <c:pt idx="5">
                  <c:v>38.79999999999999</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398B-405B-BB3E-593DA7DD0657}"/>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DEVELOPMENT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cked"/>
        <c:varyColors val="0"/>
        <c:ser>
          <c:idx val="0"/>
          <c:order val="0"/>
          <c:tx>
            <c:strRef>
              <c:f>KPIs!$C$20</c:f>
              <c:strCache>
                <c:ptCount val="1"/>
                <c:pt idx="0">
                  <c:v>ROM</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KPIs!$D$82:$AH$82</c:f>
              <c:numCache>
                <c:formatCode>_-* #,##0.0_-;\-* #,##0.0_-;_-* "-"??_-;_-@_-</c:formatCode>
                <c:ptCount val="31"/>
                <c:pt idx="0">
                  <c:v>33.199999999999989</c:v>
                </c:pt>
                <c:pt idx="1">
                  <c:v>67.899999999999977</c:v>
                </c:pt>
                <c:pt idx="2">
                  <c:v>67.899999999999977</c:v>
                </c:pt>
                <c:pt idx="3">
                  <c:v>102.99999999999997</c:v>
                </c:pt>
                <c:pt idx="4">
                  <c:v>137.89999999999998</c:v>
                </c:pt>
                <c:pt idx="5">
                  <c:v>155.19999999999999</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AA66-4970-AB50-F4DBF7938BE9}"/>
            </c:ext>
          </c:extLst>
        </c:ser>
        <c:ser>
          <c:idx val="7"/>
          <c:order val="1"/>
          <c:tx>
            <c:strRef>
              <c:f>KPIs!$C$19</c:f>
              <c:strCache>
                <c:ptCount val="1"/>
                <c:pt idx="0">
                  <c:v>CAPEX</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KPIs!$D$76:$AH$76</c:f>
              <c:numCache>
                <c:formatCode>_-* #,##0.0_-;\-* #,##0.0_-;_-* "-"??_-;_-@_-</c:formatCode>
                <c:ptCount val="31"/>
                <c:pt idx="0">
                  <c:v>5.7</c:v>
                </c:pt>
                <c:pt idx="1">
                  <c:v>10.600000000000001</c:v>
                </c:pt>
                <c:pt idx="2">
                  <c:v>13.500000000000002</c:v>
                </c:pt>
                <c:pt idx="3">
                  <c:v>17.3</c:v>
                </c:pt>
                <c:pt idx="4">
                  <c:v>21.3</c:v>
                </c:pt>
                <c:pt idx="5">
                  <c:v>25.1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A66-4970-AB50-F4DBF7938BE9}"/>
            </c:ext>
          </c:extLst>
        </c:ser>
        <c:dLbls>
          <c:showLegendKey val="0"/>
          <c:showVal val="0"/>
          <c:showCatName val="0"/>
          <c:showSerName val="0"/>
          <c:showPercent val="0"/>
          <c:showBubbleSize val="0"/>
        </c:dLbls>
        <c:axId val="174950432"/>
        <c:axId val="174953792"/>
      </c:areaChart>
      <c:lineChart>
        <c:grouping val="standard"/>
        <c:varyColors val="0"/>
        <c:ser>
          <c:idx val="1"/>
          <c:order val="2"/>
          <c:tx>
            <c:strRef>
              <c:f>KPIs!$C$89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KPIs!$D$90:$AH$90</c:f>
              <c:numCache>
                <c:formatCode>_-* #,##0.0_-;\-* #,##0.0_-;_-* "-"??_-;_-@_-</c:formatCode>
                <c:ptCount val="31"/>
                <c:pt idx="0">
                  <c:v>35.699999999999996</c:v>
                </c:pt>
                <c:pt idx="1">
                  <c:v>71.399999999999991</c:v>
                </c:pt>
                <c:pt idx="2">
                  <c:v>72.3</c:v>
                </c:pt>
                <c:pt idx="3">
                  <c:v>108.89999999999999</c:v>
                </c:pt>
                <c:pt idx="4">
                  <c:v>145.5</c:v>
                </c:pt>
                <c:pt idx="5">
                  <c:v>184.29999999999998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58CB-4D57-B177-96A12C1144DB}"/>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TONNES (t)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12"/>
          <c:order val="0"/>
          <c:tx>
            <c:strRef>
              <c:f>KPIs!$C$26</c:f>
              <c:strCache>
                <c:ptCount val="1"/>
                <c:pt idx="0">
                  <c:v>Hoisted</c:v>
                </c:pt>
              </c:strCache>
            </c:strRef>
          </c:tx>
          <c:spPr>
            <a:solidFill>
              <a:schemeClr val="accent1"/>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KPIs!$D$106:$AH$106</c:f>
              <c:numCache>
                <c:formatCode>_-* #,##0_-;\-* #,##0_-;_-* "-"??_-;_-@_-</c:formatCode>
                <c:ptCount val="31"/>
                <c:pt idx="0">
                  <c:v>782</c:v>
                </c:pt>
                <c:pt idx="1">
                  <c:v>1734</c:v>
                </c:pt>
                <c:pt idx="2">
                  <c:v>2641</c:v>
                </c:pt>
                <c:pt idx="3">
                  <c:v>3453</c:v>
                </c:pt>
                <c:pt idx="4">
                  <c:v>4384</c:v>
                </c:pt>
                <c:pt idx="5">
                  <c:v>5350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8C29-49E7-A318-43E05F0F189C}"/>
            </c:ext>
          </c:extLst>
        </c:ser>
        <c:ser>
          <c:idx val="0"/>
          <c:order val="1"/>
          <c:tx>
            <c:strRef>
              <c:f>KPIs!$C$31</c:f>
              <c:strCache>
                <c:ptCount val="1"/>
                <c:pt idx="0">
                  <c:v>Broken</c:v>
                </c:pt>
              </c:strCache>
            </c:strRef>
          </c:tx>
          <c:spPr>
            <a:solidFill>
              <a:srgbClr val="92D050"/>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KPIs!$D$94:$AH$94</c:f>
              <c:numCache>
                <c:formatCode>_-* #,##0_-;\-* #,##0_-;_-* "-"??_-;_-@_-</c:formatCode>
                <c:ptCount val="31"/>
                <c:pt idx="0">
                  <c:v>926</c:v>
                </c:pt>
                <c:pt idx="1">
                  <c:v>1805</c:v>
                </c:pt>
                <c:pt idx="2">
                  <c:v>2770</c:v>
                </c:pt>
                <c:pt idx="3">
                  <c:v>3747</c:v>
                </c:pt>
                <c:pt idx="4">
                  <c:v>4726</c:v>
                </c:pt>
                <c:pt idx="5">
                  <c:v>5713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8C29-49E7-A318-43E05F0F189C}"/>
            </c:ext>
          </c:extLst>
        </c:ser>
        <c:ser>
          <c:idx val="2"/>
          <c:order val="2"/>
          <c:tx>
            <c:strRef>
              <c:f>KPIs!$C$28</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KPIs!$D$118:$AH$118</c:f>
              <c:numCache>
                <c:formatCode>_-* #,##0_-;\-* #,##0_-;_-* "-"??_-;_-@_-</c:formatCode>
                <c:ptCount val="31"/>
                <c:pt idx="0">
                  <c:v>1244.3207</c:v>
                </c:pt>
                <c:pt idx="1">
                  <c:v>2387.6167</c:v>
                </c:pt>
                <c:pt idx="2">
                  <c:v>3053.0569</c:v>
                </c:pt>
                <c:pt idx="3">
                  <c:v>4177.5838999999996</c:v>
                </c:pt>
                <c:pt idx="4">
                  <c:v>5244.8028999999997</c:v>
                </c:pt>
                <c:pt idx="5">
                  <c:v>5244.8028999999997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CBE-41E8-8187-2B52BA9FB63B}"/>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KPIs!$D$112:$AH$112</c:f>
              <c:numCache>
                <c:formatCode>_-* #,##0_-;\-* #,##0_-;_-* "-"??_-;_-@_-</c:formatCode>
                <c:ptCount val="31"/>
                <c:pt idx="0">
                  <c:v>1078.5735999999999</c:v>
                </c:pt>
                <c:pt idx="1">
                  <c:v>2144.5911999999998</c:v>
                </c:pt>
                <c:pt idx="2">
                  <c:v>2792.8896</c:v>
                </c:pt>
                <c:pt idx="3">
                  <c:v>3546.6205</c:v>
                </c:pt>
                <c:pt idx="4">
                  <c:v>4285.2205000000004</c:v>
                </c:pt>
                <c:pt idx="5">
                  <c:v>4285.2205000000004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1CBE-41E8-8187-2B52BA9FB63B}"/>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KPIs!$C$119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KPIs!$D$120:$AH$120</c:f>
              <c:numCache>
                <c:formatCode>_-* #,##0_-;\-* #,##0_-;_-* "-"??_-;_-@_-</c:formatCode>
                <c:ptCount val="31"/>
                <c:pt idx="0">
                  <c:v>1173.8711999999996</c:v>
                </c:pt>
                <c:pt idx="1">
                  <c:v>2347.7423999999992</c:v>
                </c:pt>
                <c:pt idx="2">
                  <c:v>3521.6135999999988</c:v>
                </c:pt>
                <c:pt idx="3">
                  <c:v>4695.4847999999984</c:v>
                </c:pt>
                <c:pt idx="4">
                  <c:v>5282.4203999999982</c:v>
                </c:pt>
                <c:pt idx="5">
                  <c:v>6456.2915999999977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8C29-49E7-A318-43E05F0F189C}"/>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GOLD (kg)</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KPIs!$C$31</c:f>
              <c:strCache>
                <c:ptCount val="1"/>
                <c:pt idx="0">
                  <c:v>Broken</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KPIs!$D$159:$AH$159</c:f>
              <c:numCache>
                <c:formatCode>0.0</c:formatCode>
                <c:ptCount val="31"/>
                <c:pt idx="0">
                  <c:v>3.2918700000000003</c:v>
                </c:pt>
                <c:pt idx="1">
                  <c:v>2.9274299999999998</c:v>
                </c:pt>
                <c:pt idx="2">
                  <c:v>2.8548400000000007</c:v>
                </c:pt>
                <c:pt idx="3">
                  <c:v>3.3567299999999998</c:v>
                </c:pt>
                <c:pt idx="4">
                  <c:v>1.4960800000000001</c:v>
                </c:pt>
                <c:pt idx="5">
                  <c:v>2.77766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0040-4ABA-B711-75550EFE033A}"/>
            </c:ext>
          </c:extLst>
        </c:ser>
        <c:ser>
          <c:idx val="12"/>
          <c:order val="1"/>
          <c:tx>
            <c:strRef>
              <c:f>KPIs!$C$26</c:f>
              <c:strCache>
                <c:ptCount val="1"/>
                <c:pt idx="0">
                  <c:v>Hoisted</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KPIs!$D$171:$AH$171</c:f>
              <c:numCache>
                <c:formatCode>0.0</c:formatCode>
                <c:ptCount val="31"/>
                <c:pt idx="0">
                  <c:v>1.5561800000000001</c:v>
                </c:pt>
                <c:pt idx="1">
                  <c:v>2.0277599999999998</c:v>
                </c:pt>
                <c:pt idx="2">
                  <c:v>1.5146899999999999</c:v>
                </c:pt>
                <c:pt idx="3">
                  <c:v>1.47784</c:v>
                </c:pt>
                <c:pt idx="4">
                  <c:v>2.9140299999999999</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0040-4ABA-B711-75550EFE033A}"/>
            </c:ext>
          </c:extLst>
        </c:ser>
        <c:dLbls>
          <c:showLegendKey val="0"/>
          <c:showVal val="0"/>
          <c:showCatName val="0"/>
          <c:showSerName val="0"/>
          <c:showPercent val="0"/>
          <c:showBubbleSize val="0"/>
        </c:dLbls>
        <c:gapWidth val="100"/>
        <c:axId val="178673376"/>
        <c:axId val="178673856"/>
        <c:extLst/>
      </c:barChart>
      <c:lineChart>
        <c:grouping val="standard"/>
        <c:varyColors val="0"/>
        <c:ser>
          <c:idx val="6"/>
          <c:order val="2"/>
          <c:tx>
            <c:strRef>
              <c:f>KPIs!$C$173</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extLst xmlns:c15="http://schemas.microsoft.com/office/drawing/2012/chart"/>
            </c:numRef>
          </c:cat>
          <c:val>
            <c:numRef>
              <c:f>KPIs!$D$173:$AH$173</c:f>
              <c:numCache>
                <c:formatCode>0.0</c:formatCode>
                <c:ptCount val="31"/>
                <c:pt idx="0">
                  <c:v>1.6300189836448593</c:v>
                </c:pt>
                <c:pt idx="1">
                  <c:v>1.9039106308411213</c:v>
                </c:pt>
                <c:pt idx="2">
                  <c:v>1.9039106308411213</c:v>
                </c:pt>
                <c:pt idx="3">
                  <c:v>1.9039106308411213</c:v>
                </c:pt>
                <c:pt idx="4">
                  <c:v>1.9039106308411213</c:v>
                </c:pt>
                <c:pt idx="5">
                  <c:v>1.9039106308411213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0040-4ABA-B711-75550EFE033A}"/>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GOLD (kg)</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0"/>
          <c:order val="0"/>
          <c:tx>
            <c:strRef>
              <c:f>KPIs!$C$39</c:f>
              <c:strCache>
                <c:ptCount val="1"/>
                <c:pt idx="0">
                  <c:v>Broken</c:v>
                </c:pt>
              </c:strCache>
            </c:strRef>
          </c:tx>
          <c:spPr>
            <a:solidFill>
              <a:srgbClr val="92D050"/>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KPIs!$D$160:$AH$160</c:f>
              <c:numCache>
                <c:formatCode>0.0</c:formatCode>
                <c:ptCount val="31"/>
                <c:pt idx="0">
                  <c:v>3.2918700000000003</c:v>
                </c:pt>
                <c:pt idx="1">
                  <c:v>6.2193000000000005</c:v>
                </c:pt>
                <c:pt idx="2">
                  <c:v>9.0741400000000016</c:v>
                </c:pt>
                <c:pt idx="3">
                  <c:v>12.430870000000002</c:v>
                </c:pt>
                <c:pt idx="4">
                  <c:v>13.926950000000001</c:v>
                </c:pt>
                <c:pt idx="5">
                  <c:v>16.704610000000002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EFE6-4540-9A04-04630515F632}"/>
            </c:ext>
          </c:extLst>
        </c:ser>
        <c:ser>
          <c:idx val="12"/>
          <c:order val="1"/>
          <c:tx>
            <c:strRef>
              <c:f>KPIs!$C$41</c:f>
              <c:strCache>
                <c:ptCount val="1"/>
                <c:pt idx="0">
                  <c:v>Hoisted</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KPIs!$D$172:$AH$172</c:f>
              <c:numCache>
                <c:formatCode>0.0</c:formatCode>
                <c:ptCount val="31"/>
                <c:pt idx="0">
                  <c:v>1.5561800000000001</c:v>
                </c:pt>
                <c:pt idx="1">
                  <c:v>3.5839400000000001</c:v>
                </c:pt>
                <c:pt idx="2">
                  <c:v>5.09863</c:v>
                </c:pt>
                <c:pt idx="3">
                  <c:v>6.5764700000000005</c:v>
                </c:pt>
                <c:pt idx="4">
                  <c:v>9.4905000000000008</c:v>
                </c:pt>
                <c:pt idx="5">
                  <c:v>9.4905000000000008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FE6-4540-9A04-04630515F632}"/>
            </c:ext>
          </c:extLst>
        </c:ser>
        <c:ser>
          <c:idx val="2"/>
          <c:order val="2"/>
          <c:tx>
            <c:strRef>
              <c:f>KPIs!$C$43</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KPIs!$D$184:$AH$184</c:f>
              <c:numCache>
                <c:formatCode>0.0</c:formatCode>
                <c:ptCount val="31"/>
                <c:pt idx="0">
                  <c:v>1.6458629898899999</c:v>
                </c:pt>
                <c:pt idx="1">
                  <c:v>3.8553968394900004</c:v>
                </c:pt>
                <c:pt idx="2">
                  <c:v>5.2876903259700008</c:v>
                </c:pt>
                <c:pt idx="3">
                  <c:v>7.3013808248700007</c:v>
                </c:pt>
                <c:pt idx="4">
                  <c:v>9.4538548259700015</c:v>
                </c:pt>
                <c:pt idx="5">
                  <c:v>9.4538548259700015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EFE6-4540-9A04-04630515F632}"/>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KPIs!$D$178:$AH$178</c:f>
              <c:numCache>
                <c:formatCode>0.0</c:formatCode>
                <c:ptCount val="31"/>
                <c:pt idx="0">
                  <c:v>1.6031917990399998</c:v>
                </c:pt>
                <c:pt idx="1">
                  <c:v>3.5771365889599993</c:v>
                </c:pt>
                <c:pt idx="2">
                  <c:v>5.3876395306399996</c:v>
                </c:pt>
                <c:pt idx="3">
                  <c:v>6.6692081799099991</c:v>
                </c:pt>
                <c:pt idx="4">
                  <c:v>8.6470312599099994</c:v>
                </c:pt>
                <c:pt idx="5">
                  <c:v>8.6470312599099994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EFE6-4540-9A04-04630515F632}"/>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KPIs!$C$185</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KPIs!$D$186:$AH$186</c:f>
              <c:numCache>
                <c:formatCode>0.0</c:formatCode>
                <c:ptCount val="31"/>
                <c:pt idx="0">
                  <c:v>2.6999037599999989</c:v>
                </c:pt>
                <c:pt idx="1">
                  <c:v>5.3998075199999978</c:v>
                </c:pt>
                <c:pt idx="2">
                  <c:v>7.5503395583999975</c:v>
                </c:pt>
                <c:pt idx="3">
                  <c:v>10.169874485788641</c:v>
                </c:pt>
                <c:pt idx="4">
                  <c:v>11.481048019347137</c:v>
                </c:pt>
                <c:pt idx="5">
                  <c:v>14.105237915152353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EFE6-4540-9A04-04630515F632}"/>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GRADE (g/t)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0"/>
          <c:order val="0"/>
          <c:tx>
            <c:strRef>
              <c:f>KPIs!$C$31</c:f>
              <c:strCache>
                <c:ptCount val="1"/>
                <c:pt idx="0">
                  <c:v>Broken</c:v>
                </c:pt>
              </c:strCache>
            </c:strRef>
          </c:tx>
          <c:spPr>
            <a:ln w="19050" cap="rnd">
              <a:solidFill>
                <a:srgbClr val="92D050"/>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KPIs!$D$124:$AH$124</c:f>
              <c:numCache>
                <c:formatCode>0.00</c:formatCode>
                <c:ptCount val="31"/>
                <c:pt idx="0">
                  <c:v>3.5549352051835856</c:v>
                </c:pt>
                <c:pt idx="1">
                  <c:v>3.445595567867036</c:v>
                </c:pt>
                <c:pt idx="2">
                  <c:v>3.2758628158844769</c:v>
                </c:pt>
                <c:pt idx="3">
                  <c:v>3.3175527088337344</c:v>
                </c:pt>
                <c:pt idx="4">
                  <c:v>2.9468789674143041</c:v>
                </c:pt>
                <c:pt idx="5">
                  <c:v>2.92396464204446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4CE4-4D87-8D40-591BC2DFB6B9}"/>
            </c:ext>
          </c:extLst>
        </c:ser>
        <c:ser>
          <c:idx val="12"/>
          <c:order val="1"/>
          <c:tx>
            <c:strRef>
              <c:f>KPIs!$C$33</c:f>
              <c:strCache>
                <c:ptCount val="1"/>
                <c:pt idx="0">
                  <c:v>Hoisted</c:v>
                </c:pt>
              </c:strCache>
            </c:strRef>
          </c:tx>
          <c:spPr>
            <a:ln w="19050" cap="rnd">
              <a:solidFill>
                <a:schemeClr val="accent1"/>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KPIs!$D$136:$AH$136</c:f>
              <c:numCache>
                <c:formatCode>0.00</c:formatCode>
                <c:ptCount val="31"/>
                <c:pt idx="0">
                  <c:v>1.99</c:v>
                </c:pt>
                <c:pt idx="1">
                  <c:v>2.0668627450980392</c:v>
                </c:pt>
                <c:pt idx="2">
                  <c:v>1.9305679666792881</c:v>
                </c:pt>
                <c:pt idx="3">
                  <c:v>1.9045670431508834</c:v>
                </c:pt>
                <c:pt idx="4">
                  <c:v>2.1648038321167884</c:v>
                </c:pt>
                <c:pt idx="5">
                  <c:v>1.7739252336448599</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4CE4-4D87-8D40-591BC2DFB6B9}"/>
            </c:ext>
          </c:extLst>
        </c:ser>
        <c:ser>
          <c:idx val="1"/>
          <c:order val="2"/>
          <c:tx>
            <c:strRef>
              <c:f>KPIs!$C$34</c:f>
              <c:strCache>
                <c:ptCount val="1"/>
                <c:pt idx="0">
                  <c:v>Crushed</c:v>
                </c:pt>
              </c:strCache>
            </c:strRef>
          </c:tx>
          <c:spPr>
            <a:ln w="19050" cap="rnd">
              <a:solidFill>
                <a:schemeClr val="bg2">
                  <a:lumMod val="75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KPIs!$D$142:$AH$142</c:f>
              <c:numCache>
                <c:formatCode>0.00</c:formatCode>
                <c:ptCount val="31"/>
                <c:pt idx="0">
                  <c:v>1.4863999999999999</c:v>
                </c:pt>
                <c:pt idx="1">
                  <c:v>1.6679806337730003</c:v>
                </c:pt>
                <c:pt idx="2">
                  <c:v>1.9290556743238259</c:v>
                </c:pt>
                <c:pt idx="3">
                  <c:v>1.8804403177362785</c:v>
                </c:pt>
                <c:pt idx="4">
                  <c:v>2.0178731199269673</c:v>
                </c:pt>
                <c:pt idx="5">
                  <c:v>2.0178731199269673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4CE4-4D87-8D40-591BC2DFB6B9}"/>
            </c:ext>
          </c:extLst>
        </c:ser>
        <c:ser>
          <c:idx val="2"/>
          <c:order val="3"/>
          <c:tx>
            <c:strRef>
              <c:f>KPIs!$C$35</c:f>
              <c:strCache>
                <c:ptCount val="1"/>
                <c:pt idx="0">
                  <c:v>Milled</c:v>
                </c:pt>
              </c:strCache>
            </c:strRef>
          </c:tx>
          <c:spPr>
            <a:ln w="28575" cap="rnd">
              <a:solidFill>
                <a:schemeClr val="accent4">
                  <a:lumMod val="60000"/>
                  <a:lumOff val="40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KPIs!$D$148:$AH$148</c:f>
              <c:numCache>
                <c:formatCode>0.00</c:formatCode>
                <c:ptCount val="31"/>
                <c:pt idx="0">
                  <c:v>1.3227</c:v>
                </c:pt>
                <c:pt idx="1">
                  <c:v>1.614746973201352</c:v>
                </c:pt>
                <c:pt idx="2">
                  <c:v>1.7319331080825913</c:v>
                </c:pt>
                <c:pt idx="3">
                  <c:v>1.7477520499037735</c:v>
                </c:pt>
                <c:pt idx="4">
                  <c:v>1.8025186086535305</c:v>
                </c:pt>
                <c:pt idx="5">
                  <c:v>1.8025186086535305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4CE4-4D87-8D40-591BC2DFB6B9}"/>
            </c:ext>
          </c:extLst>
        </c:ser>
        <c:ser>
          <c:idx val="6"/>
          <c:order val="4"/>
          <c:tx>
            <c:strRef>
              <c:f>KPIs!$C$149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KPIs!$D$150:$AH$150</c:f>
              <c:numCache>
                <c:formatCode>0.00</c:formatCode>
                <c:ptCount val="31"/>
                <c:pt idx="0">
                  <c:v>2.2999999999999998</c:v>
                </c:pt>
                <c:pt idx="1">
                  <c:v>2.2999999999999998</c:v>
                </c:pt>
                <c:pt idx="2">
                  <c:v>2.1440000000000001</c:v>
                </c:pt>
                <c:pt idx="3">
                  <c:v>2.165883805179956</c:v>
                </c:pt>
                <c:pt idx="4">
                  <c:v>2.1734445859983316</c:v>
                </c:pt>
                <c:pt idx="5">
                  <c:v>2.1847275168228704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4CE4-4D87-8D40-591BC2DFB6B9}"/>
            </c:ext>
          </c:extLst>
        </c:ser>
        <c:dLbls>
          <c:showLegendKey val="0"/>
          <c:showVal val="0"/>
          <c:showCatName val="0"/>
          <c:showSerName val="0"/>
          <c:showPercent val="0"/>
          <c:showBubbleSize val="0"/>
        </c:dLbls>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GRADE (g/t)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0"/>
          <c:order val="0"/>
          <c:tx>
            <c:strRef>
              <c:f>KPIs!$C$31</c:f>
              <c:strCache>
                <c:ptCount val="1"/>
                <c:pt idx="0">
                  <c:v>Broken</c:v>
                </c:pt>
              </c:strCache>
            </c:strRef>
          </c:tx>
          <c:spPr>
            <a:ln w="19050" cap="rnd">
              <a:solidFill>
                <a:srgbClr val="92D050"/>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KPIs!$D$123:$AH$123</c:f>
              <c:numCache>
                <c:formatCode>0.00</c:formatCode>
                <c:ptCount val="31"/>
                <c:pt idx="0">
                  <c:v>3.5549352051835856</c:v>
                </c:pt>
                <c:pt idx="1">
                  <c:v>3.330409556313993</c:v>
                </c:pt>
                <c:pt idx="2">
                  <c:v>2.9583834196891199</c:v>
                </c:pt>
                <c:pt idx="3">
                  <c:v>3.4357523029682699</c:v>
                </c:pt>
                <c:pt idx="4">
                  <c:v>1.5281716036772217</c:v>
                </c:pt>
                <c:pt idx="5">
                  <c:v>2.8142451874366765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0-A73D-4F54-B8BC-48554DC30F91}"/>
            </c:ext>
          </c:extLst>
        </c:ser>
        <c:ser>
          <c:idx val="12"/>
          <c:order val="1"/>
          <c:tx>
            <c:strRef>
              <c:f>KPIs!$C$33</c:f>
              <c:strCache>
                <c:ptCount val="1"/>
                <c:pt idx="0">
                  <c:v>Hoisted</c:v>
                </c:pt>
              </c:strCache>
            </c:strRef>
          </c:tx>
          <c:spPr>
            <a:ln w="19050" cap="rnd">
              <a:solidFill>
                <a:schemeClr val="accent1"/>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KPIs!$D$135:$AH$135</c:f>
              <c:numCache>
                <c:formatCode>0.00</c:formatCode>
                <c:ptCount val="31"/>
                <c:pt idx="0">
                  <c:v>1.99</c:v>
                </c:pt>
                <c:pt idx="1">
                  <c:v>2.13</c:v>
                </c:pt>
                <c:pt idx="2">
                  <c:v>1.6699999999999997</c:v>
                </c:pt>
                <c:pt idx="3">
                  <c:v>1.8200000000000003</c:v>
                </c:pt>
                <c:pt idx="4">
                  <c:v>3.13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1-A73D-4F54-B8BC-48554DC30F91}"/>
            </c:ext>
          </c:extLst>
        </c:ser>
        <c:ser>
          <c:idx val="1"/>
          <c:order val="2"/>
          <c:tx>
            <c:strRef>
              <c:f>KPIs!$C$34</c:f>
              <c:strCache>
                <c:ptCount val="1"/>
                <c:pt idx="0">
                  <c:v>Crushed</c:v>
                </c:pt>
              </c:strCache>
            </c:strRef>
          </c:tx>
          <c:spPr>
            <a:ln w="19050" cap="rnd">
              <a:solidFill>
                <a:schemeClr val="bg2">
                  <a:lumMod val="75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KPIs!$D$141:$AH$141</c:f>
              <c:numCache>
                <c:formatCode>0.00</c:formatCode>
                <c:ptCount val="31"/>
                <c:pt idx="0">
                  <c:v>1.4863999999999999</c:v>
                </c:pt>
                <c:pt idx="1">
                  <c:v>1.8516999999999999</c:v>
                </c:pt>
                <c:pt idx="2">
                  <c:v>2.7927</c:v>
                </c:pt>
                <c:pt idx="3">
                  <c:v>1.7002999999999999</c:v>
                </c:pt>
                <c:pt idx="4">
                  <c:v>2.6778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2-A73D-4F54-B8BC-48554DC30F91}"/>
            </c:ext>
          </c:extLst>
        </c:ser>
        <c:ser>
          <c:idx val="2"/>
          <c:order val="3"/>
          <c:tx>
            <c:strRef>
              <c:f>KPIs!$C$35</c:f>
              <c:strCache>
                <c:ptCount val="1"/>
                <c:pt idx="0">
                  <c:v>Milled</c:v>
                </c:pt>
              </c:strCache>
            </c:strRef>
          </c:tx>
          <c:spPr>
            <a:ln w="19050" cap="rnd">
              <a:solidFill>
                <a:schemeClr val="accent4">
                  <a:lumMod val="60000"/>
                  <a:lumOff val="40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KPIs!$D$147:$AH$147</c:f>
              <c:numCache>
                <c:formatCode>0.00</c:formatCode>
                <c:ptCount val="31"/>
                <c:pt idx="0">
                  <c:v>1.3227</c:v>
                </c:pt>
                <c:pt idx="1">
                  <c:v>1.9326000000000003</c:v>
                </c:pt>
                <c:pt idx="2">
                  <c:v>2.1524000000000001</c:v>
                </c:pt>
                <c:pt idx="3">
                  <c:v>1.7907</c:v>
                </c:pt>
                <c:pt idx="4">
                  <c:v>2.0169000000000001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73D-4F54-B8BC-48554DC30F91}"/>
            </c:ext>
          </c:extLst>
        </c:ser>
        <c:ser>
          <c:idx val="6"/>
          <c:order val="4"/>
          <c:tx>
            <c:strRef>
              <c:f>KPIs!$C$149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KPIs!$D$149:$AH$149</c:f>
              <c:numCache>
                <c:formatCode>0.00</c:formatCode>
                <c:ptCount val="31"/>
                <c:pt idx="0">
                  <c:v>2.2999999999999998</c:v>
                </c:pt>
                <c:pt idx="1">
                  <c:v>2.3000000000000003</c:v>
                </c:pt>
                <c:pt idx="2">
                  <c:v>1.8320000000000001</c:v>
                </c:pt>
                <c:pt idx="3">
                  <c:v>2.2315352207198247</c:v>
                </c:pt>
                <c:pt idx="4">
                  <c:v>2.2339308325453358</c:v>
                </c:pt>
                <c:pt idx="5">
                  <c:v>2.2355007055332963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4-A73D-4F54-B8BC-48554DC30F91}"/>
            </c:ext>
          </c:extLst>
        </c:ser>
        <c:dLbls>
          <c:showLegendKey val="0"/>
          <c:showVal val="0"/>
          <c:showCatName val="0"/>
          <c:showSerName val="0"/>
          <c:showPercent val="0"/>
          <c:showBubbleSize val="0"/>
        </c:dLbls>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TONNES (t)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12"/>
          <c:order val="0"/>
          <c:tx>
            <c:strRef>
              <c:f>KPIs!$C$26</c:f>
              <c:strCache>
                <c:ptCount val="1"/>
                <c:pt idx="0">
                  <c:v>Hoisted</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KPIs!$D$105:$AH$105</c:f>
              <c:numCache>
                <c:formatCode>_-* #,##0_-;\-* #,##0_-;_-* "-"??_-;_-@_-</c:formatCode>
                <c:ptCount val="31"/>
                <c:pt idx="0">
                  <c:v>782</c:v>
                </c:pt>
                <c:pt idx="1">
                  <c:v>952</c:v>
                </c:pt>
                <c:pt idx="2">
                  <c:v>907</c:v>
                </c:pt>
                <c:pt idx="3">
                  <c:v>812</c:v>
                </c:pt>
                <c:pt idx="4">
                  <c:v>931</c:v>
                </c:pt>
                <c:pt idx="5">
                  <c:v>966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5FB7-4715-8E5E-578AED5E572F}"/>
            </c:ext>
          </c:extLst>
        </c:ser>
        <c:ser>
          <c:idx val="0"/>
          <c:order val="1"/>
          <c:tx>
            <c:strRef>
              <c:f>KPIs!$C$31</c:f>
              <c:strCache>
                <c:ptCount val="1"/>
                <c:pt idx="0">
                  <c:v>Broken</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KPIs!$D$93:$AH$93</c:f>
              <c:numCache>
                <c:formatCode>_-* #,##0_-;\-* #,##0_-;_-* "-"??_-;_-@_-</c:formatCode>
                <c:ptCount val="31"/>
                <c:pt idx="0">
                  <c:v>926</c:v>
                </c:pt>
                <c:pt idx="1">
                  <c:v>879</c:v>
                </c:pt>
                <c:pt idx="2">
                  <c:v>965</c:v>
                </c:pt>
                <c:pt idx="3">
                  <c:v>977</c:v>
                </c:pt>
                <c:pt idx="4">
                  <c:v>979</c:v>
                </c:pt>
                <c:pt idx="5">
                  <c:v>987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5FB7-4715-8E5E-578AED5E572F}"/>
            </c:ext>
          </c:extLst>
        </c:ser>
        <c:ser>
          <c:idx val="2"/>
          <c:order val="2"/>
          <c:tx>
            <c:strRef>
              <c:f>KPIs!$C$28</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KPIs!$D$117:$AH$117</c:f>
              <c:numCache>
                <c:formatCode>_-* #,##0_-;\-* #,##0_-;_-* "-"??_-;_-@_-</c:formatCode>
                <c:ptCount val="31"/>
                <c:pt idx="0">
                  <c:v>1244.3207</c:v>
                </c:pt>
                <c:pt idx="1">
                  <c:v>1143.296</c:v>
                </c:pt>
                <c:pt idx="2">
                  <c:v>665.4402</c:v>
                </c:pt>
                <c:pt idx="3">
                  <c:v>1124.527</c:v>
                </c:pt>
                <c:pt idx="4">
                  <c:v>1067.2190000000001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5FB7-4715-8E5E-578AED5E572F}"/>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KPIs!$D$111:$AH$111</c:f>
              <c:numCache>
                <c:formatCode>_-* #,##0_-;\-* #,##0_-;_-* "-"??_-;_-@_-</c:formatCode>
                <c:ptCount val="31"/>
                <c:pt idx="0">
                  <c:v>1078.5735999999999</c:v>
                </c:pt>
                <c:pt idx="1">
                  <c:v>1066.0175999999999</c:v>
                </c:pt>
                <c:pt idx="2">
                  <c:v>648.29840000000002</c:v>
                </c:pt>
                <c:pt idx="3">
                  <c:v>753.73090000000002</c:v>
                </c:pt>
                <c:pt idx="4">
                  <c:v>738.6</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5FB7-4715-8E5E-578AED5E572F}"/>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KPIs!$C$119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KPIs!$D$119:$AH$119</c:f>
              <c:numCache>
                <c:formatCode>_-* #,##0_-;\-* #,##0_-;_-* "-"??_-;_-@_-</c:formatCode>
                <c:ptCount val="31"/>
                <c:pt idx="0">
                  <c:v>1173.8711999999996</c:v>
                </c:pt>
                <c:pt idx="1">
                  <c:v>1173.8711999999996</c:v>
                </c:pt>
                <c:pt idx="2">
                  <c:v>1173.8711999999996</c:v>
                </c:pt>
                <c:pt idx="3">
                  <c:v>1173.8711999999996</c:v>
                </c:pt>
                <c:pt idx="4">
                  <c:v>586.93559999999979</c:v>
                </c:pt>
                <c:pt idx="5">
                  <c:v>1173.8711999999996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5FB7-4715-8E5E-578AED5E572F}"/>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W"/>
              <a:t>Lobe Daily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'Hoisting Charts'!$B$3</c:f>
              <c:strCache>
                <c:ptCount val="1"/>
                <c:pt idx="0">
                  <c:v>Budget (t)</c:v>
                </c:pt>
              </c:strCache>
            </c:strRef>
          </c:tx>
          <c:spPr>
            <a:ln w="28575" cap="rnd">
              <a:solidFill>
                <a:schemeClr val="accent1"/>
              </a:solidFill>
              <a:round/>
            </a:ln>
            <a:effectLst/>
          </c:spPr>
          <c:marker>
            <c:symbol val="none"/>
          </c:marker>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Charts'!$C$3:$AG$3</c:f>
              <c:numCache>
                <c:formatCode>#,##0</c:formatCode>
                <c:ptCount val="31"/>
                <c:pt idx="0">
                  <c:v>390</c:v>
                </c:pt>
                <c:pt idx="1">
                  <c:v>500</c:v>
                </c:pt>
                <c:pt idx="2">
                  <c:v>500</c:v>
                </c:pt>
                <c:pt idx="3">
                  <c:v>500</c:v>
                </c:pt>
                <c:pt idx="4">
                  <c:v>500</c:v>
                </c:pt>
                <c:pt idx="5">
                  <c:v>500</c:v>
                </c:pt>
                <c:pt idx="6">
                  <c:v>500</c:v>
                </c:pt>
                <c:pt idx="7">
                  <c:v>390</c:v>
                </c:pt>
                <c:pt idx="8">
                  <c:v>500</c:v>
                </c:pt>
                <c:pt idx="9">
                  <c:v>500</c:v>
                </c:pt>
                <c:pt idx="10">
                  <c:v>0</c:v>
                </c:pt>
                <c:pt idx="11">
                  <c:v>0</c:v>
                </c:pt>
                <c:pt idx="12">
                  <c:v>500</c:v>
                </c:pt>
                <c:pt idx="13">
                  <c:v>500</c:v>
                </c:pt>
                <c:pt idx="14">
                  <c:v>390</c:v>
                </c:pt>
                <c:pt idx="15">
                  <c:v>500</c:v>
                </c:pt>
                <c:pt idx="16">
                  <c:v>500</c:v>
                </c:pt>
                <c:pt idx="17">
                  <c:v>500</c:v>
                </c:pt>
                <c:pt idx="18">
                  <c:v>390</c:v>
                </c:pt>
                <c:pt idx="19">
                  <c:v>500</c:v>
                </c:pt>
                <c:pt idx="20">
                  <c:v>500</c:v>
                </c:pt>
                <c:pt idx="21">
                  <c:v>500</c:v>
                </c:pt>
                <c:pt idx="22">
                  <c:v>500</c:v>
                </c:pt>
                <c:pt idx="23">
                  <c:v>500</c:v>
                </c:pt>
                <c:pt idx="24">
                  <c:v>500</c:v>
                </c:pt>
                <c:pt idx="25">
                  <c:v>500</c:v>
                </c:pt>
                <c:pt idx="26">
                  <c:v>500</c:v>
                </c:pt>
                <c:pt idx="27">
                  <c:v>500</c:v>
                </c:pt>
                <c:pt idx="28">
                  <c:v>390</c:v>
                </c:pt>
                <c:pt idx="29">
                  <c:v>500</c:v>
                </c:pt>
                <c:pt idx="30">
                  <c:v>500</c:v>
                </c:pt>
              </c:numCache>
            </c:numRef>
          </c:val>
          <c:smooth val="0"/>
          <c:extLst>
            <c:ext xmlns:c16="http://schemas.microsoft.com/office/drawing/2014/chart" uri="{C3380CC4-5D6E-409C-BE32-E72D297353CC}">
              <c16:uniqueId val="{00000000-19BA-49AA-9986-C749CAEFFB3C}"/>
            </c:ext>
          </c:extLst>
        </c:ser>
        <c:ser>
          <c:idx val="1"/>
          <c:order val="1"/>
          <c:tx>
            <c:strRef>
              <c:f>'Hoisting Charts'!$B$4</c:f>
              <c:strCache>
                <c:ptCount val="1"/>
                <c:pt idx="0">
                  <c:v>Actual (t)</c:v>
                </c:pt>
              </c:strCache>
            </c:strRef>
          </c:tx>
          <c:spPr>
            <a:ln w="28575" cap="rnd">
              <a:solidFill>
                <a:schemeClr val="accent2"/>
              </a:solidFill>
              <a:round/>
            </a:ln>
            <a:effectLst/>
          </c:spPr>
          <c:marker>
            <c:symbol val="none"/>
          </c:marker>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Charts'!$C$4:$AG$4</c:f>
              <c:numCache>
                <c:formatCode>#,##0</c:formatCode>
                <c:ptCount val="31"/>
                <c:pt idx="0">
                  <c:v>336</c:v>
                </c:pt>
                <c:pt idx="1">
                  <c:v>581</c:v>
                </c:pt>
                <c:pt idx="2">
                  <c:v>525</c:v>
                </c:pt>
                <c:pt idx="3">
                  <c:v>364</c:v>
                </c:pt>
                <c:pt idx="4">
                  <c:v>535.5</c:v>
                </c:pt>
                <c:pt idx="5">
                  <c:v>518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formatCode="_(* #,##0_);_(* \(#,##0\);_(* &quot;-&quot;_);_(@_)">
                  <c:v>0</c:v>
                </c:pt>
                <c:pt idx="25" formatCode="_(* #,##0_);_(* \(#,##0\);_(* &quot;-&quot;_);_(@_)">
                  <c:v>0</c:v>
                </c:pt>
                <c:pt idx="26" formatCode="_(* #,##0_);_(* \(#,##0\);_(* &quot;-&quot;_);_(@_)">
                  <c:v>0</c:v>
                </c:pt>
                <c:pt idx="27" formatCode="_(* #,##0_);_(* \(#,##0\);_(* &quot;-&quot;_);_(@_)">
                  <c:v>0</c:v>
                </c:pt>
                <c:pt idx="28" formatCode="_(* #,##0_);_(* \(#,##0\);_(* &quot;-&quot;_);_(@_)">
                  <c:v>0</c:v>
                </c:pt>
                <c:pt idx="29" formatCode="_(* #,##0_);_(* \(#,##0\);_(* &quot;-&quot;_);_(@_)">
                  <c:v>0</c:v>
                </c:pt>
                <c:pt idx="30" formatCode="_(* #,##0_);_(* \(#,##0\);_(* &quot;-&quot;_);_(@_)">
                  <c:v>0</c:v>
                </c:pt>
              </c:numCache>
            </c:numRef>
          </c:val>
          <c:smooth val="0"/>
          <c:extLst>
            <c:ext xmlns:c16="http://schemas.microsoft.com/office/drawing/2014/chart" uri="{C3380CC4-5D6E-409C-BE32-E72D297353CC}">
              <c16:uniqueId val="{00000001-19BA-49AA-9986-C749CAEFFB3C}"/>
            </c:ext>
          </c:extLst>
        </c:ser>
        <c:dLbls>
          <c:showLegendKey val="0"/>
          <c:showVal val="0"/>
          <c:showCatName val="0"/>
          <c:showSerName val="0"/>
          <c:showPercent val="0"/>
          <c:showBubbleSize val="0"/>
        </c:dLbls>
        <c:smooth val="0"/>
        <c:axId val="1237153856"/>
        <c:axId val="1237154336"/>
      </c:lineChart>
      <c:dateAx>
        <c:axId val="123715385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4336"/>
        <c:crosses val="autoZero"/>
        <c:auto val="1"/>
        <c:lblOffset val="100"/>
        <c:baseTimeUnit val="days"/>
      </c:dateAx>
      <c:valAx>
        <c:axId val="123715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W"/>
              <a:t>Lobe Cum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'Hoisting Charts'!$B$5</c:f>
              <c:strCache>
                <c:ptCount val="1"/>
                <c:pt idx="0">
                  <c:v>Cum Budget (t)</c:v>
                </c:pt>
              </c:strCache>
            </c:strRef>
          </c:tx>
          <c:spPr>
            <a:solidFill>
              <a:schemeClr val="accent3"/>
            </a:solidFill>
            <a:ln>
              <a:noFill/>
            </a:ln>
            <a:effectLst/>
          </c:spPr>
          <c:invertIfNegative val="0"/>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Charts'!$C$5:$AG$5</c:f>
              <c:numCache>
                <c:formatCode>#,##0</c:formatCode>
                <c:ptCount val="31"/>
                <c:pt idx="0">
                  <c:v>390</c:v>
                </c:pt>
                <c:pt idx="1">
                  <c:v>890</c:v>
                </c:pt>
                <c:pt idx="2">
                  <c:v>1390</c:v>
                </c:pt>
                <c:pt idx="3">
                  <c:v>1890</c:v>
                </c:pt>
                <c:pt idx="4">
                  <c:v>2390</c:v>
                </c:pt>
                <c:pt idx="5">
                  <c:v>2890</c:v>
                </c:pt>
                <c:pt idx="6">
                  <c:v>3390</c:v>
                </c:pt>
                <c:pt idx="7">
                  <c:v>3780</c:v>
                </c:pt>
                <c:pt idx="8">
                  <c:v>4280</c:v>
                </c:pt>
                <c:pt idx="9">
                  <c:v>4780</c:v>
                </c:pt>
                <c:pt idx="10">
                  <c:v>4780</c:v>
                </c:pt>
                <c:pt idx="11">
                  <c:v>4780</c:v>
                </c:pt>
                <c:pt idx="12">
                  <c:v>5280</c:v>
                </c:pt>
                <c:pt idx="13">
                  <c:v>5780</c:v>
                </c:pt>
                <c:pt idx="14">
                  <c:v>6170</c:v>
                </c:pt>
                <c:pt idx="15">
                  <c:v>6670</c:v>
                </c:pt>
                <c:pt idx="16">
                  <c:v>7170</c:v>
                </c:pt>
                <c:pt idx="17">
                  <c:v>7670</c:v>
                </c:pt>
                <c:pt idx="18">
                  <c:v>8060</c:v>
                </c:pt>
                <c:pt idx="19">
                  <c:v>8560</c:v>
                </c:pt>
                <c:pt idx="20">
                  <c:v>9060</c:v>
                </c:pt>
                <c:pt idx="21">
                  <c:v>9560</c:v>
                </c:pt>
                <c:pt idx="22">
                  <c:v>10060</c:v>
                </c:pt>
                <c:pt idx="23">
                  <c:v>10560</c:v>
                </c:pt>
                <c:pt idx="24">
                  <c:v>11060</c:v>
                </c:pt>
                <c:pt idx="25">
                  <c:v>11560</c:v>
                </c:pt>
                <c:pt idx="26">
                  <c:v>12060</c:v>
                </c:pt>
                <c:pt idx="27">
                  <c:v>12560</c:v>
                </c:pt>
                <c:pt idx="28">
                  <c:v>12950</c:v>
                </c:pt>
                <c:pt idx="29">
                  <c:v>13450</c:v>
                </c:pt>
                <c:pt idx="30">
                  <c:v>13950</c:v>
                </c:pt>
              </c:numCache>
            </c:numRef>
          </c:val>
          <c:extLst>
            <c:ext xmlns:c16="http://schemas.microsoft.com/office/drawing/2014/chart" uri="{C3380CC4-5D6E-409C-BE32-E72D297353CC}">
              <c16:uniqueId val="{00000002-6EE3-4702-AD6C-E6F72388534F}"/>
            </c:ext>
          </c:extLst>
        </c:ser>
        <c:ser>
          <c:idx val="3"/>
          <c:order val="1"/>
          <c:tx>
            <c:strRef>
              <c:f>'Hoisting Charts'!$B$6</c:f>
              <c:strCache>
                <c:ptCount val="1"/>
                <c:pt idx="0">
                  <c:v>Cum Actual (t)</c:v>
                </c:pt>
              </c:strCache>
            </c:strRef>
          </c:tx>
          <c:spPr>
            <a:solidFill>
              <a:schemeClr val="accent4"/>
            </a:solidFill>
            <a:ln>
              <a:noFill/>
            </a:ln>
            <a:effectLst/>
          </c:spPr>
          <c:invertIfNegative val="0"/>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Charts'!$C$6:$AG$6</c:f>
              <c:numCache>
                <c:formatCode>#,##0</c:formatCode>
                <c:ptCount val="31"/>
                <c:pt idx="0">
                  <c:v>336</c:v>
                </c:pt>
                <c:pt idx="1">
                  <c:v>917</c:v>
                </c:pt>
                <c:pt idx="2">
                  <c:v>1442</c:v>
                </c:pt>
                <c:pt idx="3">
                  <c:v>1806</c:v>
                </c:pt>
                <c:pt idx="4">
                  <c:v>2341.5</c:v>
                </c:pt>
                <c:pt idx="5">
                  <c:v>2859.5</c:v>
                </c:pt>
                <c:pt idx="6">
                  <c:v>2859.5</c:v>
                </c:pt>
                <c:pt idx="7">
                  <c:v>2859.5</c:v>
                </c:pt>
                <c:pt idx="8">
                  <c:v>2859.5</c:v>
                </c:pt>
                <c:pt idx="9">
                  <c:v>2859.5</c:v>
                </c:pt>
                <c:pt idx="10">
                  <c:v>2859.5</c:v>
                </c:pt>
                <c:pt idx="11">
                  <c:v>2859.5</c:v>
                </c:pt>
                <c:pt idx="12">
                  <c:v>2859.5</c:v>
                </c:pt>
                <c:pt idx="13">
                  <c:v>2859.5</c:v>
                </c:pt>
                <c:pt idx="14">
                  <c:v>2859.5</c:v>
                </c:pt>
                <c:pt idx="15">
                  <c:v>2859.5</c:v>
                </c:pt>
                <c:pt idx="16">
                  <c:v>2859.5</c:v>
                </c:pt>
                <c:pt idx="17">
                  <c:v>2859.5</c:v>
                </c:pt>
                <c:pt idx="18">
                  <c:v>2859.5</c:v>
                </c:pt>
                <c:pt idx="19">
                  <c:v>2859.5</c:v>
                </c:pt>
                <c:pt idx="20">
                  <c:v>2859.5</c:v>
                </c:pt>
                <c:pt idx="21">
                  <c:v>2859.5</c:v>
                </c:pt>
                <c:pt idx="22">
                  <c:v>2859.5</c:v>
                </c:pt>
                <c:pt idx="23">
                  <c:v>2859.5</c:v>
                </c:pt>
                <c:pt idx="24">
                  <c:v>2859.5</c:v>
                </c:pt>
                <c:pt idx="25">
                  <c:v>2859.5</c:v>
                </c:pt>
                <c:pt idx="26">
                  <c:v>2859.5</c:v>
                </c:pt>
                <c:pt idx="27">
                  <c:v>2859.5</c:v>
                </c:pt>
                <c:pt idx="28">
                  <c:v>2859.5</c:v>
                </c:pt>
                <c:pt idx="29">
                  <c:v>2859.5</c:v>
                </c:pt>
                <c:pt idx="30">
                  <c:v>2859.5</c:v>
                </c:pt>
              </c:numCache>
            </c:numRef>
          </c:val>
          <c:extLst>
            <c:ext xmlns:c16="http://schemas.microsoft.com/office/drawing/2014/chart" uri="{C3380CC4-5D6E-409C-BE32-E72D297353CC}">
              <c16:uniqueId val="{00000003-6EE3-4702-AD6C-E6F72388534F}"/>
            </c:ext>
          </c:extLst>
        </c:ser>
        <c:dLbls>
          <c:showLegendKey val="0"/>
          <c:showVal val="0"/>
          <c:showCatName val="0"/>
          <c:showSerName val="0"/>
          <c:showPercent val="0"/>
          <c:showBubbleSize val="0"/>
        </c:dLbls>
        <c:gapWidth val="150"/>
        <c:axId val="1237153856"/>
        <c:axId val="1237154336"/>
      </c:barChart>
      <c:dateAx>
        <c:axId val="123715385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4336"/>
        <c:crosses val="autoZero"/>
        <c:auto val="1"/>
        <c:lblOffset val="100"/>
        <c:baseTimeUnit val="days"/>
      </c:dateAx>
      <c:valAx>
        <c:axId val="123715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(2)'!$C$36</c:f>
          <c:strCache>
            <c:ptCount val="1"/>
            <c:pt idx="0">
              <c:v>CAPEX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0"/>
          <c:tx>
            <c:strRef>
              <c:f>'KPIs (2)'!$C$37</c:f>
              <c:strCache>
                <c:ptCount val="1"/>
                <c:pt idx="0">
                  <c:v>Actual</c:v>
                </c:pt>
              </c:strCache>
            </c:strRef>
          </c:tx>
          <c:spPr>
            <a:solidFill>
              <a:schemeClr val="accent2"/>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(2)'!$D$37:$AH$37</c:f>
              <c:numCache>
                <c:formatCode>_-* #,##0.0_-;\-* #,##0.0_-;_-* "-"??_-;_-@_-</c:formatCode>
                <c:ptCount val="31"/>
                <c:pt idx="0">
                  <c:v>5.7</c:v>
                </c:pt>
                <c:pt idx="1">
                  <c:v>4.9000000000000004</c:v>
                </c:pt>
                <c:pt idx="2">
                  <c:v>2.9000000000000004</c:v>
                </c:pt>
                <c:pt idx="3">
                  <c:v>3.8</c:v>
                </c:pt>
                <c:pt idx="4">
                  <c:v>4</c:v>
                </c:pt>
                <c:pt idx="5">
                  <c:v>3.8000000000000003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88DC-4945-8409-51C2C54F8844}"/>
            </c:ext>
          </c:extLst>
        </c:ser>
        <c:ser>
          <c:idx val="3"/>
          <c:order val="1"/>
          <c:tx>
            <c:strRef>
              <c:f>'KPIs (2)'!$C$39</c:f>
              <c:strCache>
                <c:ptCount val="1"/>
                <c:pt idx="0">
                  <c:v>Plan</c:v>
                </c:pt>
              </c:strCache>
            </c:strRef>
          </c:tx>
          <c:spPr>
            <a:solidFill>
              <a:schemeClr val="accent4"/>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(2)'!$D$39:$AH$39</c:f>
              <c:numCache>
                <c:formatCode>_-* #,##0.0_-;\-* #,##0.0_-;_-* "-"??_-;_-@_-</c:formatCode>
                <c:ptCount val="31"/>
                <c:pt idx="0">
                  <c:v>3.6</c:v>
                </c:pt>
                <c:pt idx="1">
                  <c:v>3.6</c:v>
                </c:pt>
                <c:pt idx="2">
                  <c:v>0.9</c:v>
                </c:pt>
                <c:pt idx="3">
                  <c:v>3.6</c:v>
                </c:pt>
                <c:pt idx="4">
                  <c:v>2.7</c:v>
                </c:pt>
                <c:pt idx="5">
                  <c:v>4.9000000000000004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88DC-4945-8409-51C2C54F8844}"/>
            </c:ext>
          </c:extLst>
        </c:ser>
        <c:dLbls>
          <c:showLegendKey val="0"/>
          <c:showVal val="0"/>
          <c:showCatName val="0"/>
          <c:showSerName val="0"/>
          <c:showPercent val="0"/>
          <c:showBubbleSize val="0"/>
        </c:dLbls>
        <c:gapWidth val="219"/>
        <c:overlap val="-27"/>
        <c:axId val="1827492240"/>
        <c:axId val="1827494160"/>
      </c:barChart>
      <c:dateAx>
        <c:axId val="182749224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4160"/>
        <c:crosses val="autoZero"/>
        <c:auto val="1"/>
        <c:lblOffset val="100"/>
        <c:baseTimeUnit val="days"/>
      </c:dateAx>
      <c:valAx>
        <c:axId val="182749416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(2)'!$C$36</c:f>
          <c:strCache>
            <c:ptCount val="1"/>
            <c:pt idx="0">
              <c:v>CAPEX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2"/>
          <c:order val="0"/>
          <c:tx>
            <c:strRef>
              <c:f>'KPIs (2)'!$C$38</c:f>
              <c:strCache>
                <c:ptCount val="1"/>
                <c:pt idx="0">
                  <c:v>Cum. Actual</c:v>
                </c:pt>
              </c:strCache>
            </c:strRef>
          </c:tx>
          <c:spPr>
            <a:ln w="28575" cap="rnd">
              <a:solidFill>
                <a:schemeClr val="accent3"/>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(2)'!$D$38:$AH$38</c:f>
              <c:numCache>
                <c:formatCode>_-* #,##0_-;\-* #,##0_-;_-* "-"??_-;_-@_-</c:formatCode>
                <c:ptCount val="31"/>
                <c:pt idx="0">
                  <c:v>5.7</c:v>
                </c:pt>
                <c:pt idx="1">
                  <c:v>10.600000000000001</c:v>
                </c:pt>
                <c:pt idx="2">
                  <c:v>13.500000000000002</c:v>
                </c:pt>
                <c:pt idx="3">
                  <c:v>17.3</c:v>
                </c:pt>
                <c:pt idx="4">
                  <c:v>21.3</c:v>
                </c:pt>
                <c:pt idx="5">
                  <c:v>25.1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AEA8-4DEB-801A-DF8D33A9753B}"/>
            </c:ext>
          </c:extLst>
        </c:ser>
        <c:ser>
          <c:idx val="4"/>
          <c:order val="1"/>
          <c:tx>
            <c:strRef>
              <c:f>'KPIs (2)'!$C$40</c:f>
              <c:strCache>
                <c:ptCount val="1"/>
                <c:pt idx="0">
                  <c:v>Cum. Plan</c:v>
                </c:pt>
              </c:strCache>
            </c:strRef>
          </c:tx>
          <c:spPr>
            <a:ln w="28575" cap="rnd">
              <a:solidFill>
                <a:schemeClr val="accent5"/>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(2)'!$D$40:$AH$40</c:f>
              <c:numCache>
                <c:formatCode>_-* #,##0.0_-;\-* #,##0.0_-;_-* "-"??_-;_-@_-</c:formatCode>
                <c:ptCount val="31"/>
                <c:pt idx="0">
                  <c:v>3.6</c:v>
                </c:pt>
                <c:pt idx="1">
                  <c:v>7.2</c:v>
                </c:pt>
                <c:pt idx="2">
                  <c:v>8.1</c:v>
                </c:pt>
                <c:pt idx="3">
                  <c:v>11.7</c:v>
                </c:pt>
                <c:pt idx="4">
                  <c:v>14.399999999999999</c:v>
                </c:pt>
                <c:pt idx="5">
                  <c:v>19.299999999999997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AEA8-4DEB-801A-DF8D33A9753B}"/>
            </c:ext>
          </c:extLst>
        </c:ser>
        <c:dLbls>
          <c:showLegendKey val="0"/>
          <c:showVal val="0"/>
          <c:showCatName val="0"/>
          <c:showSerName val="0"/>
          <c:showPercent val="0"/>
          <c:showBubbleSize val="0"/>
        </c:dLbls>
        <c:smooth val="0"/>
        <c:axId val="1827492240"/>
        <c:axId val="1827494160"/>
      </c:lineChart>
      <c:dateAx>
        <c:axId val="182749224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4160"/>
        <c:crosses val="autoZero"/>
        <c:auto val="1"/>
        <c:lblOffset val="100"/>
        <c:baseTimeUnit val="days"/>
      </c:dateAx>
      <c:valAx>
        <c:axId val="18274941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(2)'!$C$42</c:f>
          <c:strCache>
            <c:ptCount val="1"/>
            <c:pt idx="0">
              <c:v>ROM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 (2)'!$C$43</c:f>
              <c:strCache>
                <c:ptCount val="1"/>
                <c:pt idx="0">
                  <c:v>Actual</c:v>
                </c:pt>
              </c:strCache>
            </c:strRef>
          </c:tx>
          <c:spPr>
            <a:solidFill>
              <a:schemeClr val="accent1"/>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(2)'!$D$43:$AH$43</c:f>
              <c:numCache>
                <c:formatCode>_-* #,##0.0_-;\-* #,##0.0_-;_-* "-"??_-;_-@_-</c:formatCode>
                <c:ptCount val="31"/>
                <c:pt idx="0">
                  <c:v>33.199999999999989</c:v>
                </c:pt>
                <c:pt idx="1">
                  <c:v>34.699999999999996</c:v>
                </c:pt>
                <c:pt idx="2">
                  <c:v>0</c:v>
                </c:pt>
                <c:pt idx="3">
                  <c:v>35.1</c:v>
                </c:pt>
                <c:pt idx="4">
                  <c:v>34.9</c:v>
                </c:pt>
                <c:pt idx="5">
                  <c:v>17.299999999999997</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2E32-41CA-972F-CEAE059DA561}"/>
            </c:ext>
          </c:extLst>
        </c:ser>
        <c:ser>
          <c:idx val="2"/>
          <c:order val="1"/>
          <c:tx>
            <c:strRef>
              <c:f>'KPIs (2)'!$C$45</c:f>
              <c:strCache>
                <c:ptCount val="1"/>
                <c:pt idx="0">
                  <c:v>Plan</c:v>
                </c:pt>
              </c:strCache>
            </c:strRef>
          </c:tx>
          <c:spPr>
            <a:solidFill>
              <a:schemeClr val="accent3"/>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(2)'!$D$45:$AH$45</c:f>
              <c:numCache>
                <c:formatCode>_-* #,##0.0_-;\-* #,##0.0_-;_-* "-"??_-;_-@_-</c:formatCode>
                <c:ptCount val="31"/>
                <c:pt idx="0">
                  <c:v>32.099999999999994</c:v>
                </c:pt>
                <c:pt idx="1">
                  <c:v>32.099999999999994</c:v>
                </c:pt>
                <c:pt idx="2">
                  <c:v>0</c:v>
                </c:pt>
                <c:pt idx="3">
                  <c:v>32.999999999999993</c:v>
                </c:pt>
                <c:pt idx="4">
                  <c:v>33.899999999999991</c:v>
                </c:pt>
                <c:pt idx="5">
                  <c:v>33.899999999999991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2E32-41CA-972F-CEAE059DA561}"/>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(2)'!$C$42</c:f>
          <c:strCache>
            <c:ptCount val="1"/>
            <c:pt idx="0">
              <c:v>ROM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0"/>
          <c:tx>
            <c:strRef>
              <c:f>'KPIs (2)'!$C$44</c:f>
              <c:strCache>
                <c:ptCount val="1"/>
                <c:pt idx="0">
                  <c:v>Cum. Actual</c:v>
                </c:pt>
              </c:strCache>
            </c:strRef>
          </c:tx>
          <c:spPr>
            <a:solidFill>
              <a:schemeClr val="accent2"/>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(2)'!$D$44:$AH$44</c:f>
              <c:numCache>
                <c:formatCode>_-* #,##0.0_-;\-* #,##0.0_-;_-* "-"??_-;_-@_-</c:formatCode>
                <c:ptCount val="31"/>
                <c:pt idx="0">
                  <c:v>33.199999999999989</c:v>
                </c:pt>
                <c:pt idx="1">
                  <c:v>67.899999999999977</c:v>
                </c:pt>
                <c:pt idx="2">
                  <c:v>67.899999999999977</c:v>
                </c:pt>
                <c:pt idx="3">
                  <c:v>102.99999999999997</c:v>
                </c:pt>
                <c:pt idx="4">
                  <c:v>137.89999999999998</c:v>
                </c:pt>
                <c:pt idx="5">
                  <c:v>155.19999999999999</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F66E-4268-B4E7-64B3D3D3804F}"/>
            </c:ext>
          </c:extLst>
        </c:ser>
        <c:ser>
          <c:idx val="3"/>
          <c:order val="1"/>
          <c:tx>
            <c:strRef>
              <c:f>'KPIs (2)'!$C$46</c:f>
              <c:strCache>
                <c:ptCount val="1"/>
                <c:pt idx="0">
                  <c:v>Cum. Plan</c:v>
                </c:pt>
              </c:strCache>
            </c:strRef>
          </c:tx>
          <c:spPr>
            <a:solidFill>
              <a:schemeClr val="accent4"/>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(2)'!$D$46:$AH$46</c:f>
              <c:numCache>
                <c:formatCode>_-* #,##0.0_-;\-* #,##0.0_-;_-* "-"??_-;_-@_-</c:formatCode>
                <c:ptCount val="31"/>
                <c:pt idx="0">
                  <c:v>32.099999999999994</c:v>
                </c:pt>
                <c:pt idx="1">
                  <c:v>64.199999999999989</c:v>
                </c:pt>
                <c:pt idx="2">
                  <c:v>64.199999999999989</c:v>
                </c:pt>
                <c:pt idx="3">
                  <c:v>97.199999999999989</c:v>
                </c:pt>
                <c:pt idx="4">
                  <c:v>131.09999999999997</c:v>
                </c:pt>
                <c:pt idx="5">
                  <c:v>164.99999999999994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F66E-4268-B4E7-64B3D3D3804F}"/>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(2)'!$C$60</c:f>
          <c:strCache>
            <c:ptCount val="1"/>
            <c:pt idx="0">
              <c:v>Generation - Tonnes</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 (2)'!$C$61</c:f>
              <c:strCache>
                <c:ptCount val="1"/>
                <c:pt idx="0">
                  <c:v>Actual</c:v>
                </c:pt>
              </c:strCache>
            </c:strRef>
          </c:tx>
          <c:spPr>
            <a:solidFill>
              <a:schemeClr val="accent1"/>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(2)'!$D$61:$AH$61</c:f>
              <c:numCache>
                <c:formatCode>_-* #,##0_-;\-* #,##0_-;_-* "-"??_-;_-@_-</c:formatCode>
                <c:ptCount val="31"/>
                <c:pt idx="0">
                  <c:v>926</c:v>
                </c:pt>
                <c:pt idx="1">
                  <c:v>879</c:v>
                </c:pt>
                <c:pt idx="2">
                  <c:v>965</c:v>
                </c:pt>
                <c:pt idx="3">
                  <c:v>977</c:v>
                </c:pt>
                <c:pt idx="4">
                  <c:v>979</c:v>
                </c:pt>
              </c:numCache>
            </c:numRef>
          </c:val>
          <c:extLst>
            <c:ext xmlns:c16="http://schemas.microsoft.com/office/drawing/2014/chart" uri="{C3380CC4-5D6E-409C-BE32-E72D297353CC}">
              <c16:uniqueId val="{00000000-18D6-447F-A1FD-521C1AC1EDA3}"/>
            </c:ext>
          </c:extLst>
        </c:ser>
        <c:ser>
          <c:idx val="2"/>
          <c:order val="1"/>
          <c:tx>
            <c:strRef>
              <c:f>'KPIs (2)'!$C$63</c:f>
              <c:strCache>
                <c:ptCount val="1"/>
                <c:pt idx="0">
                  <c:v>Plan</c:v>
                </c:pt>
              </c:strCache>
            </c:strRef>
          </c:tx>
          <c:spPr>
            <a:solidFill>
              <a:schemeClr val="accent3"/>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(2)'!$D$63:$AH$63</c:f>
              <c:numCache>
                <c:formatCode>_-* #,##0_-;\-* #,##0_-;_-* "-"??_-;_-@_-</c:formatCode>
                <c:ptCount val="31"/>
                <c:pt idx="0">
                  <c:v>910</c:v>
                </c:pt>
                <c:pt idx="1">
                  <c:v>910</c:v>
                </c:pt>
                <c:pt idx="2">
                  <c:v>910</c:v>
                </c:pt>
                <c:pt idx="3">
                  <c:v>910</c:v>
                </c:pt>
                <c:pt idx="4">
                  <c:v>910</c:v>
                </c:pt>
              </c:numCache>
            </c:numRef>
          </c:val>
          <c:extLst>
            <c:ext xmlns:c16="http://schemas.microsoft.com/office/drawing/2014/chart" uri="{C3380CC4-5D6E-409C-BE32-E72D297353CC}">
              <c16:uniqueId val="{00000001-18D6-447F-A1FD-521C1AC1EDA3}"/>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(2)'!$C$60</c:f>
          <c:strCache>
            <c:ptCount val="1"/>
            <c:pt idx="0">
              <c:v>Generation - Tonnes</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1"/>
          <c:order val="0"/>
          <c:tx>
            <c:strRef>
              <c:f>'KPIs (2)'!$C$62</c:f>
              <c:strCache>
                <c:ptCount val="1"/>
                <c:pt idx="0">
                  <c:v>Cum. Actual</c:v>
                </c:pt>
              </c:strCache>
            </c:strRef>
          </c:tx>
          <c:spPr>
            <a:ln w="28575" cap="rnd">
              <a:solidFill>
                <a:schemeClr val="accent2"/>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(2)'!$D$62:$AH$62</c:f>
              <c:numCache>
                <c:formatCode>_-* #,##0_-;\-* #,##0_-;_-* "-"??_-;_-@_-</c:formatCode>
                <c:ptCount val="31"/>
                <c:pt idx="0">
                  <c:v>926</c:v>
                </c:pt>
                <c:pt idx="1">
                  <c:v>1805</c:v>
                </c:pt>
                <c:pt idx="2">
                  <c:v>2770</c:v>
                </c:pt>
                <c:pt idx="3">
                  <c:v>3747</c:v>
                </c:pt>
                <c:pt idx="4">
                  <c:v>4726</c:v>
                </c:pt>
              </c:numCache>
            </c:numRef>
          </c:val>
          <c:smooth val="0"/>
          <c:extLst>
            <c:ext xmlns:c16="http://schemas.microsoft.com/office/drawing/2014/chart" uri="{C3380CC4-5D6E-409C-BE32-E72D297353CC}">
              <c16:uniqueId val="{00000000-CCA8-4207-B940-044B914391E5}"/>
            </c:ext>
          </c:extLst>
        </c:ser>
        <c:ser>
          <c:idx val="7"/>
          <c:order val="1"/>
          <c:tx>
            <c:strRef>
              <c:f>'KPIs (2)'!$C$68</c:f>
              <c:strCache>
                <c:ptCount val="1"/>
                <c:pt idx="0">
                  <c:v>Cum. Actual</c:v>
                </c:pt>
              </c:strCache>
            </c:strRef>
          </c:tx>
          <c:spPr>
            <a:ln w="28575" cap="rnd">
              <a:solidFill>
                <a:schemeClr val="accent2">
                  <a:lumMod val="6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(2)'!$D$68:$AH$68</c:f>
              <c:numCache>
                <c:formatCode>_-* #,##0_-;\-* #,##0_-;_-* "-"??_-;_-@_-</c:formatCode>
                <c:ptCount val="31"/>
                <c:pt idx="0">
                  <c:v>758</c:v>
                </c:pt>
                <c:pt idx="1">
                  <c:v>1764</c:v>
                </c:pt>
                <c:pt idx="2">
                  <c:v>2724</c:v>
                </c:pt>
                <c:pt idx="3">
                  <c:v>3519.5</c:v>
                </c:pt>
                <c:pt idx="4">
                  <c:v>4467</c:v>
                </c:pt>
              </c:numCache>
            </c:numRef>
          </c:val>
          <c:smooth val="0"/>
          <c:extLst>
            <c:ext xmlns:c16="http://schemas.microsoft.com/office/drawing/2014/chart" uri="{C3380CC4-5D6E-409C-BE32-E72D297353CC}">
              <c16:uniqueId val="{00000001-CCA8-4207-B940-044B914391E5}"/>
            </c:ext>
          </c:extLst>
        </c:ser>
        <c:ser>
          <c:idx val="13"/>
          <c:order val="2"/>
          <c:tx>
            <c:strRef>
              <c:f>'KPIs (2)'!$C$74</c:f>
              <c:strCache>
                <c:ptCount val="1"/>
                <c:pt idx="0">
                  <c:v>Cum. Actual</c:v>
                </c:pt>
              </c:strCache>
            </c:strRef>
          </c:tx>
          <c:spPr>
            <a:ln w="28575" cap="rnd">
              <a:solidFill>
                <a:schemeClr val="accent2">
                  <a:lumMod val="80000"/>
                  <a:lumOff val="2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(2)'!$D$74:$AH$74</c:f>
              <c:numCache>
                <c:formatCode>_-* #,##0_-;\-* #,##0_-;_-* "-"??_-;_-@_-</c:formatCode>
                <c:ptCount val="31"/>
                <c:pt idx="0">
                  <c:v>782</c:v>
                </c:pt>
                <c:pt idx="1">
                  <c:v>1734</c:v>
                </c:pt>
                <c:pt idx="2">
                  <c:v>2641</c:v>
                </c:pt>
                <c:pt idx="3">
                  <c:v>3453</c:v>
                </c:pt>
                <c:pt idx="4">
                  <c:v>4384</c:v>
                </c:pt>
              </c:numCache>
            </c:numRef>
          </c:val>
          <c:smooth val="0"/>
          <c:extLst>
            <c:ext xmlns:c16="http://schemas.microsoft.com/office/drawing/2014/chart" uri="{C3380CC4-5D6E-409C-BE32-E72D297353CC}">
              <c16:uniqueId val="{00000002-CCA8-4207-B940-044B914391E5}"/>
            </c:ext>
          </c:extLst>
        </c:ser>
        <c:ser>
          <c:idx val="15"/>
          <c:order val="3"/>
          <c:tx>
            <c:strRef>
              <c:f>'KPIs (2)'!$C$76</c:f>
              <c:strCache>
                <c:ptCount val="1"/>
                <c:pt idx="0">
                  <c:v>Cum. Plan</c:v>
                </c:pt>
              </c:strCache>
            </c:strRef>
          </c:tx>
          <c:spPr>
            <a:ln w="28575" cap="rnd">
              <a:solidFill>
                <a:schemeClr val="accent4">
                  <a:lumMod val="80000"/>
                  <a:lumOff val="2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(2)'!$D$76:$AH$76</c:f>
              <c:numCache>
                <c:formatCode>_-* #,##0_-;\-* #,##0_-;_-* "-"??_-;_-@_-</c:formatCode>
                <c:ptCount val="31"/>
                <c:pt idx="0">
                  <c:v>740</c:v>
                </c:pt>
                <c:pt idx="1">
                  <c:v>1590</c:v>
                </c:pt>
                <c:pt idx="2">
                  <c:v>2440</c:v>
                </c:pt>
                <c:pt idx="3">
                  <c:v>3290</c:v>
                </c:pt>
                <c:pt idx="4">
                  <c:v>4140</c:v>
                </c:pt>
              </c:numCache>
            </c:numRef>
          </c:val>
          <c:smooth val="0"/>
          <c:extLst>
            <c:ext xmlns:c16="http://schemas.microsoft.com/office/drawing/2014/chart" uri="{C3380CC4-5D6E-409C-BE32-E72D297353CC}">
              <c16:uniqueId val="{00000003-CCA8-4207-B940-044B914391E5}"/>
            </c:ext>
          </c:extLst>
        </c:ser>
        <c:dLbls>
          <c:showLegendKey val="0"/>
          <c:showVal val="0"/>
          <c:showCatName val="0"/>
          <c:showSerName val="0"/>
          <c:showPercent val="0"/>
          <c:showBubbleSize val="0"/>
        </c:dLbls>
        <c:smooth val="0"/>
        <c:axId val="129666512"/>
        <c:axId val="129677552"/>
      </c:line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layout>
        <c:manualLayout>
          <c:xMode val="edge"/>
          <c:yMode val="edge"/>
          <c:x val="6.6997115225461605E-3"/>
          <c:y val="0.91356868610328923"/>
          <c:w val="0.98284682320115391"/>
          <c:h val="5.30980357121191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8</xdr:col>
      <xdr:colOff>7470</xdr:colOff>
      <xdr:row>1</xdr:row>
      <xdr:rowOff>0</xdr:rowOff>
    </xdr:from>
    <xdr:to>
      <xdr:col>15</xdr:col>
      <xdr:colOff>318246</xdr:colOff>
      <xdr:row>13</xdr:row>
      <xdr:rowOff>13567</xdr:rowOff>
    </xdr:to>
    <xdr:graphicFrame macro="">
      <xdr:nvGraphicFramePr>
        <xdr:cNvPr id="96" name="Chart 3">
          <a:extLst>
            <a:ext uri="{FF2B5EF4-FFF2-40B4-BE49-F238E27FC236}">
              <a16:creationId xmlns:a16="http://schemas.microsoft.com/office/drawing/2014/main" id="{28388C2A-B025-4940-BD13-7EA4BF926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328697</xdr:colOff>
      <xdr:row>1</xdr:row>
      <xdr:rowOff>0</xdr:rowOff>
    </xdr:from>
    <xdr:to>
      <xdr:col>23</xdr:col>
      <xdr:colOff>161356</xdr:colOff>
      <xdr:row>13</xdr:row>
      <xdr:rowOff>13567</xdr:rowOff>
    </xdr:to>
    <xdr:graphicFrame macro="">
      <xdr:nvGraphicFramePr>
        <xdr:cNvPr id="98" name="Chart 6">
          <a:extLst>
            <a:ext uri="{FF2B5EF4-FFF2-40B4-BE49-F238E27FC236}">
              <a16:creationId xmlns:a16="http://schemas.microsoft.com/office/drawing/2014/main" id="{57260D53-2A16-4A31-90FA-D718BB37A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521820</xdr:colOff>
      <xdr:row>1</xdr:row>
      <xdr:rowOff>0</xdr:rowOff>
    </xdr:from>
    <xdr:to>
      <xdr:col>38</xdr:col>
      <xdr:colOff>308721</xdr:colOff>
      <xdr:row>13</xdr:row>
      <xdr:rowOff>13567</xdr:rowOff>
    </xdr:to>
    <xdr:graphicFrame macro="">
      <xdr:nvGraphicFramePr>
        <xdr:cNvPr id="2" name="Chart 7">
          <a:extLst>
            <a:ext uri="{FF2B5EF4-FFF2-40B4-BE49-F238E27FC236}">
              <a16:creationId xmlns:a16="http://schemas.microsoft.com/office/drawing/2014/main" id="{FBA75EE9-96EB-40DD-B6D0-6C7403B527DE}"/>
            </a:ext>
            <a:ext uri="{147F2762-F138-4A5C-976F-8EAC2B608ADB}">
              <a16:predDERef xmlns:a16="http://schemas.microsoft.com/office/drawing/2014/main" pred="{57260D53-2A16-4A31-90FA-D718BB37A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171832</xdr:colOff>
      <xdr:row>1</xdr:row>
      <xdr:rowOff>0</xdr:rowOff>
    </xdr:from>
    <xdr:to>
      <xdr:col>30</xdr:col>
      <xdr:colOff>482608</xdr:colOff>
      <xdr:row>13</xdr:row>
      <xdr:rowOff>13567</xdr:rowOff>
    </xdr:to>
    <xdr:graphicFrame macro="">
      <xdr:nvGraphicFramePr>
        <xdr:cNvPr id="100" name="Chart 7">
          <a:extLst>
            <a:ext uri="{FF2B5EF4-FFF2-40B4-BE49-F238E27FC236}">
              <a16:creationId xmlns:a16="http://schemas.microsoft.com/office/drawing/2014/main" id="{6F5E2454-E03F-4E65-AEEF-49C9620E8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237070</xdr:colOff>
      <xdr:row>0</xdr:row>
      <xdr:rowOff>59265</xdr:rowOff>
    </xdr:from>
    <xdr:to>
      <xdr:col>32</xdr:col>
      <xdr:colOff>42336</xdr:colOff>
      <xdr:row>15</xdr:row>
      <xdr:rowOff>145625</xdr:rowOff>
    </xdr:to>
    <xdr:graphicFrame macro="">
      <xdr:nvGraphicFramePr>
        <xdr:cNvPr id="23" name="Chart 8">
          <a:extLst>
            <a:ext uri="{FF2B5EF4-FFF2-40B4-BE49-F238E27FC236}">
              <a16:creationId xmlns:a16="http://schemas.microsoft.com/office/drawing/2014/main" id="{47D2105B-9896-4DA2-A728-CAD08E1B4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25401</xdr:colOff>
      <xdr:row>0</xdr:row>
      <xdr:rowOff>59265</xdr:rowOff>
    </xdr:from>
    <xdr:to>
      <xdr:col>18</xdr:col>
      <xdr:colOff>381001</xdr:colOff>
      <xdr:row>15</xdr:row>
      <xdr:rowOff>145625</xdr:rowOff>
    </xdr:to>
    <xdr:graphicFrame macro="">
      <xdr:nvGraphicFramePr>
        <xdr:cNvPr id="2" name="Chart 8">
          <a:extLst>
            <a:ext uri="{FF2B5EF4-FFF2-40B4-BE49-F238E27FC236}">
              <a16:creationId xmlns:a16="http://schemas.microsoft.com/office/drawing/2014/main" id="{90255998-9D45-487E-9C02-4B0AAC7B9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406400</xdr:colOff>
      <xdr:row>0</xdr:row>
      <xdr:rowOff>59265</xdr:rowOff>
    </xdr:from>
    <xdr:to>
      <xdr:col>25</xdr:col>
      <xdr:colOff>211667</xdr:colOff>
      <xdr:row>15</xdr:row>
      <xdr:rowOff>145625</xdr:rowOff>
    </xdr:to>
    <xdr:graphicFrame macro="">
      <xdr:nvGraphicFramePr>
        <xdr:cNvPr id="4" name="Chart 34">
          <a:extLst>
            <a:ext uri="{FF2B5EF4-FFF2-40B4-BE49-F238E27FC236}">
              <a16:creationId xmlns:a16="http://schemas.microsoft.com/office/drawing/2014/main" id="{7A0502A1-8330-41B3-B633-2AC6A7636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67736</xdr:colOff>
      <xdr:row>0</xdr:row>
      <xdr:rowOff>59266</xdr:rowOff>
    </xdr:from>
    <xdr:to>
      <xdr:col>38</xdr:col>
      <xdr:colOff>423336</xdr:colOff>
      <xdr:row>15</xdr:row>
      <xdr:rowOff>145626</xdr:rowOff>
    </xdr:to>
    <xdr:graphicFrame macro="">
      <xdr:nvGraphicFramePr>
        <xdr:cNvPr id="44" name="Chart 43">
          <a:extLst>
            <a:ext uri="{FF2B5EF4-FFF2-40B4-BE49-F238E27FC236}">
              <a16:creationId xmlns:a16="http://schemas.microsoft.com/office/drawing/2014/main" id="{D6BEDE41-BFBE-436A-A01E-5826F7F04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25401</xdr:colOff>
      <xdr:row>15</xdr:row>
      <xdr:rowOff>171442</xdr:rowOff>
    </xdr:from>
    <xdr:to>
      <xdr:col>18</xdr:col>
      <xdr:colOff>381001</xdr:colOff>
      <xdr:row>30</xdr:row>
      <xdr:rowOff>88469</xdr:rowOff>
    </xdr:to>
    <xdr:graphicFrame macro="">
      <xdr:nvGraphicFramePr>
        <xdr:cNvPr id="45" name="Chart 8">
          <a:extLst>
            <a:ext uri="{FF2B5EF4-FFF2-40B4-BE49-F238E27FC236}">
              <a16:creationId xmlns:a16="http://schemas.microsoft.com/office/drawing/2014/main" id="{AD952176-606F-4607-9A03-4B50BAE14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406394</xdr:colOff>
      <xdr:row>15</xdr:row>
      <xdr:rowOff>171442</xdr:rowOff>
    </xdr:from>
    <xdr:to>
      <xdr:col>25</xdr:col>
      <xdr:colOff>211661</xdr:colOff>
      <xdr:row>30</xdr:row>
      <xdr:rowOff>88469</xdr:rowOff>
    </xdr:to>
    <xdr:graphicFrame macro="">
      <xdr:nvGraphicFramePr>
        <xdr:cNvPr id="46" name="Chart 45">
          <a:extLst>
            <a:ext uri="{FF2B5EF4-FFF2-40B4-BE49-F238E27FC236}">
              <a16:creationId xmlns:a16="http://schemas.microsoft.com/office/drawing/2014/main" id="{63388E9F-C742-4AE7-AFBF-9871C8311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67736</xdr:colOff>
      <xdr:row>15</xdr:row>
      <xdr:rowOff>171446</xdr:rowOff>
    </xdr:from>
    <xdr:to>
      <xdr:col>38</xdr:col>
      <xdr:colOff>423336</xdr:colOff>
      <xdr:row>30</xdr:row>
      <xdr:rowOff>88473</xdr:rowOff>
    </xdr:to>
    <xdr:graphicFrame macro="">
      <xdr:nvGraphicFramePr>
        <xdr:cNvPr id="8" name="Chart 9">
          <a:extLst>
            <a:ext uri="{FF2B5EF4-FFF2-40B4-BE49-F238E27FC236}">
              <a16:creationId xmlns:a16="http://schemas.microsoft.com/office/drawing/2014/main" id="{773F6059-A174-4CB1-ACCD-F836314EA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237075</xdr:colOff>
      <xdr:row>30</xdr:row>
      <xdr:rowOff>110061</xdr:rowOff>
    </xdr:from>
    <xdr:to>
      <xdr:col>32</xdr:col>
      <xdr:colOff>42341</xdr:colOff>
      <xdr:row>45</xdr:row>
      <xdr:rowOff>52487</xdr:rowOff>
    </xdr:to>
    <xdr:graphicFrame macro="">
      <xdr:nvGraphicFramePr>
        <xdr:cNvPr id="51" name="Chart 11">
          <a:extLst>
            <a:ext uri="{FF2B5EF4-FFF2-40B4-BE49-F238E27FC236}">
              <a16:creationId xmlns:a16="http://schemas.microsoft.com/office/drawing/2014/main" id="{59B2F822-CDEA-4BB4-B29A-A5C7AF29C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67736</xdr:colOff>
      <xdr:row>30</xdr:row>
      <xdr:rowOff>110064</xdr:rowOff>
    </xdr:from>
    <xdr:to>
      <xdr:col>38</xdr:col>
      <xdr:colOff>423336</xdr:colOff>
      <xdr:row>45</xdr:row>
      <xdr:rowOff>52490</xdr:rowOff>
    </xdr:to>
    <xdr:graphicFrame macro="">
      <xdr:nvGraphicFramePr>
        <xdr:cNvPr id="5" name="Chart 9">
          <a:extLst>
            <a:ext uri="{FF2B5EF4-FFF2-40B4-BE49-F238E27FC236}">
              <a16:creationId xmlns:a16="http://schemas.microsoft.com/office/drawing/2014/main" id="{A7FDD3C4-FC84-43E1-A5ED-001A97FD0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406399</xdr:colOff>
      <xdr:row>30</xdr:row>
      <xdr:rowOff>110064</xdr:rowOff>
    </xdr:from>
    <xdr:to>
      <xdr:col>25</xdr:col>
      <xdr:colOff>211666</xdr:colOff>
      <xdr:row>45</xdr:row>
      <xdr:rowOff>52490</xdr:rowOff>
    </xdr:to>
    <xdr:graphicFrame macro="">
      <xdr:nvGraphicFramePr>
        <xdr:cNvPr id="6" name="Chart 9">
          <a:extLst>
            <a:ext uri="{FF2B5EF4-FFF2-40B4-BE49-F238E27FC236}">
              <a16:creationId xmlns:a16="http://schemas.microsoft.com/office/drawing/2014/main" id="{E72F2EC6-4496-407C-B256-2BEF30D76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16934</xdr:colOff>
      <xdr:row>30</xdr:row>
      <xdr:rowOff>110064</xdr:rowOff>
    </xdr:from>
    <xdr:to>
      <xdr:col>18</xdr:col>
      <xdr:colOff>372534</xdr:colOff>
      <xdr:row>45</xdr:row>
      <xdr:rowOff>52490</xdr:rowOff>
    </xdr:to>
    <xdr:graphicFrame macro="">
      <xdr:nvGraphicFramePr>
        <xdr:cNvPr id="7" name="Chart 9">
          <a:extLst>
            <a:ext uri="{FF2B5EF4-FFF2-40B4-BE49-F238E27FC236}">
              <a16:creationId xmlns:a16="http://schemas.microsoft.com/office/drawing/2014/main" id="{7F5B110B-1C82-40D1-8272-99365F50B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237067</xdr:colOff>
      <xdr:row>15</xdr:row>
      <xdr:rowOff>169332</xdr:rowOff>
    </xdr:from>
    <xdr:to>
      <xdr:col>32</xdr:col>
      <xdr:colOff>42333</xdr:colOff>
      <xdr:row>30</xdr:row>
      <xdr:rowOff>86359</xdr:rowOff>
    </xdr:to>
    <xdr:graphicFrame macro="">
      <xdr:nvGraphicFramePr>
        <xdr:cNvPr id="60" name="Chart 9">
          <a:extLst>
            <a:ext uri="{FF2B5EF4-FFF2-40B4-BE49-F238E27FC236}">
              <a16:creationId xmlns:a16="http://schemas.microsoft.com/office/drawing/2014/main" id="{8EB507B5-052D-48E3-AB85-6C62258DD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120650</xdr:colOff>
      <xdr:row>10</xdr:row>
      <xdr:rowOff>101600</xdr:rowOff>
    </xdr:from>
    <xdr:to>
      <xdr:col>20</xdr:col>
      <xdr:colOff>66675</xdr:colOff>
      <xdr:row>26</xdr:row>
      <xdr:rowOff>142875</xdr:rowOff>
    </xdr:to>
    <xdr:graphicFrame macro="">
      <xdr:nvGraphicFramePr>
        <xdr:cNvPr id="38" name="Chart 1">
          <a:extLst>
            <a:ext uri="{FF2B5EF4-FFF2-40B4-BE49-F238E27FC236}">
              <a16:creationId xmlns:a16="http://schemas.microsoft.com/office/drawing/2014/main" id="{186DFB78-0136-18F8-9576-AEBA2FC74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542926</xdr:colOff>
      <xdr:row>10</xdr:row>
      <xdr:rowOff>120650</xdr:rowOff>
    </xdr:from>
    <xdr:to>
      <xdr:col>10</xdr:col>
      <xdr:colOff>0</xdr:colOff>
      <xdr:row>26</xdr:row>
      <xdr:rowOff>133350</xdr:rowOff>
    </xdr:to>
    <xdr:graphicFrame macro="">
      <xdr:nvGraphicFramePr>
        <xdr:cNvPr id="57" name="Chart 2">
          <a:extLst>
            <a:ext uri="{FF2B5EF4-FFF2-40B4-BE49-F238E27FC236}">
              <a16:creationId xmlns:a16="http://schemas.microsoft.com/office/drawing/2014/main" id="{86B93C6B-945D-42A8-BFA2-61054A7CF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153604</xdr:colOff>
      <xdr:row>35</xdr:row>
      <xdr:rowOff>95251</xdr:rowOff>
    </xdr:from>
    <xdr:to>
      <xdr:col>11</xdr:col>
      <xdr:colOff>793502</xdr:colOff>
      <xdr:row>54</xdr:row>
      <xdr:rowOff>172729</xdr:rowOff>
    </xdr:to>
    <xdr:pic>
      <xdr:nvPicPr>
        <xdr:cNvPr id="4" name="Picture 3">
          <a:extLst>
            <a:ext uri="{FF2B5EF4-FFF2-40B4-BE49-F238E27FC236}">
              <a16:creationId xmlns:a16="http://schemas.microsoft.com/office/drawing/2014/main" id="{F9449BE0-7EAF-494E-B60C-2A160DF2FC7F}"/>
            </a:ext>
          </a:extLst>
        </xdr:cNvPr>
        <xdr:cNvPicPr>
          <a:picLocks noChangeAspect="1"/>
        </xdr:cNvPicPr>
      </xdr:nvPicPr>
      <xdr:blipFill>
        <a:blip xmlns:r="http://schemas.openxmlformats.org/officeDocument/2006/relationships" r:embed="rId1"/>
        <a:stretch>
          <a:fillRect/>
        </a:stretch>
      </xdr:blipFill>
      <xdr:spPr>
        <a:xfrm>
          <a:off x="153604" y="6616701"/>
          <a:ext cx="10139498" cy="35191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14112</xdr:colOff>
      <xdr:row>1</xdr:row>
      <xdr:rowOff>0</xdr:rowOff>
    </xdr:from>
    <xdr:to>
      <xdr:col>19</xdr:col>
      <xdr:colOff>38947</xdr:colOff>
      <xdr:row>15</xdr:row>
      <xdr:rowOff>14111</xdr:rowOff>
    </xdr:to>
    <xdr:graphicFrame macro="">
      <xdr:nvGraphicFramePr>
        <xdr:cNvPr id="2" name="Chart 1">
          <a:extLst>
            <a:ext uri="{FF2B5EF4-FFF2-40B4-BE49-F238E27FC236}">
              <a16:creationId xmlns:a16="http://schemas.microsoft.com/office/drawing/2014/main" id="{1EB4BAD7-88FC-4C82-ACEF-E7744AAF0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26</xdr:col>
      <xdr:colOff>24836</xdr:colOff>
      <xdr:row>15</xdr:row>
      <xdr:rowOff>14111</xdr:rowOff>
    </xdr:to>
    <xdr:graphicFrame macro="">
      <xdr:nvGraphicFramePr>
        <xdr:cNvPr id="3" name="Chart 2">
          <a:extLst>
            <a:ext uri="{FF2B5EF4-FFF2-40B4-BE49-F238E27FC236}">
              <a16:creationId xmlns:a16="http://schemas.microsoft.com/office/drawing/2014/main" id="{C849EBED-3232-4652-8398-B2A610455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1</xdr:row>
      <xdr:rowOff>0</xdr:rowOff>
    </xdr:from>
    <xdr:to>
      <xdr:col>33</xdr:col>
      <xdr:colOff>24836</xdr:colOff>
      <xdr:row>15</xdr:row>
      <xdr:rowOff>14111</xdr:rowOff>
    </xdr:to>
    <xdr:graphicFrame macro="">
      <xdr:nvGraphicFramePr>
        <xdr:cNvPr id="4" name="Chart 3">
          <a:extLst>
            <a:ext uri="{FF2B5EF4-FFF2-40B4-BE49-F238E27FC236}">
              <a16:creationId xmlns:a16="http://schemas.microsoft.com/office/drawing/2014/main" id="{4FEBB2CF-D6B3-450E-B7FC-453603397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14112</xdr:colOff>
      <xdr:row>1</xdr:row>
      <xdr:rowOff>0</xdr:rowOff>
    </xdr:from>
    <xdr:to>
      <xdr:col>38</xdr:col>
      <xdr:colOff>490503</xdr:colOff>
      <xdr:row>15</xdr:row>
      <xdr:rowOff>14111</xdr:rowOff>
    </xdr:to>
    <xdr:graphicFrame macro="">
      <xdr:nvGraphicFramePr>
        <xdr:cNvPr id="5" name="Chart 4">
          <a:extLst>
            <a:ext uri="{FF2B5EF4-FFF2-40B4-BE49-F238E27FC236}">
              <a16:creationId xmlns:a16="http://schemas.microsoft.com/office/drawing/2014/main" id="{83EA4124-1492-4237-B085-55C8E50AF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14112</xdr:colOff>
      <xdr:row>16</xdr:row>
      <xdr:rowOff>0</xdr:rowOff>
    </xdr:from>
    <xdr:to>
      <xdr:col>19</xdr:col>
      <xdr:colOff>38947</xdr:colOff>
      <xdr:row>30</xdr:row>
      <xdr:rowOff>14111</xdr:rowOff>
    </xdr:to>
    <xdr:graphicFrame macro="">
      <xdr:nvGraphicFramePr>
        <xdr:cNvPr id="6" name="Chart 5">
          <a:extLst>
            <a:ext uri="{FF2B5EF4-FFF2-40B4-BE49-F238E27FC236}">
              <a16:creationId xmlns:a16="http://schemas.microsoft.com/office/drawing/2014/main" id="{100A0E7C-445E-4B28-83A1-CA1430052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239888</xdr:colOff>
      <xdr:row>15</xdr:row>
      <xdr:rowOff>84667</xdr:rowOff>
    </xdr:from>
    <xdr:to>
      <xdr:col>31</xdr:col>
      <xdr:colOff>134056</xdr:colOff>
      <xdr:row>37</xdr:row>
      <xdr:rowOff>141111</xdr:rowOff>
    </xdr:to>
    <xdr:graphicFrame macro="">
      <xdr:nvGraphicFramePr>
        <xdr:cNvPr id="7" name="Chart 6">
          <a:extLst>
            <a:ext uri="{FF2B5EF4-FFF2-40B4-BE49-F238E27FC236}">
              <a16:creationId xmlns:a16="http://schemas.microsoft.com/office/drawing/2014/main" id="{D8847C9A-615D-4E72-AF70-DA1775597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odfreyMwedzi\Videos\Test%20run\3March_2025_DAILY_REPORT_Final.xlsx" TargetMode="External"/><Relationship Id="rId1" Type="http://schemas.openxmlformats.org/officeDocument/2006/relationships/externalLinkPath" Target="file:///C:\Users\GodfreyMwedzi\Videos\Test%20run\3March_2025_DAILY_REPORT_Final.xlsx"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10%20GEOLOGY/31130%20DRILLING/REPORTS/08-August%202025/08%20-%20August%202025%20Drilling%20Report.xlsm" TargetMode="External"/><Relationship Id="rId2" Type="http://schemas.microsoft.com/office/2019/04/relationships/externalLinkLongPath" Target="/personal/admin_dallaglio_co_zw/Documents/Dallaglio%20Investments/30000%20BRK/31000%20OPERATIONS/31100%20MTS/31110%20GEOLOGY/31130%20DRILLING/REPORTS/08-August%202025/08%20-%20August%202025%20Drilling%20Report.xlsm?0D036608" TargetMode="External"/><Relationship Id="rId1" Type="http://schemas.openxmlformats.org/officeDocument/2006/relationships/externalLinkPath" Target="file:///\\0D036608\08%20-%20August%202025%20Drilling%20Report.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allagliozw-my.sharepoint.com/personal/tatenda_wushe_dallaglio_co_zw/Documents/Documents/August%202025/PP-Mining%20%20Milling%20Plan_0825.xlsx" TargetMode="External"/><Relationship Id="rId1" Type="http://schemas.openxmlformats.org/officeDocument/2006/relationships/externalLinkPath" Target="/personal/tatenda_wushe_dallaglio_co_zw/Documents/Documents/August%202025/PP-Mining%20%20Milling%20Plan_08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onnage Recon"/>
      <sheetName val="SUMMARY"/>
      <sheetName val="KPIs"/>
      <sheetName val="Actions"/>
      <sheetName val="Activities"/>
      <sheetName val="&gt; PUG"/>
      <sheetName val="D_Drilling"/>
      <sheetName val="Development"/>
      <sheetName val="Generation"/>
      <sheetName val="Stoping"/>
      <sheetName val="Hoisting"/>
      <sheetName val="Projects"/>
      <sheetName val="PLANT"/>
      <sheetName val="Stockpiles"/>
      <sheetName val="&gt; SAMPLING"/>
      <sheetName val="DEV."/>
      <sheetName val="DEV.TRKR"/>
      <sheetName val="BENCHES."/>
      <sheetName val="TRAMMING."/>
      <sheetName val="HOISTING."/>
      <sheetName val="&gt; PLANS"/>
      <sheetName val="Schedule"/>
      <sheetName val="Development."/>
      <sheetName val="Sheet1"/>
      <sheetName val="Breaking."/>
      <sheetName val="UG_Hoisting"/>
      <sheetName val="DD."/>
      <sheetName val="Tramming"/>
      <sheetName val="Weekly"/>
      <sheetName val="Stope History"/>
      <sheetName val="Sheet2"/>
      <sheetName val="KPIs (2)"/>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sheetName val="Daily"/>
      <sheetName val="Downtime"/>
      <sheetName val="Weekly "/>
      <sheetName val="Pareto"/>
      <sheetName val="T07"/>
      <sheetName val="T06"/>
      <sheetName val="T13"/>
      <sheetName val="BDU400"/>
      <sheetName val="KEMPE_U2AW"/>
      <sheetName val="KEMPE_U39BQ"/>
      <sheetName val="KEMPE_U39BQ_02"/>
      <sheetName val="JBC 01"/>
      <sheetName val="Forms (2)"/>
      <sheetName val="JBC 02"/>
      <sheetName val="JBC 03"/>
      <sheetName val="Forms"/>
      <sheetName val="Aug 2025 Plan"/>
      <sheetName val="May 2025 Plan(a) "/>
      <sheetName val="April 2025 Plan (2)"/>
      <sheetName val="Sheet2"/>
      <sheetName val="Clean Form"/>
    </sheetNames>
    <sheetDataSet>
      <sheetData sheetId="0"/>
      <sheetData sheetId="1">
        <row r="27">
          <cell r="L27" t="str">
            <v>Moving</v>
          </cell>
          <cell r="M27" t="str">
            <v>Comissioning</v>
          </cell>
          <cell r="N27" t="str">
            <v>Comissioning</v>
          </cell>
          <cell r="O27">
            <v>10</v>
          </cell>
          <cell r="P27">
            <v>10</v>
          </cell>
          <cell r="Q27" t="str">
            <v>Moving</v>
          </cell>
          <cell r="R27">
            <v>10</v>
          </cell>
          <cell r="S27">
            <v>10</v>
          </cell>
          <cell r="T27">
            <v>10</v>
          </cell>
          <cell r="U27">
            <v>10</v>
          </cell>
          <cell r="V27">
            <v>10</v>
          </cell>
          <cell r="W27">
            <v>10</v>
          </cell>
          <cell r="X27">
            <v>10</v>
          </cell>
          <cell r="Y27">
            <v>10</v>
          </cell>
          <cell r="Z27">
            <v>10</v>
          </cell>
          <cell r="AA27">
            <v>10</v>
          </cell>
          <cell r="AB27">
            <v>10</v>
          </cell>
          <cell r="AC27">
            <v>10</v>
          </cell>
          <cell r="AD27">
            <v>10</v>
          </cell>
          <cell r="AE27" t="str">
            <v>PM</v>
          </cell>
          <cell r="AF27">
            <v>10</v>
          </cell>
          <cell r="AG27">
            <v>10</v>
          </cell>
          <cell r="AH27">
            <v>10</v>
          </cell>
          <cell r="AI27">
            <v>10</v>
          </cell>
          <cell r="AJ27">
            <v>10</v>
          </cell>
          <cell r="AK27">
            <v>10</v>
          </cell>
          <cell r="AL27">
            <v>10</v>
          </cell>
          <cell r="AM27">
            <v>10</v>
          </cell>
          <cell r="AN27">
            <v>10</v>
          </cell>
          <cell r="AO27" t="str">
            <v>PM</v>
          </cell>
          <cell r="AP27" t="str">
            <v>Moving</v>
          </cell>
        </row>
        <row r="28">
          <cell r="L28">
            <v>0</v>
          </cell>
          <cell r="M28">
            <v>2</v>
          </cell>
          <cell r="O28">
            <v>12.5</v>
          </cell>
          <cell r="P28">
            <v>5</v>
          </cell>
          <cell r="Q28"/>
          <cell r="R28"/>
          <cell r="S28"/>
          <cell r="T28"/>
          <cell r="U28"/>
          <cell r="V28"/>
          <cell r="W28"/>
          <cell r="X28"/>
          <cell r="Y28"/>
          <cell r="Z28"/>
          <cell r="AA28"/>
          <cell r="AB28"/>
          <cell r="AC28"/>
          <cell r="AD28"/>
          <cell r="AE28"/>
          <cell r="AF28"/>
          <cell r="AG28"/>
          <cell r="AH28"/>
          <cell r="AI28"/>
          <cell r="AJ28"/>
          <cell r="AK28"/>
          <cell r="AL28"/>
          <cell r="AM28"/>
          <cell r="AN28"/>
          <cell r="AO28"/>
          <cell r="AP28"/>
        </row>
        <row r="30">
          <cell r="L30">
            <v>10</v>
          </cell>
          <cell r="M30">
            <v>10</v>
          </cell>
          <cell r="N30">
            <v>10</v>
          </cell>
          <cell r="O30">
            <v>10</v>
          </cell>
          <cell r="P30">
            <v>10</v>
          </cell>
          <cell r="Q30">
            <v>10</v>
          </cell>
          <cell r="R30">
            <v>10</v>
          </cell>
          <cell r="S30">
            <v>10</v>
          </cell>
          <cell r="T30">
            <v>0</v>
          </cell>
          <cell r="U30">
            <v>10</v>
          </cell>
          <cell r="V30">
            <v>10</v>
          </cell>
          <cell r="W30">
            <v>10</v>
          </cell>
          <cell r="X30">
            <v>10</v>
          </cell>
          <cell r="Y30">
            <v>10</v>
          </cell>
          <cell r="Z30">
            <v>10</v>
          </cell>
          <cell r="AA30">
            <v>10</v>
          </cell>
          <cell r="AB30">
            <v>0</v>
          </cell>
          <cell r="AC30">
            <v>0</v>
          </cell>
          <cell r="AD30">
            <v>10</v>
          </cell>
          <cell r="AE30">
            <v>10</v>
          </cell>
          <cell r="AF30">
            <v>10</v>
          </cell>
          <cell r="AG30">
            <v>10</v>
          </cell>
          <cell r="AH30">
            <v>10</v>
          </cell>
          <cell r="AI30">
            <v>10</v>
          </cell>
          <cell r="AJ30">
            <v>10</v>
          </cell>
          <cell r="AK30">
            <v>10</v>
          </cell>
          <cell r="AL30">
            <v>0</v>
          </cell>
          <cell r="AM30">
            <v>10</v>
          </cell>
          <cell r="AN30">
            <v>10</v>
          </cell>
          <cell r="AO30">
            <v>10</v>
          </cell>
          <cell r="AP30">
            <v>10</v>
          </cell>
        </row>
        <row r="31">
          <cell r="L31">
            <v>15.5</v>
          </cell>
          <cell r="M31">
            <v>11.5</v>
          </cell>
          <cell r="N31">
            <v>8.5</v>
          </cell>
          <cell r="O31">
            <v>3.5</v>
          </cell>
          <cell r="P31">
            <v>0.5</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row>
        <row r="33">
          <cell r="L33">
            <v>0</v>
          </cell>
          <cell r="M33">
            <v>0</v>
          </cell>
          <cell r="N33">
            <v>10</v>
          </cell>
          <cell r="O33">
            <v>10</v>
          </cell>
          <cell r="P33">
            <v>10</v>
          </cell>
          <cell r="Q33">
            <v>10</v>
          </cell>
          <cell r="R33">
            <v>10</v>
          </cell>
          <cell r="S33">
            <v>10</v>
          </cell>
          <cell r="T33">
            <v>10</v>
          </cell>
          <cell r="U33">
            <v>10</v>
          </cell>
          <cell r="V33">
            <v>10</v>
          </cell>
          <cell r="W33">
            <v>10</v>
          </cell>
          <cell r="X33">
            <v>0</v>
          </cell>
          <cell r="Y33">
            <v>10</v>
          </cell>
          <cell r="Z33">
            <v>20</v>
          </cell>
          <cell r="AA33">
            <v>10</v>
          </cell>
          <cell r="AB33">
            <v>10</v>
          </cell>
          <cell r="AC33">
            <v>10</v>
          </cell>
          <cell r="AD33">
            <v>10</v>
          </cell>
          <cell r="AE33">
            <v>10</v>
          </cell>
          <cell r="AF33">
            <v>10</v>
          </cell>
          <cell r="AG33">
            <v>10</v>
          </cell>
          <cell r="AH33">
            <v>10</v>
          </cell>
          <cell r="AI33">
            <v>10</v>
          </cell>
          <cell r="AJ33">
            <v>0</v>
          </cell>
          <cell r="AK33">
            <v>10</v>
          </cell>
          <cell r="AL33">
            <v>10</v>
          </cell>
          <cell r="AM33">
            <v>10</v>
          </cell>
          <cell r="AN33">
            <v>10</v>
          </cell>
          <cell r="AO33">
            <v>10</v>
          </cell>
          <cell r="AP33">
            <v>10</v>
          </cell>
        </row>
        <row r="34">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row>
        <row r="36">
          <cell r="L36">
            <v>8</v>
          </cell>
          <cell r="M36">
            <v>8</v>
          </cell>
          <cell r="N36">
            <v>8</v>
          </cell>
          <cell r="O36">
            <v>8</v>
          </cell>
          <cell r="P36">
            <v>0</v>
          </cell>
          <cell r="Q36">
            <v>0</v>
          </cell>
          <cell r="R36">
            <v>8</v>
          </cell>
          <cell r="S36">
            <v>8</v>
          </cell>
          <cell r="T36">
            <v>8</v>
          </cell>
          <cell r="U36">
            <v>8</v>
          </cell>
          <cell r="V36">
            <v>0</v>
          </cell>
          <cell r="W36">
            <v>8</v>
          </cell>
          <cell r="X36">
            <v>8</v>
          </cell>
          <cell r="Y36">
            <v>8</v>
          </cell>
          <cell r="Z36">
            <v>8</v>
          </cell>
          <cell r="AA36">
            <v>8</v>
          </cell>
          <cell r="AB36">
            <v>8</v>
          </cell>
          <cell r="AC36">
            <v>8</v>
          </cell>
          <cell r="AD36">
            <v>0</v>
          </cell>
          <cell r="AE36">
            <v>8</v>
          </cell>
          <cell r="AF36">
            <v>8</v>
          </cell>
          <cell r="AG36">
            <v>8</v>
          </cell>
          <cell r="AH36">
            <v>8</v>
          </cell>
          <cell r="AI36">
            <v>8</v>
          </cell>
          <cell r="AJ36">
            <v>8</v>
          </cell>
          <cell r="AK36">
            <v>8</v>
          </cell>
          <cell r="AL36">
            <v>8</v>
          </cell>
          <cell r="AM36">
            <v>8</v>
          </cell>
          <cell r="AN36">
            <v>8</v>
          </cell>
          <cell r="AO36">
            <v>8</v>
          </cell>
          <cell r="AP36">
            <v>8</v>
          </cell>
        </row>
        <row r="37">
          <cell r="L37">
            <v>9</v>
          </cell>
          <cell r="M37">
            <v>8.1999999999999993</v>
          </cell>
          <cell r="N37">
            <v>7</v>
          </cell>
          <cell r="O37">
            <v>8</v>
          </cell>
          <cell r="P37">
            <v>9.1000000000000014</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row>
        <row r="42">
          <cell r="L42">
            <v>10</v>
          </cell>
          <cell r="M42">
            <v>10</v>
          </cell>
          <cell r="N42">
            <v>10</v>
          </cell>
          <cell r="O42">
            <v>10</v>
          </cell>
          <cell r="P42">
            <v>10</v>
          </cell>
          <cell r="Q42">
            <v>10</v>
          </cell>
          <cell r="R42">
            <v>0</v>
          </cell>
          <cell r="S42">
            <v>10</v>
          </cell>
          <cell r="T42">
            <v>10</v>
          </cell>
          <cell r="U42">
            <v>10</v>
          </cell>
          <cell r="V42">
            <v>10</v>
          </cell>
          <cell r="W42">
            <v>10</v>
          </cell>
          <cell r="X42">
            <v>10</v>
          </cell>
          <cell r="Y42">
            <v>0</v>
          </cell>
          <cell r="Z42">
            <v>0</v>
          </cell>
          <cell r="AA42">
            <v>10</v>
          </cell>
          <cell r="AB42">
            <v>10</v>
          </cell>
          <cell r="AC42">
            <v>10</v>
          </cell>
          <cell r="AD42">
            <v>10</v>
          </cell>
          <cell r="AE42">
            <v>10</v>
          </cell>
          <cell r="AF42">
            <v>10</v>
          </cell>
          <cell r="AG42">
            <v>0</v>
          </cell>
          <cell r="AH42">
            <v>10</v>
          </cell>
          <cell r="AI42">
            <v>10</v>
          </cell>
          <cell r="AJ42">
            <v>10</v>
          </cell>
          <cell r="AK42">
            <v>10</v>
          </cell>
          <cell r="AL42">
            <v>10</v>
          </cell>
          <cell r="AM42">
            <v>10</v>
          </cell>
          <cell r="AN42">
            <v>10</v>
          </cell>
          <cell r="AO42">
            <v>0</v>
          </cell>
          <cell r="AP42">
            <v>0</v>
          </cell>
        </row>
        <row r="43">
          <cell r="L43">
            <v>9.5</v>
          </cell>
          <cell r="M43">
            <v>13</v>
          </cell>
          <cell r="N43">
            <v>10.5</v>
          </cell>
          <cell r="O43">
            <v>12</v>
          </cell>
          <cell r="P43">
            <v>16</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row>
        <row r="45">
          <cell r="L45">
            <v>10</v>
          </cell>
          <cell r="M45">
            <v>10</v>
          </cell>
          <cell r="N45">
            <v>10</v>
          </cell>
          <cell r="O45">
            <v>10</v>
          </cell>
          <cell r="P45">
            <v>10</v>
          </cell>
          <cell r="Q45">
            <v>10</v>
          </cell>
          <cell r="R45">
            <v>0</v>
          </cell>
          <cell r="S45">
            <v>10</v>
          </cell>
          <cell r="T45">
            <v>10</v>
          </cell>
          <cell r="U45">
            <v>10</v>
          </cell>
          <cell r="V45">
            <v>10</v>
          </cell>
          <cell r="W45">
            <v>10</v>
          </cell>
          <cell r="X45">
            <v>10</v>
          </cell>
          <cell r="Y45">
            <v>0</v>
          </cell>
          <cell r="Z45">
            <v>10</v>
          </cell>
          <cell r="AA45">
            <v>10</v>
          </cell>
          <cell r="AB45">
            <v>10</v>
          </cell>
          <cell r="AC45">
            <v>10</v>
          </cell>
          <cell r="AD45">
            <v>10</v>
          </cell>
          <cell r="AE45">
            <v>10</v>
          </cell>
          <cell r="AF45">
            <v>10</v>
          </cell>
          <cell r="AG45">
            <v>10</v>
          </cell>
          <cell r="AH45">
            <v>10</v>
          </cell>
          <cell r="AI45">
            <v>0</v>
          </cell>
          <cell r="AJ45">
            <v>10</v>
          </cell>
          <cell r="AK45">
            <v>10</v>
          </cell>
          <cell r="AL45">
            <v>10</v>
          </cell>
          <cell r="AM45">
            <v>10</v>
          </cell>
          <cell r="AN45">
            <v>10</v>
          </cell>
          <cell r="AO45">
            <v>10</v>
          </cell>
          <cell r="AP45">
            <v>0</v>
          </cell>
        </row>
        <row r="46">
          <cell r="L46">
            <v>20</v>
          </cell>
          <cell r="M46">
            <v>11</v>
          </cell>
          <cell r="N46">
            <v>3</v>
          </cell>
          <cell r="O46">
            <v>6</v>
          </cell>
          <cell r="P46">
            <v>7</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row>
        <row r="48">
          <cell r="L48">
            <v>8</v>
          </cell>
          <cell r="M48">
            <v>8</v>
          </cell>
          <cell r="N48">
            <v>0</v>
          </cell>
          <cell r="O48">
            <v>8</v>
          </cell>
          <cell r="P48">
            <v>8</v>
          </cell>
          <cell r="Q48">
            <v>8</v>
          </cell>
          <cell r="R48">
            <v>8</v>
          </cell>
          <cell r="S48">
            <v>8</v>
          </cell>
          <cell r="T48">
            <v>8</v>
          </cell>
          <cell r="U48">
            <v>8</v>
          </cell>
          <cell r="V48">
            <v>0</v>
          </cell>
          <cell r="W48">
            <v>8</v>
          </cell>
          <cell r="X48">
            <v>8</v>
          </cell>
          <cell r="Y48">
            <v>8</v>
          </cell>
          <cell r="Z48">
            <v>8</v>
          </cell>
          <cell r="AA48">
            <v>8</v>
          </cell>
          <cell r="AB48">
            <v>8</v>
          </cell>
          <cell r="AC48">
            <v>8</v>
          </cell>
          <cell r="AD48">
            <v>0</v>
          </cell>
          <cell r="AE48">
            <v>0</v>
          </cell>
          <cell r="AF48">
            <v>8</v>
          </cell>
          <cell r="AG48">
            <v>8</v>
          </cell>
          <cell r="AH48">
            <v>8</v>
          </cell>
          <cell r="AI48">
            <v>8</v>
          </cell>
          <cell r="AJ48">
            <v>8</v>
          </cell>
          <cell r="AK48">
            <v>8</v>
          </cell>
          <cell r="AL48">
            <v>8</v>
          </cell>
          <cell r="AM48">
            <v>0</v>
          </cell>
          <cell r="AN48">
            <v>8</v>
          </cell>
          <cell r="AO48">
            <v>8</v>
          </cell>
          <cell r="AP48">
            <v>8</v>
          </cell>
        </row>
        <row r="49">
          <cell r="L49">
            <v>14</v>
          </cell>
          <cell r="M49">
            <v>9</v>
          </cell>
          <cell r="N49">
            <v>5</v>
          </cell>
          <cell r="O49">
            <v>9</v>
          </cell>
          <cell r="P49">
            <v>12</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gned_Off_Plan"/>
      <sheetName val="Graphs"/>
      <sheetName val="Summary"/>
      <sheetName val="Consolidated Mine to Mill Plan"/>
      <sheetName val="Plan VS Forecast"/>
      <sheetName val="Underground Ore Hoisting Plan"/>
      <sheetName val="Stockpiles"/>
      <sheetName val="    Stope Perfomance"/>
      <sheetName val="Underground Breaking Plan"/>
      <sheetName val="Diamond Drilling "/>
      <sheetName val="Chandalier Stocks"/>
      <sheetName val="Block Summary"/>
    </sheetNames>
    <sheetDataSet>
      <sheetData sheetId="0"/>
      <sheetData sheetId="1"/>
      <sheetData sheetId="2"/>
      <sheetData sheetId="3"/>
      <sheetData sheetId="4"/>
      <sheetData sheetId="5">
        <row r="5">
          <cell r="D5">
            <v>740</v>
          </cell>
          <cell r="E5">
            <v>850</v>
          </cell>
          <cell r="F5">
            <v>850</v>
          </cell>
          <cell r="G5">
            <v>850</v>
          </cell>
          <cell r="H5">
            <v>850</v>
          </cell>
          <cell r="I5">
            <v>850</v>
          </cell>
          <cell r="J5">
            <v>850</v>
          </cell>
          <cell r="K5">
            <v>740</v>
          </cell>
          <cell r="L5">
            <v>850</v>
          </cell>
          <cell r="M5">
            <v>850</v>
          </cell>
          <cell r="N5">
            <v>0</v>
          </cell>
          <cell r="O5">
            <v>0</v>
          </cell>
          <cell r="P5">
            <v>850</v>
          </cell>
          <cell r="Q5">
            <v>850</v>
          </cell>
          <cell r="R5">
            <v>705</v>
          </cell>
          <cell r="S5">
            <v>815</v>
          </cell>
          <cell r="T5">
            <v>815</v>
          </cell>
          <cell r="U5">
            <v>815</v>
          </cell>
          <cell r="V5">
            <v>705</v>
          </cell>
          <cell r="W5">
            <v>815</v>
          </cell>
          <cell r="X5">
            <v>815</v>
          </cell>
          <cell r="Y5">
            <v>955</v>
          </cell>
          <cell r="Z5">
            <v>955</v>
          </cell>
          <cell r="AA5">
            <v>955</v>
          </cell>
          <cell r="AB5">
            <v>955</v>
          </cell>
          <cell r="AC5">
            <v>955</v>
          </cell>
          <cell r="AD5">
            <v>955</v>
          </cell>
          <cell r="AE5">
            <v>955</v>
          </cell>
          <cell r="AF5">
            <v>845</v>
          </cell>
          <cell r="AG5">
            <v>955</v>
          </cell>
          <cell r="AH5">
            <v>955</v>
          </cell>
        </row>
        <row r="6">
          <cell r="D6">
            <v>2.2027283562768369</v>
          </cell>
          <cell r="E6">
            <v>2.2398948598130839</v>
          </cell>
          <cell r="F6">
            <v>2.2398948598130839</v>
          </cell>
          <cell r="G6">
            <v>2.2398948598130839</v>
          </cell>
          <cell r="H6">
            <v>2.2398948598130839</v>
          </cell>
          <cell r="I6">
            <v>2.2398948598130839</v>
          </cell>
          <cell r="J6">
            <v>2.2398948598130839</v>
          </cell>
          <cell r="K6">
            <v>2.2027283562768369</v>
          </cell>
          <cell r="L6">
            <v>2.2398948598130839</v>
          </cell>
          <cell r="M6">
            <v>2.2398948598130839</v>
          </cell>
          <cell r="N6">
            <v>0</v>
          </cell>
          <cell r="O6">
            <v>0</v>
          </cell>
          <cell r="P6">
            <v>2.2398948598130839</v>
          </cell>
          <cell r="Q6">
            <v>2.2398948598130839</v>
          </cell>
          <cell r="R6">
            <v>2.2134888480148471</v>
          </cell>
          <cell r="S6">
            <v>2.2507991227567223</v>
          </cell>
          <cell r="T6">
            <v>2.2507991227567223</v>
          </cell>
          <cell r="U6">
            <v>2.2507991227567223</v>
          </cell>
          <cell r="V6">
            <v>2.2134888480148471</v>
          </cell>
          <cell r="W6">
            <v>2.2507991227567223</v>
          </cell>
          <cell r="X6">
            <v>2.2507991227567223</v>
          </cell>
          <cell r="Y6">
            <v>2.2119776630620933</v>
          </cell>
          <cell r="Z6">
            <v>2.2119776630620933</v>
          </cell>
          <cell r="AA6">
            <v>2.2119776630620933</v>
          </cell>
          <cell r="AB6">
            <v>2.2119776630620933</v>
          </cell>
          <cell r="AC6">
            <v>2.2119776630620933</v>
          </cell>
          <cell r="AD6">
            <v>2.2119776630620933</v>
          </cell>
          <cell r="AE6">
            <v>2.2119776630620933</v>
          </cell>
          <cell r="AF6">
            <v>2.1757952911574407</v>
          </cell>
          <cell r="AG6">
            <v>2.2119776630620933</v>
          </cell>
          <cell r="AH6">
            <v>2.2119776630620933</v>
          </cell>
        </row>
      </sheetData>
      <sheetData sheetId="6"/>
      <sheetData sheetId="7">
        <row r="11">
          <cell r="D11">
            <v>0</v>
          </cell>
          <cell r="E11">
            <v>0</v>
          </cell>
        </row>
        <row r="12">
          <cell r="D12">
            <v>1.9859813084112148</v>
          </cell>
        </row>
        <row r="13">
          <cell r="D13">
            <v>1.9859813084112148</v>
          </cell>
          <cell r="E13">
            <v>2</v>
          </cell>
        </row>
        <row r="14">
          <cell r="D14">
            <v>0</v>
          </cell>
          <cell r="E14">
            <v>0</v>
          </cell>
        </row>
        <row r="16">
          <cell r="D16">
            <v>0</v>
          </cell>
          <cell r="E16">
            <v>0</v>
          </cell>
        </row>
        <row r="18">
          <cell r="D18">
            <v>1.9462616822429906</v>
          </cell>
          <cell r="E18">
            <v>2</v>
          </cell>
        </row>
        <row r="22">
          <cell r="D22">
            <v>1.8271028037383175</v>
          </cell>
          <cell r="E22">
            <v>3</v>
          </cell>
        </row>
        <row r="23">
          <cell r="D23">
            <v>1.7476635514018692</v>
          </cell>
          <cell r="E23">
            <v>2</v>
          </cell>
        </row>
        <row r="26">
          <cell r="D26">
            <v>3.1378504672897192</v>
          </cell>
          <cell r="E26">
            <v>1</v>
          </cell>
        </row>
        <row r="27">
          <cell r="D27">
            <v>0</v>
          </cell>
          <cell r="E27">
            <v>0</v>
          </cell>
        </row>
        <row r="28">
          <cell r="D28">
            <v>2.542056074766355</v>
          </cell>
          <cell r="E28">
            <v>4</v>
          </cell>
        </row>
        <row r="29">
          <cell r="D29">
            <v>2.3831775700934577</v>
          </cell>
          <cell r="E29">
            <v>3</v>
          </cell>
        </row>
        <row r="30">
          <cell r="D30">
            <v>0</v>
          </cell>
          <cell r="E30">
            <v>0</v>
          </cell>
        </row>
        <row r="31">
          <cell r="D31">
            <v>2.7803738317757007</v>
          </cell>
          <cell r="E31">
            <v>3</v>
          </cell>
        </row>
        <row r="33">
          <cell r="D33">
            <v>1.9859813084112148</v>
          </cell>
          <cell r="E33">
            <v>1</v>
          </cell>
        </row>
        <row r="34">
          <cell r="D34">
            <v>0</v>
          </cell>
        </row>
        <row r="35">
          <cell r="D35">
            <v>1.7476635514018692</v>
          </cell>
          <cell r="E35">
            <v>2</v>
          </cell>
        </row>
        <row r="36">
          <cell r="D36">
            <v>2.7803738317757007</v>
          </cell>
          <cell r="E36">
            <v>2</v>
          </cell>
        </row>
        <row r="66">
          <cell r="J66">
            <v>0</v>
          </cell>
        </row>
      </sheetData>
      <sheetData sheetId="8">
        <row r="2">
          <cell r="D2">
            <v>910</v>
          </cell>
          <cell r="E2">
            <v>910</v>
          </cell>
          <cell r="F2">
            <v>910</v>
          </cell>
          <cell r="G2">
            <v>910</v>
          </cell>
          <cell r="H2">
            <v>910</v>
          </cell>
          <cell r="I2">
            <v>910</v>
          </cell>
          <cell r="J2">
            <v>910</v>
          </cell>
          <cell r="K2">
            <v>910</v>
          </cell>
          <cell r="L2">
            <v>910</v>
          </cell>
          <cell r="M2">
            <v>910</v>
          </cell>
          <cell r="N2">
            <v>0</v>
          </cell>
          <cell r="O2">
            <v>0</v>
          </cell>
          <cell r="P2">
            <v>910</v>
          </cell>
          <cell r="Q2">
            <v>910</v>
          </cell>
          <cell r="R2">
            <v>875</v>
          </cell>
          <cell r="S2">
            <v>875</v>
          </cell>
          <cell r="T2">
            <v>875</v>
          </cell>
          <cell r="U2">
            <v>875</v>
          </cell>
          <cell r="V2">
            <v>875</v>
          </cell>
          <cell r="W2">
            <v>875</v>
          </cell>
          <cell r="X2">
            <v>875</v>
          </cell>
          <cell r="Y2">
            <v>1015</v>
          </cell>
          <cell r="Z2">
            <v>1015</v>
          </cell>
          <cell r="AA2">
            <v>1015</v>
          </cell>
          <cell r="AB2">
            <v>1015</v>
          </cell>
          <cell r="AC2">
            <v>1015</v>
          </cell>
          <cell r="AD2">
            <v>1015</v>
          </cell>
          <cell r="AE2">
            <v>1015</v>
          </cell>
          <cell r="AF2">
            <v>1015</v>
          </cell>
          <cell r="AG2">
            <v>1015</v>
          </cell>
          <cell r="AH2">
            <v>1015</v>
          </cell>
        </row>
        <row r="3">
          <cell r="D3">
            <v>2.2563803019410491</v>
          </cell>
          <cell r="E3">
            <v>2.2563803019410491</v>
          </cell>
          <cell r="F3">
            <v>2.2563803019410491</v>
          </cell>
          <cell r="G3">
            <v>2.2563803019410491</v>
          </cell>
          <cell r="H3">
            <v>2.2563803019410491</v>
          </cell>
          <cell r="I3">
            <v>2.2563803019410491</v>
          </cell>
          <cell r="J3">
            <v>2.2563803019410491</v>
          </cell>
          <cell r="K3">
            <v>2.2563803019410491</v>
          </cell>
          <cell r="L3">
            <v>2.2563803019410491</v>
          </cell>
          <cell r="M3">
            <v>2.2563803019410491</v>
          </cell>
          <cell r="N3">
            <v>0</v>
          </cell>
          <cell r="O3">
            <v>0</v>
          </cell>
          <cell r="P3">
            <v>2.2563803019410491</v>
          </cell>
          <cell r="Q3">
            <v>2.2563803019410491</v>
          </cell>
          <cell r="R3">
            <v>2.2671962616822428</v>
          </cell>
          <cell r="S3">
            <v>2.2671962616822428</v>
          </cell>
          <cell r="T3">
            <v>2.2671962616822428</v>
          </cell>
          <cell r="U3">
            <v>2.2671962616822428</v>
          </cell>
          <cell r="V3">
            <v>2.2671962616822428</v>
          </cell>
          <cell r="W3">
            <v>2.2671962616822428</v>
          </cell>
          <cell r="X3">
            <v>2.2671962616822428</v>
          </cell>
          <cell r="Y3">
            <v>2.2284079922655491</v>
          </cell>
          <cell r="Z3">
            <v>2.2284079922655491</v>
          </cell>
          <cell r="AA3">
            <v>2.2284079922655491</v>
          </cell>
          <cell r="AB3">
            <v>2.2284079922655491</v>
          </cell>
          <cell r="AC3">
            <v>2.2284079922655491</v>
          </cell>
          <cell r="AD3">
            <v>2.2284079922655491</v>
          </cell>
          <cell r="AE3">
            <v>2.2284079922655491</v>
          </cell>
          <cell r="AF3">
            <v>2.2284079922655491</v>
          </cell>
          <cell r="AG3">
            <v>2.2284079922655491</v>
          </cell>
          <cell r="AH3">
            <v>2.2284079922655491</v>
          </cell>
        </row>
        <row r="6">
          <cell r="D6">
            <v>350</v>
          </cell>
          <cell r="E6">
            <v>350</v>
          </cell>
          <cell r="F6">
            <v>350</v>
          </cell>
          <cell r="G6">
            <v>350</v>
          </cell>
          <cell r="H6">
            <v>350</v>
          </cell>
          <cell r="I6">
            <v>350</v>
          </cell>
          <cell r="J6">
            <v>350</v>
          </cell>
          <cell r="K6">
            <v>350</v>
          </cell>
          <cell r="L6">
            <v>350</v>
          </cell>
          <cell r="M6">
            <v>350</v>
          </cell>
          <cell r="N6">
            <v>0</v>
          </cell>
          <cell r="O6">
            <v>0</v>
          </cell>
          <cell r="P6">
            <v>350</v>
          </cell>
          <cell r="Q6">
            <v>350</v>
          </cell>
          <cell r="R6">
            <v>315</v>
          </cell>
          <cell r="S6">
            <v>315</v>
          </cell>
          <cell r="T6">
            <v>315</v>
          </cell>
          <cell r="U6">
            <v>315</v>
          </cell>
          <cell r="V6">
            <v>315</v>
          </cell>
          <cell r="W6">
            <v>315</v>
          </cell>
          <cell r="X6">
            <v>315</v>
          </cell>
          <cell r="Y6">
            <v>455</v>
          </cell>
          <cell r="Z6">
            <v>455</v>
          </cell>
          <cell r="AA6">
            <v>455</v>
          </cell>
          <cell r="AB6">
            <v>455</v>
          </cell>
          <cell r="AC6">
            <v>455</v>
          </cell>
          <cell r="AD6">
            <v>455</v>
          </cell>
          <cell r="AE6">
            <v>455</v>
          </cell>
          <cell r="AF6">
            <v>455</v>
          </cell>
          <cell r="AG6">
            <v>455</v>
          </cell>
          <cell r="AH6">
            <v>455</v>
          </cell>
        </row>
        <row r="7">
          <cell r="D7">
            <v>1.8827102803738314</v>
          </cell>
          <cell r="E7">
            <v>1.8827102803738314</v>
          </cell>
          <cell r="F7">
            <v>1.8827102803738314</v>
          </cell>
          <cell r="G7">
            <v>1.8827102803738314</v>
          </cell>
          <cell r="H7">
            <v>1.8827102803738314</v>
          </cell>
          <cell r="I7">
            <v>1.8827102803738314</v>
          </cell>
          <cell r="J7">
            <v>1.8827102803738314</v>
          </cell>
          <cell r="K7">
            <v>1.8827102803738314</v>
          </cell>
          <cell r="L7">
            <v>1.8827102803738314</v>
          </cell>
          <cell r="M7">
            <v>1.8827102803738314</v>
          </cell>
          <cell r="N7">
            <v>0</v>
          </cell>
          <cell r="O7">
            <v>0</v>
          </cell>
          <cell r="P7">
            <v>1.8827102803738314</v>
          </cell>
          <cell r="Q7">
            <v>1.8827102803738314</v>
          </cell>
          <cell r="R7">
            <v>1.8712357217030113</v>
          </cell>
          <cell r="S7">
            <v>1.8712357217030113</v>
          </cell>
          <cell r="T7">
            <v>1.8712357217030113</v>
          </cell>
          <cell r="U7">
            <v>1.8712357217030113</v>
          </cell>
          <cell r="V7">
            <v>1.8712357217030113</v>
          </cell>
          <cell r="W7">
            <v>1.8712357217030113</v>
          </cell>
          <cell r="X7">
            <v>1.8712357217030113</v>
          </cell>
          <cell r="Y7">
            <v>1.9065420560747663</v>
          </cell>
          <cell r="Z7">
            <v>1.9065420560747663</v>
          </cell>
          <cell r="AA7">
            <v>1.9065420560747663</v>
          </cell>
          <cell r="AB7">
            <v>1.9065420560747663</v>
          </cell>
          <cell r="AC7">
            <v>1.9065420560747663</v>
          </cell>
          <cell r="AD7">
            <v>1.9065420560747663</v>
          </cell>
          <cell r="AE7">
            <v>1.9065420560747663</v>
          </cell>
          <cell r="AF7">
            <v>1.9065420560747663</v>
          </cell>
          <cell r="AG7">
            <v>1.9065420560747663</v>
          </cell>
          <cell r="AH7">
            <v>1.9065420560747663</v>
          </cell>
        </row>
        <row r="83">
          <cell r="D83">
            <v>560</v>
          </cell>
          <cell r="E83">
            <v>560</v>
          </cell>
          <cell r="F83">
            <v>560</v>
          </cell>
          <cell r="G83">
            <v>560</v>
          </cell>
          <cell r="H83">
            <v>560</v>
          </cell>
          <cell r="I83">
            <v>560</v>
          </cell>
          <cell r="J83">
            <v>560</v>
          </cell>
          <cell r="K83">
            <v>560</v>
          </cell>
          <cell r="L83">
            <v>560</v>
          </cell>
          <cell r="M83">
            <v>560</v>
          </cell>
          <cell r="N83">
            <v>0</v>
          </cell>
          <cell r="O83">
            <v>0</v>
          </cell>
          <cell r="P83">
            <v>560</v>
          </cell>
          <cell r="Q83">
            <v>560</v>
          </cell>
          <cell r="R83">
            <v>560</v>
          </cell>
          <cell r="S83">
            <v>560</v>
          </cell>
          <cell r="T83">
            <v>560</v>
          </cell>
          <cell r="U83">
            <v>560</v>
          </cell>
          <cell r="V83">
            <v>560</v>
          </cell>
          <cell r="W83">
            <v>560</v>
          </cell>
          <cell r="X83">
            <v>560</v>
          </cell>
          <cell r="Y83">
            <v>560</v>
          </cell>
          <cell r="Z83">
            <v>560</v>
          </cell>
          <cell r="AA83">
            <v>560</v>
          </cell>
          <cell r="AB83">
            <v>560</v>
          </cell>
          <cell r="AC83">
            <v>560</v>
          </cell>
          <cell r="AD83">
            <v>560</v>
          </cell>
          <cell r="AE83">
            <v>560</v>
          </cell>
          <cell r="AF83">
            <v>560</v>
          </cell>
          <cell r="AG83">
            <v>560</v>
          </cell>
          <cell r="AH83">
            <v>560</v>
          </cell>
        </row>
        <row r="84">
          <cell r="D84">
            <v>2.4899240654205603</v>
          </cell>
          <cell r="E84">
            <v>2.4899240654205603</v>
          </cell>
          <cell r="F84">
            <v>2.4899240654205603</v>
          </cell>
          <cell r="G84">
            <v>2.4899240654205603</v>
          </cell>
          <cell r="H84">
            <v>2.4899240654205603</v>
          </cell>
          <cell r="I84">
            <v>2.4899240654205603</v>
          </cell>
          <cell r="J84">
            <v>2.4899240654205603</v>
          </cell>
          <cell r="K84">
            <v>2.4899240654205603</v>
          </cell>
          <cell r="L84">
            <v>2.4899240654205603</v>
          </cell>
          <cell r="M84">
            <v>2.4899240654205603</v>
          </cell>
          <cell r="N84">
            <v>0</v>
          </cell>
          <cell r="O84">
            <v>0</v>
          </cell>
          <cell r="P84">
            <v>2.4899240654205603</v>
          </cell>
          <cell r="Q84">
            <v>2.4899240654205603</v>
          </cell>
          <cell r="R84">
            <v>2.4899240654205603</v>
          </cell>
          <cell r="S84">
            <v>2.4899240654205603</v>
          </cell>
          <cell r="T84">
            <v>2.4899240654205603</v>
          </cell>
          <cell r="U84">
            <v>2.4899240654205603</v>
          </cell>
          <cell r="V84">
            <v>2.4899240654205603</v>
          </cell>
          <cell r="W84">
            <v>2.4899240654205603</v>
          </cell>
          <cell r="X84">
            <v>2.4899240654205603</v>
          </cell>
          <cell r="Y84">
            <v>2.4899240654205603</v>
          </cell>
          <cell r="Z84">
            <v>2.4899240654205603</v>
          </cell>
          <cell r="AA84">
            <v>2.4899240654205603</v>
          </cell>
          <cell r="AB84">
            <v>2.4899240654205603</v>
          </cell>
          <cell r="AC84">
            <v>2.4899240654205603</v>
          </cell>
          <cell r="AD84">
            <v>2.4899240654205603</v>
          </cell>
          <cell r="AE84">
            <v>2.4899240654205603</v>
          </cell>
          <cell r="AF84">
            <v>2.4899240654205603</v>
          </cell>
          <cell r="AG84">
            <v>2.4899240654205603</v>
          </cell>
          <cell r="AH84">
            <v>2.4899240654205603</v>
          </cell>
        </row>
        <row r="169">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row>
        <row r="170">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sheetData>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Rugota Mabika" id="{7E4574BC-E07C-4A52-8830-7110F0BE90C1}" userId="S::rugota.mabika@dallaglio.co.zw::fc2c5b73-bd87-4bb7-b2ae-44cca2346ca4" providerId="AD"/>
  <person displayName="Tinashe Jacha" id="{E647087F-89ED-47DE-A1C0-D57F702B05C3}" userId="S::tinashe.jacha@dallaglio.co.zw::42b73414-4d5e-4fa3-8524-cffbf00800fc" providerId="AD"/>
  <person displayName="Locadia Hwandi" id="{7AD0167F-1964-4B5F-8561-F1DD5D6BB428}" userId="S::locadia.hwandi@dallaglio.co.zw::fb17ad52-a4aa-4067-9394-dee5b4b12277" providerId="AD"/>
  <person displayName="Barnabas Gwenzi" id="{21CA9A7B-6AC3-46C1-A6B1-FBA09A409DB5}" userId="S::barnabas.gwenzi@dallaglio.co.zw::aec4ccbd-ac45-4a15-9150-935625957152" providerId="AD"/>
  <person displayName="Prince Mlotshwa" id="{B523CD0F-E730-4970-B5EE-FFD151F6AE47}" userId="S::prince.mlotshwa@dallaglio.co.zw::6bddc44e-b428-4d08-bb79-4f0384ab791d" providerId="AD"/>
  <person displayName="Kevin Kalongonda" id="{9DBB1F1F-9AA3-4643-9CC8-A3DD5E772BE5}" userId="S::kevin.kalongonda@dallaglio.co.zw::7335be6a-4197-4bd0-8953-602079e4b45e" providerId="AD"/>
  <person displayName="Takudzwa Masango" id="{FA8520F5-2B46-4188-9F4E-D63C7F16ED0C}" userId="S::takudzwa.masango@dallaglio.co.zw::be67c61d-880c-4f74-8934-a9b1e07965e3" providerId="AD"/>
  <person displayName="Charles Mwachikorera" id="{4C560CE8-5F78-4C1F-A161-044D83C5E023}" userId="S::charles.mwachikorera@dallaglio.co.zw::2d5e757b-26e6-4488-b10e-12b9970bcb4d" providerId="AD"/>
  <person displayName="Eugene Musikanyangwe" id="{A512C515-4047-44D1-8242-D5B7ECB03372}" userId="S::eugene.musikanyangwe@dallaglio.co.zw::62cebe8a-4750-439e-94c6-0ad4d3197413" providerId="AD"/>
  <person displayName="Thembelani Maphuzukhunotha" id="{52EEACAB-7FCE-42EB-BCF2-2E933FA209BA}" userId="S::Thembelani.Maphuzukhunotha@dallaglio.co.zw::0051e25f-e8c7-4c92-bfac-c073317dd59a" providerId="AD"/>
  <person displayName="Thembelani Maphuzukhunotha" id="{F3BDD8FC-6350-479A-AD06-4624B2998FE0}" userId="S::thembelani.maphuzukhunotha@dallaglio.co.zw::0051e25f-e8c7-4c92-bfac-c073317dd59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34" dT="2025-08-04T13:08:54.25" personId="{7E4574BC-E07C-4A52-8830-7110F0BE90C1}" id="{277317FE-38F2-4A31-84E3-6550992E4D98}">
    <text xml:space="preserve">Drilling fractured rock formation. 
</text>
  </threadedComment>
  <threadedComment ref="J37" dT="2025-08-04T13:08:11.91" personId="{7E4574BC-E07C-4A52-8830-7110F0BE90C1}" id="{776457F0-66B4-4B41-8857-2F22A7349EA0}">
    <text xml:space="preserve">No water for 2 hours  (fixing stuffing box and burst water hose). </text>
  </threadedComment>
  <threadedComment ref="K37" dT="2025-08-05T12:53:23.06" personId="{E647087F-89ED-47DE-A1C0-D57F702B05C3}" id="{91E514F3-295F-4A36-921C-C2ECB4EC2F08}">
    <text xml:space="preserve">Drilling in fractured rock formation. </text>
  </threadedComment>
  <threadedComment ref="L37" dT="2025-08-06T08:50:19.21" personId="{52EEACAB-7FCE-42EB-BCF2-2E933FA209BA}" id="{6D1DD3FB-AC6B-49FB-BDC7-EB6A5DC542A9}">
    <text xml:space="preserve">Stuck rods (drilling in fractured rock formation). </text>
  </threadedComment>
  <threadedComment ref="L40" dT="2025-08-06T08:51:13.20" personId="{52EEACAB-7FCE-42EB-BCF2-2E933FA209BA}" id="{6D45BEA1-8941-46EC-BE91-3D6FFD7AA275}">
    <text xml:space="preserve">No water for 5 hours and low compressed air for 1 hour. </text>
  </threadedComment>
  <threadedComment ref="L43" dT="2025-08-06T08:51:43.13" personId="{52EEACAB-7FCE-42EB-BCF2-2E933FA209BA}" id="{4AFE89E5-AF1E-4788-9E09-4E39401E4A76}">
    <text>Site not ready.</text>
  </threadedComment>
  <threadedComment ref="J52" dT="2025-08-04T13:09:35.08" personId="{7E4574BC-E07C-4A52-8830-7110F0BE90C1}" id="{4358153F-1A91-443E-83C0-76CEE33EF98B}">
    <text xml:space="preserve">The rig was under maintenance (rubber buffer breakdown). </text>
  </threadedComment>
  <threadedComment ref="K52" dT="2025-08-05T12:54:38.12" personId="{E647087F-89ED-47DE-A1C0-D57F702B05C3}" id="{2CDE0367-DCB6-4645-881F-79EB2AAC1542}">
    <text xml:space="preserve">Drilling in hard and fractured rock formation. </text>
  </threadedComment>
  <threadedComment ref="L52" dT="2025-08-06T08:52:22.55" personId="{52EEACAB-7FCE-42EB-BCF2-2E933FA209BA}" id="{81AADD37-FF67-433F-9A37-56E86DF7BD91}">
    <text>Drilling in hard and fractured rock formation.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K32" dT="2025-08-05T13:25:34.01" personId="{21CA9A7B-6AC3-46C1-A6B1-FBA09A409DB5}" id="{C88E6E28-8257-448E-91C0-E8654CD19873}">
    <text>Incomplete drilling due to SHEQ incident.</text>
  </threadedComment>
  <threadedComment ref="L35" dT="2025-08-06T10:23:23.93" personId="{21CA9A7B-6AC3-46C1-A6B1-FBA09A409DB5}" id="{4955241F-5F80-4F1E-8423-0430ACF2EC74}">
    <text>Replaced with 5L W13B Box raise which has a higher priority</text>
  </threadedComment>
  <threadedComment ref="K41" dT="2025-08-05T07:57:41.61" personId="{21CA9A7B-6AC3-46C1-A6B1-FBA09A409DB5}" id="{A6002D47-4215-474F-A604-61903D25C39A}">
    <text>Moved the machine to 5L W13B Box Raise</text>
  </threadedComment>
  <threadedComment ref="L41" dT="2025-08-06T10:19:59.23" personId="{21CA9A7B-6AC3-46C1-A6B1-FBA09A409DB5}" id="{83114423-CB27-47BA-9472-1DE5DE0C2BA5}">
    <text>Drilled and blasted 6LA W14 DD cubby</text>
  </threadedComment>
  <threadedComment ref="K47" dT="2025-08-05T13:28:08.69" personId="{21CA9A7B-6AC3-46C1-A6B1-FBA09A409DB5}" id="{6656E06B-F8D2-45C8-901D-03AD434DDF76}">
    <text>Short length drilled, end is turning to change direction.</text>
  </threadedComment>
  <threadedComment ref="H56" dT="2025-08-02T05:48:28.33" personId="{B523CD0F-E730-4970-B5EE-FFD151F6AE47}" id="{B8433549-2312-416E-AA5C-6153580DCF14}">
    <text>5L W13 SL2 North</text>
  </threadedComment>
  <threadedComment ref="L56" dT="2025-08-06T10:21:25.43" personId="{21CA9A7B-6AC3-46C1-A6B1-FBA09A409DB5}" id="{C624C1C6-836C-4721-B02E-4C951F514460}">
    <text>Mined Hoist Chamber Crosscut</text>
  </threadedComment>
  <threadedComment ref="H65" dT="2025-08-06T10:17:42.74" personId="{21CA9A7B-6AC3-46C1-A6B1-FBA09A409DB5}" id="{88401318-DCCA-4C78-9CD1-A02AF7CDAC41}">
    <text>Mined 5L W13 Box Raise</text>
  </threadedComment>
  <threadedComment ref="I65" dT="2025-08-03T05:03:49.89" personId="{21CA9A7B-6AC3-46C1-A6B1-FBA09A409DB5}" id="{84640331-75C8-452D-A2C9-8EBAF373BCC4}">
    <text>Drilling DD Cubbies</text>
  </threadedComment>
  <threadedComment ref="K65" dT="2025-08-03T05:03:49.89" personId="{21CA9A7B-6AC3-46C1-A6B1-FBA09A409DB5}" id="{233ECAD5-2EB2-4B6F-8FD6-600EEDFB4844}">
    <text>Drilling DD Cubbies</text>
  </threadedComment>
  <threadedComment ref="L65" dT="2025-08-03T05:03:49.89" personId="{21CA9A7B-6AC3-46C1-A6B1-FBA09A409DB5}" id="{7D9B3AE3-01DB-456C-AF86-0D64D562DE37}">
    <text>Drilling DD Cubbies</text>
  </threadedComment>
  <threadedComment ref="H68" dT="2025-08-02T05:46:13.26" personId="{B523CD0F-E730-4970-B5EE-FFD151F6AE47}" id="{C3C8D090-5EFB-484A-A4BF-B3CCFD757576}">
    <text>6LA W14 DD slyp</text>
  </threadedComment>
  <threadedComment ref="L71" dT="2025-08-06T13:37:34.91" personId="{A512C515-4047-44D1-8242-D5B7ECB03372}" id="{DE7DE402-A5E8-4E93-A03F-36E01E11396E}">
    <text xml:space="preserve">Poor advance </text>
  </threadedComment>
  <threadedComment ref="M71" dT="2025-08-07T05:37:36.92" personId="{A512C515-4047-44D1-8242-D5B7ECB03372}" id="{F1E195DD-12AD-40B8-B9A1-71E16C29C5A0}">
    <text xml:space="preserve">Drilled a 1.5m hole depth due to water challenges </text>
  </threadedComment>
  <threadedComment ref="I80" dT="2025-08-03T06:17:28.93" personId="{A512C515-4047-44D1-8242-D5B7ECB03372}" id="{BD8A07F0-4E06-4655-AB42-385016EAA0B5}">
    <text>Mined 7L E1 condrive west</text>
  </threadedComment>
  <threadedComment ref="M80" dT="2025-08-07T05:38:49.62" personId="{A512C515-4047-44D1-8242-D5B7ECB03372}" id="{FF77138A-56CD-4F23-BA47-FF8D856ED67D}">
    <text xml:space="preserve">Mined 7L E1 con drive  </text>
  </threadedComment>
  <threadedComment ref="M83" dT="2025-08-07T05:48:04.75" personId="{A512C515-4047-44D1-8242-D5B7ECB03372}" id="{4F1F4F53-1462-4976-9A15-1F5164F2FAFF}">
    <text xml:space="preserve">Poor advance </text>
  </threadedComment>
  <threadedComment ref="H86" dT="2025-08-02T07:30:51.84" personId="{A512C515-4047-44D1-8242-D5B7ECB03372}" id="{35CE8B3C-1FCB-4A97-9E92-578BC87F8A17}">
    <text>DD cubby Slyping 8L W 17 SL2</text>
  </threadedComment>
  <threadedComment ref="L86" dT="2025-08-06T09:09:38.07" personId="{A512C515-4047-44D1-8242-D5B7ECB03372}" id="{24F12222-E87F-4017-B4BC-AB1BE7EF7166}">
    <text>Mined 8L W 16 DD Cubby SL2</text>
  </threadedComment>
  <threadedComment ref="M86" dT="2025-08-07T05:48:04.75" personId="{A512C515-4047-44D1-8242-D5B7ECB03372}" id="{C01599F7-19EA-4D74-A108-FCE5B4CE18CE}">
    <text xml:space="preserve">Poor advance </text>
  </threadedComment>
  <threadedComment ref="K89" dT="2025-08-05T08:06:57.45" personId="{A512C515-4047-44D1-8242-D5B7ECB03372}" id="{5F2CC612-2C9E-4584-9E39-D4AA54411273}">
    <text>Mined 8L W SL4 DW</text>
  </threadedComment>
  <threadedComment ref="L89" dT="2025-08-05T08:06:57.45" personId="{A512C515-4047-44D1-8242-D5B7ECB03372}" id="{A848F754-68B2-4CB0-990C-160BDB595D3B}">
    <text>Mined 8L W SL4 DW</text>
  </threadedComment>
  <threadedComment ref="M89" dT="2025-08-05T08:06:57.45" personId="{A512C515-4047-44D1-8242-D5B7ECB03372}" id="{5DDC2121-9678-4BEE-BECE-C25E36AAF662}">
    <text>Mined 8L W SL4 DW</text>
  </threadedComment>
  <threadedComment ref="M92" dT="2025-08-07T05:48:23.58" personId="{A512C515-4047-44D1-8242-D5B7ECB03372}" id="{FE3E9282-48EF-4A79-9D93-2E4ADCBC35B3}">
    <text>Poor advance</text>
  </threadedComment>
  <threadedComment ref="K107" dT="2025-08-05T13:29:31.00" personId="{21CA9A7B-6AC3-46C1-A6B1-FBA09A409DB5}" id="{CD8D81D9-4C56-4B97-9484-4E38C8CE5C67}">
    <text>Box construction in progress. Replaced the end with 8L W17 SL1 West.</text>
  </threadedComment>
  <threadedComment ref="L107" dT="2025-08-05T13:29:31.00" personId="{21CA9A7B-6AC3-46C1-A6B1-FBA09A409DB5}" id="{19A3BD9E-8AB6-444F-82AF-C3986CB689B1}">
    <text>Box construction in progress. Replaced the end with 8L W17 SL1 West.</text>
  </threadedComment>
  <threadedComment ref="L113" dT="2025-08-06T10:23:45.51" personId="{A512C515-4047-44D1-8242-D5B7ECB03372}" id="{B307B32B-7521-4B7B-9CDA-8010A385FEC6}">
    <text>Mined 10L W 7B Raise</text>
  </threadedComment>
  <threadedComment ref="M113" dT="2025-08-07T05:44:22.85" personId="{A512C515-4047-44D1-8242-D5B7ECB03372}" id="{FC69C668-2301-4B49-B940-23C11444B748}">
    <text>Machined slyped 10L W 4 DD Cubby</text>
  </threadedComment>
  <threadedComment ref="L119" dT="2025-08-06T10:27:18.54" personId="{A512C515-4047-44D1-8242-D5B7ECB03372}" id="{B7331482-59E0-4204-A93D-997FE4F6DF1E}">
    <text>Incomplete drilling because of water challenges due to pipe burst in the Venning shaft</text>
  </threadedComment>
  <threadedComment ref="M119" dT="2025-08-07T05:43:03.77" personId="{A512C515-4047-44D1-8242-D5B7ECB03372}" id="{F74116EC-4A0B-411F-8A3F-96DFEB94D55D}">
    <text>Mined 10L E 2 C-drive east</text>
  </threadedComment>
  <threadedComment ref="K216" dT="2025-08-05T06:10:42.33" personId="{FA8520F5-2B46-4188-9F4E-D63C7F16ED0C}" id="{2E8C5666-77EC-4940-9CF4-4F45A32C96C5}">
    <text>Second lashing shift.</text>
  </threadedComment>
  <threadedComment ref="M216" dT="2025-08-07T06:08:57.10" personId="{FA8520F5-2B46-4188-9F4E-D63C7F16ED0C}" id="{D86EB0D4-B95C-4F53-8E6C-3503221B5055}">
    <text>To be confirmed. Lashing still in progress.</text>
  </threadedComment>
</ThreadedComments>
</file>

<file path=xl/threadedComments/threadedComment3.xml><?xml version="1.0" encoding="utf-8"?>
<ThreadedComments xmlns="http://schemas.microsoft.com/office/spreadsheetml/2018/threadedcomments" xmlns:x="http://schemas.openxmlformats.org/spreadsheetml/2006/main">
  <threadedComment ref="H29" dT="2025-08-02T13:11:55.50" personId="{7E4574BC-E07C-4A52-8830-7110F0BE90C1}" id="{2BFB7073-A944-48AA-A85A-7F332ACF2DAE}">
    <text>Mining to pay zone after the collapse</text>
  </threadedComment>
  <threadedComment ref="I29" dT="2025-08-03T12:31:18.68" personId="{7E4574BC-E07C-4A52-8830-7110F0BE90C1}" id="{282BD265-4B54-4F69-BBB8-93B159B43377}">
    <text>Grade improving</text>
  </threadedComment>
  <threadedComment ref="K29" dT="2025-08-05T13:35:43.65" personId="{7E4574BC-E07C-4A52-8830-7110F0BE90C1}" id="{49AB0B33-1182-4144-97C3-E7A12CED9384}">
    <text>Low grade patch</text>
  </threadedComment>
  <threadedComment ref="I36" dT="2025-08-03T12:36:32.13" personId="{7E4574BC-E07C-4A52-8830-7110F0BE90C1}" id="{595DC59C-4C7A-4D44-AD44-A89A6B0BAF95}">
    <text>Low grade patch but grade to improve</text>
  </threadedComment>
  <threadedComment ref="H71" dT="2025-08-02T13:11:00.99" personId="{7E4574BC-E07C-4A52-8830-7110F0BE90C1}" id="{C61999D4-D275-4114-B068-A29821D2DF76}">
    <text>Grade improving as we shape the cone</text>
  </threadedComment>
  <threadedComment ref="L76" dT="2025-08-06T12:44:42.31" personId="{4C560CE8-5F78-4C1F-A161-044D83C5E023}" id="{03FD66D2-B122-432D-AF09-2F3418336BA1}">
    <text>Reduced bench area after first cut holed</text>
  </threadedComment>
  <threadedComment ref="K78" dT="2025-08-05T13:36:41.19" personId="{7E4574BC-E07C-4A52-8830-7110F0BE90C1}" id="{321B43EC-B5A6-4133-B8D6-C38FBB124ECD}">
    <text>Waste inclusion of chlorite schist on the bench</text>
  </threadedComment>
  <threadedComment ref="J83" dT="2025-08-04T13:19:47.49" personId="{4C560CE8-5F78-4C1F-A161-044D83C5E023}" id="{A164F202-CE51-4813-9EC3-5E144297CE35}">
    <text>Predrilled incomplete due to drilling water pipe</text>
  </threadedComment>
  <threadedComment ref="H85" dT="2025-08-02T13:10:34.72" personId="{7E4574BC-E07C-4A52-8830-7110F0BE90C1}" id="{CDD96264-1009-4772-A05C-D67AD8A43100}">
    <text>Grade affected by the sericite schist being mined to avoid ground collapses</text>
  </threadedComment>
  <threadedComment ref="L85" dT="2025-08-06T13:16:59.65" personId="{9DBB1F1F-9AA3-4643-9CC8-A3DD5E772BE5}" id="{00DF5721-104F-481E-A487-A6A606436FE9}">
    <text>Passing a lowly paying zone, grade to improve</text>
  </threadedComment>
  <threadedComment ref="L99" dT="2025-08-06T13:19:27.70" personId="{9DBB1F1F-9AA3-4643-9CC8-A3DD5E772BE5}" id="{6E4021FF-B362-4E4E-A3F9-117E9A6B3B3C}">
    <text xml:space="preserve"> lowly mineralised zone, grade to improve going down</text>
  </threadedComment>
  <threadedComment ref="K104" dT="2025-08-05T13:18:05.76" personId="{4C560CE8-5F78-4C1F-A161-044D83C5E023}" id="{1B72A82A-6814-4C79-A738-6479E7899007}">
    <text xml:space="preserve">reduced bench area due to reef pinching </text>
  </threadedComment>
  <threadedComment ref="L104" dT="2025-08-06T12:45:20.17" personId="{4C560CE8-5F78-4C1F-A161-044D83C5E023}" id="{DD134DC2-5784-44FD-BF62-F381566D626B}">
    <text>Reduced bench area, reef pinching</text>
  </threadedComment>
  <threadedComment ref="I118" dT="2025-08-03T06:42:49.05" personId="{4C560CE8-5F78-4C1F-A161-044D83C5E023}" id="{F9F712B8-ECEE-4DC0-AA7B-071212EC6B20}">
    <text>Drilled incomplete due to drilling water pipe breakdown at 1155</text>
  </threadedComment>
  <threadedComment ref="K118" dT="2025-08-05T13:29:45.89" personId="{4C560CE8-5F78-4C1F-A161-044D83C5E023}" id="{4EFCC283-9E21-44BA-9F3C-3AF19813352C}">
    <text>Machine moved to W13 due to grade complications, current mineralization not paying well</text>
  </threadedComment>
  <threadedComment ref="L118" dT="2025-08-06T12:46:05.98" personId="{4C560CE8-5F78-4C1F-A161-044D83C5E023}" id="{B341E048-9511-4BF2-B16B-312464CAA06D}">
    <text>Mineralized zone pinching, reduced number of machines</text>
  </threadedComment>
  <threadedComment ref="I120" dT="2025-08-03T12:37:53.70" personId="{7E4574BC-E07C-4A52-8830-7110F0BE90C1}" id="{B630A59C-04DD-4516-9285-F0B85684136C}">
    <text>Low grade portion of the northern contact, grade to improve.</text>
  </threadedComment>
  <threadedComment ref="K120" dT="2025-08-05T13:19:11.51" personId="{7E4574BC-E07C-4A52-8830-7110F0BE90C1}" id="{D7D7503B-E777-4AE9-99E4-AA82B7D9F16C}">
    <text>Inclusion of chlorite schist middling</text>
  </threadedComment>
  <threadedComment ref="L120" dT="2025-08-06T13:38:37.52" personId="{9DBB1F1F-9AA3-4643-9CC8-A3DD5E772BE5}" id="{4F7C24BD-CC90-4B03-BC18-29CD6138CD94}">
    <text>Slipping have reached pay limit</text>
  </threadedComment>
  <threadedComment ref="J125" dT="2025-08-04T05:50:30.15" personId="{4C560CE8-5F78-4C1F-A161-044D83C5E023}" id="{769157BE-CC75-4D5C-B0AF-4F9E6DAEF2E1}">
    <text>Cone drive slyping starting on 04/08/25</text>
  </threadedComment>
  <threadedComment ref="K127" dT="2025-08-05T13:13:21.27" personId="{F3BDD8FC-6350-479A-AD06-4624B2998FE0}" id="{B255A588-BFD7-4432-9147-EE362F3CE202}">
    <text>was sampled on the 17th of July and not drilled for blasting, the grade was 7g/t</text>
  </threadedComment>
  <threadedComment ref="L127" dT="2025-08-06T13:27:43.21" personId="{9DBB1F1F-9AA3-4643-9CC8-A3DD5E772BE5}" id="{0743D3B7-C636-4E51-A8CC-E859C2AA5C19}">
    <text>Slipping catwalk to open up west bench before commencing eastern bench</text>
  </threadedComment>
  <threadedComment ref="K132" dT="2025-08-05T13:25:04.06" personId="{4C560CE8-5F78-4C1F-A161-044D83C5E023}" id="{2AE6AC67-D67A-4B14-AC88-CC123F8901CC}">
    <text>6LW15 sub2 stopped due to sour grades, only one machine working in sub1 which is paying</text>
  </threadedComment>
  <threadedComment ref="L132" dT="2025-08-06T12:46:59.57" personId="{4C560CE8-5F78-4C1F-A161-044D83C5E023}" id="{C53F84A2-B4C8-4376-A477-DC4257FC22C2}">
    <text>Sub2 stopped, poorly mineralized; only sub1 being worked</text>
  </threadedComment>
  <threadedComment ref="H134" dT="2025-08-02T13:09:18.57" personId="{7E4574BC-E07C-4A52-8830-7110F0BE90C1}" id="{354F833D-C342-47B1-BD0C-7277B6EE7574}">
    <text xml:space="preserve">Opening a new bench cut by slyping to well mineralised zone </text>
  </threadedComment>
  <threadedComment ref="I134" dT="2025-08-03T12:27:31.44" personId="{7E4574BC-E07C-4A52-8830-7110F0BE90C1}" id="{A00043FD-F4E5-4916-9345-CC05DD5B7607}">
    <text>To stop mining sublevel 2 and continue with sublevel 1</text>
  </threadedComment>
  <threadedComment ref="L134" dT="2025-08-06T13:32:09.89" personId="{9DBB1F1F-9AA3-4643-9CC8-A3DD5E772BE5}" id="{657E9187-3850-43D4-88D2-7C7757C0B368}">
    <text>Passing poorly mineralised zone</text>
  </threadedComment>
  <threadedComment ref="H141" dT="2025-08-02T13:08:08.92" personId="{7E4574BC-E07C-4A52-8830-7110F0BE90C1}" id="{A458F4BA-9978-47AE-B0F3-CBEEDD97A31C}">
    <text>Mining to pay zone as we shape the cone</text>
  </threadedComment>
  <threadedComment ref="I141" dT="2025-08-03T12:26:32.60" personId="{7E4574BC-E07C-4A52-8830-7110F0BE90C1}" id="{53682421-82B9-46E6-8C56-7E89D8B4B78B}">
    <text>Samples on repeat</text>
  </threadedComment>
  <threadedComment ref="L141" dT="2025-08-06T13:35:40.62" personId="{9DBB1F1F-9AA3-4643-9CC8-A3DD5E772BE5}" id="{11EF4720-59F6-4CFC-8D61-C3DAB2CBB386}">
    <text>Slipping stopped have reached pay limit</text>
  </threadedComment>
</ThreadedComments>
</file>

<file path=xl/threadedComments/threadedComment4.xml><?xml version="1.0" encoding="utf-8"?>
<ThreadedComments xmlns="http://schemas.microsoft.com/office/spreadsheetml/2018/threadedcomments" xmlns:x="http://schemas.openxmlformats.org/spreadsheetml/2006/main">
  <threadedComment ref="K40" dT="2025-08-05T07:09:07.24" personId="{4C560CE8-5F78-4C1F-A161-044D83C5E023}" id="{32D4BA1B-79B4-402F-948D-A8BD701D23C5}">
    <text>Lobe shaft top radial door cylinder failure 2326-0305 (3.5hrs)</text>
  </threadedComment>
</ThreadedComments>
</file>

<file path=xl/threadedComments/threadedComment5.xml><?xml version="1.0" encoding="utf-8"?>
<ThreadedComments xmlns="http://schemas.microsoft.com/office/spreadsheetml/2018/threadedcomments" xmlns:x="http://schemas.openxmlformats.org/spreadsheetml/2006/main">
  <threadedComment ref="H19" dT="2025-08-02T08:20:28.84" personId="{FA8520F5-2B46-4188-9F4E-D63C7F16ED0C}" id="{6A3FDBA3-2329-4186-855D-0B7CE9905F40}">
    <text>Blasted constriction above 10L, made safe and supported</text>
  </threadedComment>
  <threadedComment ref="I19" dT="2025-08-03T05:45:48.29" personId="{FA8520F5-2B46-4188-9F4E-D63C7F16ED0C}" id="{229B5B4C-7945-4870-B9AA-F2E30A2A9383}">
    <text>Installed support and lashed material on 10L deck 100% complete.</text>
  </threadedComment>
  <threadedComment ref="J19" dT="2025-08-04T06:13:11.37" personId="{FA8520F5-2B46-4188-9F4E-D63C7F16ED0C}" id="{6AC99D9D-8891-42A2-9B68-209FFC4AE695}">
    <text>Completed support above 10L and removed the deck</text>
  </threadedComment>
  <threadedComment ref="K19" dT="2025-08-05T06:16:43.96" personId="{FA8520F5-2B46-4188-9F4E-D63C7F16ED0C}" id="{559EC35A-B53E-4DE5-A6FD-60B16D303DEA}">
    <text>Shaft plumbing and installation of the deck at 10.5L 100% complete.</text>
  </threadedComment>
  <threadedComment ref="L19" dT="2025-08-06T05:49:27.05" personId="{FA8520F5-2B46-4188-9F4E-D63C7F16ED0C}" id="{69BBB88C-195E-4A62-A950-A84A640D3A0B}">
    <text>Shaft plumbing was done from 10L to 10.5L 100% complete
Drilled and blasted constriction at 10L collar 50% complete</text>
  </threadedComment>
  <threadedComment ref="M19" dT="2025-08-07T05:55:53.20" personId="{FA8520F5-2B46-4188-9F4E-D63C7F16ED0C}" id="{456981BF-482F-4B86-947E-7D4F910C175A}">
    <text>Drilled &amp; blasted constriction at the shaft collar and slyped 1m below 10L</text>
  </threadedComment>
  <threadedComment ref="H38" dT="2025-08-02T08:50:56.81" personId="{FA8520F5-2B46-4188-9F4E-D63C7F16ED0C}" id="{24483724-6264-423D-99F2-3F4A65BB5D4B}">
    <text>Floor screeding 40% complete</text>
  </threadedComment>
  <threadedComment ref="I38" dT="2025-08-03T06:00:22.87" personId="{FA8520F5-2B46-4188-9F4E-D63C7F16ED0C}" id="{3D1C0239-16FD-4C5D-BE02-0C721250EDDC}">
    <text>Transported all double door panels,
 driver's desk and cables to site.</text>
  </threadedComment>
  <threadedComment ref="J38" dT="2025-08-04T13:33:36.75" personId="{7AD0167F-1964-4B5F-8561-F1DD5D6BB428}" id="{ADCE398F-35F6-4D92-A139-FF66D053C216}">
    <text>Electrical installations 60% &amp; winder primary alignment 50% complete.</text>
  </threadedComment>
  <threadedComment ref="K38" dT="2025-08-05T06:23:58.17" personId="{FA8520F5-2B46-4188-9F4E-D63C7F16ED0C}" id="{CDE9CEF3-2885-4C98-97E4-09435FD883CC}">
    <text>Primary alignment and installation of depth indicator 100% complete</text>
  </threadedComment>
  <threadedComment ref="L38" dT="2025-08-06T05:53:50.08" personId="{FA8520F5-2B46-4188-9F4E-D63C7F16ED0C}" id="{B0732860-912F-423B-B4E3-E0AC1C6C3CF7}">
    <text>Hoist electrical installations and lighting 100% complete</text>
  </threadedComment>
  <threadedComment ref="M38" dT="2025-08-07T06:07:20.89" personId="{FA8520F5-2B46-4188-9F4E-D63C7F16ED0C}" id="{14D78940-C189-4F63-B95A-8F3E760760C3}">
    <text>Fixed the deadman switch and completed earthing.</text>
  </threadedComment>
  <threadedComment ref="H40" dT="2025-08-02T08:39:15.70" personId="{FA8520F5-2B46-4188-9F4E-D63C7F16ED0C}" id="{41685B1B-282A-4F0E-9FD8-D301F29634F5}">
    <text>Removed the second 45kw pump and installed support</text>
  </threadedComment>
  <threadedComment ref="I40" dT="2025-08-03T05:54:59.73" personId="{FA8520F5-2B46-4188-9F4E-D63C7F16ED0C}" id="{5A5D48EF-13FD-4B4A-A1C2-112122456AC6}">
    <text>Lowered the second 45kw pump and switched to 525V supply. Pump running.</text>
  </threadedComment>
  <threadedComment ref="K40" dT="2025-08-05T06:27:04.29" personId="{FA8520F5-2B46-4188-9F4E-D63C7F16ED0C}" id="{39BBA1D2-4C64-48E8-A07A-75C31C1CDAE9}">
    <text>Installed a platform for ladders.</text>
  </threadedComment>
  <threadedComment ref="L40" dT="2025-08-06T05:54:08.77" personId="{FA8520F5-2B46-4188-9F4E-D63C7F16ED0C}" id="{D5BDC4B9-A6FF-41E4-9E5F-88ADB969F1B8}">
    <text>Installed the third ladder</text>
  </threadedComment>
  <threadedComment ref="J42" dT="2025-08-04T10:10:32.56" personId="{7AD0167F-1964-4B5F-8561-F1DD5D6BB428}" id="{8523D681-D090-43C3-96DA-BA6A1EAD2138}">
    <text>No activity, off day.</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75D2-8BA4-4CDC-83E7-EE014E87BC5E}">
  <sheetPr>
    <tabColor rgb="FFFF0000"/>
    <pageSetUpPr fitToPage="1"/>
  </sheetPr>
  <dimension ref="B1:AM55"/>
  <sheetViews>
    <sheetView showGridLines="0" zoomScaleNormal="100" workbookViewId="0">
      <pane xSplit="8" ySplit="1" topLeftCell="I5" activePane="bottomRight" state="frozen"/>
      <selection pane="topRight"/>
      <selection pane="bottomLeft"/>
      <selection pane="bottomRight" activeCell="A22" sqref="A22"/>
    </sheetView>
  </sheetViews>
  <sheetFormatPr defaultColWidth="12.77734375" defaultRowHeight="14.4"/>
  <cols>
    <col min="1" max="1" width="0.21875" style="1656" customWidth="1"/>
    <col min="2" max="2" width="9.109375" customWidth="1"/>
    <col min="3" max="3" width="15.21875" customWidth="1"/>
    <col min="4" max="4" width="11.21875" bestFit="1" customWidth="1"/>
    <col min="5" max="5" width="11" bestFit="1" customWidth="1"/>
    <col min="6" max="6" width="8.21875" bestFit="1" customWidth="1"/>
    <col min="7" max="7" width="6.88671875" bestFit="1" customWidth="1"/>
    <col min="8" max="8" width="0.21875" customWidth="1"/>
    <col min="9" max="10" width="8.88671875" customWidth="1"/>
    <col min="11" max="11" width="8.88671875" style="1658" customWidth="1"/>
    <col min="12" max="28" width="8.88671875" style="1656" customWidth="1"/>
    <col min="29" max="29" width="8.21875" style="1656" bestFit="1" customWidth="1"/>
    <col min="30" max="38" width="8.88671875" style="1656" customWidth="1"/>
    <col min="39" max="39" width="6.88671875" style="1656" customWidth="1"/>
    <col min="40" max="16384" width="12.77734375" style="1656"/>
  </cols>
  <sheetData>
    <row r="1" spans="2:39" ht="2.25" customHeight="1"/>
    <row r="2" spans="2:39" s="65" customFormat="1">
      <c r="B2" s="295" t="s">
        <v>0</v>
      </c>
      <c r="C2" s="296"/>
      <c r="D2" s="296"/>
      <c r="E2" s="296"/>
      <c r="F2" s="1696"/>
      <c r="G2" s="296"/>
      <c r="H2" s="296"/>
      <c r="M2" s="296"/>
      <c r="N2" s="296"/>
      <c r="S2" s="296"/>
      <c r="T2" s="296"/>
      <c r="U2" s="1697"/>
      <c r="V2" s="296"/>
      <c r="W2" s="296"/>
    </row>
    <row r="3" spans="2:39" s="65" customFormat="1">
      <c r="B3" s="64" t="s">
        <v>1</v>
      </c>
      <c r="F3" s="1696"/>
      <c r="M3" s="296"/>
      <c r="N3" s="296"/>
      <c r="S3" s="296"/>
      <c r="T3" s="296"/>
      <c r="U3" s="1697"/>
      <c r="V3" s="296"/>
      <c r="W3" s="296"/>
    </row>
    <row r="4" spans="2:39" s="65" customFormat="1" ht="13.8">
      <c r="B4" s="297" t="s">
        <v>2</v>
      </c>
      <c r="D4" s="1657"/>
      <c r="E4" s="1657"/>
      <c r="F4" s="1696"/>
      <c r="G4" s="1657"/>
      <c r="H4" s="1657"/>
      <c r="M4" s="1657"/>
      <c r="N4" s="1657"/>
      <c r="S4" s="1657"/>
      <c r="T4" s="1657"/>
      <c r="U4" s="1697"/>
      <c r="V4" s="296"/>
      <c r="W4" s="1657"/>
    </row>
    <row r="5" spans="2:39" s="65" customFormat="1" ht="4.3499999999999996" customHeight="1">
      <c r="D5" s="1657"/>
      <c r="E5" s="1657"/>
      <c r="F5" s="1696"/>
      <c r="G5" s="1657"/>
      <c r="H5" s="1657"/>
      <c r="N5" s="1657"/>
      <c r="S5" s="1657"/>
      <c r="T5" s="1657"/>
      <c r="U5" s="1697"/>
      <c r="V5" s="296"/>
      <c r="W5" s="1657"/>
    </row>
    <row r="6" spans="2:39" s="65" customFormat="1" ht="12.6" customHeight="1">
      <c r="B6" s="294" t="s">
        <v>3</v>
      </c>
      <c r="C6" s="298">
        <v>45870</v>
      </c>
      <c r="D6" s="1657"/>
      <c r="E6" s="1657"/>
      <c r="F6" s="1657"/>
      <c r="G6" s="1657"/>
      <c r="H6" s="1657"/>
      <c r="O6" s="1657"/>
      <c r="T6" s="1657"/>
      <c r="U6" s="1657"/>
      <c r="V6" s="1697"/>
      <c r="W6" s="296"/>
      <c r="X6" s="1657"/>
    </row>
    <row r="7" spans="2:39" ht="13.5" customHeight="1">
      <c r="B7" s="294" t="s">
        <v>4</v>
      </c>
      <c r="C7" s="1636">
        <v>6</v>
      </c>
      <c r="J7" s="1656"/>
      <c r="K7" s="65"/>
      <c r="L7" s="65"/>
      <c r="Q7" s="65"/>
      <c r="R7" s="65"/>
      <c r="S7" s="65"/>
      <c r="T7" s="1657"/>
    </row>
    <row r="8" spans="2:39" ht="7.5" customHeight="1" thickBot="1">
      <c r="I8" s="65"/>
      <c r="K8" s="65"/>
      <c r="L8" s="65"/>
      <c r="Q8" s="65"/>
      <c r="R8" s="65"/>
      <c r="S8" s="65"/>
      <c r="T8" s="1657"/>
    </row>
    <row r="9" spans="2:39" ht="15" customHeight="1" thickBot="1">
      <c r="B9" s="2696" t="s">
        <v>5</v>
      </c>
      <c r="C9" s="2697"/>
      <c r="E9" s="2696" t="s">
        <v>6</v>
      </c>
      <c r="F9" s="2697"/>
      <c r="K9" s="1656"/>
      <c r="L9" s="65"/>
      <c r="Q9" s="65"/>
      <c r="R9" s="65"/>
      <c r="S9" s="65"/>
      <c r="T9" s="1657"/>
    </row>
    <row r="10" spans="2:39" ht="14.1" customHeight="1">
      <c r="B10" s="2681" t="s">
        <v>7</v>
      </c>
      <c r="C10" s="2682"/>
      <c r="E10" s="2698" t="s">
        <v>8</v>
      </c>
      <c r="F10" s="2699"/>
      <c r="K10" s="1656"/>
      <c r="L10" s="65"/>
      <c r="Q10" s="65"/>
      <c r="R10" s="65"/>
      <c r="S10" s="65"/>
      <c r="T10" s="1657"/>
    </row>
    <row r="11" spans="2:39" ht="14.1" customHeight="1" thickBot="1">
      <c r="B11" s="2683" t="s">
        <v>9</v>
      </c>
      <c r="C11" s="2684"/>
      <c r="E11" s="2700" t="s">
        <v>10</v>
      </c>
      <c r="F11" s="2701"/>
      <c r="K11" s="1656"/>
      <c r="L11" s="65"/>
      <c r="Q11" s="65"/>
      <c r="R11" s="65"/>
      <c r="S11" s="65"/>
      <c r="T11" s="1657"/>
    </row>
    <row r="12" spans="2:39" ht="14.1" customHeight="1">
      <c r="B12" s="2685" t="s">
        <v>11</v>
      </c>
      <c r="C12" s="2686"/>
      <c r="I12" s="1656"/>
      <c r="J12" s="1656"/>
      <c r="K12" s="1656"/>
      <c r="L12" s="65"/>
      <c r="Q12" s="65"/>
      <c r="R12" s="65"/>
      <c r="S12" s="65"/>
      <c r="T12" s="1657"/>
    </row>
    <row r="13" spans="2:39" ht="14.1" customHeight="1" thickBot="1">
      <c r="B13" s="2687" t="s">
        <v>12</v>
      </c>
      <c r="C13" s="2688"/>
      <c r="I13" s="1656"/>
      <c r="J13" s="1656"/>
      <c r="K13" s="1656"/>
      <c r="L13" s="65"/>
      <c r="Q13" s="65"/>
      <c r="R13" s="65"/>
      <c r="S13" s="65"/>
      <c r="T13" s="1657"/>
    </row>
    <row r="14" spans="2:39" ht="2.1" customHeight="1" thickBot="1">
      <c r="B14" s="64"/>
      <c r="C14" s="64"/>
      <c r="D14" s="64"/>
      <c r="E14" s="64"/>
      <c r="F14" s="64"/>
      <c r="G14" s="64"/>
      <c r="I14" s="64"/>
      <c r="J14" s="64"/>
    </row>
    <row r="15" spans="2:39" s="1662" customFormat="1" ht="16.350000000000001" customHeight="1">
      <c r="B15" s="280" t="s">
        <v>13</v>
      </c>
      <c r="C15" s="281"/>
      <c r="D15" s="2691" t="s">
        <v>14</v>
      </c>
      <c r="E15" s="2692"/>
      <c r="F15" s="2692"/>
      <c r="G15" s="2693"/>
      <c r="H15"/>
      <c r="I15" s="1659">
        <v>1</v>
      </c>
      <c r="J15" s="1660">
        <v>2</v>
      </c>
      <c r="K15" s="1660">
        <v>3</v>
      </c>
      <c r="L15" s="1660">
        <v>4</v>
      </c>
      <c r="M15" s="1660">
        <v>5</v>
      </c>
      <c r="N15" s="1660">
        <v>6</v>
      </c>
      <c r="O15" s="1660">
        <v>7</v>
      </c>
      <c r="P15" s="1660">
        <v>8</v>
      </c>
      <c r="Q15" s="1660">
        <v>9</v>
      </c>
      <c r="R15" s="1660">
        <v>10</v>
      </c>
      <c r="S15" s="1660">
        <v>11</v>
      </c>
      <c r="T15" s="1660">
        <v>12</v>
      </c>
      <c r="U15" s="1660">
        <v>13</v>
      </c>
      <c r="V15" s="1660">
        <v>14</v>
      </c>
      <c r="W15" s="1660">
        <v>15</v>
      </c>
      <c r="X15" s="1660">
        <v>16</v>
      </c>
      <c r="Y15" s="1660">
        <v>17</v>
      </c>
      <c r="Z15" s="1660">
        <v>18</v>
      </c>
      <c r="AA15" s="1660">
        <v>19</v>
      </c>
      <c r="AB15" s="1660">
        <v>20</v>
      </c>
      <c r="AC15" s="1660">
        <v>21</v>
      </c>
      <c r="AD15" s="1660">
        <v>22</v>
      </c>
      <c r="AE15" s="1660">
        <v>23</v>
      </c>
      <c r="AF15" s="1660">
        <v>24</v>
      </c>
      <c r="AG15" s="1660">
        <v>25</v>
      </c>
      <c r="AH15" s="1660">
        <v>26</v>
      </c>
      <c r="AI15" s="1660">
        <v>27</v>
      </c>
      <c r="AJ15" s="1660">
        <v>28</v>
      </c>
      <c r="AK15" s="1660">
        <v>29</v>
      </c>
      <c r="AL15" s="1660">
        <v>30</v>
      </c>
      <c r="AM15" s="1661">
        <v>31</v>
      </c>
    </row>
    <row r="16" spans="2:39" s="1668" customFormat="1" ht="16.350000000000001" customHeight="1" thickBot="1">
      <c r="B16" s="2695" t="s">
        <v>15</v>
      </c>
      <c r="C16" s="2705"/>
      <c r="D16" s="1663" t="s">
        <v>16</v>
      </c>
      <c r="E16" s="1664" t="s">
        <v>17</v>
      </c>
      <c r="F16" s="1665" t="s">
        <v>18</v>
      </c>
      <c r="G16" s="1666" t="s">
        <v>19</v>
      </c>
      <c r="H16"/>
      <c r="I16" s="1667">
        <v>45870</v>
      </c>
      <c r="J16" s="1667">
        <v>45871</v>
      </c>
      <c r="K16" s="1667">
        <v>45872</v>
      </c>
      <c r="L16" s="1667">
        <v>45873</v>
      </c>
      <c r="M16" s="1667">
        <v>45874</v>
      </c>
      <c r="N16" s="1667">
        <v>45875</v>
      </c>
      <c r="O16" s="1667">
        <v>45876</v>
      </c>
      <c r="P16" s="1667">
        <v>45877</v>
      </c>
      <c r="Q16" s="1667">
        <v>45878</v>
      </c>
      <c r="R16" s="1667">
        <v>45879</v>
      </c>
      <c r="S16" s="1667">
        <v>45880</v>
      </c>
      <c r="T16" s="1667">
        <v>45881</v>
      </c>
      <c r="U16" s="1667">
        <v>45882</v>
      </c>
      <c r="V16" s="1667">
        <v>45883</v>
      </c>
      <c r="W16" s="1667">
        <v>45884</v>
      </c>
      <c r="X16" s="1667">
        <v>45885</v>
      </c>
      <c r="Y16" s="1667">
        <v>45886</v>
      </c>
      <c r="Z16" s="1667">
        <v>45887</v>
      </c>
      <c r="AA16" s="1667">
        <v>45888</v>
      </c>
      <c r="AB16" s="1667">
        <v>45889</v>
      </c>
      <c r="AC16" s="1667">
        <v>45890</v>
      </c>
      <c r="AD16" s="1667">
        <v>45891</v>
      </c>
      <c r="AE16" s="1667">
        <v>45892</v>
      </c>
      <c r="AF16" s="1667">
        <v>45893</v>
      </c>
      <c r="AG16" s="1667">
        <v>45894</v>
      </c>
      <c r="AH16" s="1667">
        <v>45895</v>
      </c>
      <c r="AI16" s="1667">
        <v>45896</v>
      </c>
      <c r="AJ16" s="1667">
        <v>45897</v>
      </c>
      <c r="AK16" s="1667">
        <v>45898</v>
      </c>
      <c r="AL16" s="1667">
        <v>45899</v>
      </c>
      <c r="AM16" s="1667">
        <v>45900</v>
      </c>
    </row>
    <row r="17" spans="2:39" s="1662" customFormat="1" ht="16.350000000000001" customHeight="1" thickBot="1">
      <c r="B17" s="2694" t="s">
        <v>20</v>
      </c>
      <c r="C17" s="1669" t="s">
        <v>21</v>
      </c>
      <c r="D17" s="1670">
        <f>SUM(I17:AM17)</f>
        <v>2.9</v>
      </c>
      <c r="E17" s="1671">
        <f>Projects!F24</f>
        <v>9</v>
      </c>
      <c r="F17" s="760">
        <f>D17-E17</f>
        <v>-6.1</v>
      </c>
      <c r="G17" s="1672">
        <f>F17/E17</f>
        <v>-0.6777777777777777</v>
      </c>
      <c r="H17"/>
      <c r="I17" s="644">
        <f>IF(I$15&gt;$C$7,"",Projects!H25)</f>
        <v>0.4</v>
      </c>
      <c r="J17" s="1673">
        <f>IF(J$15&gt;$C$7,"",Projects!I25)</f>
        <v>0.39999999999999858</v>
      </c>
      <c r="K17" s="1673">
        <f>IF(K$15&gt;$C$7,"",Projects!J25)</f>
        <v>0.5</v>
      </c>
      <c r="L17" s="1673">
        <f>IF(L$15&gt;$C$7,"",Projects!K25)</f>
        <v>0.5</v>
      </c>
      <c r="M17" s="1673">
        <f>IF(M$15&gt;$C$7,"",Projects!L25)</f>
        <v>0.39999999999999858</v>
      </c>
      <c r="N17" s="1673">
        <f>IF(N$15&gt;$C$7,"",Projects!M25)</f>
        <v>0.70000000000000284</v>
      </c>
      <c r="O17" s="1673" t="str">
        <f>IF(O$15&gt;$C$7,"",Projects!N25)</f>
        <v/>
      </c>
      <c r="P17" s="1673" t="str">
        <f>IF(P$15&gt;$C$7,"",Projects!O25)</f>
        <v/>
      </c>
      <c r="Q17" s="1673" t="str">
        <f>IF(Q$15&gt;$C$7,"",Projects!P25)</f>
        <v/>
      </c>
      <c r="R17" s="1673" t="str">
        <f>IF(R$15&gt;$C$7,"",Projects!Q25)</f>
        <v/>
      </c>
      <c r="S17" s="1673" t="str">
        <f>IF(S$15&gt;$C$7,"",Projects!R25)</f>
        <v/>
      </c>
      <c r="T17" s="1673" t="str">
        <f>IF(T$15&gt;$C$7,"",Projects!S25)</f>
        <v/>
      </c>
      <c r="U17" s="1673" t="str">
        <f>IF(U$15&gt;$C$7,"",Projects!T25)</f>
        <v/>
      </c>
      <c r="V17" s="1673" t="str">
        <f>IF(V$15&gt;$C$7,"",Projects!U25)</f>
        <v/>
      </c>
      <c r="W17" s="1673" t="str">
        <f>IF(W$15&gt;$C$7,"",Projects!V25)</f>
        <v/>
      </c>
      <c r="X17" s="1673" t="str">
        <f>IF(X$15&gt;$C$7,"",Projects!W25)</f>
        <v/>
      </c>
      <c r="Y17" s="1673" t="str">
        <f>IF(Y$15&gt;$C$7,"",Projects!X25)</f>
        <v/>
      </c>
      <c r="Z17" s="1673" t="str">
        <f>IF(Z$15&gt;$C$7,"",Projects!Y25)</f>
        <v/>
      </c>
      <c r="AA17" s="1673" t="str">
        <f>IF(AA$15&gt;$C$7,"",Projects!Z25)</f>
        <v/>
      </c>
      <c r="AB17" s="1673" t="str">
        <f>IF(AB$15&gt;$C$7,"",Projects!AA25)</f>
        <v/>
      </c>
      <c r="AC17" s="1673" t="str">
        <f>IF(AC$15&gt;$C$7,"",Projects!AB25)</f>
        <v/>
      </c>
      <c r="AD17" s="1673" t="str">
        <f>IF(AD$15&gt;$C$7,"",Projects!AC25)</f>
        <v/>
      </c>
      <c r="AE17" s="1673" t="str">
        <f>IF(AE$15&gt;$C$7,"",Projects!AD25)</f>
        <v/>
      </c>
      <c r="AF17" s="1673" t="str">
        <f>IF(AF$15&gt;$C$7,"",Projects!AE25)</f>
        <v/>
      </c>
      <c r="AG17" s="1673" t="str">
        <f>IF(AG$15&gt;$C$7,"",Projects!AF25)</f>
        <v/>
      </c>
      <c r="AH17" s="1673" t="str">
        <f>IF(AH$15&gt;$C$7,"",Projects!AG25)</f>
        <v/>
      </c>
      <c r="AI17" s="1673" t="str">
        <f>IF(AI$15&gt;$C$7,"",Projects!AH25)</f>
        <v/>
      </c>
      <c r="AJ17" s="1673" t="str">
        <f>IF(AJ$15&gt;$C$7,"",Projects!AI25)</f>
        <v/>
      </c>
      <c r="AK17" s="1673" t="str">
        <f>IF(AK$15&gt;$C$7,"",Projects!AJ25)</f>
        <v/>
      </c>
      <c r="AL17" s="1673" t="str">
        <f>IF(AL$15&gt;$C$7,"",Projects!AK25)</f>
        <v/>
      </c>
      <c r="AM17" s="1674" t="str">
        <f>IF(AM$15&gt;$C$7,"",Projects!AL25)</f>
        <v/>
      </c>
    </row>
    <row r="18" spans="2:39" s="1662" customFormat="1" ht="16.350000000000001" hidden="1" customHeight="1" thickBot="1">
      <c r="B18" s="2695"/>
      <c r="C18" s="1675" t="s">
        <v>22</v>
      </c>
      <c r="D18" s="1027">
        <f>SUM(I18:AM18)</f>
        <v>0.3</v>
      </c>
      <c r="E18" s="1676">
        <f>Projects!F18</f>
        <v>0.3</v>
      </c>
      <c r="F18" s="600">
        <f>D18-E18</f>
        <v>0</v>
      </c>
      <c r="G18" s="1677">
        <f>IFERROR(F18/E18,0)</f>
        <v>0</v>
      </c>
      <c r="H18"/>
      <c r="I18" s="1678">
        <f>IF(I$15&gt;$C$7,"",Projects!H19)</f>
        <v>0.05</v>
      </c>
      <c r="J18" s="1679">
        <f>IF(J$15&gt;$C$7,"",Projects!I19)</f>
        <v>0.05</v>
      </c>
      <c r="K18" s="1679">
        <f>IF(K$15&gt;$C$7,"",Projects!J19)</f>
        <v>0.05</v>
      </c>
      <c r="L18" s="1679">
        <f>IF(L$15&gt;$C$7,"",Projects!K19)</f>
        <v>0.05</v>
      </c>
      <c r="M18" s="1679">
        <f>IF(M$15&gt;$C$7,"",Projects!L19)</f>
        <v>0.05</v>
      </c>
      <c r="N18" s="1679">
        <f>IF(N$15&gt;$C$7,"",Projects!M19)</f>
        <v>0.05</v>
      </c>
      <c r="O18" s="1679" t="str">
        <f>IF(O$15&gt;$C$7,"",Projects!N19)</f>
        <v/>
      </c>
      <c r="P18" s="1679" t="str">
        <f>IF(P$15&gt;$C$7,"",Projects!O19)</f>
        <v/>
      </c>
      <c r="Q18" s="1679" t="str">
        <f>IF(Q$15&gt;$C$7,"",Projects!P19)</f>
        <v/>
      </c>
      <c r="R18" s="1679" t="str">
        <f>IF(R$15&gt;$C$7,"",Projects!Q19)</f>
        <v/>
      </c>
      <c r="S18" s="1679" t="str">
        <f>IF(S$15&gt;$C$7,"",Projects!R19)</f>
        <v/>
      </c>
      <c r="T18" s="1679" t="str">
        <f>IF(T$15&gt;$C$7,"",Projects!S19)</f>
        <v/>
      </c>
      <c r="U18" s="1679" t="str">
        <f>IF(U$15&gt;$C$7,"",Projects!T19)</f>
        <v/>
      </c>
      <c r="V18" s="1679" t="str">
        <f>IF(V$15&gt;$C$7,"",Projects!U19)</f>
        <v/>
      </c>
      <c r="W18" s="1679" t="str">
        <f>IF(W$15&gt;$C$7,"",Projects!V19)</f>
        <v/>
      </c>
      <c r="X18" s="1679" t="str">
        <f>IF(X$15&gt;$C$7,"",Projects!W19)</f>
        <v/>
      </c>
      <c r="Y18" s="1679" t="str">
        <f>IF(Y$15&gt;$C$7,"",Projects!X19)</f>
        <v/>
      </c>
      <c r="Z18" s="1679" t="str">
        <f>IF(Z$15&gt;$C$7,"",Projects!Y19)</f>
        <v/>
      </c>
      <c r="AA18" s="1679" t="str">
        <f>IF(AA$15&gt;$C$7,"",Projects!Z19)</f>
        <v/>
      </c>
      <c r="AB18" s="1679" t="str">
        <f>IF(AB$15&gt;$C$7,"",Projects!AA19)</f>
        <v/>
      </c>
      <c r="AC18" s="1679" t="str">
        <f>IF(AC$15&gt;$C$7,"",Projects!AB19)</f>
        <v/>
      </c>
      <c r="AD18" s="1679" t="str">
        <f>IF(AD$15&gt;$C$7,"",Projects!AC19)</f>
        <v/>
      </c>
      <c r="AE18" s="1679" t="str">
        <f>IF(AE$15&gt;$C$7,"",Projects!AD19)</f>
        <v/>
      </c>
      <c r="AF18" s="1679" t="str">
        <f>IF(AF$15&gt;$C$7,"",Projects!AE19)</f>
        <v/>
      </c>
      <c r="AG18" s="1679" t="str">
        <f>IF(AG$15&gt;$C$7,"",Projects!AF19)</f>
        <v/>
      </c>
      <c r="AH18" s="1679" t="str">
        <f>IF(AH$15&gt;$C$7,"",Projects!AG19)</f>
        <v/>
      </c>
      <c r="AI18" s="1679" t="str">
        <f>IF(AI$15&gt;$C$7,"",Projects!AH19)</f>
        <v/>
      </c>
      <c r="AJ18" s="1679" t="str">
        <f>IF(AJ$15&gt;$C$7,"",Projects!AI19)</f>
        <v/>
      </c>
      <c r="AK18" s="1679" t="str">
        <f>IF(AK$15&gt;$C$7,"",Projects!AJ19)</f>
        <v/>
      </c>
      <c r="AL18" s="1679" t="str">
        <f>IF(AL$15&gt;$C$7,"",Projects!AK19)</f>
        <v/>
      </c>
      <c r="AM18" s="1680" t="str">
        <f>IF(AM$15&gt;$C$7,"",Projects!AL19)</f>
        <v/>
      </c>
    </row>
    <row r="19" spans="2:39" s="1662" customFormat="1" ht="16.350000000000001" customHeight="1">
      <c r="B19" s="2689" t="s">
        <v>23</v>
      </c>
      <c r="C19" s="282" t="s">
        <v>24</v>
      </c>
      <c r="D19" s="1670">
        <f>SUM(I19:AM19)</f>
        <v>262.8</v>
      </c>
      <c r="E19" s="638">
        <f>D_Drilling!C12</f>
        <v>248</v>
      </c>
      <c r="F19" s="639">
        <f>D19-E19</f>
        <v>14.800000000000011</v>
      </c>
      <c r="G19" s="473">
        <f>F19/E19</f>
        <v>5.9677419354838758E-2</v>
      </c>
      <c r="H19"/>
      <c r="I19" s="644">
        <f>D_Drilling!H15</f>
        <v>68</v>
      </c>
      <c r="J19" s="1673">
        <f>D_Drilling!I15</f>
        <v>54.7</v>
      </c>
      <c r="K19" s="1673">
        <f>D_Drilling!J15</f>
        <v>39.5</v>
      </c>
      <c r="L19" s="1673">
        <f>D_Drilling!K15</f>
        <v>51</v>
      </c>
      <c r="M19" s="1673">
        <f>D_Drilling!L15</f>
        <v>49.6</v>
      </c>
      <c r="N19" s="1673" t="str">
        <f>D_Drilling!M15</f>
        <v/>
      </c>
      <c r="O19" s="1673" t="str">
        <f>D_Drilling!N15</f>
        <v/>
      </c>
      <c r="P19" s="1673" t="str">
        <f>D_Drilling!O15</f>
        <v/>
      </c>
      <c r="Q19" s="1673" t="str">
        <f>D_Drilling!P15</f>
        <v/>
      </c>
      <c r="R19" s="1673" t="str">
        <f>D_Drilling!Q15</f>
        <v/>
      </c>
      <c r="S19" s="1673" t="str">
        <f>D_Drilling!R15</f>
        <v/>
      </c>
      <c r="T19" s="1673" t="str">
        <f>D_Drilling!S15</f>
        <v/>
      </c>
      <c r="U19" s="1673" t="str">
        <f>D_Drilling!T15</f>
        <v/>
      </c>
      <c r="V19" s="1673" t="str">
        <f>D_Drilling!U15</f>
        <v/>
      </c>
      <c r="W19" s="1673" t="str">
        <f>D_Drilling!V15</f>
        <v/>
      </c>
      <c r="X19" s="1673" t="str">
        <f>D_Drilling!W15</f>
        <v/>
      </c>
      <c r="Y19" s="1673" t="str">
        <f>D_Drilling!X15</f>
        <v/>
      </c>
      <c r="Z19" s="1673" t="str">
        <f>D_Drilling!Y15</f>
        <v/>
      </c>
      <c r="AA19" s="1673" t="str">
        <f>D_Drilling!Z15</f>
        <v/>
      </c>
      <c r="AB19" s="1673" t="str">
        <f>D_Drilling!AA15</f>
        <v/>
      </c>
      <c r="AC19" s="1673" t="str">
        <f>D_Drilling!AB15</f>
        <v/>
      </c>
      <c r="AD19" s="1673" t="str">
        <f>D_Drilling!AC15</f>
        <v/>
      </c>
      <c r="AE19" s="1673" t="str">
        <f>D_Drilling!AD15</f>
        <v/>
      </c>
      <c r="AF19" s="1673" t="str">
        <f>D_Drilling!AE15</f>
        <v/>
      </c>
      <c r="AG19" s="1673" t="str">
        <f>D_Drilling!AF15</f>
        <v/>
      </c>
      <c r="AH19" s="1673" t="str">
        <f>D_Drilling!AG15</f>
        <v/>
      </c>
      <c r="AI19" s="1673" t="str">
        <f>D_Drilling!AH15</f>
        <v/>
      </c>
      <c r="AJ19" s="1673" t="str">
        <f>D_Drilling!AI15</f>
        <v/>
      </c>
      <c r="AK19" s="1673" t="str">
        <f>D_Drilling!AJ15</f>
        <v/>
      </c>
      <c r="AL19" s="1673" t="str">
        <f>D_Drilling!AK15</f>
        <v/>
      </c>
      <c r="AM19" s="1674" t="str">
        <f>D_Drilling!AL15</f>
        <v/>
      </c>
    </row>
    <row r="20" spans="2:39" s="1662" customFormat="1" ht="16.350000000000001" customHeight="1" thickBot="1">
      <c r="B20" s="2690"/>
      <c r="C20" s="282" t="s">
        <v>25</v>
      </c>
      <c r="D20" s="1027">
        <f>SUM(I20:AM20)</f>
        <v>180.29999999999998</v>
      </c>
      <c r="E20" s="636">
        <f>Development!C12</f>
        <v>184.29999999999995</v>
      </c>
      <c r="F20" s="600">
        <f t="shared" ref="F20:F39" si="0">D20-E20</f>
        <v>-3.9999999999999716</v>
      </c>
      <c r="G20" s="621">
        <f t="shared" ref="G20:G39" si="1">F20/E20</f>
        <v>-2.170374389582188E-2</v>
      </c>
      <c r="H20"/>
      <c r="I20" s="637">
        <f>Development!H12</f>
        <v>38.899999999999991</v>
      </c>
      <c r="J20" s="720">
        <f>Development!I12</f>
        <v>39.599999999999994</v>
      </c>
      <c r="K20" s="720">
        <f>Development!J12</f>
        <v>2.9000000000000004</v>
      </c>
      <c r="L20" s="720">
        <f>Development!K12</f>
        <v>38.9</v>
      </c>
      <c r="M20" s="720">
        <f>Development!L12</f>
        <v>38.9</v>
      </c>
      <c r="N20" s="720">
        <f>Development!M12</f>
        <v>21.099999999999998</v>
      </c>
      <c r="O20" s="720" t="str">
        <f>Development!N12</f>
        <v/>
      </c>
      <c r="P20" s="720" t="str">
        <f>Development!O12</f>
        <v/>
      </c>
      <c r="Q20" s="720" t="str">
        <f>Development!P12</f>
        <v/>
      </c>
      <c r="R20" s="720" t="str">
        <f>Development!Q12</f>
        <v/>
      </c>
      <c r="S20" s="720" t="str">
        <f>Development!R12</f>
        <v/>
      </c>
      <c r="T20" s="720" t="str">
        <f>Development!S12</f>
        <v/>
      </c>
      <c r="U20" s="720" t="str">
        <f>Development!T12</f>
        <v/>
      </c>
      <c r="V20" s="720" t="str">
        <f>Development!U12</f>
        <v/>
      </c>
      <c r="W20" s="720" t="str">
        <f>Development!V12</f>
        <v/>
      </c>
      <c r="X20" s="720" t="str">
        <f>Development!W12</f>
        <v/>
      </c>
      <c r="Y20" s="720" t="str">
        <f>Development!X12</f>
        <v/>
      </c>
      <c r="Z20" s="720" t="str">
        <f>Development!Y12</f>
        <v/>
      </c>
      <c r="AA20" s="720" t="str">
        <f>Development!Z12</f>
        <v/>
      </c>
      <c r="AB20" s="720" t="str">
        <f>Development!AA12</f>
        <v/>
      </c>
      <c r="AC20" s="720" t="str">
        <f>Development!AB12</f>
        <v/>
      </c>
      <c r="AD20" s="720" t="str">
        <f>Development!AC12</f>
        <v/>
      </c>
      <c r="AE20" s="720" t="str">
        <f>Development!AD12</f>
        <v/>
      </c>
      <c r="AF20" s="720" t="str">
        <f>Development!AE12</f>
        <v/>
      </c>
      <c r="AG20" s="720" t="str">
        <f>Development!AF12</f>
        <v/>
      </c>
      <c r="AH20" s="720" t="str">
        <f>Development!AG12</f>
        <v/>
      </c>
      <c r="AI20" s="720" t="str">
        <f>Development!AH12</f>
        <v/>
      </c>
      <c r="AJ20" s="720" t="str">
        <f>Development!AI12</f>
        <v/>
      </c>
      <c r="AK20" s="720" t="str">
        <f>Development!AJ12</f>
        <v/>
      </c>
      <c r="AL20" s="720" t="str">
        <f>Development!AK12</f>
        <v/>
      </c>
      <c r="AM20" s="721" t="str">
        <f>Development!AL12</f>
        <v/>
      </c>
    </row>
    <row r="21" spans="2:39" s="1662" customFormat="1" ht="16.350000000000001" customHeight="1">
      <c r="B21" s="2702" t="s">
        <v>26</v>
      </c>
      <c r="C21" s="286" t="s">
        <v>27</v>
      </c>
      <c r="D21" s="603">
        <f>SUM(I21:AM21)</f>
        <v>5713</v>
      </c>
      <c r="E21" s="616">
        <f>Stoping!C10</f>
        <v>5460</v>
      </c>
      <c r="F21" s="622">
        <f t="shared" si="0"/>
        <v>253</v>
      </c>
      <c r="G21" s="473">
        <f t="shared" si="1"/>
        <v>4.6336996336996339E-2</v>
      </c>
      <c r="H21"/>
      <c r="I21" s="283">
        <f>Stoping!H11</f>
        <v>926</v>
      </c>
      <c r="J21" s="284">
        <f>Stoping!I11</f>
        <v>879</v>
      </c>
      <c r="K21" s="284">
        <f>Stoping!J11</f>
        <v>965</v>
      </c>
      <c r="L21" s="284">
        <f>Stoping!K11</f>
        <v>977</v>
      </c>
      <c r="M21" s="284">
        <f>Stoping!L11</f>
        <v>979</v>
      </c>
      <c r="N21" s="284">
        <f>Stoping!M11</f>
        <v>987</v>
      </c>
      <c r="O21" s="284" t="str">
        <f>Stoping!N11</f>
        <v/>
      </c>
      <c r="P21" s="284" t="str">
        <f>Stoping!O11</f>
        <v/>
      </c>
      <c r="Q21" s="284" t="str">
        <f>Stoping!P11</f>
        <v/>
      </c>
      <c r="R21" s="284" t="str">
        <f>Stoping!Q11</f>
        <v/>
      </c>
      <c r="S21" s="284" t="str">
        <f>Stoping!R11</f>
        <v/>
      </c>
      <c r="T21" s="284" t="str">
        <f>Stoping!S11</f>
        <v/>
      </c>
      <c r="U21" s="284" t="str">
        <f>Stoping!T11</f>
        <v/>
      </c>
      <c r="V21" s="284" t="str">
        <f>Stoping!U11</f>
        <v/>
      </c>
      <c r="W21" s="284" t="str">
        <f>Stoping!V11</f>
        <v/>
      </c>
      <c r="X21" s="284" t="str">
        <f>Stoping!W11</f>
        <v/>
      </c>
      <c r="Y21" s="284" t="str">
        <f>Stoping!X11</f>
        <v/>
      </c>
      <c r="Z21" s="284" t="str">
        <f>Stoping!Y11</f>
        <v/>
      </c>
      <c r="AA21" s="284" t="str">
        <f>Stoping!Z11</f>
        <v/>
      </c>
      <c r="AB21" s="284" t="str">
        <f>Stoping!AA11</f>
        <v/>
      </c>
      <c r="AC21" s="284" t="str">
        <f>Stoping!AB11</f>
        <v/>
      </c>
      <c r="AD21" s="284" t="str">
        <f>Stoping!AC11</f>
        <v/>
      </c>
      <c r="AE21" s="284" t="str">
        <f>Stoping!AD11</f>
        <v/>
      </c>
      <c r="AF21" s="284" t="str">
        <f>Stoping!AE11</f>
        <v/>
      </c>
      <c r="AG21" s="284" t="str">
        <f>Stoping!AF11</f>
        <v/>
      </c>
      <c r="AH21" s="284" t="str">
        <f>Stoping!AG11</f>
        <v/>
      </c>
      <c r="AI21" s="284" t="str">
        <f>Stoping!AH11</f>
        <v/>
      </c>
      <c r="AJ21" s="284" t="str">
        <f>Stoping!AI11</f>
        <v/>
      </c>
      <c r="AK21" s="284" t="str">
        <f>Stoping!AJ11</f>
        <v/>
      </c>
      <c r="AL21" s="284" t="str">
        <f>Stoping!AK11</f>
        <v/>
      </c>
      <c r="AM21" s="285" t="str">
        <f>Stoping!AL11</f>
        <v/>
      </c>
    </row>
    <row r="22" spans="2:39" s="1662" customFormat="1" ht="16.350000000000001" customHeight="1">
      <c r="B22" s="2703"/>
      <c r="C22" s="1281" t="s">
        <v>28</v>
      </c>
      <c r="D22" s="1282">
        <f>IFERROR(D23*1000/D21,0)</f>
        <v>2.92396464204446</v>
      </c>
      <c r="E22" s="1283">
        <f>Stoping!C11</f>
        <v>2.2563803019410491</v>
      </c>
      <c r="F22" s="300">
        <f t="shared" si="0"/>
        <v>0.66758434010341094</v>
      </c>
      <c r="G22" s="612">
        <f t="shared" si="1"/>
        <v>0.29586516932855783</v>
      </c>
      <c r="H22"/>
      <c r="I22" s="1083">
        <f>Stoping!H13</f>
        <v>3.5549352051835856</v>
      </c>
      <c r="J22" s="1084">
        <f>Stoping!I13</f>
        <v>3.330409556313993</v>
      </c>
      <c r="K22" s="1084">
        <f>Stoping!J13</f>
        <v>2.9583834196891199</v>
      </c>
      <c r="L22" s="1084">
        <f>Stoping!K13</f>
        <v>3.4357523029682699</v>
      </c>
      <c r="M22" s="1084">
        <f>Stoping!L13</f>
        <v>1.5281716036772217</v>
      </c>
      <c r="N22" s="1084">
        <f>Stoping!M13</f>
        <v>2.8142451874366765</v>
      </c>
      <c r="O22" s="1084" t="str">
        <f>Stoping!N13</f>
        <v/>
      </c>
      <c r="P22" s="1084" t="str">
        <f>Stoping!O13</f>
        <v/>
      </c>
      <c r="Q22" s="1084" t="str">
        <f>Stoping!P13</f>
        <v/>
      </c>
      <c r="R22" s="1084" t="str">
        <f>Stoping!Q13</f>
        <v/>
      </c>
      <c r="S22" s="1084" t="str">
        <f>Stoping!R13</f>
        <v/>
      </c>
      <c r="T22" s="1084" t="str">
        <f>Stoping!S13</f>
        <v/>
      </c>
      <c r="U22" s="1084" t="str">
        <f>Stoping!T13</f>
        <v/>
      </c>
      <c r="V22" s="1084" t="str">
        <f>Stoping!U13</f>
        <v/>
      </c>
      <c r="W22" s="1084" t="str">
        <f>Stoping!V13</f>
        <v/>
      </c>
      <c r="X22" s="1084" t="str">
        <f>Stoping!W13</f>
        <v/>
      </c>
      <c r="Y22" s="1084" t="str">
        <f>Stoping!X13</f>
        <v/>
      </c>
      <c r="Z22" s="1084" t="str">
        <f>Stoping!Y13</f>
        <v/>
      </c>
      <c r="AA22" s="1084" t="str">
        <f>Stoping!Z13</f>
        <v/>
      </c>
      <c r="AB22" s="1084" t="str">
        <f>Stoping!AA13</f>
        <v/>
      </c>
      <c r="AC22" s="1084" t="str">
        <f>Stoping!AB13</f>
        <v/>
      </c>
      <c r="AD22" s="1084" t="str">
        <f>Stoping!AC13</f>
        <v/>
      </c>
      <c r="AE22" s="1084" t="str">
        <f>Stoping!AD13</f>
        <v/>
      </c>
      <c r="AF22" s="1084" t="str">
        <f>Stoping!AE13</f>
        <v/>
      </c>
      <c r="AG22" s="1084" t="str">
        <f>Stoping!AF13</f>
        <v/>
      </c>
      <c r="AH22" s="1084" t="str">
        <f>Stoping!AG13</f>
        <v/>
      </c>
      <c r="AI22" s="1084" t="str">
        <f>Stoping!AH13</f>
        <v/>
      </c>
      <c r="AJ22" s="1084" t="str">
        <f>Stoping!AI13</f>
        <v/>
      </c>
      <c r="AK22" s="1084" t="str">
        <f>Stoping!AJ13</f>
        <v/>
      </c>
      <c r="AL22" s="1084" t="str">
        <f>Stoping!AK13</f>
        <v/>
      </c>
      <c r="AM22" s="1284" t="str">
        <f>Stoping!AL13</f>
        <v/>
      </c>
    </row>
    <row r="23" spans="2:39" s="1662" customFormat="1" ht="16.350000000000001" customHeight="1" thickBot="1">
      <c r="B23" s="2704"/>
      <c r="C23" s="971" t="s">
        <v>29</v>
      </c>
      <c r="D23" s="1027">
        <f>SUM(I23:AM23)</f>
        <v>16.704610000000002</v>
      </c>
      <c r="E23" s="972">
        <f>Stoping!C12</f>
        <v>12.319836448598128</v>
      </c>
      <c r="F23" s="600">
        <f t="shared" si="0"/>
        <v>4.3847735514018744</v>
      </c>
      <c r="G23" s="621">
        <f t="shared" si="1"/>
        <v>0.35591166893297654</v>
      </c>
      <c r="H23"/>
      <c r="I23" s="1028">
        <f>Stoping!H15</f>
        <v>3.2918700000000003</v>
      </c>
      <c r="J23" s="973">
        <f>Stoping!I15</f>
        <v>2.9274299999999998</v>
      </c>
      <c r="K23" s="973">
        <f>Stoping!J15</f>
        <v>2.8548400000000007</v>
      </c>
      <c r="L23" s="973">
        <f>Stoping!K15</f>
        <v>3.3567299999999998</v>
      </c>
      <c r="M23" s="973">
        <f>Stoping!L15</f>
        <v>1.4960800000000001</v>
      </c>
      <c r="N23" s="973">
        <f>Stoping!M15</f>
        <v>2.77766</v>
      </c>
      <c r="O23" s="973" t="str">
        <f>Stoping!N15</f>
        <v/>
      </c>
      <c r="P23" s="973" t="str">
        <f>Stoping!O15</f>
        <v/>
      </c>
      <c r="Q23" s="973" t="str">
        <f>Stoping!P15</f>
        <v/>
      </c>
      <c r="R23" s="973" t="str">
        <f>Stoping!Q15</f>
        <v/>
      </c>
      <c r="S23" s="973" t="str">
        <f>Stoping!R15</f>
        <v/>
      </c>
      <c r="T23" s="973" t="str">
        <f>Stoping!S15</f>
        <v/>
      </c>
      <c r="U23" s="973" t="str">
        <f>Stoping!T15</f>
        <v/>
      </c>
      <c r="V23" s="973" t="str">
        <f>Stoping!U15</f>
        <v/>
      </c>
      <c r="W23" s="973" t="str">
        <f>Stoping!V15</f>
        <v/>
      </c>
      <c r="X23" s="973" t="str">
        <f>Stoping!W15</f>
        <v/>
      </c>
      <c r="Y23" s="973" t="str">
        <f>Stoping!X15</f>
        <v/>
      </c>
      <c r="Z23" s="973" t="str">
        <f>Stoping!Y15</f>
        <v/>
      </c>
      <c r="AA23" s="973" t="str">
        <f>Stoping!Z15</f>
        <v/>
      </c>
      <c r="AB23" s="973" t="str">
        <f>Stoping!AA15</f>
        <v/>
      </c>
      <c r="AC23" s="973" t="str">
        <f>Stoping!AB15</f>
        <v/>
      </c>
      <c r="AD23" s="973" t="str">
        <f>Stoping!AC15</f>
        <v/>
      </c>
      <c r="AE23" s="973" t="str">
        <f>Stoping!AD15</f>
        <v/>
      </c>
      <c r="AF23" s="973" t="str">
        <f>Stoping!AE15</f>
        <v/>
      </c>
      <c r="AG23" s="973" t="str">
        <f>Stoping!AF15</f>
        <v/>
      </c>
      <c r="AH23" s="973" t="str">
        <f>Stoping!AG15</f>
        <v/>
      </c>
      <c r="AI23" s="973" t="str">
        <f>Stoping!AH15</f>
        <v/>
      </c>
      <c r="AJ23" s="973" t="str">
        <f>Stoping!AI15</f>
        <v/>
      </c>
      <c r="AK23" s="973" t="str">
        <f>Stoping!AJ15</f>
        <v/>
      </c>
      <c r="AL23" s="973" t="str">
        <f>Stoping!AK15</f>
        <v/>
      </c>
      <c r="AM23" s="974" t="str">
        <f>Stoping!AL15</f>
        <v/>
      </c>
    </row>
    <row r="24" spans="2:39" s="1662" customFormat="1" ht="16.350000000000001" customHeight="1">
      <c r="B24" s="2706" t="s">
        <v>30</v>
      </c>
      <c r="C24" s="287" t="s">
        <v>27</v>
      </c>
      <c r="D24" s="603">
        <f>SUM(I24:AM24)</f>
        <v>4925</v>
      </c>
      <c r="E24" s="617">
        <f>Tramming!C10</f>
        <v>5460</v>
      </c>
      <c r="F24" s="622">
        <f t="shared" si="0"/>
        <v>-535</v>
      </c>
      <c r="G24" s="473">
        <f t="shared" si="1"/>
        <v>-9.7985347985347984E-2</v>
      </c>
      <c r="H24"/>
      <c r="I24" s="283">
        <f>Tramming!H11</f>
        <v>758</v>
      </c>
      <c r="J24" s="284">
        <f>Tramming!I11</f>
        <v>1006</v>
      </c>
      <c r="K24" s="284">
        <f>Tramming!J11</f>
        <v>960</v>
      </c>
      <c r="L24" s="284">
        <f>Tramming!K11</f>
        <v>795.5</v>
      </c>
      <c r="M24" s="284">
        <f>Tramming!L11</f>
        <v>947.5</v>
      </c>
      <c r="N24" s="284">
        <f>Tramming!M11</f>
        <v>458</v>
      </c>
      <c r="O24" s="284" t="str">
        <f>Tramming!N11</f>
        <v/>
      </c>
      <c r="P24" s="284" t="str">
        <f>Tramming!O11</f>
        <v/>
      </c>
      <c r="Q24" s="284" t="str">
        <f>Tramming!P11</f>
        <v/>
      </c>
      <c r="R24" s="284" t="str">
        <f>Tramming!Q11</f>
        <v/>
      </c>
      <c r="S24" s="284" t="str">
        <f>Tramming!R11</f>
        <v/>
      </c>
      <c r="T24" s="284" t="str">
        <f>Tramming!S11</f>
        <v/>
      </c>
      <c r="U24" s="284" t="str">
        <f>Tramming!T11</f>
        <v/>
      </c>
      <c r="V24" s="284" t="str">
        <f>Tramming!U11</f>
        <v/>
      </c>
      <c r="W24" s="284" t="str">
        <f>Tramming!V11</f>
        <v/>
      </c>
      <c r="X24" s="284" t="str">
        <f>Tramming!W11</f>
        <v/>
      </c>
      <c r="Y24" s="284" t="str">
        <f>Tramming!X11</f>
        <v/>
      </c>
      <c r="Z24" s="284" t="str">
        <f>Tramming!Y11</f>
        <v/>
      </c>
      <c r="AA24" s="284" t="str">
        <f>Tramming!Z11</f>
        <v/>
      </c>
      <c r="AB24" s="284" t="str">
        <f>Tramming!AA11</f>
        <v/>
      </c>
      <c r="AC24" s="284" t="str">
        <f>Tramming!AB11</f>
        <v/>
      </c>
      <c r="AD24" s="284" t="str">
        <f>Tramming!AC11</f>
        <v/>
      </c>
      <c r="AE24" s="284" t="str">
        <f>Tramming!AD11</f>
        <v/>
      </c>
      <c r="AF24" s="284" t="str">
        <f>Tramming!AE11</f>
        <v/>
      </c>
      <c r="AG24" s="284" t="str">
        <f>Tramming!AF11</f>
        <v/>
      </c>
      <c r="AH24" s="284" t="str">
        <f>Tramming!AG11</f>
        <v/>
      </c>
      <c r="AI24" s="284" t="str">
        <f>Tramming!AH11</f>
        <v/>
      </c>
      <c r="AJ24" s="284" t="str">
        <f>Tramming!AI11</f>
        <v/>
      </c>
      <c r="AK24" s="284" t="str">
        <f>Tramming!AJ11</f>
        <v/>
      </c>
      <c r="AL24" s="284" t="str">
        <f>Tramming!AK11</f>
        <v/>
      </c>
      <c r="AM24" s="285" t="str">
        <f>Tramming!AL11</f>
        <v/>
      </c>
    </row>
    <row r="25" spans="2:39" s="1662" customFormat="1" ht="16.350000000000001" customHeight="1">
      <c r="B25" s="2707"/>
      <c r="C25" s="1285" t="s">
        <v>28</v>
      </c>
      <c r="D25" s="1282">
        <f>IFERROR(D26*1000/D24,0)</f>
        <v>2.6411837563451774</v>
      </c>
      <c r="E25" s="1286">
        <f>Tramming!C11</f>
        <v>2.1988377665947754</v>
      </c>
      <c r="F25" s="300">
        <f t="shared" si="0"/>
        <v>0.44234598975040207</v>
      </c>
      <c r="G25" s="612">
        <f t="shared" si="1"/>
        <v>0.20117263604919797</v>
      </c>
      <c r="H25"/>
      <c r="I25" s="1083">
        <f>Tramming!H13</f>
        <v>2.2936411609498677</v>
      </c>
      <c r="J25" s="1084">
        <f>Tramming!I13</f>
        <v>3.351784294234593</v>
      </c>
      <c r="K25" s="1084">
        <f>Tramming!J13</f>
        <v>3.1195104166666661</v>
      </c>
      <c r="L25" s="1084">
        <f>Tramming!K13</f>
        <v>2.8486549340037706</v>
      </c>
      <c r="M25" s="1084">
        <f>Tramming!L13</f>
        <v>2.7826068601583116</v>
      </c>
      <c r="N25" s="1084">
        <f>Tramming!M13</f>
        <v>0</v>
      </c>
      <c r="O25" s="1084" t="str">
        <f>Tramming!N13</f>
        <v/>
      </c>
      <c r="P25" s="1084" t="str">
        <f>Tramming!O13</f>
        <v/>
      </c>
      <c r="Q25" s="1084" t="str">
        <f>Tramming!P13</f>
        <v/>
      </c>
      <c r="R25" s="1084" t="str">
        <f>Tramming!Q13</f>
        <v/>
      </c>
      <c r="S25" s="1084" t="str">
        <f>Tramming!R13</f>
        <v/>
      </c>
      <c r="T25" s="1084" t="str">
        <f>Tramming!S13</f>
        <v/>
      </c>
      <c r="U25" s="1084" t="str">
        <f>Tramming!T13</f>
        <v/>
      </c>
      <c r="V25" s="1084" t="str">
        <f>Tramming!U13</f>
        <v/>
      </c>
      <c r="W25" s="1084" t="str">
        <f>Tramming!V13</f>
        <v/>
      </c>
      <c r="X25" s="1084" t="str">
        <f>Tramming!W13</f>
        <v/>
      </c>
      <c r="Y25" s="1084" t="str">
        <f>Tramming!X13</f>
        <v/>
      </c>
      <c r="Z25" s="1084" t="str">
        <f>Tramming!Y13</f>
        <v/>
      </c>
      <c r="AA25" s="1084" t="str">
        <f>Tramming!Z13</f>
        <v/>
      </c>
      <c r="AB25" s="1084" t="str">
        <f>Tramming!AA13</f>
        <v/>
      </c>
      <c r="AC25" s="1084" t="str">
        <f>Tramming!AB13</f>
        <v/>
      </c>
      <c r="AD25" s="1084" t="str">
        <f>Tramming!AC13</f>
        <v/>
      </c>
      <c r="AE25" s="1084" t="str">
        <f>Tramming!AD13</f>
        <v/>
      </c>
      <c r="AF25" s="1084" t="str">
        <f>Tramming!AE13</f>
        <v/>
      </c>
      <c r="AG25" s="1084" t="str">
        <f>Tramming!AF13</f>
        <v/>
      </c>
      <c r="AH25" s="1084" t="str">
        <f>Tramming!AG13</f>
        <v/>
      </c>
      <c r="AI25" s="1084" t="str">
        <f>Tramming!AH13</f>
        <v/>
      </c>
      <c r="AJ25" s="1084" t="str">
        <f>Tramming!AI13</f>
        <v/>
      </c>
      <c r="AK25" s="1084" t="str">
        <f>Tramming!AJ13</f>
        <v/>
      </c>
      <c r="AL25" s="1084" t="str">
        <f>Tramming!AK13</f>
        <v/>
      </c>
      <c r="AM25" s="1284" t="str">
        <f>Tramming!AL13</f>
        <v/>
      </c>
    </row>
    <row r="26" spans="2:39" s="1662" customFormat="1" ht="16.350000000000001" customHeight="1" thickBot="1">
      <c r="B26" s="2708"/>
      <c r="C26" s="975" t="s">
        <v>29</v>
      </c>
      <c r="D26" s="1027">
        <f>SUM(I26:AM26)</f>
        <v>13.00783</v>
      </c>
      <c r="E26" s="976">
        <f>Tramming!C12</f>
        <v>12.005654205607474</v>
      </c>
      <c r="F26" s="600">
        <f t="shared" si="0"/>
        <v>1.0021757943925262</v>
      </c>
      <c r="G26" s="621">
        <f t="shared" si="1"/>
        <v>8.347531731543964E-2</v>
      </c>
      <c r="H26"/>
      <c r="I26" s="1028">
        <f>Tramming!H15</f>
        <v>1.7385799999999998</v>
      </c>
      <c r="J26" s="973">
        <f>Tramming!I15</f>
        <v>3.3718950000000003</v>
      </c>
      <c r="K26" s="973">
        <f>Tramming!J15</f>
        <v>2.9947299999999997</v>
      </c>
      <c r="L26" s="973">
        <f>Tramming!K15</f>
        <v>2.2661049999999996</v>
      </c>
      <c r="M26" s="973">
        <f>Tramming!L15</f>
        <v>2.6365200000000004</v>
      </c>
      <c r="N26" s="973">
        <f>Tramming!M15</f>
        <v>0</v>
      </c>
      <c r="O26" s="973" t="str">
        <f>Tramming!N15</f>
        <v/>
      </c>
      <c r="P26" s="973" t="str">
        <f>Tramming!O15</f>
        <v/>
      </c>
      <c r="Q26" s="973" t="str">
        <f>Tramming!P15</f>
        <v/>
      </c>
      <c r="R26" s="973" t="str">
        <f>Tramming!Q15</f>
        <v/>
      </c>
      <c r="S26" s="973" t="str">
        <f>Tramming!R15</f>
        <v/>
      </c>
      <c r="T26" s="973" t="str">
        <f>Tramming!S15</f>
        <v/>
      </c>
      <c r="U26" s="973" t="str">
        <f>Tramming!T15</f>
        <v/>
      </c>
      <c r="V26" s="973" t="str">
        <f>Tramming!U15</f>
        <v/>
      </c>
      <c r="W26" s="973" t="str">
        <f>Tramming!V15</f>
        <v/>
      </c>
      <c r="X26" s="973" t="str">
        <f>Tramming!W15</f>
        <v/>
      </c>
      <c r="Y26" s="973" t="str">
        <f>Tramming!X15</f>
        <v/>
      </c>
      <c r="Z26" s="973" t="str">
        <f>Tramming!Y15</f>
        <v/>
      </c>
      <c r="AA26" s="973" t="str">
        <f>Tramming!Z15</f>
        <v/>
      </c>
      <c r="AB26" s="973" t="str">
        <f>Tramming!AA15</f>
        <v/>
      </c>
      <c r="AC26" s="973" t="str">
        <f>Tramming!AB15</f>
        <v/>
      </c>
      <c r="AD26" s="973" t="str">
        <f>Tramming!AC15</f>
        <v/>
      </c>
      <c r="AE26" s="973" t="str">
        <f>Tramming!AD15</f>
        <v/>
      </c>
      <c r="AF26" s="973" t="str">
        <f>Tramming!AE15</f>
        <v/>
      </c>
      <c r="AG26" s="973" t="str">
        <f>Tramming!AF15</f>
        <v/>
      </c>
      <c r="AH26" s="973" t="str">
        <f>Tramming!AG15</f>
        <v/>
      </c>
      <c r="AI26" s="973" t="str">
        <f>Tramming!AH15</f>
        <v/>
      </c>
      <c r="AJ26" s="973" t="str">
        <f>Tramming!AI15</f>
        <v/>
      </c>
      <c r="AK26" s="973" t="str">
        <f>Tramming!AJ15</f>
        <v/>
      </c>
      <c r="AL26" s="973" t="str">
        <f>Tramming!AK15</f>
        <v/>
      </c>
      <c r="AM26" s="974" t="str">
        <f>Tramming!AL15</f>
        <v/>
      </c>
    </row>
    <row r="27" spans="2:39" s="1662" customFormat="1" ht="16.350000000000001" customHeight="1">
      <c r="B27" s="2702" t="s">
        <v>31</v>
      </c>
      <c r="C27" s="286" t="s">
        <v>27</v>
      </c>
      <c r="D27" s="603">
        <f>SUM(I27:AM27)</f>
        <v>5350</v>
      </c>
      <c r="E27" s="616">
        <f>Hoisting!C10</f>
        <v>4990</v>
      </c>
      <c r="F27" s="622">
        <f t="shared" si="0"/>
        <v>360</v>
      </c>
      <c r="G27" s="473">
        <f t="shared" si="1"/>
        <v>7.2144288577154311E-2</v>
      </c>
      <c r="H27"/>
      <c r="I27" s="283">
        <f>Hoisting!H11</f>
        <v>782</v>
      </c>
      <c r="J27" s="284">
        <f>Hoisting!I11</f>
        <v>952</v>
      </c>
      <c r="K27" s="284">
        <f>Hoisting!J11</f>
        <v>907</v>
      </c>
      <c r="L27" s="284">
        <f>Hoisting!K11</f>
        <v>812</v>
      </c>
      <c r="M27" s="284">
        <f>Hoisting!L11</f>
        <v>931</v>
      </c>
      <c r="N27" s="284">
        <f>Hoisting!M11</f>
        <v>966</v>
      </c>
      <c r="O27" s="284" t="str">
        <f>Hoisting!N11</f>
        <v/>
      </c>
      <c r="P27" s="284" t="str">
        <f>Hoisting!O11</f>
        <v/>
      </c>
      <c r="Q27" s="284" t="str">
        <f>Hoisting!P11</f>
        <v/>
      </c>
      <c r="R27" s="284" t="str">
        <f>Hoisting!Q11</f>
        <v/>
      </c>
      <c r="S27" s="284" t="str">
        <f>Hoisting!R11</f>
        <v/>
      </c>
      <c r="T27" s="284" t="str">
        <f>Hoisting!S11</f>
        <v/>
      </c>
      <c r="U27" s="284" t="str">
        <f>Hoisting!T11</f>
        <v/>
      </c>
      <c r="V27" s="284" t="str">
        <f>Hoisting!U11</f>
        <v/>
      </c>
      <c r="W27" s="284" t="str">
        <f>Hoisting!V11</f>
        <v/>
      </c>
      <c r="X27" s="284" t="str">
        <f>Hoisting!W11</f>
        <v/>
      </c>
      <c r="Y27" s="284" t="str">
        <f>Hoisting!X11</f>
        <v/>
      </c>
      <c r="Z27" s="284" t="str">
        <f>Hoisting!Y11</f>
        <v/>
      </c>
      <c r="AA27" s="284" t="str">
        <f>Hoisting!Z11</f>
        <v/>
      </c>
      <c r="AB27" s="284" t="str">
        <f>Hoisting!AA11</f>
        <v/>
      </c>
      <c r="AC27" s="284" t="str">
        <f>Hoisting!AB11</f>
        <v/>
      </c>
      <c r="AD27" s="284" t="str">
        <f>Hoisting!AC11</f>
        <v/>
      </c>
      <c r="AE27" s="284" t="str">
        <f>Hoisting!AD11</f>
        <v/>
      </c>
      <c r="AF27" s="284" t="str">
        <f>Hoisting!AE11</f>
        <v/>
      </c>
      <c r="AG27" s="284" t="str">
        <f>Hoisting!AF11</f>
        <v/>
      </c>
      <c r="AH27" s="284" t="str">
        <f>Hoisting!AG11</f>
        <v/>
      </c>
      <c r="AI27" s="284" t="str">
        <f>Hoisting!AH11</f>
        <v/>
      </c>
      <c r="AJ27" s="284" t="str">
        <f>Hoisting!AI11</f>
        <v/>
      </c>
      <c r="AK27" s="284" t="str">
        <f>Hoisting!AJ11</f>
        <v/>
      </c>
      <c r="AL27" s="284" t="str">
        <f>Hoisting!AK11</f>
        <v/>
      </c>
      <c r="AM27" s="285" t="str">
        <f>Hoisting!AL11</f>
        <v/>
      </c>
    </row>
    <row r="28" spans="2:39" s="1662" customFormat="1" ht="16.350000000000001" customHeight="1">
      <c r="B28" s="2703"/>
      <c r="C28" s="1281" t="s">
        <v>28</v>
      </c>
      <c r="D28" s="1282">
        <f>IFERROR(D29*1000/D27,0)</f>
        <v>1.7739252336448599</v>
      </c>
      <c r="E28" s="1283">
        <f>Hoisting!C11</f>
        <v>2.234383193958009</v>
      </c>
      <c r="F28" s="300">
        <f t="shared" si="0"/>
        <v>-0.46045796031314912</v>
      </c>
      <c r="G28" s="612">
        <f t="shared" si="1"/>
        <v>-0.20607833139735052</v>
      </c>
      <c r="H28"/>
      <c r="I28" s="1083">
        <f>Hoisting!H13</f>
        <v>1.99</v>
      </c>
      <c r="J28" s="1084">
        <f>Hoisting!I13</f>
        <v>2.13</v>
      </c>
      <c r="K28" s="1084">
        <f>Hoisting!J13</f>
        <v>1.6699999999999997</v>
      </c>
      <c r="L28" s="1084">
        <f>Hoisting!K13</f>
        <v>1.8200000000000003</v>
      </c>
      <c r="M28" s="1084">
        <f>Hoisting!L13</f>
        <v>3.13</v>
      </c>
      <c r="N28" s="1084">
        <f>Hoisting!M13</f>
        <v>0</v>
      </c>
      <c r="O28" s="1084" t="str">
        <f>Hoisting!N13</f>
        <v/>
      </c>
      <c r="P28" s="1084" t="str">
        <f>Hoisting!O13</f>
        <v/>
      </c>
      <c r="Q28" s="1084" t="str">
        <f>Hoisting!P13</f>
        <v/>
      </c>
      <c r="R28" s="1084" t="str">
        <f>Hoisting!Q13</f>
        <v/>
      </c>
      <c r="S28" s="1084" t="str">
        <f>Hoisting!R13</f>
        <v/>
      </c>
      <c r="T28" s="1084" t="str">
        <f>Hoisting!S13</f>
        <v/>
      </c>
      <c r="U28" s="1084" t="str">
        <f>Hoisting!T13</f>
        <v/>
      </c>
      <c r="V28" s="1084" t="str">
        <f>Hoisting!U13</f>
        <v/>
      </c>
      <c r="W28" s="1084" t="str">
        <f>Hoisting!V13</f>
        <v/>
      </c>
      <c r="X28" s="1084" t="str">
        <f>Hoisting!W13</f>
        <v/>
      </c>
      <c r="Y28" s="1084" t="str">
        <f>Hoisting!X13</f>
        <v/>
      </c>
      <c r="Z28" s="1084" t="str">
        <f>Hoisting!Y13</f>
        <v/>
      </c>
      <c r="AA28" s="1084" t="str">
        <f>Hoisting!Z13</f>
        <v/>
      </c>
      <c r="AB28" s="1084" t="str">
        <f>Hoisting!AA13</f>
        <v/>
      </c>
      <c r="AC28" s="1084" t="str">
        <f>Hoisting!AB13</f>
        <v/>
      </c>
      <c r="AD28" s="1084" t="str">
        <f>Hoisting!AC13</f>
        <v/>
      </c>
      <c r="AE28" s="1084" t="str">
        <f>Hoisting!AD13</f>
        <v/>
      </c>
      <c r="AF28" s="1084" t="str">
        <f>Hoisting!AE13</f>
        <v/>
      </c>
      <c r="AG28" s="1084" t="str">
        <f>Hoisting!AF13</f>
        <v/>
      </c>
      <c r="AH28" s="1084" t="str">
        <f>Hoisting!AG13</f>
        <v/>
      </c>
      <c r="AI28" s="1084" t="str">
        <f>Hoisting!AH13</f>
        <v/>
      </c>
      <c r="AJ28" s="1084" t="str">
        <f>Hoisting!AI13</f>
        <v/>
      </c>
      <c r="AK28" s="1084" t="str">
        <f>Hoisting!AJ13</f>
        <v/>
      </c>
      <c r="AL28" s="1084" t="str">
        <f>Hoisting!AK13</f>
        <v/>
      </c>
      <c r="AM28" s="1284" t="str">
        <f>Hoisting!AL13</f>
        <v/>
      </c>
    </row>
    <row r="29" spans="2:39" s="1662" customFormat="1" ht="16.350000000000001" customHeight="1" thickBot="1">
      <c r="B29" s="2704"/>
      <c r="C29" s="971" t="s">
        <v>29</v>
      </c>
      <c r="D29" s="1027">
        <f>SUM(I29:AM29)</f>
        <v>9.4905000000000008</v>
      </c>
      <c r="E29" s="972">
        <f>Hoisting!C12</f>
        <v>11.149572137850466</v>
      </c>
      <c r="F29" s="600">
        <f t="shared" si="0"/>
        <v>-1.6590721378504654</v>
      </c>
      <c r="G29" s="621">
        <f t="shared" si="1"/>
        <v>-0.14880141743002517</v>
      </c>
      <c r="H29"/>
      <c r="I29" s="1028">
        <f>Hoisting!H15</f>
        <v>1.5561800000000001</v>
      </c>
      <c r="J29" s="973">
        <f>Hoisting!I15</f>
        <v>2.0277599999999998</v>
      </c>
      <c r="K29" s="973">
        <f>Hoisting!J15</f>
        <v>1.5146899999999999</v>
      </c>
      <c r="L29" s="973">
        <f>Hoisting!K15</f>
        <v>1.47784</v>
      </c>
      <c r="M29" s="973">
        <f>Hoisting!L15</f>
        <v>2.9140299999999999</v>
      </c>
      <c r="N29" s="973">
        <f>Hoisting!M15</f>
        <v>0</v>
      </c>
      <c r="O29" s="973" t="str">
        <f>Hoisting!N15</f>
        <v/>
      </c>
      <c r="P29" s="973" t="str">
        <f>Hoisting!O15</f>
        <v/>
      </c>
      <c r="Q29" s="973" t="str">
        <f>Hoisting!P15</f>
        <v/>
      </c>
      <c r="R29" s="973" t="str">
        <f>Hoisting!Q15</f>
        <v/>
      </c>
      <c r="S29" s="973" t="str">
        <f>Hoisting!R15</f>
        <v/>
      </c>
      <c r="T29" s="973" t="str">
        <f>Hoisting!S15</f>
        <v/>
      </c>
      <c r="U29" s="973" t="str">
        <f>Hoisting!T15</f>
        <v/>
      </c>
      <c r="V29" s="973" t="str">
        <f>Hoisting!U15</f>
        <v/>
      </c>
      <c r="W29" s="973" t="str">
        <f>Hoisting!V15</f>
        <v/>
      </c>
      <c r="X29" s="973" t="str">
        <f>Hoisting!W15</f>
        <v/>
      </c>
      <c r="Y29" s="973" t="str">
        <f>Hoisting!X15</f>
        <v/>
      </c>
      <c r="Z29" s="973" t="str">
        <f>Hoisting!Y15</f>
        <v/>
      </c>
      <c r="AA29" s="973" t="str">
        <f>Hoisting!Z15</f>
        <v/>
      </c>
      <c r="AB29" s="973" t="str">
        <f>Hoisting!AA15</f>
        <v/>
      </c>
      <c r="AC29" s="973" t="str">
        <f>Hoisting!AB15</f>
        <v/>
      </c>
      <c r="AD29" s="973" t="str">
        <f>Hoisting!AC15</f>
        <v/>
      </c>
      <c r="AE29" s="973" t="str">
        <f>Hoisting!AD15</f>
        <v/>
      </c>
      <c r="AF29" s="973" t="str">
        <f>Hoisting!AE15</f>
        <v/>
      </c>
      <c r="AG29" s="973" t="str">
        <f>Hoisting!AF15</f>
        <v/>
      </c>
      <c r="AH29" s="973" t="str">
        <f>Hoisting!AG15</f>
        <v/>
      </c>
      <c r="AI29" s="973" t="str">
        <f>Hoisting!AH15</f>
        <v/>
      </c>
      <c r="AJ29" s="973" t="str">
        <f>Hoisting!AI15</f>
        <v/>
      </c>
      <c r="AK29" s="973" t="str">
        <f>Hoisting!AJ15</f>
        <v/>
      </c>
      <c r="AL29" s="973" t="str">
        <f>Hoisting!AK15</f>
        <v/>
      </c>
      <c r="AM29" s="974" t="str">
        <f>Hoisting!AL15</f>
        <v/>
      </c>
    </row>
    <row r="30" spans="2:39" s="1662" customFormat="1" ht="16.350000000000001" customHeight="1">
      <c r="B30" s="2706" t="s">
        <v>32</v>
      </c>
      <c r="C30" s="287" t="s">
        <v>27</v>
      </c>
      <c r="D30" s="603">
        <f>SUM(I30:AM30)</f>
        <v>4285.2205000000004</v>
      </c>
      <c r="E30" s="617">
        <f>PLANT!C10</f>
        <v>6456.2915999999977</v>
      </c>
      <c r="F30" s="622">
        <f t="shared" si="0"/>
        <v>-2171.0710999999974</v>
      </c>
      <c r="G30" s="473">
        <f t="shared" si="1"/>
        <v>-0.33627215660457438</v>
      </c>
      <c r="H30"/>
      <c r="I30" s="283">
        <f>PLANT!H6</f>
        <v>1078.5735999999999</v>
      </c>
      <c r="J30" s="284">
        <f>PLANT!I6</f>
        <v>1066.0175999999999</v>
      </c>
      <c r="K30" s="284">
        <f>PLANT!J6</f>
        <v>648.29840000000002</v>
      </c>
      <c r="L30" s="284">
        <f>PLANT!K6</f>
        <v>753.73090000000002</v>
      </c>
      <c r="M30" s="284">
        <f>PLANT!L6</f>
        <v>738.6</v>
      </c>
      <c r="N30" s="284">
        <f>PLANT!M6</f>
        <v>0</v>
      </c>
      <c r="O30" s="284" t="str">
        <f>PLANT!N6</f>
        <v/>
      </c>
      <c r="P30" s="284" t="str">
        <f>PLANT!O6</f>
        <v/>
      </c>
      <c r="Q30" s="284" t="str">
        <f>PLANT!P6</f>
        <v/>
      </c>
      <c r="R30" s="284" t="str">
        <f>PLANT!Q6</f>
        <v/>
      </c>
      <c r="S30" s="284" t="str">
        <f>PLANT!R6</f>
        <v/>
      </c>
      <c r="T30" s="284" t="str">
        <f>PLANT!S6</f>
        <v/>
      </c>
      <c r="U30" s="284" t="str">
        <f>PLANT!T6</f>
        <v/>
      </c>
      <c r="V30" s="284" t="str">
        <f>PLANT!U6</f>
        <v/>
      </c>
      <c r="W30" s="284" t="str">
        <f>PLANT!V6</f>
        <v/>
      </c>
      <c r="X30" s="284" t="str">
        <f>PLANT!W6</f>
        <v/>
      </c>
      <c r="Y30" s="284" t="str">
        <f>PLANT!X6</f>
        <v/>
      </c>
      <c r="Z30" s="284" t="str">
        <f>PLANT!Y6</f>
        <v/>
      </c>
      <c r="AA30" s="284" t="str">
        <f>PLANT!Z6</f>
        <v/>
      </c>
      <c r="AB30" s="284" t="str">
        <f>PLANT!AA6</f>
        <v/>
      </c>
      <c r="AC30" s="284" t="str">
        <f>PLANT!AB6</f>
        <v/>
      </c>
      <c r="AD30" s="284" t="str">
        <f>PLANT!AC6</f>
        <v/>
      </c>
      <c r="AE30" s="284" t="str">
        <f>PLANT!AD6</f>
        <v/>
      </c>
      <c r="AF30" s="284" t="str">
        <f>PLANT!AE6</f>
        <v/>
      </c>
      <c r="AG30" s="284" t="str">
        <f>PLANT!AF6</f>
        <v/>
      </c>
      <c r="AH30" s="284" t="str">
        <f>PLANT!AG6</f>
        <v/>
      </c>
      <c r="AI30" s="284" t="str">
        <f>PLANT!AH6</f>
        <v/>
      </c>
      <c r="AJ30" s="284" t="str">
        <f>PLANT!AI6</f>
        <v/>
      </c>
      <c r="AK30" s="284" t="str">
        <f>PLANT!AJ6</f>
        <v/>
      </c>
      <c r="AL30" s="284" t="str">
        <f>PLANT!AK6</f>
        <v/>
      </c>
      <c r="AM30" s="285" t="str">
        <f>PLANT!AL6</f>
        <v/>
      </c>
    </row>
    <row r="31" spans="2:39" s="1662" customFormat="1" ht="16.5" customHeight="1">
      <c r="B31" s="2707"/>
      <c r="C31" s="1285" t="s">
        <v>28</v>
      </c>
      <c r="D31" s="1282">
        <f>IFERROR(D32*1000/D30,0)</f>
        <v>2.0178731199269673</v>
      </c>
      <c r="E31" s="1286">
        <f>PLANT!D10</f>
        <v>2.1847275168228704</v>
      </c>
      <c r="F31" s="300">
        <f t="shared" si="0"/>
        <v>-0.16685439689590309</v>
      </c>
      <c r="G31" s="612">
        <f t="shared" si="1"/>
        <v>-7.6373092576116908E-2</v>
      </c>
      <c r="H31"/>
      <c r="I31" s="1083">
        <f>PLANT!H9</f>
        <v>1.4863999999999999</v>
      </c>
      <c r="J31" s="1084">
        <f>PLANT!I9</f>
        <v>1.8516999999999999</v>
      </c>
      <c r="K31" s="1084">
        <f>PLANT!J9</f>
        <v>2.7927</v>
      </c>
      <c r="L31" s="1084">
        <f>PLANT!K9</f>
        <v>1.7002999999999999</v>
      </c>
      <c r="M31" s="1084">
        <f>PLANT!L9</f>
        <v>2.6778</v>
      </c>
      <c r="N31" s="1084">
        <f>PLANT!M9</f>
        <v>0</v>
      </c>
      <c r="O31" s="1084" t="str">
        <f>PLANT!N9</f>
        <v/>
      </c>
      <c r="P31" s="1084" t="str">
        <f>PLANT!O9</f>
        <v/>
      </c>
      <c r="Q31" s="1084" t="str">
        <f>PLANT!P9</f>
        <v/>
      </c>
      <c r="R31" s="1084" t="str">
        <f>PLANT!Q9</f>
        <v/>
      </c>
      <c r="S31" s="1084" t="str">
        <f>PLANT!R9</f>
        <v/>
      </c>
      <c r="T31" s="1084" t="str">
        <f>PLANT!S9</f>
        <v/>
      </c>
      <c r="U31" s="1084" t="str">
        <f>PLANT!T9</f>
        <v/>
      </c>
      <c r="V31" s="1084" t="str">
        <f>PLANT!U9</f>
        <v/>
      </c>
      <c r="W31" s="1084" t="str">
        <f>PLANT!V9</f>
        <v/>
      </c>
      <c r="X31" s="1084" t="str">
        <f>PLANT!W9</f>
        <v/>
      </c>
      <c r="Y31" s="1084" t="str">
        <f>PLANT!X9</f>
        <v/>
      </c>
      <c r="Z31" s="1084" t="str">
        <f>PLANT!Y9</f>
        <v/>
      </c>
      <c r="AA31" s="1084" t="str">
        <f>PLANT!Z9</f>
        <v/>
      </c>
      <c r="AB31" s="1084" t="str">
        <f>PLANT!AA9</f>
        <v/>
      </c>
      <c r="AC31" s="1084" t="str">
        <f>PLANT!AB9</f>
        <v/>
      </c>
      <c r="AD31" s="1084" t="str">
        <f>PLANT!AC9</f>
        <v/>
      </c>
      <c r="AE31" s="1084" t="str">
        <f>PLANT!AD9</f>
        <v/>
      </c>
      <c r="AF31" s="1084" t="str">
        <f>PLANT!AE9</f>
        <v/>
      </c>
      <c r="AG31" s="1084" t="str">
        <f>PLANT!AF9</f>
        <v/>
      </c>
      <c r="AH31" s="1084" t="str">
        <f>PLANT!AG9</f>
        <v/>
      </c>
      <c r="AI31" s="1084" t="str">
        <f>PLANT!AH9</f>
        <v/>
      </c>
      <c r="AJ31" s="1084" t="str">
        <f>PLANT!AI9</f>
        <v/>
      </c>
      <c r="AK31" s="1084" t="str">
        <f>PLANT!AJ9</f>
        <v/>
      </c>
      <c r="AL31" s="1084" t="str">
        <f>PLANT!AK9</f>
        <v/>
      </c>
      <c r="AM31" s="1284" t="str">
        <f>PLANT!AL9</f>
        <v/>
      </c>
    </row>
    <row r="32" spans="2:39" s="1662" customFormat="1" ht="16.350000000000001" customHeight="1" thickBot="1">
      <c r="B32" s="2708"/>
      <c r="C32" s="975" t="s">
        <v>29</v>
      </c>
      <c r="D32" s="1027">
        <f>SUM(I32:AM32)</f>
        <v>8.6470312599099994</v>
      </c>
      <c r="E32" s="976">
        <f>PLANT!E10</f>
        <v>14.105237915152353</v>
      </c>
      <c r="F32" s="600">
        <f t="shared" si="0"/>
        <v>-5.4582066552423534</v>
      </c>
      <c r="G32" s="621">
        <f t="shared" si="1"/>
        <v>-0.38696310463355971</v>
      </c>
      <c r="H32"/>
      <c r="I32" s="1028">
        <f>PLANT!H15</f>
        <v>1.6031917990399998</v>
      </c>
      <c r="J32" s="973">
        <f>PLANT!I15</f>
        <v>1.9739447899199998</v>
      </c>
      <c r="K32" s="973">
        <f>PLANT!J15</f>
        <v>1.81050294168</v>
      </c>
      <c r="L32" s="973">
        <f>PLANT!K15</f>
        <v>1.28156864927</v>
      </c>
      <c r="M32" s="973">
        <f>PLANT!L15</f>
        <v>1.9778230800000001</v>
      </c>
      <c r="N32" s="973">
        <f>PLANT!M15</f>
        <v>0</v>
      </c>
      <c r="O32" s="973" t="str">
        <f>PLANT!N15</f>
        <v/>
      </c>
      <c r="P32" s="973" t="str">
        <f>PLANT!O15</f>
        <v/>
      </c>
      <c r="Q32" s="973" t="str">
        <f>PLANT!P15</f>
        <v/>
      </c>
      <c r="R32" s="973" t="str">
        <f>PLANT!Q15</f>
        <v/>
      </c>
      <c r="S32" s="973" t="str">
        <f>PLANT!R15</f>
        <v/>
      </c>
      <c r="T32" s="973" t="str">
        <f>PLANT!S15</f>
        <v/>
      </c>
      <c r="U32" s="973" t="str">
        <f>PLANT!T15</f>
        <v/>
      </c>
      <c r="V32" s="973" t="str">
        <f>PLANT!U15</f>
        <v/>
      </c>
      <c r="W32" s="973" t="str">
        <f>PLANT!V15</f>
        <v/>
      </c>
      <c r="X32" s="973" t="str">
        <f>PLANT!W15</f>
        <v/>
      </c>
      <c r="Y32" s="973" t="str">
        <f>PLANT!X15</f>
        <v/>
      </c>
      <c r="Z32" s="973" t="str">
        <f>PLANT!Y15</f>
        <v/>
      </c>
      <c r="AA32" s="973" t="str">
        <f>PLANT!Z15</f>
        <v/>
      </c>
      <c r="AB32" s="973" t="str">
        <f>PLANT!AA15</f>
        <v/>
      </c>
      <c r="AC32" s="973" t="str">
        <f>PLANT!AB15</f>
        <v/>
      </c>
      <c r="AD32" s="973" t="str">
        <f>PLANT!AC15</f>
        <v/>
      </c>
      <c r="AE32" s="973" t="str">
        <f>PLANT!AD15</f>
        <v/>
      </c>
      <c r="AF32" s="973" t="str">
        <f>PLANT!AE15</f>
        <v/>
      </c>
      <c r="AG32" s="973" t="str">
        <f>PLANT!AF15</f>
        <v/>
      </c>
      <c r="AH32" s="973" t="str">
        <f>PLANT!AG15</f>
        <v/>
      </c>
      <c r="AI32" s="973" t="str">
        <f>PLANT!AH15</f>
        <v/>
      </c>
      <c r="AJ32" s="973" t="str">
        <f>PLANT!AI15</f>
        <v/>
      </c>
      <c r="AK32" s="973" t="str">
        <f>PLANT!AJ15</f>
        <v/>
      </c>
      <c r="AL32" s="973" t="str">
        <f>PLANT!AK15</f>
        <v/>
      </c>
      <c r="AM32" s="974" t="str">
        <f>PLANT!AL15</f>
        <v/>
      </c>
    </row>
    <row r="33" spans="2:39" s="1662" customFormat="1" ht="16.350000000000001" customHeight="1">
      <c r="B33" s="2702" t="s">
        <v>33</v>
      </c>
      <c r="C33" s="286" t="s">
        <v>27</v>
      </c>
      <c r="D33" s="603">
        <f>SUM(I33:AM33)</f>
        <v>5244.8028999999997</v>
      </c>
      <c r="E33" s="616">
        <f>E30</f>
        <v>6456.2915999999977</v>
      </c>
      <c r="F33" s="622">
        <f t="shared" si="0"/>
        <v>-1211.4886999999981</v>
      </c>
      <c r="G33" s="473">
        <f t="shared" si="1"/>
        <v>-0.18764466896135831</v>
      </c>
      <c r="H33"/>
      <c r="I33" s="283">
        <f>PLANT!H7</f>
        <v>1244.3207</v>
      </c>
      <c r="J33" s="284">
        <f>PLANT!I7</f>
        <v>1143.296</v>
      </c>
      <c r="K33" s="284">
        <f>PLANT!J7</f>
        <v>665.4402</v>
      </c>
      <c r="L33" s="284">
        <f>PLANT!K7</f>
        <v>1124.527</v>
      </c>
      <c r="M33" s="284">
        <f>PLANT!L7</f>
        <v>1067.2190000000001</v>
      </c>
      <c r="N33" s="284">
        <f>PLANT!M7</f>
        <v>0</v>
      </c>
      <c r="O33" s="284" t="str">
        <f>PLANT!N7</f>
        <v/>
      </c>
      <c r="P33" s="284" t="str">
        <f>PLANT!O7</f>
        <v/>
      </c>
      <c r="Q33" s="284" t="str">
        <f>PLANT!P7</f>
        <v/>
      </c>
      <c r="R33" s="284" t="str">
        <f>PLANT!Q7</f>
        <v/>
      </c>
      <c r="S33" s="284" t="str">
        <f>PLANT!R7</f>
        <v/>
      </c>
      <c r="T33" s="284" t="str">
        <f>PLANT!S7</f>
        <v/>
      </c>
      <c r="U33" s="284" t="str">
        <f>PLANT!T7</f>
        <v/>
      </c>
      <c r="V33" s="284" t="str">
        <f>PLANT!U7</f>
        <v/>
      </c>
      <c r="W33" s="284" t="str">
        <f>PLANT!V7</f>
        <v/>
      </c>
      <c r="X33" s="284" t="str">
        <f>PLANT!W7</f>
        <v/>
      </c>
      <c r="Y33" s="284" t="str">
        <f>PLANT!X7</f>
        <v/>
      </c>
      <c r="Z33" s="284" t="str">
        <f>PLANT!Y7</f>
        <v/>
      </c>
      <c r="AA33" s="284" t="str">
        <f>PLANT!Z7</f>
        <v/>
      </c>
      <c r="AB33" s="284" t="str">
        <f>PLANT!AA7</f>
        <v/>
      </c>
      <c r="AC33" s="284" t="str">
        <f>PLANT!AB7</f>
        <v/>
      </c>
      <c r="AD33" s="284" t="str">
        <f>PLANT!AC7</f>
        <v/>
      </c>
      <c r="AE33" s="284" t="str">
        <f>PLANT!AD7</f>
        <v/>
      </c>
      <c r="AF33" s="284" t="str">
        <f>PLANT!AE7</f>
        <v/>
      </c>
      <c r="AG33" s="284" t="str">
        <f>PLANT!AF7</f>
        <v/>
      </c>
      <c r="AH33" s="284" t="str">
        <f>PLANT!AG7</f>
        <v/>
      </c>
      <c r="AI33" s="284" t="str">
        <f>PLANT!AH7</f>
        <v/>
      </c>
      <c r="AJ33" s="284" t="str">
        <f>PLANT!AI7</f>
        <v/>
      </c>
      <c r="AK33" s="284" t="str">
        <f>PLANT!AJ7</f>
        <v/>
      </c>
      <c r="AL33" s="284" t="str">
        <f>PLANT!AK7</f>
        <v/>
      </c>
      <c r="AM33" s="285" t="str">
        <f>PLANT!AL7</f>
        <v/>
      </c>
    </row>
    <row r="34" spans="2:39" s="1662" customFormat="1" ht="16.350000000000001" customHeight="1">
      <c r="B34" s="2703"/>
      <c r="C34" s="1281" t="s">
        <v>28</v>
      </c>
      <c r="D34" s="1282">
        <f>IFERROR(D35*1000/D33,0)</f>
        <v>1.8025186086535305</v>
      </c>
      <c r="E34" s="1283">
        <f>E31</f>
        <v>2.1847275168228704</v>
      </c>
      <c r="F34" s="300">
        <f t="shared" si="0"/>
        <v>-0.38220890816933983</v>
      </c>
      <c r="G34" s="612">
        <f t="shared" si="1"/>
        <v>-0.17494580226881809</v>
      </c>
      <c r="H34"/>
      <c r="I34" s="1083">
        <f>PLANT!H10</f>
        <v>1.3227</v>
      </c>
      <c r="J34" s="1084">
        <f>PLANT!I10</f>
        <v>1.9326000000000003</v>
      </c>
      <c r="K34" s="1084">
        <f>PLANT!J10</f>
        <v>2.1524000000000001</v>
      </c>
      <c r="L34" s="1084">
        <f>PLANT!K10</f>
        <v>1.7907</v>
      </c>
      <c r="M34" s="1084">
        <f>PLANT!L10</f>
        <v>2.0169000000000001</v>
      </c>
      <c r="N34" s="1084">
        <f>PLANT!M10</f>
        <v>0</v>
      </c>
      <c r="O34" s="1084" t="str">
        <f>PLANT!N10</f>
        <v/>
      </c>
      <c r="P34" s="1084" t="str">
        <f>PLANT!O10</f>
        <v/>
      </c>
      <c r="Q34" s="1084" t="str">
        <f>PLANT!P10</f>
        <v/>
      </c>
      <c r="R34" s="1084" t="str">
        <f>PLANT!Q10</f>
        <v/>
      </c>
      <c r="S34" s="1084" t="str">
        <f>PLANT!R10</f>
        <v/>
      </c>
      <c r="T34" s="1084" t="str">
        <f>PLANT!S10</f>
        <v/>
      </c>
      <c r="U34" s="1084" t="str">
        <f>PLANT!T10</f>
        <v/>
      </c>
      <c r="V34" s="1084" t="str">
        <f>PLANT!U10</f>
        <v/>
      </c>
      <c r="W34" s="1084" t="str">
        <f>PLANT!V10</f>
        <v/>
      </c>
      <c r="X34" s="1084" t="str">
        <f>PLANT!W10</f>
        <v/>
      </c>
      <c r="Y34" s="1084" t="str">
        <f>PLANT!X10</f>
        <v/>
      </c>
      <c r="Z34" s="1084" t="str">
        <f>PLANT!Y10</f>
        <v/>
      </c>
      <c r="AA34" s="1084" t="str">
        <f>PLANT!Z10</f>
        <v/>
      </c>
      <c r="AB34" s="1084" t="str">
        <f>PLANT!AA10</f>
        <v/>
      </c>
      <c r="AC34" s="1084" t="str">
        <f>PLANT!AB10</f>
        <v/>
      </c>
      <c r="AD34" s="1084" t="str">
        <f>PLANT!AC10</f>
        <v/>
      </c>
      <c r="AE34" s="1084" t="str">
        <f>PLANT!AD10</f>
        <v/>
      </c>
      <c r="AF34" s="1084" t="str">
        <f>PLANT!AE10</f>
        <v/>
      </c>
      <c r="AG34" s="1084" t="str">
        <f>PLANT!AF10</f>
        <v/>
      </c>
      <c r="AH34" s="1084" t="str">
        <f>PLANT!AG10</f>
        <v/>
      </c>
      <c r="AI34" s="1084" t="str">
        <f>PLANT!AH10</f>
        <v/>
      </c>
      <c r="AJ34" s="1084" t="str">
        <f>PLANT!AI10</f>
        <v/>
      </c>
      <c r="AK34" s="1084" t="str">
        <f>PLANT!AJ10</f>
        <v/>
      </c>
      <c r="AL34" s="1084" t="str">
        <f>PLANT!AK10</f>
        <v/>
      </c>
      <c r="AM34" s="1284" t="str">
        <f>PLANT!AL10</f>
        <v/>
      </c>
    </row>
    <row r="35" spans="2:39" s="1662" customFormat="1" ht="16.350000000000001" customHeight="1" thickBot="1">
      <c r="B35" s="2704"/>
      <c r="C35" s="971" t="s">
        <v>29</v>
      </c>
      <c r="D35" s="1027">
        <f>SUM(I35:AM35)</f>
        <v>9.4538548259700015</v>
      </c>
      <c r="E35" s="972">
        <f>E32</f>
        <v>14.105237915152353</v>
      </c>
      <c r="F35" s="600">
        <f t="shared" si="0"/>
        <v>-4.6513830891823513</v>
      </c>
      <c r="G35" s="621">
        <f t="shared" si="1"/>
        <v>-0.32976282407726487</v>
      </c>
      <c r="H35"/>
      <c r="I35" s="1028">
        <f>PLANT!H16</f>
        <v>1.6458629898899999</v>
      </c>
      <c r="J35" s="973">
        <f>PLANT!I16</f>
        <v>2.2095338496000005</v>
      </c>
      <c r="K35" s="973">
        <f>PLANT!J16</f>
        <v>1.4322934864800001</v>
      </c>
      <c r="L35" s="973">
        <f>PLANT!K16</f>
        <v>2.0136904989</v>
      </c>
      <c r="M35" s="973">
        <f>PLANT!L16</f>
        <v>2.1524740011000003</v>
      </c>
      <c r="N35" s="973">
        <f>PLANT!M16</f>
        <v>0</v>
      </c>
      <c r="O35" s="973" t="str">
        <f>PLANT!N16</f>
        <v/>
      </c>
      <c r="P35" s="973" t="str">
        <f>PLANT!O16</f>
        <v/>
      </c>
      <c r="Q35" s="973" t="str">
        <f>PLANT!P16</f>
        <v/>
      </c>
      <c r="R35" s="973" t="str">
        <f>PLANT!Q16</f>
        <v/>
      </c>
      <c r="S35" s="973" t="str">
        <f>PLANT!R16</f>
        <v/>
      </c>
      <c r="T35" s="973" t="str">
        <f>PLANT!S16</f>
        <v/>
      </c>
      <c r="U35" s="973" t="str">
        <f>PLANT!T16</f>
        <v/>
      </c>
      <c r="V35" s="973" t="str">
        <f>PLANT!U16</f>
        <v/>
      </c>
      <c r="W35" s="973" t="str">
        <f>PLANT!V16</f>
        <v/>
      </c>
      <c r="X35" s="973" t="str">
        <f>PLANT!W16</f>
        <v/>
      </c>
      <c r="Y35" s="973" t="str">
        <f>PLANT!X16</f>
        <v/>
      </c>
      <c r="Z35" s="973" t="str">
        <f>PLANT!Y16</f>
        <v/>
      </c>
      <c r="AA35" s="973" t="str">
        <f>PLANT!Z16</f>
        <v/>
      </c>
      <c r="AB35" s="973" t="str">
        <f>PLANT!AA16</f>
        <v/>
      </c>
      <c r="AC35" s="973" t="str">
        <f>PLANT!AB16</f>
        <v/>
      </c>
      <c r="AD35" s="973" t="str">
        <f>PLANT!AC16</f>
        <v/>
      </c>
      <c r="AE35" s="973" t="str">
        <f>PLANT!AD16</f>
        <v/>
      </c>
      <c r="AF35" s="973" t="str">
        <f>PLANT!AE16</f>
        <v/>
      </c>
      <c r="AG35" s="973" t="str">
        <f>PLANT!AF16</f>
        <v/>
      </c>
      <c r="AH35" s="973" t="str">
        <f>PLANT!AG16</f>
        <v/>
      </c>
      <c r="AI35" s="973" t="str">
        <f>PLANT!AH16</f>
        <v/>
      </c>
      <c r="AJ35" s="973" t="str">
        <f>PLANT!AI16</f>
        <v/>
      </c>
      <c r="AK35" s="973" t="str">
        <f>PLANT!AJ16</f>
        <v/>
      </c>
      <c r="AL35" s="973" t="str">
        <f>PLANT!AK16</f>
        <v/>
      </c>
      <c r="AM35" s="974" t="str">
        <f>PLANT!AL16</f>
        <v/>
      </c>
    </row>
    <row r="36" spans="2:39" s="1662" customFormat="1" ht="16.350000000000001" customHeight="1">
      <c r="B36" s="2706" t="s">
        <v>34</v>
      </c>
      <c r="C36" s="287" t="s">
        <v>28</v>
      </c>
      <c r="D36" s="619">
        <f>IFERROR(D37*1000/D33,0)</f>
        <v>2.1626404668211157</v>
      </c>
      <c r="E36" s="618">
        <f>E34</f>
        <v>2.1847275168228704</v>
      </c>
      <c r="F36" s="623">
        <f t="shared" si="0"/>
        <v>-2.2087050001754704E-2</v>
      </c>
      <c r="G36" s="473">
        <f t="shared" si="1"/>
        <v>-1.0109750452484204E-2</v>
      </c>
      <c r="H36"/>
      <c r="I36" s="1083">
        <f>PLANT!H11</f>
        <v>1.8463861999999998</v>
      </c>
      <c r="J36" s="1084">
        <f>PLANT!I11</f>
        <v>2.0515102999999999</v>
      </c>
      <c r="K36" s="1084">
        <f>PLANT!J11</f>
        <v>2.7219905</v>
      </c>
      <c r="L36" s="1084">
        <f>PLANT!K11</f>
        <v>2.2959665999999999</v>
      </c>
      <c r="M36" s="1084">
        <f>PLANT!L11</f>
        <v>2.1611726999999998</v>
      </c>
      <c r="N36" s="1084">
        <f>PLANT!M11</f>
        <v>0</v>
      </c>
      <c r="O36" s="1084" t="str">
        <f>PLANT!N11</f>
        <v/>
      </c>
      <c r="P36" s="1084" t="str">
        <f>PLANT!O11</f>
        <v/>
      </c>
      <c r="Q36" s="1084" t="str">
        <f>PLANT!P11</f>
        <v/>
      </c>
      <c r="R36" s="1084" t="str">
        <f>PLANT!Q11</f>
        <v/>
      </c>
      <c r="S36" s="1084" t="str">
        <f>PLANT!R11</f>
        <v/>
      </c>
      <c r="T36" s="1084" t="str">
        <f>PLANT!S11</f>
        <v/>
      </c>
      <c r="U36" s="1084" t="str">
        <f>PLANT!T11</f>
        <v/>
      </c>
      <c r="V36" s="1084" t="str">
        <f>PLANT!U11</f>
        <v/>
      </c>
      <c r="W36" s="1084" t="str">
        <f>PLANT!V11</f>
        <v/>
      </c>
      <c r="X36" s="1084" t="str">
        <f>PLANT!W11</f>
        <v/>
      </c>
      <c r="Y36" s="1084" t="str">
        <f>PLANT!X11</f>
        <v/>
      </c>
      <c r="Z36" s="1084" t="str">
        <f>PLANT!Y11</f>
        <v/>
      </c>
      <c r="AA36" s="1084" t="str">
        <f>PLANT!Z11</f>
        <v/>
      </c>
      <c r="AB36" s="1084" t="str">
        <f>PLANT!AA11</f>
        <v/>
      </c>
      <c r="AC36" s="1084" t="str">
        <f>PLANT!AB11</f>
        <v/>
      </c>
      <c r="AD36" s="1084" t="str">
        <f>PLANT!AC11</f>
        <v/>
      </c>
      <c r="AE36" s="1084" t="str">
        <f>PLANT!AD11</f>
        <v/>
      </c>
      <c r="AF36" s="1084" t="str">
        <f>PLANT!AE11</f>
        <v/>
      </c>
      <c r="AG36" s="1084" t="str">
        <f>PLANT!AF11</f>
        <v/>
      </c>
      <c r="AH36" s="1084" t="str">
        <f>PLANT!AG11</f>
        <v/>
      </c>
      <c r="AI36" s="1084" t="str">
        <f>PLANT!AH11</f>
        <v/>
      </c>
      <c r="AJ36" s="1084" t="str">
        <f>PLANT!AI11</f>
        <v/>
      </c>
      <c r="AK36" s="1084" t="str">
        <f>PLANT!AJ11</f>
        <v/>
      </c>
      <c r="AL36" s="1084" t="str">
        <f>PLANT!AK11</f>
        <v/>
      </c>
      <c r="AM36" s="1284" t="str">
        <f>PLANT!AL11</f>
        <v/>
      </c>
    </row>
    <row r="37" spans="2:39" s="1662" customFormat="1" ht="16.350000000000001" customHeight="1" thickBot="1">
      <c r="B37" s="2707"/>
      <c r="C37" s="975" t="s">
        <v>29</v>
      </c>
      <c r="D37" s="1027">
        <f>SUM(I37:AM37)</f>
        <v>11.34262299204074</v>
      </c>
      <c r="E37" s="976">
        <f>E35</f>
        <v>14.105237915152353</v>
      </c>
      <c r="F37" s="600">
        <f t="shared" si="0"/>
        <v>-2.7626149231116131</v>
      </c>
      <c r="G37" s="621">
        <f t="shared" si="1"/>
        <v>-0.19585737863690431</v>
      </c>
      <c r="H37"/>
      <c r="I37" s="1447">
        <f>PLANT!H17</f>
        <v>2.2974965688543398</v>
      </c>
      <c r="J37" s="1448">
        <f>PLANT!I17</f>
        <v>2.3454835199487998</v>
      </c>
      <c r="K37" s="1448">
        <f>PLANT!J17</f>
        <v>1.8113219027181</v>
      </c>
      <c r="L37" s="1448">
        <f>PLANT!K17</f>
        <v>2.5818764327981998</v>
      </c>
      <c r="M37" s="1448">
        <f>PLANT!L17</f>
        <v>2.3064445677212997</v>
      </c>
      <c r="N37" s="1448">
        <f>PLANT!M17</f>
        <v>0</v>
      </c>
      <c r="O37" s="1448" t="str">
        <f>PLANT!N17</f>
        <v/>
      </c>
      <c r="P37" s="1448" t="str">
        <f>PLANT!O17</f>
        <v/>
      </c>
      <c r="Q37" s="1448" t="str">
        <f>PLANT!P17</f>
        <v/>
      </c>
      <c r="R37" s="1448" t="str">
        <f>PLANT!Q17</f>
        <v/>
      </c>
      <c r="S37" s="1448" t="str">
        <f>PLANT!R17</f>
        <v/>
      </c>
      <c r="T37" s="1448" t="str">
        <f>PLANT!S17</f>
        <v/>
      </c>
      <c r="U37" s="1448" t="str">
        <f>PLANT!T17</f>
        <v/>
      </c>
      <c r="V37" s="1448" t="str">
        <f>PLANT!U17</f>
        <v/>
      </c>
      <c r="W37" s="1448" t="str">
        <f>PLANT!V17</f>
        <v/>
      </c>
      <c r="X37" s="1448" t="str">
        <f>PLANT!W17</f>
        <v/>
      </c>
      <c r="Y37" s="1448" t="str">
        <f>PLANT!X17</f>
        <v/>
      </c>
      <c r="Z37" s="1448" t="str">
        <f>PLANT!Y17</f>
        <v/>
      </c>
      <c r="AA37" s="1448" t="str">
        <f>PLANT!Z17</f>
        <v/>
      </c>
      <c r="AB37" s="1448" t="str">
        <f>PLANT!AA17</f>
        <v/>
      </c>
      <c r="AC37" s="1448" t="str">
        <f>PLANT!AB17</f>
        <v/>
      </c>
      <c r="AD37" s="1448" t="str">
        <f>PLANT!AC17</f>
        <v/>
      </c>
      <c r="AE37" s="1448" t="str">
        <f>PLANT!AD17</f>
        <v/>
      </c>
      <c r="AF37" s="1448" t="str">
        <f>PLANT!AE17</f>
        <v/>
      </c>
      <c r="AG37" s="1448" t="str">
        <f>PLANT!AF17</f>
        <v/>
      </c>
      <c r="AH37" s="1448" t="str">
        <f>PLANT!AG17</f>
        <v/>
      </c>
      <c r="AI37" s="1448" t="str">
        <f>PLANT!AH17</f>
        <v/>
      </c>
      <c r="AJ37" s="1448" t="str">
        <f>PLANT!AI17</f>
        <v/>
      </c>
      <c r="AK37" s="1448" t="str">
        <f>PLANT!AJ17</f>
        <v/>
      </c>
      <c r="AL37" s="1448" t="str">
        <f>PLANT!AK17</f>
        <v/>
      </c>
      <c r="AM37" s="1449" t="str">
        <f>PLANT!AL17</f>
        <v/>
      </c>
    </row>
    <row r="38" spans="2:39" s="1662" customFormat="1" ht="16.350000000000001" customHeight="1">
      <c r="B38" s="2702" t="s">
        <v>35</v>
      </c>
      <c r="C38" s="1071" t="s">
        <v>28</v>
      </c>
      <c r="D38" s="619">
        <f>IFERROR(D39*1000/D33,0)</f>
        <v>0.31384442388876049</v>
      </c>
      <c r="E38" s="620">
        <f>PLANT!D17</f>
        <v>0.26666248575667401</v>
      </c>
      <c r="F38" s="623">
        <f t="shared" si="0"/>
        <v>4.7181938132086487E-2</v>
      </c>
      <c r="G38" s="624">
        <f t="shared" si="1"/>
        <v>0.17693504205589453</v>
      </c>
      <c r="H38"/>
      <c r="I38" s="430">
        <f>PLANT!H13</f>
        <v>0.26983800000000002</v>
      </c>
      <c r="J38" s="431">
        <f>PLANT!I13</f>
        <v>0.29961399999999999</v>
      </c>
      <c r="K38" s="431">
        <f>PLANT!J13</f>
        <v>0.39</v>
      </c>
      <c r="L38" s="431">
        <f>PLANT!K13</f>
        <v>0.34393400000000002</v>
      </c>
      <c r="M38" s="431">
        <f>PLANT!L13</f>
        <v>0.30120799999999998</v>
      </c>
      <c r="N38" s="431">
        <f>PLANT!M13</f>
        <v>0</v>
      </c>
      <c r="O38" s="431" t="str">
        <f>PLANT!N13</f>
        <v/>
      </c>
      <c r="P38" s="431" t="str">
        <f>PLANT!O13</f>
        <v/>
      </c>
      <c r="Q38" s="431" t="str">
        <f>PLANT!P13</f>
        <v/>
      </c>
      <c r="R38" s="431" t="str">
        <f>PLANT!Q13</f>
        <v/>
      </c>
      <c r="S38" s="431" t="str">
        <f>PLANT!R13</f>
        <v/>
      </c>
      <c r="T38" s="431" t="str">
        <f>PLANT!S13</f>
        <v/>
      </c>
      <c r="U38" s="431" t="str">
        <f>PLANT!T13</f>
        <v/>
      </c>
      <c r="V38" s="431" t="str">
        <f>PLANT!U13</f>
        <v/>
      </c>
      <c r="W38" s="431" t="str">
        <f>PLANT!V13</f>
        <v/>
      </c>
      <c r="X38" s="431" t="str">
        <f>PLANT!W13</f>
        <v/>
      </c>
      <c r="Y38" s="431" t="str">
        <f>PLANT!X13</f>
        <v/>
      </c>
      <c r="Z38" s="431" t="str">
        <f>PLANT!Y13</f>
        <v/>
      </c>
      <c r="AA38" s="431" t="str">
        <f>PLANT!Z13</f>
        <v/>
      </c>
      <c r="AB38" s="431" t="str">
        <f>PLANT!AA13</f>
        <v/>
      </c>
      <c r="AC38" s="431" t="str">
        <f>PLANT!AB13</f>
        <v/>
      </c>
      <c r="AD38" s="431" t="str">
        <f>PLANT!AC13</f>
        <v/>
      </c>
      <c r="AE38" s="431" t="str">
        <f>PLANT!AD13</f>
        <v/>
      </c>
      <c r="AF38" s="431" t="str">
        <f>PLANT!AE13</f>
        <v/>
      </c>
      <c r="AG38" s="431" t="str">
        <f>PLANT!AF13</f>
        <v/>
      </c>
      <c r="AH38" s="431" t="str">
        <f>PLANT!AG13</f>
        <v/>
      </c>
      <c r="AI38" s="431" t="str">
        <f>PLANT!AH13</f>
        <v/>
      </c>
      <c r="AJ38" s="431" t="str">
        <f>PLANT!AI13</f>
        <v/>
      </c>
      <c r="AK38" s="431" t="str">
        <f>PLANT!AJ13</f>
        <v/>
      </c>
      <c r="AL38" s="431" t="str">
        <f>PLANT!AK13</f>
        <v/>
      </c>
      <c r="AM38" s="432" t="str">
        <f>PLANT!AL13</f>
        <v/>
      </c>
    </row>
    <row r="39" spans="2:39" s="1662" customFormat="1" ht="16.350000000000001" customHeight="1" thickBot="1">
      <c r="B39" s="2704"/>
      <c r="C39" s="1072" t="s">
        <v>29</v>
      </c>
      <c r="D39" s="1027">
        <f>SUM(I39:AM39)</f>
        <v>1.6460521445606002</v>
      </c>
      <c r="E39" s="972">
        <f>PLANT!E17</f>
        <v>1.7216507668259333</v>
      </c>
      <c r="F39" s="600">
        <f t="shared" si="0"/>
        <v>-7.5598622265333093E-2</v>
      </c>
      <c r="G39" s="977">
        <f t="shared" si="1"/>
        <v>-4.3910544299706082E-2</v>
      </c>
      <c r="H39"/>
      <c r="I39" s="1028">
        <f>PLANT!H19</f>
        <v>0.3357650090466</v>
      </c>
      <c r="J39" s="973">
        <f>PLANT!I19</f>
        <v>0.34254748774400001</v>
      </c>
      <c r="K39" s="973">
        <f>PLANT!J19</f>
        <v>0.25952167800000003</v>
      </c>
      <c r="L39" s="973">
        <f>PLANT!K19</f>
        <v>0.38676306921800008</v>
      </c>
      <c r="M39" s="973">
        <f>PLANT!L19</f>
        <v>0.32145490055199999</v>
      </c>
      <c r="N39" s="973">
        <f>PLANT!M19</f>
        <v>0</v>
      </c>
      <c r="O39" s="973" t="str">
        <f>PLANT!N19</f>
        <v/>
      </c>
      <c r="P39" s="973" t="str">
        <f>PLANT!O19</f>
        <v/>
      </c>
      <c r="Q39" s="973" t="str">
        <f>PLANT!P19</f>
        <v/>
      </c>
      <c r="R39" s="973" t="str">
        <f>PLANT!Q19</f>
        <v/>
      </c>
      <c r="S39" s="973" t="str">
        <f>PLANT!R19</f>
        <v/>
      </c>
      <c r="T39" s="973" t="str">
        <f>PLANT!S19</f>
        <v/>
      </c>
      <c r="U39" s="973" t="str">
        <f>PLANT!T19</f>
        <v/>
      </c>
      <c r="V39" s="973" t="str">
        <f>PLANT!U19</f>
        <v/>
      </c>
      <c r="W39" s="973" t="str">
        <f>PLANT!V19</f>
        <v/>
      </c>
      <c r="X39" s="973" t="str">
        <f>PLANT!W19</f>
        <v/>
      </c>
      <c r="Y39" s="973" t="str">
        <f>PLANT!X19</f>
        <v/>
      </c>
      <c r="Z39" s="973" t="str">
        <f>PLANT!Y19</f>
        <v/>
      </c>
      <c r="AA39" s="973" t="str">
        <f>PLANT!Z19</f>
        <v/>
      </c>
      <c r="AB39" s="973" t="str">
        <f>PLANT!AA19</f>
        <v/>
      </c>
      <c r="AC39" s="973" t="str">
        <f>PLANT!AB19</f>
        <v/>
      </c>
      <c r="AD39" s="973" t="str">
        <f>PLANT!AC19</f>
        <v/>
      </c>
      <c r="AE39" s="973" t="str">
        <f>PLANT!AD19</f>
        <v/>
      </c>
      <c r="AF39" s="973" t="str">
        <f>PLANT!AE19</f>
        <v/>
      </c>
      <c r="AG39" s="973" t="str">
        <f>PLANT!AF19</f>
        <v/>
      </c>
      <c r="AH39" s="973" t="str">
        <f>PLANT!AG19</f>
        <v/>
      </c>
      <c r="AI39" s="973" t="str">
        <f>PLANT!AH19</f>
        <v/>
      </c>
      <c r="AJ39" s="973" t="str">
        <f>PLANT!AI19</f>
        <v/>
      </c>
      <c r="AK39" s="973" t="str">
        <f>PLANT!AJ19</f>
        <v/>
      </c>
      <c r="AL39" s="973" t="str">
        <f>PLANT!AK19</f>
        <v/>
      </c>
      <c r="AM39" s="974" t="str">
        <f>PLANT!AL19</f>
        <v/>
      </c>
    </row>
    <row r="40" spans="2:39">
      <c r="B40" s="288"/>
      <c r="C40" s="289"/>
      <c r="D40" s="290"/>
      <c r="E40" s="290"/>
      <c r="F40" s="290"/>
      <c r="G40" s="290"/>
      <c r="I40" s="291"/>
      <c r="J40" s="291"/>
      <c r="K40" s="291"/>
      <c r="L40" s="291"/>
      <c r="M40" s="291"/>
      <c r="N40" s="291"/>
      <c r="O40" s="291"/>
      <c r="P40" s="291"/>
      <c r="Q40" s="291"/>
      <c r="R40" s="291"/>
      <c r="S40" s="291"/>
      <c r="T40" s="291"/>
      <c r="U40" s="292"/>
      <c r="V40" s="292"/>
      <c r="W40" s="292"/>
      <c r="X40" s="292"/>
      <c r="Y40" s="292"/>
      <c r="Z40" s="292"/>
      <c r="AA40" s="292"/>
      <c r="AB40" s="292"/>
      <c r="AC40" s="292"/>
      <c r="AD40" s="292"/>
      <c r="AE40" s="292"/>
      <c r="AF40" s="292"/>
      <c r="AG40" s="292"/>
      <c r="AH40" s="292"/>
      <c r="AI40" s="292"/>
      <c r="AJ40" s="292"/>
      <c r="AK40" s="292"/>
      <c r="AL40" s="292"/>
      <c r="AM40" s="292"/>
    </row>
    <row r="41" spans="2:39">
      <c r="D41" s="290"/>
      <c r="E41" s="290"/>
      <c r="F41" s="290"/>
      <c r="G41" s="290"/>
      <c r="I41" s="1681"/>
      <c r="J41" s="1681"/>
      <c r="K41" s="1681"/>
      <c r="L41" s="1681"/>
      <c r="M41" s="1681"/>
      <c r="N41" s="1681"/>
      <c r="O41" s="1681"/>
      <c r="P41" s="1681"/>
      <c r="Q41" s="1681"/>
      <c r="R41" s="1681"/>
      <c r="S41" s="1681"/>
      <c r="T41" s="291"/>
    </row>
    <row r="42" spans="2:39">
      <c r="B42" s="1682"/>
      <c r="D42" s="290"/>
      <c r="E42" s="290"/>
      <c r="F42" s="290"/>
      <c r="G42" s="290"/>
      <c r="N42" s="1681"/>
      <c r="O42" s="1681"/>
      <c r="P42" s="1681"/>
      <c r="Q42" s="1681"/>
      <c r="R42" s="1681"/>
      <c r="S42" s="1681"/>
      <c r="T42" s="291"/>
    </row>
    <row r="43" spans="2:39">
      <c r="B43" s="1682"/>
      <c r="D43" s="290"/>
      <c r="E43" s="290"/>
      <c r="F43" s="290"/>
      <c r="G43" s="290"/>
      <c r="I43" s="1683" t="s">
        <v>23</v>
      </c>
      <c r="J43" s="1684" t="s">
        <v>36</v>
      </c>
      <c r="K43" s="1684" t="s">
        <v>37</v>
      </c>
      <c r="L43" s="1684" t="s">
        <v>38</v>
      </c>
      <c r="M43" s="1684" t="s">
        <v>39</v>
      </c>
      <c r="N43" s="1683"/>
      <c r="O43" s="1683"/>
      <c r="P43" s="1683"/>
      <c r="Q43" s="1685"/>
    </row>
    <row r="44" spans="2:39">
      <c r="B44" s="1682"/>
      <c r="D44" s="290"/>
      <c r="E44" s="290"/>
      <c r="F44" s="290"/>
      <c r="G44" s="290"/>
      <c r="I44" s="1686" t="s">
        <v>40</v>
      </c>
      <c r="J44" s="1687" t="str">
        <f>INDEX(I19:AM19,$C$7)</f>
        <v/>
      </c>
      <c r="K44" s="1688" t="str">
        <f>INDEX(D_Drilling!H10:AL10,$C$7)</f>
        <v/>
      </c>
      <c r="L44" s="1689">
        <f>SUMIF($I$15:$AM$15,"&lt;="&amp;$C$7,I19:AM19)</f>
        <v>262.8</v>
      </c>
      <c r="M44" s="1688">
        <f>D_Drilling!C12</f>
        <v>248</v>
      </c>
      <c r="N44" s="1683"/>
      <c r="O44" s="1683"/>
      <c r="P44" s="1683"/>
      <c r="Q44" s="1685"/>
    </row>
    <row r="45" spans="2:39">
      <c r="B45" s="1682"/>
      <c r="D45" s="290"/>
      <c r="E45" s="290"/>
      <c r="F45" s="290"/>
      <c r="G45" s="290"/>
      <c r="I45" s="1686" t="s">
        <v>41</v>
      </c>
      <c r="J45" s="1687">
        <f>INDEX(I20:AM20,$C$7)</f>
        <v>21.099999999999998</v>
      </c>
      <c r="K45" s="1688">
        <f>INDEX(Stoping!H5:AL5,$C$7)</f>
        <v>0</v>
      </c>
      <c r="L45" s="1689">
        <f>SUMIF($I$15:$AM$15,"&lt;="&amp;$C$7,I20:AM20)</f>
        <v>180.29999999999998</v>
      </c>
      <c r="M45" s="1688">
        <f>Development!C12</f>
        <v>184.29999999999995</v>
      </c>
      <c r="N45" s="1683"/>
      <c r="O45" s="1683"/>
      <c r="P45" s="1683"/>
      <c r="Q45" s="1683"/>
      <c r="R45" s="1681"/>
      <c r="S45" s="1681"/>
      <c r="T45" s="291"/>
    </row>
    <row r="46" spans="2:39">
      <c r="D46" s="293"/>
      <c r="E46" s="293"/>
      <c r="F46" s="293"/>
      <c r="G46" s="293"/>
      <c r="H46" s="293"/>
      <c r="I46" s="1690"/>
      <c r="J46" s="1690"/>
      <c r="K46" s="1690"/>
      <c r="L46" s="1690"/>
      <c r="M46" s="1690"/>
      <c r="N46" s="1690"/>
      <c r="O46" s="1690"/>
      <c r="P46" s="1690"/>
      <c r="Q46" s="1690"/>
      <c r="R46" s="1691"/>
      <c r="S46" s="292"/>
      <c r="T46" s="292"/>
    </row>
    <row r="47" spans="2:39">
      <c r="D47" s="645"/>
      <c r="E47" s="645"/>
      <c r="F47" s="645"/>
      <c r="G47" s="645"/>
      <c r="H47" s="645"/>
      <c r="I47" s="1692"/>
      <c r="J47" s="2680" t="s">
        <v>42</v>
      </c>
      <c r="K47" s="2680"/>
      <c r="L47" s="2680" t="s">
        <v>43</v>
      </c>
      <c r="M47" s="2680"/>
      <c r="N47" s="2680" t="s">
        <v>44</v>
      </c>
      <c r="O47" s="2680"/>
      <c r="P47" s="2680" t="s">
        <v>42</v>
      </c>
      <c r="Q47" s="2680"/>
      <c r="R47" s="2680" t="s">
        <v>43</v>
      </c>
      <c r="S47" s="2680"/>
      <c r="T47" s="2680" t="s">
        <v>44</v>
      </c>
      <c r="U47" s="2680"/>
    </row>
    <row r="48" spans="2:39">
      <c r="I48" s="1692" t="s">
        <v>45</v>
      </c>
      <c r="J48" s="1684" t="s">
        <v>36</v>
      </c>
      <c r="K48" s="1684" t="s">
        <v>37</v>
      </c>
      <c r="L48" s="1684" t="s">
        <v>36</v>
      </c>
      <c r="M48" s="1684" t="s">
        <v>37</v>
      </c>
      <c r="N48" s="1684" t="s">
        <v>36</v>
      </c>
      <c r="O48" s="1684" t="s">
        <v>37</v>
      </c>
      <c r="P48" s="1684" t="s">
        <v>38</v>
      </c>
      <c r="Q48" s="1684" t="s">
        <v>39</v>
      </c>
      <c r="R48" s="1684" t="s">
        <v>38</v>
      </c>
      <c r="S48" s="1684" t="s">
        <v>39</v>
      </c>
      <c r="T48" s="1684" t="s">
        <v>38</v>
      </c>
      <c r="U48" s="1684" t="s">
        <v>39</v>
      </c>
    </row>
    <row r="49" spans="9:21">
      <c r="I49" s="1686" t="s">
        <v>46</v>
      </c>
      <c r="J49" s="1693">
        <f>INDEX(I21:AM21,$C$7)</f>
        <v>987</v>
      </c>
      <c r="K49" s="1694">
        <f>INDEX(Stoping!H10:AL10,$C$7)</f>
        <v>910</v>
      </c>
      <c r="L49" s="1690">
        <f>INDEX(I22:AM22,$C$7)</f>
        <v>2.8142451874366765</v>
      </c>
      <c r="M49" s="1690">
        <f>INDEX(Stoping!H12:AL12,$C$7)</f>
        <v>2.2563803019410491</v>
      </c>
      <c r="N49" s="1688">
        <f t="shared" ref="N49:O55" si="2">IFERROR(J49*L49/1000,0)</f>
        <v>2.77766</v>
      </c>
      <c r="O49" s="1688">
        <f t="shared" si="2"/>
        <v>2.053306074766355</v>
      </c>
      <c r="P49" s="1695">
        <f>SUMIF(I15:AM15,"&lt;="&amp;$C$7,I21:AM21)</f>
        <v>5713</v>
      </c>
      <c r="Q49" s="1694">
        <f>Stoping!C10</f>
        <v>5460</v>
      </c>
      <c r="R49" s="1690">
        <f>D22</f>
        <v>2.92396464204446</v>
      </c>
      <c r="S49" s="1690">
        <f>Stoping!C11</f>
        <v>2.2563803019410491</v>
      </c>
      <c r="T49" s="1688">
        <f t="shared" ref="T49:U55" si="3">IFERROR(P49*R49/1000,0)</f>
        <v>16.704609999999999</v>
      </c>
      <c r="U49" s="1688">
        <f t="shared" si="3"/>
        <v>12.319836448598128</v>
      </c>
    </row>
    <row r="50" spans="9:21">
      <c r="I50" s="1686" t="s">
        <v>47</v>
      </c>
      <c r="J50" s="1693">
        <f>INDEX(I24:AM24,$C$7)</f>
        <v>458</v>
      </c>
      <c r="K50" s="1694">
        <f>INDEX(Tramming!H10:AL10,$C$7)</f>
        <v>910</v>
      </c>
      <c r="L50" s="1690">
        <f>INDEX(I25:AM25,$C$7)</f>
        <v>0</v>
      </c>
      <c r="M50" s="1690">
        <f>INDEX(Tramming!H12:AL12,$C$7)</f>
        <v>2.2563803019410491</v>
      </c>
      <c r="N50" s="1688">
        <f t="shared" si="2"/>
        <v>0</v>
      </c>
      <c r="O50" s="1688">
        <f t="shared" si="2"/>
        <v>2.053306074766355</v>
      </c>
      <c r="P50" s="1695">
        <f>SUMIF(I15:AM15,"&lt;="&amp;$C$7,I24:AM24)</f>
        <v>4925</v>
      </c>
      <c r="Q50" s="1694">
        <f>Tramming!C10</f>
        <v>5460</v>
      </c>
      <c r="R50" s="1690">
        <f>D25</f>
        <v>2.6411837563451774</v>
      </c>
      <c r="S50" s="1690">
        <f>Tramming!C11</f>
        <v>2.1988377665947754</v>
      </c>
      <c r="T50" s="1688">
        <f t="shared" si="3"/>
        <v>13.007829999999998</v>
      </c>
      <c r="U50" s="1688">
        <f t="shared" si="3"/>
        <v>12.005654205607474</v>
      </c>
    </row>
    <row r="51" spans="9:21">
      <c r="I51" s="1686" t="s">
        <v>48</v>
      </c>
      <c r="J51" s="1693">
        <f>INDEX(I27:AM27,$C$7)</f>
        <v>966</v>
      </c>
      <c r="K51" s="1694">
        <f>INDEX(Hoisting!H10:AL10,$C$7)</f>
        <v>850</v>
      </c>
      <c r="L51" s="1690">
        <f>INDEX(I28:AM28,$C$7)</f>
        <v>0</v>
      </c>
      <c r="M51" s="1690">
        <f>INDEX(Hoisting!H12:AL12,$C$7)</f>
        <v>2.2398948598130839</v>
      </c>
      <c r="N51" s="1688">
        <f t="shared" si="2"/>
        <v>0</v>
      </c>
      <c r="O51" s="1688">
        <f t="shared" si="2"/>
        <v>1.9039106308411213</v>
      </c>
      <c r="P51" s="1695">
        <f>SUMIF(I15:AM15,"&lt;="&amp;$C$7,I27:AM27)</f>
        <v>5350</v>
      </c>
      <c r="Q51" s="1694">
        <f>Hoisting!C10</f>
        <v>4990</v>
      </c>
      <c r="R51" s="1690">
        <f>D28</f>
        <v>1.7739252336448599</v>
      </c>
      <c r="S51" s="1690">
        <f>Hoisting!C11</f>
        <v>2.234383193958009</v>
      </c>
      <c r="T51" s="1688">
        <f t="shared" si="3"/>
        <v>9.4905000000000008</v>
      </c>
      <c r="U51" s="1688">
        <f t="shared" si="3"/>
        <v>11.149572137850464</v>
      </c>
    </row>
    <row r="52" spans="9:21">
      <c r="I52" s="1686" t="s">
        <v>49</v>
      </c>
      <c r="J52" s="1693">
        <f>INDEX(I30:AM30,$C$7)</f>
        <v>0</v>
      </c>
      <c r="K52" s="1694">
        <f>INDEX(PLANT!H5:AL5,$C$7)</f>
        <v>1173.8711999999996</v>
      </c>
      <c r="L52" s="1690">
        <f>INDEX(I31:AM31,$C$7)</f>
        <v>0</v>
      </c>
      <c r="M52" s="1690">
        <f>INDEX(PLANT!H8:AL8,$C$7)</f>
        <v>2.2355007055332963</v>
      </c>
      <c r="N52" s="1688">
        <f t="shared" si="2"/>
        <v>0</v>
      </c>
      <c r="O52" s="1688">
        <f t="shared" si="2"/>
        <v>2.6241898958052161</v>
      </c>
      <c r="P52" s="1695">
        <f>SUMIF(I15:AM15,"&lt;="&amp;$C$7,I30:AM30)</f>
        <v>4285.2205000000004</v>
      </c>
      <c r="Q52" s="1694">
        <f>PLANT!C10</f>
        <v>6456.2915999999977</v>
      </c>
      <c r="R52" s="1690">
        <f>D31</f>
        <v>2.0178731199269673</v>
      </c>
      <c r="S52" s="1690">
        <f>PLANT!D10</f>
        <v>2.1847275168228704</v>
      </c>
      <c r="T52" s="1688">
        <f t="shared" si="3"/>
        <v>8.6470312599099994</v>
      </c>
      <c r="U52" s="1688">
        <f t="shared" si="3"/>
        <v>14.105237915152351</v>
      </c>
    </row>
    <row r="53" spans="9:21">
      <c r="I53" s="1686" t="s">
        <v>50</v>
      </c>
      <c r="J53" s="1693">
        <f>INDEX(I33:AM33,$C$7)</f>
        <v>0</v>
      </c>
      <c r="K53" s="1694">
        <f>INDEX(PLANT!H5:AL5,$C$7)</f>
        <v>1173.8711999999996</v>
      </c>
      <c r="L53" s="1690">
        <f>INDEX(I34:AM34,$C$7)</f>
        <v>0</v>
      </c>
      <c r="M53" s="1690">
        <f>INDEX(PLANT!H8:AL8,$C$7)</f>
        <v>2.2355007055332963</v>
      </c>
      <c r="N53" s="1688">
        <f t="shared" si="2"/>
        <v>0</v>
      </c>
      <c r="O53" s="1688">
        <f t="shared" si="2"/>
        <v>2.6241898958052161</v>
      </c>
      <c r="P53" s="1695">
        <f>SUMIF(I15:AM15,"&lt;="&amp;$C$7,I33:AM33)</f>
        <v>5244.8028999999997</v>
      </c>
      <c r="Q53" s="1694">
        <f>PLANT!C10</f>
        <v>6456.2915999999977</v>
      </c>
      <c r="R53" s="1690">
        <f>D34</f>
        <v>1.8025186086535305</v>
      </c>
      <c r="S53" s="1690">
        <f>PLANT!D10</f>
        <v>2.1847275168228704</v>
      </c>
      <c r="T53" s="1688">
        <f t="shared" si="3"/>
        <v>9.4538548259700015</v>
      </c>
      <c r="U53" s="1688">
        <f t="shared" si="3"/>
        <v>14.105237915152351</v>
      </c>
    </row>
    <row r="54" spans="9:21">
      <c r="I54" s="1686" t="s">
        <v>51</v>
      </c>
      <c r="J54" s="1693">
        <f>INDEX(I33:AM33,$C$7)</f>
        <v>0</v>
      </c>
      <c r="K54" s="1694">
        <f>INDEX(PLANT!H5:AL5,$C$7)</f>
        <v>1173.8711999999996</v>
      </c>
      <c r="L54" s="1690">
        <f>INDEX(I36:AM36,$C$7)</f>
        <v>0</v>
      </c>
      <c r="M54" s="1690">
        <f>INDEX(PLANT!H8:AL8,$C$7)</f>
        <v>2.2355007055332963</v>
      </c>
      <c r="N54" s="1688">
        <f t="shared" si="2"/>
        <v>0</v>
      </c>
      <c r="O54" s="1688">
        <f t="shared" si="2"/>
        <v>2.6241898958052161</v>
      </c>
      <c r="P54" s="1695">
        <f>SUMIF(I15:AM15,"&lt;="&amp;$C$7,I33:AM33)</f>
        <v>5244.8028999999997</v>
      </c>
      <c r="Q54" s="1694">
        <f>PLANT!C10</f>
        <v>6456.2915999999977</v>
      </c>
      <c r="R54" s="1690">
        <f>D36</f>
        <v>2.1626404668211157</v>
      </c>
      <c r="S54" s="1690">
        <f>PLANT!D10</f>
        <v>2.1847275168228704</v>
      </c>
      <c r="T54" s="1688">
        <f t="shared" si="3"/>
        <v>11.34262299204074</v>
      </c>
      <c r="U54" s="1688">
        <f t="shared" si="3"/>
        <v>14.105237915152351</v>
      </c>
    </row>
    <row r="55" spans="9:21">
      <c r="I55" s="1686" t="s">
        <v>35</v>
      </c>
      <c r="J55" s="1693">
        <f>INDEX(I33:AM33,$C$7)</f>
        <v>0</v>
      </c>
      <c r="K55" s="1694">
        <f>INDEX(PLANT!H5:AL5,$C$7)</f>
        <v>1173.8711999999996</v>
      </c>
      <c r="L55" s="1690">
        <f>INDEX(I38:AM38,$C$7)</f>
        <v>0</v>
      </c>
      <c r="M55" s="1690">
        <f>INDEX(PLANT!H12:AL12,$C$7)</f>
        <v>0.26392321329526081</v>
      </c>
      <c r="N55" s="1688">
        <f t="shared" si="2"/>
        <v>0</v>
      </c>
      <c r="O55" s="1688">
        <f t="shared" si="2"/>
        <v>0.30981185909876363</v>
      </c>
      <c r="P55" s="1695">
        <f>SUMIF(I15:AM15,"&lt;="&amp;$C$7,I33:AM33)</f>
        <v>5244.8028999999997</v>
      </c>
      <c r="Q55" s="1694">
        <f>PLANT!C10</f>
        <v>6456.2915999999977</v>
      </c>
      <c r="R55" s="1690">
        <f>D38</f>
        <v>0.31384442388876049</v>
      </c>
      <c r="S55" s="1690">
        <f>PLANT!D17</f>
        <v>0.26666248575667401</v>
      </c>
      <c r="T55" s="1688">
        <f t="shared" si="3"/>
        <v>1.6460521445606002</v>
      </c>
      <c r="U55" s="1688">
        <f t="shared" si="3"/>
        <v>1.7216507668259335</v>
      </c>
    </row>
  </sheetData>
  <sheetProtection algorithmName="SHA-512" hashValue="FiWizZABUqDg2pitaecnM+xxp7A4t6weR6VUvhMmXY6/8T26d+ry5cZMLxtrJJ1O+VDJGZ0ZeZlF5XbwmKqvtw==" saltValue="thzw7w5lEGX9lmJeXlkctg==" spinCount="100000" sheet="1" objects="1" scenarios="1"/>
  <mergeCells count="25">
    <mergeCell ref="E9:F9"/>
    <mergeCell ref="E10:F10"/>
    <mergeCell ref="E11:F11"/>
    <mergeCell ref="B9:C9"/>
    <mergeCell ref="R47:S47"/>
    <mergeCell ref="B33:B35"/>
    <mergeCell ref="B16:C16"/>
    <mergeCell ref="B21:B23"/>
    <mergeCell ref="B24:B26"/>
    <mergeCell ref="B27:B29"/>
    <mergeCell ref="B30:B32"/>
    <mergeCell ref="B36:B37"/>
    <mergeCell ref="B38:B39"/>
    <mergeCell ref="J47:K47"/>
    <mergeCell ref="L47:M47"/>
    <mergeCell ref="P47:Q47"/>
    <mergeCell ref="T47:U47"/>
    <mergeCell ref="N47:O47"/>
    <mergeCell ref="B10:C10"/>
    <mergeCell ref="B11:C11"/>
    <mergeCell ref="B12:C12"/>
    <mergeCell ref="B13:C13"/>
    <mergeCell ref="B19:B20"/>
    <mergeCell ref="D15:G15"/>
    <mergeCell ref="B17:B18"/>
  </mergeCells>
  <conditionalFormatting sqref="D25">
    <cfRule type="cellIs" dxfId="1348" priority="192" operator="greaterThanOrEqual">
      <formula>0.6</formula>
    </cfRule>
    <cfRule type="cellIs" dxfId="1345" priority="191" operator="between">
      <formula>1.6</formula>
      <formula>2</formula>
    </cfRule>
    <cfRule type="cellIs" dxfId="1344" priority="190" operator="greaterThanOrEqual">
      <formula>2</formula>
    </cfRule>
  </conditionalFormatting>
  <conditionalFormatting sqref="D28">
    <cfRule type="cellIs" dxfId="1339" priority="139" operator="between">
      <formula>1.6</formula>
      <formula>2</formula>
    </cfRule>
    <cfRule type="cellIs" dxfId="1338" priority="140" operator="greaterThanOrEqual">
      <formula>0.6</formula>
    </cfRule>
    <cfRule type="cellIs" dxfId="1335" priority="138" operator="greaterThanOrEqual">
      <formula>2</formula>
    </cfRule>
  </conditionalFormatting>
  <conditionalFormatting sqref="D31">
    <cfRule type="cellIs" dxfId="1329" priority="132" operator="greaterThanOrEqual">
      <formula>2</formula>
    </cfRule>
    <cfRule type="cellIs" dxfId="1328" priority="133" operator="between">
      <formula>1.6</formula>
      <formula>2</formula>
    </cfRule>
    <cfRule type="cellIs" dxfId="1327" priority="134" operator="greaterThanOrEqual">
      <formula>0.6</formula>
    </cfRule>
  </conditionalFormatting>
  <conditionalFormatting sqref="D34">
    <cfRule type="cellIs" dxfId="1321" priority="175" operator="greaterThanOrEqual">
      <formula>0.6</formula>
    </cfRule>
    <cfRule type="cellIs" dxfId="1320" priority="174" operator="between">
      <formula>1.6</formula>
      <formula>2</formula>
    </cfRule>
    <cfRule type="cellIs" dxfId="1319" priority="173" operator="greaterThanOrEqual">
      <formula>2</formula>
    </cfRule>
  </conditionalFormatting>
  <conditionalFormatting sqref="D36">
    <cfRule type="cellIs" dxfId="1312" priority="168" operator="greaterThanOrEqual">
      <formula>2</formula>
    </cfRule>
    <cfRule type="cellIs" dxfId="1311" priority="169" operator="between">
      <formula>1.6</formula>
      <formula>2</formula>
    </cfRule>
    <cfRule type="cellIs" dxfId="1310" priority="170" operator="greaterThanOrEqual">
      <formula>0.6</formula>
    </cfRule>
  </conditionalFormatting>
  <conditionalFormatting sqref="D38 I38:AM38">
    <cfRule type="cellIs" dxfId="1307" priority="2128" operator="greaterThanOrEqual">
      <formula>2</formula>
    </cfRule>
    <cfRule type="cellIs" dxfId="1306" priority="2129" operator="between">
      <formula>1.6</formula>
      <formula>2</formula>
    </cfRule>
    <cfRule type="cellIs" dxfId="1305" priority="2130" operator="greaterThanOrEqual">
      <formula>0.6</formula>
    </cfRule>
  </conditionalFormatting>
  <conditionalFormatting sqref="D40:G45">
    <cfRule type="cellIs" dxfId="1300" priority="350" operator="greaterThan">
      <formula>1.5</formula>
    </cfRule>
    <cfRule type="cellIs" dxfId="1299" priority="349" operator="greaterThanOrEqual">
      <formula>2</formula>
    </cfRule>
  </conditionalFormatting>
  <conditionalFormatting sqref="F17:G37">
    <cfRule type="cellIs" dxfId="1298" priority="61" operator="greaterThan">
      <formula>0</formula>
    </cfRule>
    <cfRule type="cellIs" dxfId="1297" priority="60" operator="lessThan">
      <formula>0</formula>
    </cfRule>
  </conditionalFormatting>
  <conditionalFormatting sqref="F38:G39">
    <cfRule type="cellIs" dxfId="1296" priority="80" operator="greaterThan">
      <formula>0</formula>
    </cfRule>
    <cfRule type="cellIs" dxfId="1295" priority="79" operator="lessThan">
      <formula>0</formula>
    </cfRule>
  </conditionalFormatting>
  <conditionalFormatting sqref="I40:T41 N42:T42 R45:T45">
    <cfRule type="cellIs" dxfId="1294" priority="459" operator="greaterThan">
      <formula>700</formula>
    </cfRule>
    <cfRule type="cellIs" dxfId="1293" priority="458" operator="greaterThan">
      <formula>1000</formula>
    </cfRule>
  </conditionalFormatting>
  <conditionalFormatting sqref="I17:AM17">
    <cfRule type="expression" priority="5406" stopIfTrue="1">
      <formula>I$15&gt;$C$7</formula>
    </cfRule>
  </conditionalFormatting>
  <conditionalFormatting sqref="I18:AM18">
    <cfRule type="expression" dxfId="1290" priority="58" stopIfTrue="1">
      <formula>I$15&gt;$C$7</formula>
    </cfRule>
  </conditionalFormatting>
  <conditionalFormatting sqref="I19:AM21">
    <cfRule type="expression" priority="53" stopIfTrue="1">
      <formula>I$15&gt;$C$7</formula>
    </cfRule>
  </conditionalFormatting>
  <conditionalFormatting sqref="I22:AM22">
    <cfRule type="cellIs" dxfId="1281" priority="197" operator="between">
      <formula>1.6</formula>
      <formula>2</formula>
    </cfRule>
    <cfRule type="cellIs" dxfId="1280" priority="198" operator="greaterThanOrEqual">
      <formula>0.6</formula>
    </cfRule>
    <cfRule type="cellIs" dxfId="1277" priority="196" operator="greaterThanOrEqual">
      <formula>2</formula>
    </cfRule>
    <cfRule type="expression" priority="52">
      <formula>I$15&gt;$C$7</formula>
    </cfRule>
  </conditionalFormatting>
  <conditionalFormatting sqref="I23:AM23">
    <cfRule type="expression" dxfId="1276" priority="2111" stopIfTrue="1">
      <formula>I$15&gt;$C$7</formula>
    </cfRule>
  </conditionalFormatting>
  <conditionalFormatting sqref="I24:AM24">
    <cfRule type="expression" priority="49" stopIfTrue="1">
      <formula>I$15&gt;$C$7</formula>
    </cfRule>
  </conditionalFormatting>
  <conditionalFormatting sqref="I25:AM25">
    <cfRule type="expression" priority="36">
      <formula>I$15&gt;$C$7</formula>
    </cfRule>
    <cfRule type="cellIs" dxfId="1271" priority="40" operator="between">
      <formula>1.6</formula>
      <formula>2</formula>
    </cfRule>
    <cfRule type="cellIs" dxfId="1270" priority="41" operator="greaterThanOrEqual">
      <formula>0.6</formula>
    </cfRule>
    <cfRule type="cellIs" dxfId="1269" priority="39" operator="greaterThanOrEqual">
      <formula>2</formula>
    </cfRule>
  </conditionalFormatting>
  <conditionalFormatting sqref="I26:AM26">
    <cfRule type="expression" dxfId="1266" priority="2115" stopIfTrue="1">
      <formula>I$15&gt;$C$7</formula>
    </cfRule>
  </conditionalFormatting>
  <conditionalFormatting sqref="I27:AM27">
    <cfRule type="expression" priority="46" stopIfTrue="1">
      <formula>I$15&gt;$C$7</formula>
    </cfRule>
  </conditionalFormatting>
  <conditionalFormatting sqref="I28:AM28">
    <cfRule type="cellIs" dxfId="1261" priority="33" operator="greaterThanOrEqual">
      <formula>2</formula>
    </cfRule>
    <cfRule type="expression" priority="30">
      <formula>I$15&gt;$C$7</formula>
    </cfRule>
    <cfRule type="cellIs" dxfId="1258" priority="35" operator="greaterThanOrEqual">
      <formula>0.6</formula>
    </cfRule>
    <cfRule type="cellIs" dxfId="1257" priority="34" operator="between">
      <formula>1.6</formula>
      <formula>2</formula>
    </cfRule>
  </conditionalFormatting>
  <conditionalFormatting sqref="I29:AM29">
    <cfRule type="expression" dxfId="1256" priority="2119" stopIfTrue="1">
      <formula>I$15&gt;$C$7</formula>
    </cfRule>
  </conditionalFormatting>
  <conditionalFormatting sqref="I30:AM30 I33:AM33">
    <cfRule type="expression" priority="45" stopIfTrue="1">
      <formula>I$15&gt;$C$7</formula>
    </cfRule>
  </conditionalFormatting>
  <conditionalFormatting sqref="I31:AM31 I34:AM34 I36:AM36">
    <cfRule type="cellIs" dxfId="1251" priority="24" operator="greaterThanOrEqual">
      <formula>2</formula>
    </cfRule>
    <cfRule type="cellIs" dxfId="1250" priority="26" operator="greaterThanOrEqual">
      <formula>0.6</formula>
    </cfRule>
    <cfRule type="cellIs" dxfId="1249" priority="25" operator="between">
      <formula>1.6</formula>
      <formula>2</formula>
    </cfRule>
    <cfRule type="expression" priority="21">
      <formula>I$15&gt;$C$7</formula>
    </cfRule>
  </conditionalFormatting>
  <conditionalFormatting sqref="I32:AM32 I35:AM35 I37:AM37">
    <cfRule type="expression" dxfId="1245" priority="251" stopIfTrue="1">
      <formula>I$15&gt;$C$7</formula>
    </cfRule>
  </conditionalFormatting>
  <conditionalFormatting sqref="I38:AM38">
    <cfRule type="expression" dxfId="1242" priority="144">
      <formula>I$15&gt;$C$7</formula>
    </cfRule>
  </conditionalFormatting>
  <conditionalFormatting sqref="I39:AM39">
    <cfRule type="expression" dxfId="1238" priority="2131" stopIfTrue="1">
      <formula>I$15&gt;$C$7</formula>
    </cfRule>
  </conditionalFormatting>
  <conditionalFormatting sqref="T14 T57:T1048576">
    <cfRule type="cellIs" dxfId="1237" priority="534" operator="greaterThan">
      <formula>2.22</formula>
    </cfRule>
  </conditionalFormatting>
  <conditionalFormatting sqref="U40:AM40 D46:H46 R46:T46">
    <cfRule type="cellIs" dxfId="1236" priority="375" operator="greaterThan">
      <formula>1.5</formula>
    </cfRule>
    <cfRule type="cellIs" dxfId="1235" priority="374" operator="greaterThanOrEqual">
      <formula>2</formula>
    </cfRule>
  </conditionalFormatting>
  <pageMargins left="0.25" right="0.25" top="0.75" bottom="0.75" header="0.3" footer="0.3"/>
  <pageSetup scale="68" fitToHeight="0" orientation="landscape" r:id="rId1"/>
  <ignoredErrors>
    <ignoredError sqref="D25 D28 D31 D22 D34 D36 D38 G18" formula="1"/>
  </ignoredErrors>
  <drawing r:id="rId2"/>
  <extLst>
    <ext xmlns:x14="http://schemas.microsoft.com/office/spreadsheetml/2009/9/main" uri="{78C0D931-6437-407d-A8EE-F0AAD7539E65}">
      <x14:conditionalFormattings>
        <x14:conditionalFormatting xmlns:xm="http://schemas.microsoft.com/office/excel/2006/main">
          <x14:cfRule type="cellIs" priority="5405" operator="greaterThanOrEqual" id="{2786ED02-D804-4398-8385-97D1EE00B425}">
            <xm:f>Projects!$F$24</xm:f>
            <x14:dxf>
              <fill>
                <patternFill>
                  <bgColor rgb="FFC6EFCE"/>
                </patternFill>
              </fill>
            </x14:dxf>
          </x14:cfRule>
          <x14:cfRule type="cellIs" priority="5404" operator="lessThan" id="{F029A2A9-9E52-49D8-94B5-61AA48A43606}">
            <xm:f>Projects!$F$24</xm:f>
            <x14:dxf>
              <fill>
                <patternFill>
                  <bgColor rgb="FFFFC7CE"/>
                </patternFill>
              </fill>
            </x14:dxf>
          </x14:cfRule>
          <xm:sqref>D17</xm:sqref>
        </x14:conditionalFormatting>
        <x14:conditionalFormatting xmlns:xm="http://schemas.microsoft.com/office/excel/2006/main">
          <x14:cfRule type="cellIs" priority="4597" operator="greaterThanOrEqual" id="{5755F06F-AB1A-4ACB-B1C2-632D77BFC78A}">
            <xm:f>Projects!$F$18</xm:f>
            <x14:dxf>
              <fill>
                <patternFill>
                  <bgColor rgb="FFC6EFCE"/>
                </patternFill>
              </fill>
            </x14:dxf>
          </x14:cfRule>
          <x14:cfRule type="cellIs" priority="4596" operator="lessThan" id="{BA987205-DA04-4F73-A145-44E8C458956D}">
            <xm:f>Projects!$F$18</xm:f>
            <x14:dxf>
              <fill>
                <patternFill>
                  <bgColor rgb="FFFFC7CE"/>
                </patternFill>
              </fill>
            </x14:dxf>
          </x14:cfRule>
          <xm:sqref>D18</xm:sqref>
        </x14:conditionalFormatting>
        <x14:conditionalFormatting xmlns:xm="http://schemas.microsoft.com/office/excel/2006/main">
          <x14:cfRule type="cellIs" priority="5" operator="lessThan" id="{C27ADFE8-5EB5-4430-B72A-125F64803767}">
            <xm:f>D_Drilling!$C$12</xm:f>
            <x14:dxf>
              <fill>
                <patternFill>
                  <bgColor rgb="FFFFC7CE"/>
                </patternFill>
              </fill>
            </x14:dxf>
          </x14:cfRule>
          <x14:cfRule type="cellIs" priority="6" operator="greaterThanOrEqual" id="{904B5FB3-139D-4149-909D-C6DFAAF7463E}">
            <xm:f>D_Drilling!$C$12</xm:f>
            <x14:dxf>
              <fill>
                <patternFill>
                  <bgColor rgb="FFC6EFCE"/>
                </patternFill>
              </fill>
            </x14:dxf>
          </x14:cfRule>
          <xm:sqref>D19</xm:sqref>
        </x14:conditionalFormatting>
        <x14:conditionalFormatting xmlns:xm="http://schemas.microsoft.com/office/excel/2006/main">
          <x14:cfRule type="cellIs" priority="4403" operator="greaterThanOrEqual" id="{80DA6B23-2BC8-4627-9F37-B83989BB2DA8}">
            <xm:f>Development!$C$12</xm:f>
            <x14:dxf>
              <fill>
                <patternFill>
                  <bgColor rgb="FFC6EFCE"/>
                </patternFill>
              </fill>
            </x14:dxf>
          </x14:cfRule>
          <x14:cfRule type="cellIs" priority="4402" operator="lessThan" id="{5C7E8122-62B3-4AE5-8AA2-A1A6A59D040A}">
            <xm:f>Development!$C$12</xm:f>
            <x14:dxf>
              <fill>
                <patternFill>
                  <bgColor rgb="FFFFC7CE"/>
                </patternFill>
              </fill>
            </x14:dxf>
          </x14:cfRule>
          <xm:sqref>D20</xm:sqref>
        </x14:conditionalFormatting>
        <x14:conditionalFormatting xmlns:xm="http://schemas.microsoft.com/office/excel/2006/main">
          <x14:cfRule type="cellIs" priority="2" operator="greaterThanOrEqual" id="{672714A4-94D3-4792-8D42-42D409FB74F5}">
            <xm:f>Stoping!$C$10</xm:f>
            <x14:dxf>
              <fill>
                <patternFill>
                  <bgColor rgb="FFC6EFCE"/>
                </patternFill>
              </fill>
            </x14:dxf>
          </x14:cfRule>
          <x14:cfRule type="cellIs" priority="1" operator="lessThan" id="{8B1BFF6C-DE89-4D0C-A71C-F7F5A00FBAC3}">
            <xm:f>Stoping!$C$10</xm:f>
            <x14:dxf>
              <fill>
                <patternFill>
                  <bgColor rgb="FFFFC7CE"/>
                </patternFill>
              </fill>
            </x14:dxf>
          </x14:cfRule>
          <xm:sqref>D21</xm:sqref>
        </x14:conditionalFormatting>
        <x14:conditionalFormatting xmlns:xm="http://schemas.microsoft.com/office/excel/2006/main">
          <x14:cfRule type="cellIs" priority="319" operator="greaterThanOrEqual" id="{C5102028-18A8-4974-928D-BCCECA13FD60}">
            <xm:f>Stoping!$C$11</xm:f>
            <x14:dxf>
              <fill>
                <patternFill>
                  <bgColor rgb="FFC6EFCE"/>
                </patternFill>
              </fill>
            </x14:dxf>
          </x14:cfRule>
          <x14:cfRule type="cellIs" priority="318" operator="lessThan" id="{A50B0BF5-FEC4-4FDC-B38C-95B972363CCE}">
            <xm:f>Stoping!$C$11</xm:f>
            <x14:dxf>
              <fill>
                <patternFill>
                  <bgColor rgb="FFFFC7CE"/>
                </patternFill>
              </fill>
            </x14:dxf>
          </x14:cfRule>
          <xm:sqref>D22</xm:sqref>
        </x14:conditionalFormatting>
        <x14:conditionalFormatting xmlns:xm="http://schemas.microsoft.com/office/excel/2006/main">
          <x14:cfRule type="cellIs" priority="315" operator="greaterThanOrEqual" id="{C4205556-B47C-46D3-80DF-A225574D2054}">
            <xm:f>Stoping!$C$12</xm:f>
            <x14:dxf>
              <fill>
                <patternFill>
                  <bgColor rgb="FFC6EFCE"/>
                </patternFill>
              </fill>
            </x14:dxf>
          </x14:cfRule>
          <x14:cfRule type="cellIs" priority="314" operator="lessThan" id="{799BE0F2-F693-4DE7-8197-277AC3C8F394}">
            <xm:f>Stoping!$C$12</xm:f>
            <x14:dxf>
              <fill>
                <patternFill>
                  <bgColor rgb="FFFFC7CE"/>
                </patternFill>
              </fill>
            </x14:dxf>
          </x14:cfRule>
          <xm:sqref>D23</xm:sqref>
        </x14:conditionalFormatting>
        <x14:conditionalFormatting xmlns:xm="http://schemas.microsoft.com/office/excel/2006/main">
          <x14:cfRule type="cellIs" priority="308" operator="greaterThanOrEqual" id="{742527A8-2E7C-43BF-A848-AD8554C9AB25}">
            <xm:f>Tramming!$C$10</xm:f>
            <x14:dxf>
              <fill>
                <patternFill>
                  <bgColor rgb="FFC6EFCE"/>
                </patternFill>
              </fill>
            </x14:dxf>
          </x14:cfRule>
          <x14:cfRule type="cellIs" priority="307" operator="lessThan" id="{8564C80A-F0A5-432A-B1AA-03D6667E8260}">
            <xm:f>Tramming!$C$10</xm:f>
            <x14:dxf>
              <fill>
                <patternFill>
                  <bgColor rgb="FFFFC7CE"/>
                </patternFill>
              </fill>
            </x14:dxf>
          </x14:cfRule>
          <xm:sqref>D24</xm:sqref>
        </x14:conditionalFormatting>
        <x14:conditionalFormatting xmlns:xm="http://schemas.microsoft.com/office/excel/2006/main">
          <x14:cfRule type="cellIs" priority="2137" operator="greaterThanOrEqual" id="{742527A8-2E7C-43BF-A848-AD8554C9AB25}">
            <xm:f>Tramming!$C$11</xm:f>
            <x14:dxf>
              <fill>
                <patternFill>
                  <bgColor rgb="FFC6EFCE"/>
                </patternFill>
              </fill>
            </x14:dxf>
          </x14:cfRule>
          <x14:cfRule type="cellIs" priority="2136" operator="lessThan" id="{8564C80A-F0A5-432A-B1AA-03D6667E8260}">
            <xm:f>Tramming!$C$11</xm:f>
            <x14:dxf>
              <fill>
                <patternFill>
                  <bgColor rgb="FFFFC7CE"/>
                </patternFill>
              </fill>
            </x14:dxf>
          </x14:cfRule>
          <xm:sqref>D25</xm:sqref>
        </x14:conditionalFormatting>
        <x14:conditionalFormatting xmlns:xm="http://schemas.microsoft.com/office/excel/2006/main">
          <x14:cfRule type="cellIs" priority="2139" stopIfTrue="1" operator="greaterThanOrEqual" id="{D136611C-0E1C-49C3-BA5A-D2825017729B}">
            <xm:f>Tramming!$C$12</xm:f>
            <x14:dxf>
              <font>
                <color auto="1"/>
              </font>
              <fill>
                <patternFill>
                  <bgColor rgb="FFC6EFCE"/>
                </patternFill>
              </fill>
            </x14:dxf>
          </x14:cfRule>
          <x14:cfRule type="cellIs" priority="2138" stopIfTrue="1" operator="lessThan" id="{DC2EC03B-80FB-45CE-8841-8EC9B99CCF96}">
            <xm:f>Tramming!$C$12</xm:f>
            <x14:dxf>
              <font>
                <color auto="1"/>
              </font>
              <fill>
                <patternFill>
                  <bgColor rgb="FFFFC7CE"/>
                </patternFill>
              </fill>
            </x14:dxf>
          </x14:cfRule>
          <xm:sqref>D26</xm:sqref>
        </x14:conditionalFormatting>
        <x14:conditionalFormatting xmlns:xm="http://schemas.microsoft.com/office/excel/2006/main">
          <x14:cfRule type="cellIs" priority="2403" operator="lessThan" id="{18D88CE2-C12A-4B92-9C6F-66A916EBC9DE}">
            <xm:f>Hoisting!$C$10</xm:f>
            <x14:dxf>
              <fill>
                <patternFill>
                  <bgColor rgb="FFFFC7CE"/>
                </patternFill>
              </fill>
            </x14:dxf>
          </x14:cfRule>
          <x14:cfRule type="cellIs" priority="2404" operator="greaterThanOrEqual" id="{0EA7507C-36AB-48D2-A503-FD6345D9FC11}">
            <xm:f>Hoisting!$C$10</xm:f>
            <x14:dxf>
              <fill>
                <patternFill>
                  <bgColor rgb="FFC6EFCE"/>
                </patternFill>
              </fill>
            </x14:dxf>
          </x14:cfRule>
          <xm:sqref>D27</xm:sqref>
        </x14:conditionalFormatting>
        <x14:conditionalFormatting xmlns:xm="http://schemas.microsoft.com/office/excel/2006/main">
          <x14:cfRule type="cellIs" priority="2406" operator="lessThan" id="{A55CA6B2-7951-4A40-924E-FCB85257723E}">
            <xm:f>Hoisting!$C$11</xm:f>
            <x14:dxf>
              <fill>
                <patternFill>
                  <bgColor rgb="FFFFC7CE"/>
                </patternFill>
              </fill>
            </x14:dxf>
          </x14:cfRule>
          <x14:cfRule type="cellIs" priority="2405" operator="greaterThan" id="{86887868-0AAE-4C4B-B346-A66EDA3CE6AB}">
            <xm:f>Hoisting!$C$11</xm:f>
            <x14:dxf>
              <fill>
                <patternFill>
                  <bgColor rgb="FFC6EFCE"/>
                </patternFill>
              </fill>
            </x14:dxf>
          </x14:cfRule>
          <xm:sqref>D28</xm:sqref>
        </x14:conditionalFormatting>
        <x14:conditionalFormatting xmlns:xm="http://schemas.microsoft.com/office/excel/2006/main">
          <x14:cfRule type="cellIs" priority="2408" stopIfTrue="1" operator="greaterThanOrEqual" id="{AAC5C2F4-C2CD-4C3A-A0E7-5C39E5CE9A72}">
            <xm:f>Hoisting!$C$12</xm:f>
            <x14:dxf>
              <font>
                <color auto="1"/>
              </font>
              <fill>
                <patternFill>
                  <bgColor rgb="FFC6EFCE"/>
                </patternFill>
              </fill>
            </x14:dxf>
          </x14:cfRule>
          <x14:cfRule type="cellIs" priority="2407" stopIfTrue="1" operator="lessThan" id="{95DE2504-EDA2-4F1F-A542-522329CA2210}">
            <xm:f>Hoisting!$C$12</xm:f>
            <x14:dxf>
              <font>
                <color auto="1"/>
              </font>
              <fill>
                <patternFill>
                  <bgColor rgb="FFFFC7CE"/>
                </patternFill>
              </fill>
            </x14:dxf>
          </x14:cfRule>
          <xm:sqref>D29</xm:sqref>
        </x14:conditionalFormatting>
        <x14:conditionalFormatting xmlns:xm="http://schemas.microsoft.com/office/excel/2006/main">
          <x14:cfRule type="cellIs" priority="239" operator="greaterThanOrEqual" id="{C677CBDA-D97E-4704-893D-F6579F4D0E11}">
            <xm:f>PLANT!$C$10</xm:f>
            <x14:dxf>
              <fill>
                <patternFill>
                  <bgColor rgb="FFC6EFCE"/>
                </patternFill>
              </fill>
            </x14:dxf>
          </x14:cfRule>
          <x14:cfRule type="cellIs" priority="238" operator="lessThan" id="{BF88097C-A526-4952-92F0-203D9E47133D}">
            <xm:f>PLANT!$C$10</xm:f>
            <x14:dxf>
              <fill>
                <patternFill>
                  <bgColor rgb="FFFFC7CE"/>
                </patternFill>
              </fill>
            </x14:dxf>
          </x14:cfRule>
          <xm:sqref>D30</xm:sqref>
        </x14:conditionalFormatting>
        <x14:conditionalFormatting xmlns:xm="http://schemas.microsoft.com/office/excel/2006/main">
          <x14:cfRule type="cellIs" priority="276" operator="greaterThanOrEqual" id="{8E7314EE-B969-4A65-8464-7515583ABE21}">
            <xm:f>PLANT!$D$10</xm:f>
            <x14:dxf>
              <fill>
                <patternFill>
                  <bgColor rgb="FFC6EFCE"/>
                </patternFill>
              </fill>
            </x14:dxf>
          </x14:cfRule>
          <x14:cfRule type="cellIs" priority="275" operator="lessThan" id="{0B36E9B1-6D89-4796-8503-7B5D65F2EC74}">
            <xm:f>PLANT!$D$10</xm:f>
            <x14:dxf>
              <fill>
                <patternFill>
                  <bgColor rgb="FFFFC7CE"/>
                </patternFill>
              </fill>
            </x14:dxf>
          </x14:cfRule>
          <xm:sqref>D31</xm:sqref>
        </x14:conditionalFormatting>
        <x14:conditionalFormatting xmlns:xm="http://schemas.microsoft.com/office/excel/2006/main">
          <x14:cfRule type="cellIs" priority="255" stopIfTrue="1" operator="greaterThanOrEqual" id="{9FC6A60D-C0CD-44CF-80B1-0BB8C37B0E6D}">
            <xm:f>PLANT!$E$10</xm:f>
            <x14:dxf>
              <font>
                <color auto="1"/>
              </font>
              <fill>
                <patternFill>
                  <bgColor rgb="FFC6EFCE"/>
                </patternFill>
              </fill>
            </x14:dxf>
          </x14:cfRule>
          <x14:cfRule type="cellIs" priority="254" stopIfTrue="1" operator="lessThan" id="{7631C1B0-CB18-4AE0-8B19-558763F99EA5}">
            <xm:f>PLANT!$E$10</xm:f>
            <x14:dxf>
              <font>
                <color auto="1"/>
              </font>
              <fill>
                <patternFill>
                  <bgColor rgb="FFFFC7CE"/>
                </patternFill>
              </fill>
            </x14:dxf>
          </x14:cfRule>
          <xm:sqref>D32</xm:sqref>
        </x14:conditionalFormatting>
        <x14:conditionalFormatting xmlns:xm="http://schemas.microsoft.com/office/excel/2006/main">
          <x14:cfRule type="cellIs" priority="177" operator="greaterThanOrEqual" id="{C0982D81-2D62-44D1-95B8-5A730D86B996}">
            <xm:f>PLANT!$C$10</xm:f>
            <x14:dxf>
              <fill>
                <patternFill>
                  <bgColor rgb="FFC6EFCE"/>
                </patternFill>
              </fill>
            </x14:dxf>
          </x14:cfRule>
          <x14:cfRule type="cellIs" priority="176" operator="lessThan" id="{6F22C8AF-9EBD-417F-9179-D271039E9F55}">
            <xm:f>PLANT!$C$10</xm:f>
            <x14:dxf>
              <fill>
                <patternFill>
                  <bgColor rgb="FFFFC7CE"/>
                </patternFill>
              </fill>
            </x14:dxf>
          </x14:cfRule>
          <xm:sqref>D33</xm:sqref>
        </x14:conditionalFormatting>
        <x14:conditionalFormatting xmlns:xm="http://schemas.microsoft.com/office/excel/2006/main">
          <x14:cfRule type="cellIs" priority="172" operator="greaterThanOrEqual" id="{1F5B4A82-D38E-4A64-82D1-E99890FC76C3}">
            <xm:f>PLANT!$D$10</xm:f>
            <x14:dxf>
              <fill>
                <patternFill>
                  <bgColor rgb="FFC6EFCE"/>
                </patternFill>
              </fill>
            </x14:dxf>
          </x14:cfRule>
          <x14:cfRule type="cellIs" priority="171" operator="lessThan" id="{B3BDA809-C5CF-4774-BDC5-A6ADDFF6CF17}">
            <xm:f>PLANT!$D$10</xm:f>
            <x14:dxf>
              <fill>
                <patternFill>
                  <bgColor rgb="FFFFC7CE"/>
                </patternFill>
              </fill>
            </x14:dxf>
          </x14:cfRule>
          <xm:sqref>D34</xm:sqref>
        </x14:conditionalFormatting>
        <x14:conditionalFormatting xmlns:xm="http://schemas.microsoft.com/office/excel/2006/main">
          <x14:cfRule type="cellIs" priority="164" stopIfTrue="1" operator="lessThan" id="{6C9609E4-A72C-4946-9CEB-661E54738EFF}">
            <xm:f>PLANT!$E$10</xm:f>
            <x14:dxf>
              <font>
                <color auto="1"/>
              </font>
              <fill>
                <patternFill>
                  <bgColor rgb="FFFFC7CE"/>
                </patternFill>
              </fill>
            </x14:dxf>
          </x14:cfRule>
          <x14:cfRule type="cellIs" priority="165" stopIfTrue="1" operator="greaterThanOrEqual" id="{7BE8A0B5-F2A6-479A-A71D-D90B4FBA5DAA}">
            <xm:f>PLANT!$E$10</xm:f>
            <x14:dxf>
              <font>
                <color auto="1"/>
              </font>
              <fill>
                <patternFill>
                  <bgColor rgb="FFC6EFCE"/>
                </patternFill>
              </fill>
            </x14:dxf>
          </x14:cfRule>
          <xm:sqref>D35</xm:sqref>
        </x14:conditionalFormatting>
        <x14:conditionalFormatting xmlns:xm="http://schemas.microsoft.com/office/excel/2006/main">
          <x14:cfRule type="cellIs" priority="166" operator="lessThan" id="{CEBD6F9C-70F4-45D4-88AA-AB39C77AF3E4}">
            <xm:f>PLANT!$D$10</xm:f>
            <x14:dxf>
              <fill>
                <patternFill>
                  <bgColor rgb="FFFFC7CE"/>
                </patternFill>
              </fill>
            </x14:dxf>
          </x14:cfRule>
          <x14:cfRule type="cellIs" priority="167" operator="greaterThanOrEqual" id="{88439727-15A4-4E20-B604-163E3634EEC5}">
            <xm:f>PLANT!$D$10</xm:f>
            <x14:dxf>
              <fill>
                <patternFill>
                  <bgColor rgb="FFC6EFCE"/>
                </patternFill>
              </fill>
            </x14:dxf>
          </x14:cfRule>
          <xm:sqref>D36</xm:sqref>
        </x14:conditionalFormatting>
        <x14:conditionalFormatting xmlns:xm="http://schemas.microsoft.com/office/excel/2006/main">
          <x14:cfRule type="cellIs" priority="162" stopIfTrue="1" operator="lessThan" id="{36E7FE2C-D866-4020-9A98-74696C2A1DB5}">
            <xm:f>PLANT!$E$10</xm:f>
            <x14:dxf>
              <font>
                <color auto="1"/>
              </font>
              <fill>
                <patternFill>
                  <bgColor rgb="FFFFC7CE"/>
                </patternFill>
              </fill>
            </x14:dxf>
          </x14:cfRule>
          <x14:cfRule type="cellIs" priority="163" stopIfTrue="1" operator="greaterThanOrEqual" id="{75E06A79-5229-4C19-B6D9-71745C6081D7}">
            <xm:f>PLANT!$E$10</xm:f>
            <x14:dxf>
              <font>
                <color auto="1"/>
              </font>
              <fill>
                <patternFill>
                  <bgColor rgb="FFC6EFCE"/>
                </patternFill>
              </fill>
            </x14:dxf>
          </x14:cfRule>
          <xm:sqref>D37</xm:sqref>
        </x14:conditionalFormatting>
        <x14:conditionalFormatting xmlns:xm="http://schemas.microsoft.com/office/excel/2006/main">
          <x14:cfRule type="cellIs" priority="152" operator="lessThanOrEqual" id="{3A1FF46A-15EB-42F4-9476-DE13197A25D5}">
            <xm:f>PLANT!$D$17</xm:f>
            <x14:dxf>
              <fill>
                <patternFill>
                  <bgColor rgb="FFC6EFCE"/>
                </patternFill>
              </fill>
            </x14:dxf>
          </x14:cfRule>
          <x14:cfRule type="cellIs" priority="151" operator="greaterThan" id="{75959233-E741-459D-80ED-C36A872DF424}">
            <xm:f>PLANT!$D$17</xm:f>
            <x14:dxf>
              <fill>
                <patternFill>
                  <bgColor rgb="FFFFC7CE"/>
                </patternFill>
              </fill>
            </x14:dxf>
          </x14:cfRule>
          <xm:sqref>D38</xm:sqref>
        </x14:conditionalFormatting>
        <x14:conditionalFormatting xmlns:xm="http://schemas.microsoft.com/office/excel/2006/main">
          <x14:cfRule type="cellIs" priority="245" stopIfTrue="1" operator="greaterThan" id="{5AB23BEC-8421-4F74-A10E-0C7CF9E67C62}">
            <xm:f>PLANT!$E$17</xm:f>
            <x14:dxf>
              <font>
                <color auto="1"/>
              </font>
              <fill>
                <patternFill>
                  <bgColor rgb="FFFFC7CE"/>
                </patternFill>
              </fill>
            </x14:dxf>
          </x14:cfRule>
          <x14:cfRule type="cellIs" priority="246" stopIfTrue="1" operator="lessThanOrEqual" id="{48CFE386-BCBD-42D7-B181-5B9B1267DB77}">
            <xm:f>PLANT!$E$17</xm:f>
            <x14:dxf>
              <font>
                <color auto="1"/>
              </font>
              <fill>
                <patternFill>
                  <bgColor rgb="FFC6EFCE"/>
                </patternFill>
              </fill>
            </x14:dxf>
          </x14:cfRule>
          <xm:sqref>D39</xm:sqref>
        </x14:conditionalFormatting>
        <x14:conditionalFormatting xmlns:xm="http://schemas.microsoft.com/office/excel/2006/main">
          <x14:cfRule type="cellIs" priority="5408" stopIfTrue="1" operator="greaterThanOrEqual" id="{6FB3CC87-D783-4CBB-81AA-370DCC0F93CD}">
            <xm:f>Projects!H$24</xm:f>
            <x14:dxf>
              <fill>
                <patternFill>
                  <bgColor rgb="FFC6EFCE"/>
                </patternFill>
              </fill>
            </x14:dxf>
          </x14:cfRule>
          <x14:cfRule type="cellIs" priority="5407" stopIfTrue="1" operator="lessThan" id="{45E5E2CF-6D3F-4F93-ABFB-9125A197BF46}">
            <xm:f>Projects!H$24</xm:f>
            <x14:dxf>
              <fill>
                <patternFill>
                  <bgColor rgb="FFFFC7CE"/>
                </patternFill>
              </fill>
            </x14:dxf>
          </x14:cfRule>
          <xm:sqref>I17:AM17</xm:sqref>
        </x14:conditionalFormatting>
        <x14:conditionalFormatting xmlns:xm="http://schemas.microsoft.com/office/excel/2006/main">
          <x14:cfRule type="cellIs" priority="4601" stopIfTrue="1" operator="greaterThanOrEqual" id="{3641F9BE-90E5-4BEB-9FD9-BA25F4AD2CFC}">
            <xm:f>Projects!H$18</xm:f>
            <x14:dxf>
              <fill>
                <patternFill>
                  <bgColor rgb="FFC6EFCE"/>
                </patternFill>
              </fill>
            </x14:dxf>
          </x14:cfRule>
          <x14:cfRule type="cellIs" priority="4600" stopIfTrue="1" operator="lessThan" id="{6D3E750D-C3D7-4123-BCCE-B3239A424CC8}">
            <xm:f>Projects!H$18</xm:f>
            <x14:dxf>
              <fill>
                <patternFill>
                  <bgColor rgb="FFFFC7CE"/>
                </patternFill>
              </fill>
            </x14:dxf>
          </x14:cfRule>
          <xm:sqref>I18:AM18</xm:sqref>
        </x14:conditionalFormatting>
        <x14:conditionalFormatting xmlns:xm="http://schemas.microsoft.com/office/excel/2006/main">
          <x14:cfRule type="cellIs" priority="2559" stopIfTrue="1" operator="lessThan" id="{3BCF6FD8-4B92-4163-AFEC-7B8FB1B5062D}">
            <xm:f>D_Drilling!H$14</xm:f>
            <x14:dxf>
              <fill>
                <patternFill>
                  <bgColor rgb="FFFFC7CE"/>
                </patternFill>
              </fill>
            </x14:dxf>
          </x14:cfRule>
          <x14:cfRule type="cellIs" priority="2560" stopIfTrue="1" operator="greaterThanOrEqual" id="{85285B43-E13B-453F-A0B6-812F8A3BADA8}">
            <xm:f>D_Drilling!H$14</xm:f>
            <x14:dxf>
              <fill>
                <patternFill>
                  <bgColor rgb="FFC6EFCE"/>
                </patternFill>
              </fill>
            </x14:dxf>
          </x14:cfRule>
          <xm:sqref>I19:AM19</xm:sqref>
        </x14:conditionalFormatting>
        <x14:conditionalFormatting xmlns:xm="http://schemas.microsoft.com/office/excel/2006/main">
          <x14:cfRule type="cellIs" priority="2110" stopIfTrue="1" operator="greaterThanOrEqual" id="{561D0DF6-B220-4CD1-B07D-832B0254330D}">
            <xm:f>Development!H$11</xm:f>
            <x14:dxf>
              <fill>
                <patternFill>
                  <bgColor rgb="FFC6EFCE"/>
                </patternFill>
              </fill>
            </x14:dxf>
          </x14:cfRule>
          <x14:cfRule type="cellIs" priority="125" stopIfTrue="1" operator="lessThan" id="{BCF89FD5-26CE-4BA5-A8D9-07EBF02B00BA}">
            <xm:f>Development!H$11</xm:f>
            <x14:dxf>
              <fill>
                <patternFill>
                  <bgColor rgb="FFFFC7CE"/>
                </patternFill>
              </fill>
            </x14:dxf>
          </x14:cfRule>
          <xm:sqref>I20:AM20</xm:sqref>
        </x14:conditionalFormatting>
        <x14:conditionalFormatting xmlns:xm="http://schemas.microsoft.com/office/excel/2006/main">
          <x14:cfRule type="cellIs" priority="327" stopIfTrue="1" operator="lessThan" id="{82DD0200-607A-4DBD-BE7C-A6481D584796}">
            <xm:f>Stoping!H$10</xm:f>
            <x14:dxf>
              <fill>
                <patternFill>
                  <bgColor rgb="FFFFC7CE"/>
                </patternFill>
              </fill>
            </x14:dxf>
          </x14:cfRule>
          <x14:cfRule type="cellIs" priority="328" stopIfTrue="1" operator="greaterThanOrEqual" id="{776BA4F7-8924-4E02-9F1B-26CFCDB78C62}">
            <xm:f>Stoping!H$10</xm:f>
            <x14:dxf>
              <fill>
                <patternFill>
                  <bgColor rgb="FFC6EFCE"/>
                </patternFill>
              </fill>
            </x14:dxf>
          </x14:cfRule>
          <xm:sqref>I21:AM21</xm:sqref>
        </x14:conditionalFormatting>
        <x14:conditionalFormatting xmlns:xm="http://schemas.microsoft.com/office/excel/2006/main">
          <x14:cfRule type="cellIs" priority="195" operator="lessThan" id="{814F9C4C-AE2A-41B1-872D-BFFD1DA5317E}">
            <xm:f>Stoping!H$12</xm:f>
            <x14:dxf>
              <fill>
                <patternFill>
                  <bgColor rgb="FFFFC7CE"/>
                </patternFill>
              </fill>
            </x14:dxf>
          </x14:cfRule>
          <x14:cfRule type="cellIs" priority="194" operator="greaterThan" id="{DE35FD59-D3B6-4EAA-9761-D08148438FFB}">
            <xm:f>Stoping!H$12</xm:f>
            <x14:dxf>
              <fill>
                <patternFill>
                  <bgColor rgb="FFC6EFCE"/>
                </patternFill>
              </fill>
            </x14:dxf>
          </x14:cfRule>
          <xm:sqref>I22:AM22</xm:sqref>
        </x14:conditionalFormatting>
        <x14:conditionalFormatting xmlns:xm="http://schemas.microsoft.com/office/excel/2006/main">
          <x14:cfRule type="cellIs" priority="2112" stopIfTrue="1" operator="lessThan" id="{C0611D6D-E7B5-4AC1-9B60-2035416C0DDD}">
            <xm:f>Stoping!H$14</xm:f>
            <x14:dxf>
              <font>
                <color auto="1"/>
              </font>
              <fill>
                <patternFill>
                  <bgColor rgb="FFFFC7CE"/>
                </patternFill>
              </fill>
            </x14:dxf>
          </x14:cfRule>
          <x14:cfRule type="cellIs" priority="2113" stopIfTrue="1" operator="greaterThanOrEqual" id="{B20AEB23-369F-4329-8AFD-85F63F810CC1}">
            <xm:f>Stoping!H$14</xm:f>
            <x14:dxf>
              <font>
                <color auto="1"/>
              </font>
              <fill>
                <patternFill>
                  <bgColor rgb="FFC6EFCE"/>
                </patternFill>
              </fill>
            </x14:dxf>
          </x14:cfRule>
          <xm:sqref>I23:AM23</xm:sqref>
        </x14:conditionalFormatting>
        <x14:conditionalFormatting xmlns:xm="http://schemas.microsoft.com/office/excel/2006/main">
          <x14:cfRule type="cellIs" priority="51" stopIfTrue="1" operator="greaterThanOrEqual" id="{08095ACA-F07D-4E08-BCF0-7E4044D2DFF9}">
            <xm:f>Tramming!H$10</xm:f>
            <x14:dxf>
              <fill>
                <patternFill>
                  <bgColor rgb="FFC6EFCE"/>
                </patternFill>
              </fill>
            </x14:dxf>
          </x14:cfRule>
          <x14:cfRule type="cellIs" priority="50" stopIfTrue="1" operator="lessThan" id="{CA1F6F4F-6824-42A4-978A-A028549B9603}">
            <xm:f>Tramming!H$10</xm:f>
            <x14:dxf>
              <fill>
                <patternFill>
                  <bgColor rgb="FFFFC7CE"/>
                </patternFill>
              </fill>
            </x14:dxf>
          </x14:cfRule>
          <xm:sqref>I24:AM24</xm:sqref>
        </x14:conditionalFormatting>
        <x14:conditionalFormatting xmlns:xm="http://schemas.microsoft.com/office/excel/2006/main">
          <x14:cfRule type="cellIs" priority="37" operator="greaterThan" id="{CB7EEA62-06CB-4A8F-8F98-66E34966CEB5}">
            <xm:f>Tramming!H$12</xm:f>
            <x14:dxf>
              <fill>
                <patternFill>
                  <bgColor rgb="FFC6EFCE"/>
                </patternFill>
              </fill>
            </x14:dxf>
          </x14:cfRule>
          <x14:cfRule type="cellIs" priority="38" operator="lessThan" id="{26623649-7280-450F-8545-FF106EC655AA}">
            <xm:f>Tramming!H$12</xm:f>
            <x14:dxf>
              <fill>
                <patternFill>
                  <bgColor rgb="FFFFC7CE"/>
                </patternFill>
              </fill>
            </x14:dxf>
          </x14:cfRule>
          <xm:sqref>I25:AM25</xm:sqref>
        </x14:conditionalFormatting>
        <x14:conditionalFormatting xmlns:xm="http://schemas.microsoft.com/office/excel/2006/main">
          <x14:cfRule type="cellIs" priority="2117" stopIfTrue="1" operator="greaterThanOrEqual" id="{8DC602ED-FD43-4099-9562-421EF907C3A7}">
            <xm:f>Tramming!H$14</xm:f>
            <x14:dxf>
              <font>
                <color auto="1"/>
              </font>
              <fill>
                <patternFill>
                  <bgColor rgb="FFC6EFCE"/>
                </patternFill>
              </fill>
            </x14:dxf>
          </x14:cfRule>
          <x14:cfRule type="cellIs" priority="2116" stopIfTrue="1" operator="lessThan" id="{7DF15FC9-80F3-419A-8805-064F682DEE9C}">
            <xm:f>Tramming!H$14</xm:f>
            <x14:dxf>
              <font>
                <color auto="1"/>
              </font>
              <fill>
                <patternFill>
                  <bgColor rgb="FFFFC7CE"/>
                </patternFill>
              </fill>
            </x14:dxf>
          </x14:cfRule>
          <xm:sqref>I26:AM26</xm:sqref>
        </x14:conditionalFormatting>
        <x14:conditionalFormatting xmlns:xm="http://schemas.microsoft.com/office/excel/2006/main">
          <x14:cfRule type="cellIs" priority="48" stopIfTrue="1" operator="greaterThanOrEqual" id="{10D1E3DF-DA20-4AF4-8244-7B69927807CE}">
            <xm:f>Hoisting!H$10</xm:f>
            <x14:dxf>
              <fill>
                <patternFill>
                  <bgColor rgb="FFC6EFCE"/>
                </patternFill>
              </fill>
            </x14:dxf>
          </x14:cfRule>
          <x14:cfRule type="cellIs" priority="47" stopIfTrue="1" operator="lessThan" id="{7EE354E3-07FF-4108-9869-E859F5ED38B3}">
            <xm:f>Hoisting!H$10</xm:f>
            <x14:dxf>
              <fill>
                <patternFill>
                  <bgColor rgb="FFFFC7CE"/>
                </patternFill>
              </fill>
            </x14:dxf>
          </x14:cfRule>
          <xm:sqref>I27:AM27</xm:sqref>
        </x14:conditionalFormatting>
        <x14:conditionalFormatting xmlns:xm="http://schemas.microsoft.com/office/excel/2006/main">
          <x14:cfRule type="cellIs" priority="31" operator="greaterThan" id="{D65D05D7-A771-4FC8-8A36-65F7FFE9D188}">
            <xm:f>Hoisting!H$12</xm:f>
            <x14:dxf>
              <fill>
                <patternFill>
                  <bgColor rgb="FFC6EFCE"/>
                </patternFill>
              </fill>
            </x14:dxf>
          </x14:cfRule>
          <x14:cfRule type="cellIs" priority="32" operator="lessThan" id="{CBE4FEFE-B5D3-4E26-8C46-EB8FBD01832A}">
            <xm:f>Hoisting!H$12</xm:f>
            <x14:dxf>
              <fill>
                <patternFill>
                  <bgColor rgb="FFFFC7CE"/>
                </patternFill>
              </fill>
            </x14:dxf>
          </x14:cfRule>
          <xm:sqref>I28:AM28</xm:sqref>
        </x14:conditionalFormatting>
        <x14:conditionalFormatting xmlns:xm="http://schemas.microsoft.com/office/excel/2006/main">
          <x14:cfRule type="cellIs" priority="2120" stopIfTrue="1" operator="lessThan" id="{B9A8F2A6-1B6F-46FE-AB9D-3BC445D90A6E}">
            <xm:f>Hoisting!H$14</xm:f>
            <x14:dxf>
              <font>
                <color auto="1"/>
              </font>
              <fill>
                <patternFill>
                  <bgColor rgb="FFFFC7CE"/>
                </patternFill>
              </fill>
            </x14:dxf>
          </x14:cfRule>
          <x14:cfRule type="cellIs" priority="2121" stopIfTrue="1" operator="greaterThanOrEqual" id="{9BCCFEA2-0451-4E17-9370-E3D284E60B98}">
            <xm:f>Hoisting!H$14</xm:f>
            <x14:dxf>
              <font>
                <color auto="1"/>
              </font>
              <fill>
                <patternFill>
                  <bgColor rgb="FFC6EFCE"/>
                </patternFill>
              </fill>
            </x14:dxf>
          </x14:cfRule>
          <xm:sqref>I29:AM29</xm:sqref>
        </x14:conditionalFormatting>
        <x14:conditionalFormatting xmlns:xm="http://schemas.microsoft.com/office/excel/2006/main">
          <x14:cfRule type="cellIs" priority="284" stopIfTrue="1" operator="lessThan" id="{0A36D632-C042-43AF-902E-7332A4292EF5}">
            <xm:f>PLANT!H$5</xm:f>
            <x14:dxf>
              <fill>
                <patternFill>
                  <bgColor rgb="FFFFC7CE"/>
                </patternFill>
              </fill>
            </x14:dxf>
          </x14:cfRule>
          <x14:cfRule type="cellIs" priority="285" stopIfTrue="1" operator="greaterThanOrEqual" id="{6061F4C4-139D-4C16-B03F-5F2A160F8381}">
            <xm:f>PLANT!H$5</xm:f>
            <x14:dxf>
              <fill>
                <patternFill>
                  <bgColor rgb="FFC6EFCE"/>
                </patternFill>
              </fill>
            </x14:dxf>
          </x14:cfRule>
          <xm:sqref>I30:AM30 I33:AM33</xm:sqref>
        </x14:conditionalFormatting>
        <x14:conditionalFormatting xmlns:xm="http://schemas.microsoft.com/office/excel/2006/main">
          <x14:cfRule type="cellIs" priority="23" operator="lessThan" id="{A9F19097-7280-42EC-9F31-8AC48B3F77F8}">
            <xm:f>PLANT!H$8</xm:f>
            <x14:dxf>
              <fill>
                <patternFill>
                  <bgColor rgb="FFFFC7CE"/>
                </patternFill>
              </fill>
            </x14:dxf>
          </x14:cfRule>
          <x14:cfRule type="cellIs" priority="22" operator="greaterThan" id="{EC3C8BB8-E26B-49DE-95FB-9EFB191B7E27}">
            <xm:f>PLANT!H$8</xm:f>
            <x14:dxf>
              <fill>
                <patternFill>
                  <bgColor rgb="FFC6EFCE"/>
                </patternFill>
              </fill>
            </x14:dxf>
          </x14:cfRule>
          <xm:sqref>I31:AM31 I34:AM34 I36:AM36</xm:sqref>
        </x14:conditionalFormatting>
        <x14:conditionalFormatting xmlns:xm="http://schemas.microsoft.com/office/excel/2006/main">
          <x14:cfRule type="cellIs" priority="252" stopIfTrue="1" operator="lessThan" id="{536288A2-7548-4A36-B005-4BB2F68C82C0}">
            <xm:f>PLANT!H$14</xm:f>
            <x14:dxf>
              <font>
                <color auto="1"/>
              </font>
              <fill>
                <patternFill>
                  <bgColor rgb="FFFFC7CE"/>
                </patternFill>
              </fill>
            </x14:dxf>
          </x14:cfRule>
          <x14:cfRule type="cellIs" priority="2123" stopIfTrue="1" operator="greaterThanOrEqual" id="{4859E667-6CD0-4637-99C2-6559DA67F45A}">
            <xm:f>PLANT!H$14</xm:f>
            <x14:dxf>
              <font>
                <color auto="1"/>
              </font>
              <fill>
                <patternFill>
                  <bgColor rgb="FFC6EFCE"/>
                </patternFill>
              </fill>
            </x14:dxf>
          </x14:cfRule>
          <xm:sqref>I32:AM32 I35:AM35 I37:AM37</xm:sqref>
        </x14:conditionalFormatting>
        <x14:conditionalFormatting xmlns:xm="http://schemas.microsoft.com/office/excel/2006/main">
          <x14:cfRule type="cellIs" priority="145" operator="greaterThan" id="{79AAB85D-3AD5-4FCE-9C29-4324416D7BAA}">
            <xm:f>PLANT!H$12</xm:f>
            <x14:dxf>
              <fill>
                <patternFill>
                  <bgColor rgb="FFFFC7CE"/>
                </patternFill>
              </fill>
            </x14:dxf>
          </x14:cfRule>
          <x14:cfRule type="cellIs" priority="146" operator="lessThanOrEqual" id="{55304B0F-09DF-4BCE-96B3-9FA92715C119}">
            <xm:f>PLANT!H$12</xm:f>
            <x14:dxf>
              <fill>
                <patternFill>
                  <bgColor rgb="FFC6EFCE"/>
                </patternFill>
              </fill>
            </x14:dxf>
          </x14:cfRule>
          <xm:sqref>I38:AM38</xm:sqref>
        </x14:conditionalFormatting>
        <x14:conditionalFormatting xmlns:xm="http://schemas.microsoft.com/office/excel/2006/main">
          <x14:cfRule type="cellIs" priority="2133" stopIfTrue="1" operator="lessThanOrEqual" id="{75FE1448-0876-4894-A31E-672D2C6BDCDF}">
            <xm:f>PLANT!H$18</xm:f>
            <x14:dxf>
              <font>
                <color auto="1"/>
              </font>
              <fill>
                <patternFill>
                  <bgColor rgb="FFC6EFCE"/>
                </patternFill>
              </fill>
            </x14:dxf>
          </x14:cfRule>
          <x14:cfRule type="cellIs" priority="2132" stopIfTrue="1" operator="greaterThan" id="{AB7D2AE9-9A47-49CC-8E41-2A0116E78AEB}">
            <xm:f>PLANT!H$18</xm:f>
            <x14:dxf>
              <font>
                <color auto="1"/>
              </font>
              <fill>
                <patternFill>
                  <bgColor rgb="FFFFC7CE"/>
                </patternFill>
              </fill>
            </x14:dxf>
          </x14:cfRule>
          <xm:sqref>I39:AM39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CF13-B4EF-4D97-9E29-D7BE30E034F3}">
  <sheetPr>
    <tabColor rgb="FFFF0000"/>
  </sheetPr>
  <dimension ref="B2:AH192"/>
  <sheetViews>
    <sheetView showGridLines="0" zoomScale="75" zoomScaleNormal="75" workbookViewId="0">
      <selection activeCell="C7" sqref="C7"/>
    </sheetView>
  </sheetViews>
  <sheetFormatPr defaultColWidth="8.21875" defaultRowHeight="13.8"/>
  <cols>
    <col min="1" max="1" width="2.21875" style="302" customWidth="1"/>
    <col min="2" max="2" width="6.21875" style="320" customWidth="1"/>
    <col min="3" max="3" width="16.21875" style="320" customWidth="1"/>
    <col min="4" max="4" width="6.21875" style="320" bestFit="1" customWidth="1"/>
    <col min="5" max="7" width="8.21875" style="320" bestFit="1" customWidth="1"/>
    <col min="8" max="8" width="7.21875" style="320" customWidth="1"/>
    <col min="9" max="10" width="11.21875" style="320" bestFit="1" customWidth="1"/>
    <col min="11" max="11" width="9.21875" style="320" bestFit="1" customWidth="1"/>
    <col min="12" max="12" width="7.21875" style="320" customWidth="1"/>
    <col min="13" max="44" width="7.77734375" style="302" customWidth="1"/>
    <col min="45" max="16384" width="8.21875" style="302"/>
  </cols>
  <sheetData>
    <row r="2" spans="2:12">
      <c r="B2" s="324" t="s">
        <v>0</v>
      </c>
    </row>
    <row r="3" spans="2:12">
      <c r="B3" s="320" t="s">
        <v>52</v>
      </c>
    </row>
    <row r="4" spans="2:12">
      <c r="B4" s="328" t="s">
        <v>53</v>
      </c>
    </row>
    <row r="6" spans="2:12">
      <c r="B6" s="329" t="s">
        <v>3</v>
      </c>
      <c r="C6" s="761">
        <f>SUMMARY!C6</f>
        <v>45870</v>
      </c>
    </row>
    <row r="7" spans="2:12">
      <c r="B7" s="329" t="s">
        <v>4</v>
      </c>
      <c r="C7" s="303">
        <f>SUMMARY!$C$7</f>
        <v>6</v>
      </c>
    </row>
    <row r="8" spans="2:12" ht="14.4" thickBot="1"/>
    <row r="9" spans="2:12" ht="15" customHeight="1" thickBot="1">
      <c r="B9" s="333"/>
      <c r="C9" s="333"/>
      <c r="D9" s="333"/>
      <c r="E9" s="2709" t="s">
        <v>54</v>
      </c>
      <c r="F9" s="2710"/>
      <c r="G9" s="2710"/>
      <c r="H9" s="2711"/>
      <c r="I9" s="2709" t="s">
        <v>14</v>
      </c>
      <c r="J9" s="2710"/>
      <c r="K9" s="2710"/>
      <c r="L9" s="2711"/>
    </row>
    <row r="10" spans="2:12" ht="15" customHeight="1">
      <c r="B10" s="762">
        <v>1</v>
      </c>
      <c r="C10" s="763" t="s">
        <v>55</v>
      </c>
      <c r="D10" s="764" t="s">
        <v>56</v>
      </c>
      <c r="E10" s="762" t="s">
        <v>16</v>
      </c>
      <c r="F10" s="765" t="s">
        <v>17</v>
      </c>
      <c r="G10" s="765" t="s">
        <v>57</v>
      </c>
      <c r="H10" s="764" t="s">
        <v>58</v>
      </c>
      <c r="I10" s="762" t="s">
        <v>16</v>
      </c>
      <c r="J10" s="765" t="s">
        <v>17</v>
      </c>
      <c r="K10" s="765" t="s">
        <v>57</v>
      </c>
      <c r="L10" s="764" t="s">
        <v>58</v>
      </c>
    </row>
    <row r="11" spans="2:12" ht="14.4" thickBot="1">
      <c r="B11" s="766">
        <v>1.1000000000000001</v>
      </c>
      <c r="C11" s="767" t="s">
        <v>59</v>
      </c>
      <c r="D11" s="768" t="s">
        <v>60</v>
      </c>
      <c r="E11" s="1029" t="e">
        <f>INDEX($D51:$AH51,$C$7)</f>
        <v>#REF!</v>
      </c>
      <c r="F11" s="978" t="e">
        <f>INDEX($D53:$AH53,$C$7)</f>
        <v>#REF!</v>
      </c>
      <c r="G11" s="979">
        <f t="shared" ref="G11" si="0">IFERROR(E11-F11,0)</f>
        <v>0</v>
      </c>
      <c r="H11" s="980">
        <f t="shared" ref="H11" si="1">IFERROR(G11/F11,0)</f>
        <v>0</v>
      </c>
      <c r="I11" s="1029" t="str">
        <f>INDEX($D52:$AH52,$C$7)</f>
        <v/>
      </c>
      <c r="J11" s="978" t="str">
        <f>INDEX($D54:$AH54,$C$7)</f>
        <v/>
      </c>
      <c r="K11" s="979">
        <f>IFERROR(I11-J11,0)</f>
        <v>0</v>
      </c>
      <c r="L11" s="980">
        <f t="shared" ref="L11" si="2">IFERROR(K11/J11,0)</f>
        <v>0</v>
      </c>
    </row>
    <row r="12" spans="2:12" ht="15" customHeight="1" thickBot="1"/>
    <row r="13" spans="2:12">
      <c r="B13" s="762">
        <v>2</v>
      </c>
      <c r="C13" s="769" t="s">
        <v>40</v>
      </c>
      <c r="D13" s="770"/>
      <c r="E13" s="770"/>
      <c r="F13" s="770"/>
      <c r="G13" s="770"/>
      <c r="H13" s="770"/>
      <c r="I13" s="770"/>
      <c r="J13" s="770"/>
      <c r="K13" s="770"/>
      <c r="L13" s="771"/>
    </row>
    <row r="14" spans="2:12" ht="15" customHeight="1">
      <c r="B14" s="1073">
        <v>2.1</v>
      </c>
      <c r="C14" s="1074" t="s">
        <v>61</v>
      </c>
      <c r="D14" s="1075" t="s">
        <v>60</v>
      </c>
      <c r="E14" s="1076" t="str">
        <f>INDEX($D57:$AH57,$C$7)</f>
        <v/>
      </c>
      <c r="F14" s="1077" t="str">
        <f>INDEX($D59:$AH59,$C$7)</f>
        <v/>
      </c>
      <c r="G14" s="1078">
        <f t="shared" ref="G14:G16" si="3">IFERROR(E14-F14,0)</f>
        <v>0</v>
      </c>
      <c r="H14" s="1079">
        <f>IFERROR(G14/F14,0)</f>
        <v>0</v>
      </c>
      <c r="I14" s="1076" t="str">
        <f>INDEX($D58:$AH58,$C$7)</f>
        <v/>
      </c>
      <c r="J14" s="1077" t="str">
        <f>INDEX($D60:$AH60,$C$7)</f>
        <v/>
      </c>
      <c r="K14" s="1078">
        <f>IFERROR(I14-J14,0)</f>
        <v>0</v>
      </c>
      <c r="L14" s="1079">
        <f t="shared" ref="L14:L16" si="4">IFERROR(K14/J14,0)</f>
        <v>0</v>
      </c>
    </row>
    <row r="15" spans="2:12" ht="15" customHeight="1" thickBot="1">
      <c r="B15" s="1450">
        <v>2.2000000000000002</v>
      </c>
      <c r="C15" s="1451" t="s">
        <v>62</v>
      </c>
      <c r="D15" s="1452" t="s">
        <v>60</v>
      </c>
      <c r="E15" s="1447" t="str">
        <f>INDEX($D63:$AH63,$C$7)</f>
        <v/>
      </c>
      <c r="F15" s="1448" t="str">
        <f>INDEX($D65:$AH65,$C$7)</f>
        <v/>
      </c>
      <c r="G15" s="1453">
        <f t="shared" si="3"/>
        <v>0</v>
      </c>
      <c r="H15" s="1454">
        <f t="shared" ref="H15:H16" si="5">IFERROR(G15/F15,0)</f>
        <v>0</v>
      </c>
      <c r="I15" s="1447" t="str">
        <f>INDEX($D64:$AH64,$C$7)</f>
        <v/>
      </c>
      <c r="J15" s="1448" t="str">
        <f>INDEX($D66:$AH66,$C$7)</f>
        <v/>
      </c>
      <c r="K15" s="1453">
        <f>IFERROR(I15-J15,0)</f>
        <v>0</v>
      </c>
      <c r="L15" s="1454">
        <f t="shared" si="4"/>
        <v>0</v>
      </c>
    </row>
    <row r="16" spans="2:12" ht="15" customHeight="1" thickBot="1">
      <c r="B16" s="772">
        <v>2.2999999999999998</v>
      </c>
      <c r="C16" s="773" t="s">
        <v>63</v>
      </c>
      <c r="D16" s="774" t="s">
        <v>60</v>
      </c>
      <c r="E16" s="775">
        <f>SUM(E14:E15)</f>
        <v>0</v>
      </c>
      <c r="F16" s="776">
        <f>SUM(F14:F15)</f>
        <v>0</v>
      </c>
      <c r="G16" s="777">
        <f t="shared" si="3"/>
        <v>0</v>
      </c>
      <c r="H16" s="778">
        <f t="shared" si="5"/>
        <v>0</v>
      </c>
      <c r="I16" s="775">
        <f t="shared" ref="I16:J16" si="6">SUM(I14:I15)</f>
        <v>0</v>
      </c>
      <c r="J16" s="776">
        <f t="shared" si="6"/>
        <v>0</v>
      </c>
      <c r="K16" s="777">
        <f>IFERROR(I16-J16,0)</f>
        <v>0</v>
      </c>
      <c r="L16" s="779">
        <f t="shared" si="4"/>
        <v>0</v>
      </c>
    </row>
    <row r="18" spans="2:12">
      <c r="B18" s="762">
        <v>3</v>
      </c>
      <c r="C18" s="769" t="s">
        <v>41</v>
      </c>
      <c r="D18" s="770"/>
      <c r="E18" s="770"/>
      <c r="F18" s="770"/>
      <c r="G18" s="770"/>
      <c r="H18" s="770"/>
      <c r="I18" s="770"/>
      <c r="J18" s="770"/>
      <c r="K18" s="770"/>
      <c r="L18" s="771"/>
    </row>
    <row r="19" spans="2:12">
      <c r="B19" s="1073">
        <v>3.1</v>
      </c>
      <c r="C19" s="1074" t="s">
        <v>64</v>
      </c>
      <c r="D19" s="1075" t="s">
        <v>60</v>
      </c>
      <c r="E19" s="1076">
        <f>INDEX($D75:$AH75,$C$7)</f>
        <v>3.8000000000000003</v>
      </c>
      <c r="F19" s="1077">
        <f>INDEX($D77:$AH77,$C$7)</f>
        <v>4.9000000000000004</v>
      </c>
      <c r="G19" s="1078">
        <f t="shared" ref="G19:G32" si="7">IFERROR(E19-F19,0)</f>
        <v>-1.1000000000000001</v>
      </c>
      <c r="H19" s="1079">
        <f>IFERROR(G19/F19,0)</f>
        <v>-0.22448979591836735</v>
      </c>
      <c r="I19" s="1076">
        <f>INDEX($D76:$AH76,$C$7)</f>
        <v>25.1</v>
      </c>
      <c r="J19" s="1077">
        <f>INDEX($D78:$AH78,$C$7)</f>
        <v>19.299999999999997</v>
      </c>
      <c r="K19" s="1078">
        <f>IFERROR(I19-J19,0)</f>
        <v>5.8000000000000043</v>
      </c>
      <c r="L19" s="1079">
        <f t="shared" ref="L19:L39" si="8">IFERROR(K19/J19,0)</f>
        <v>0.3005181347150262</v>
      </c>
    </row>
    <row r="20" spans="2:12" ht="14.4" thickBot="1">
      <c r="B20" s="1450">
        <v>3.2</v>
      </c>
      <c r="C20" s="1451" t="s">
        <v>65</v>
      </c>
      <c r="D20" s="1452" t="s">
        <v>60</v>
      </c>
      <c r="E20" s="1447">
        <f>INDEX($D81:$AH81,$C$7)</f>
        <v>17.299999999999997</v>
      </c>
      <c r="F20" s="1448">
        <f>INDEX($D83:$AH83,$C$7)</f>
        <v>33.899999999999991</v>
      </c>
      <c r="G20" s="1453">
        <f t="shared" si="7"/>
        <v>-16.599999999999994</v>
      </c>
      <c r="H20" s="1454">
        <f t="shared" ref="H20:H39" si="9">IFERROR(G20/F20,0)</f>
        <v>-0.48967551622418876</v>
      </c>
      <c r="I20" s="1447">
        <f>INDEX($D82:$AH82,$C$7)</f>
        <v>155.19999999999999</v>
      </c>
      <c r="J20" s="1448">
        <f>INDEX($D84:$AH84,$C$7)</f>
        <v>164.99999999999994</v>
      </c>
      <c r="K20" s="1453">
        <f>IFERROR(I20-J20,0)</f>
        <v>-9.7999999999999545</v>
      </c>
      <c r="L20" s="1454">
        <f t="shared" si="8"/>
        <v>-5.9393939393939138E-2</v>
      </c>
    </row>
    <row r="21" spans="2:12" ht="14.4" thickBot="1">
      <c r="B21" s="772">
        <v>3.3</v>
      </c>
      <c r="C21" s="773" t="s">
        <v>63</v>
      </c>
      <c r="D21" s="774" t="s">
        <v>60</v>
      </c>
      <c r="E21" s="775">
        <f>SUM(E19:E20)</f>
        <v>21.099999999999998</v>
      </c>
      <c r="F21" s="776">
        <f>SUM(F19:F20)</f>
        <v>38.79999999999999</v>
      </c>
      <c r="G21" s="777">
        <f t="shared" si="7"/>
        <v>-17.699999999999992</v>
      </c>
      <c r="H21" s="778">
        <f t="shared" si="9"/>
        <v>-0.45618556701030921</v>
      </c>
      <c r="I21" s="775">
        <f t="shared" ref="I21:J21" si="10">SUM(I19:I20)</f>
        <v>180.29999999999998</v>
      </c>
      <c r="J21" s="776">
        <f t="shared" si="10"/>
        <v>184.29999999999995</v>
      </c>
      <c r="K21" s="777">
        <f>IFERROR(I21-J21,0)</f>
        <v>-3.9999999999999716</v>
      </c>
      <c r="L21" s="779">
        <f t="shared" si="8"/>
        <v>-2.170374389582188E-2</v>
      </c>
    </row>
    <row r="22" spans="2:12" ht="14.4" thickBot="1"/>
    <row r="23" spans="2:12" ht="14.85" customHeight="1">
      <c r="B23" s="762">
        <v>4</v>
      </c>
      <c r="C23" s="769" t="s">
        <v>66</v>
      </c>
      <c r="D23" s="770"/>
      <c r="E23" s="770"/>
      <c r="F23" s="770"/>
      <c r="G23" s="770"/>
      <c r="H23" s="770"/>
      <c r="I23" s="770"/>
      <c r="J23" s="770"/>
      <c r="K23" s="770"/>
      <c r="L23" s="771"/>
    </row>
    <row r="24" spans="2:12" ht="14.85" customHeight="1">
      <c r="B24" s="1073">
        <v>4.0999999999999996</v>
      </c>
      <c r="C24" s="1074" t="s">
        <v>46</v>
      </c>
      <c r="D24" s="1075" t="s">
        <v>67</v>
      </c>
      <c r="E24" s="1080">
        <f>INDEX($D93:$AH93,$C$7)</f>
        <v>987</v>
      </c>
      <c r="F24" s="1081">
        <f>INDEX($D95:$AH95,$C$7)</f>
        <v>910</v>
      </c>
      <c r="G24" s="1082">
        <f t="shared" si="7"/>
        <v>77</v>
      </c>
      <c r="H24" s="1079">
        <f t="shared" si="9"/>
        <v>8.461538461538462E-2</v>
      </c>
      <c r="I24" s="1080">
        <f>INDEX($D94:$AH94,$C$7)</f>
        <v>5713</v>
      </c>
      <c r="J24" s="1081">
        <f>INDEX($D96:$AH96,$C$7)</f>
        <v>5460</v>
      </c>
      <c r="K24" s="1082">
        <f>IFERROR(I24-J24,0)</f>
        <v>253</v>
      </c>
      <c r="L24" s="1079">
        <f t="shared" si="8"/>
        <v>4.6336996336996339E-2</v>
      </c>
    </row>
    <row r="25" spans="2:12" ht="14.85" customHeight="1">
      <c r="B25" s="1073">
        <v>4.2</v>
      </c>
      <c r="C25" s="1074" t="s">
        <v>47</v>
      </c>
      <c r="D25" s="1075" t="s">
        <v>67</v>
      </c>
      <c r="E25" s="1080">
        <f>INDEX($D99:$AH99,$C$7)</f>
        <v>458</v>
      </c>
      <c r="F25" s="1081">
        <f>INDEX($D101:$AH101,$C$7)</f>
        <v>910</v>
      </c>
      <c r="G25" s="1082">
        <f t="shared" si="7"/>
        <v>-452</v>
      </c>
      <c r="H25" s="1079">
        <f t="shared" si="9"/>
        <v>-0.49670329670329672</v>
      </c>
      <c r="I25" s="1080">
        <f>INDEX($D100:$AH100,$C$7)</f>
        <v>4925</v>
      </c>
      <c r="J25" s="1081">
        <f>INDEX($D102:$AH102,$C$7)</f>
        <v>5460</v>
      </c>
      <c r="K25" s="1082">
        <f>IFERROR(I25-J25,0)</f>
        <v>-535</v>
      </c>
      <c r="L25" s="1079">
        <f t="shared" si="8"/>
        <v>-9.7985347985347984E-2</v>
      </c>
    </row>
    <row r="26" spans="2:12" ht="15" customHeight="1">
      <c r="B26" s="1073">
        <v>4.3</v>
      </c>
      <c r="C26" s="1074" t="s">
        <v>48</v>
      </c>
      <c r="D26" s="1075" t="s">
        <v>67</v>
      </c>
      <c r="E26" s="1080">
        <f>INDEX($D105:$AH105,$C$7)</f>
        <v>966</v>
      </c>
      <c r="F26" s="1081">
        <f>INDEX($D107:$AH107,$C$7)</f>
        <v>850</v>
      </c>
      <c r="G26" s="1082">
        <f t="shared" si="7"/>
        <v>116</v>
      </c>
      <c r="H26" s="1079">
        <f t="shared" si="9"/>
        <v>0.13647058823529412</v>
      </c>
      <c r="I26" s="1080">
        <f>INDEX($D106:$AH106,$C$7)</f>
        <v>5350</v>
      </c>
      <c r="J26" s="1081">
        <f>INDEX($D108:$AH108,$C$7)</f>
        <v>4990</v>
      </c>
      <c r="K26" s="1082">
        <f>IFERROR(I26-J26,0)</f>
        <v>360</v>
      </c>
      <c r="L26" s="1079">
        <f t="shared" si="8"/>
        <v>7.2144288577154311E-2</v>
      </c>
    </row>
    <row r="27" spans="2:12" ht="15" customHeight="1">
      <c r="B27" s="1073">
        <v>4.4000000000000004</v>
      </c>
      <c r="C27" s="1074" t="s">
        <v>49</v>
      </c>
      <c r="D27" s="1075" t="s">
        <v>67</v>
      </c>
      <c r="E27" s="1080">
        <f>INDEX($D111:$AH111,$C$7)</f>
        <v>0</v>
      </c>
      <c r="F27" s="1081">
        <f>INDEX($D113:$AH113,$C$7)</f>
        <v>1173.8711999999996</v>
      </c>
      <c r="G27" s="1082">
        <f t="shared" ref="G27:G28" si="11">IFERROR(E27-F27,0)</f>
        <v>-1173.8711999999996</v>
      </c>
      <c r="H27" s="1079">
        <f t="shared" ref="H27:H28" si="12">IFERROR(G27/F27,0)</f>
        <v>-1</v>
      </c>
      <c r="I27" s="1080">
        <f>INDEX($D112:$AH112,$C$7)</f>
        <v>4285.2205000000004</v>
      </c>
      <c r="J27" s="1081">
        <f>INDEX($D114:$AH114,$C$7)</f>
        <v>6456.2915999999977</v>
      </c>
      <c r="K27" s="1082">
        <f t="shared" ref="K27:K28" si="13">IFERROR(I27-J27,0)</f>
        <v>-2171.0710999999974</v>
      </c>
      <c r="L27" s="1079">
        <f t="shared" ref="L27:L28" si="14">IFERROR(K27/J27,0)</f>
        <v>-0.33627215660457438</v>
      </c>
    </row>
    <row r="28" spans="2:12" ht="15" customHeight="1" thickBot="1">
      <c r="B28" s="1030">
        <v>4.5</v>
      </c>
      <c r="C28" s="981" t="s">
        <v>50</v>
      </c>
      <c r="D28" s="982" t="s">
        <v>67</v>
      </c>
      <c r="E28" s="1029">
        <f>INDEX($D117:$AH117,$C$7)</f>
        <v>0</v>
      </c>
      <c r="F28" s="978">
        <f>INDEX($D119:$AH119,$C$7)</f>
        <v>1173.8711999999996</v>
      </c>
      <c r="G28" s="979">
        <f t="shared" si="11"/>
        <v>-1173.8711999999996</v>
      </c>
      <c r="H28" s="980">
        <f t="shared" si="12"/>
        <v>-1</v>
      </c>
      <c r="I28" s="1029">
        <f>INDEX($D118:$AH118,$C$7)</f>
        <v>5244.8028999999997</v>
      </c>
      <c r="J28" s="978">
        <f>INDEX($D120:$AH120,$C$7)</f>
        <v>6456.2915999999977</v>
      </c>
      <c r="K28" s="979">
        <f t="shared" si="13"/>
        <v>-1211.4886999999981</v>
      </c>
      <c r="L28" s="980">
        <f t="shared" si="14"/>
        <v>-0.18764466896135831</v>
      </c>
    </row>
    <row r="29" spans="2:12" ht="14.4" thickBot="1"/>
    <row r="30" spans="2:12" ht="14.85" customHeight="1">
      <c r="B30" s="762">
        <v>5</v>
      </c>
      <c r="C30" s="769" t="s">
        <v>68</v>
      </c>
      <c r="D30" s="770"/>
      <c r="E30" s="770"/>
      <c r="F30" s="770"/>
      <c r="G30" s="770"/>
      <c r="H30" s="770"/>
      <c r="I30" s="770"/>
      <c r="J30" s="770"/>
      <c r="K30" s="770"/>
      <c r="L30" s="771"/>
    </row>
    <row r="31" spans="2:12" ht="14.85" customHeight="1">
      <c r="B31" s="1073">
        <v>5.0999999999999996</v>
      </c>
      <c r="C31" s="1074" t="s">
        <v>46</v>
      </c>
      <c r="D31" s="1075" t="s">
        <v>69</v>
      </c>
      <c r="E31" s="1083">
        <f>INDEX($D123:$AH123,$C$7)</f>
        <v>2.8142451874366765</v>
      </c>
      <c r="F31" s="1084">
        <f>INDEX($D125:$AH125,$C$7)</f>
        <v>2.2563803019410491</v>
      </c>
      <c r="G31" s="1085">
        <f t="shared" si="7"/>
        <v>0.55786488549562741</v>
      </c>
      <c r="H31" s="1079">
        <f t="shared" si="9"/>
        <v>0.24723885641783197</v>
      </c>
      <c r="I31" s="1083">
        <f>INDEX($D124:$AH124,$C$7)</f>
        <v>2.92396464204446</v>
      </c>
      <c r="J31" s="1084">
        <f>INDEX($D126:$AH126,$C$7)</f>
        <v>2.2563803019410491</v>
      </c>
      <c r="K31" s="1085">
        <f>IFERROR(I31-J31,0)</f>
        <v>0.66758434010341094</v>
      </c>
      <c r="L31" s="1079">
        <f t="shared" si="8"/>
        <v>0.29586516932855783</v>
      </c>
    </row>
    <row r="32" spans="2:12" ht="14.85" customHeight="1">
      <c r="B32" s="1073">
        <v>5.2</v>
      </c>
      <c r="C32" s="1074" t="s">
        <v>47</v>
      </c>
      <c r="D32" s="1075" t="s">
        <v>69</v>
      </c>
      <c r="E32" s="1083">
        <f>INDEX($D129:$AH129,$C$7)</f>
        <v>0</v>
      </c>
      <c r="F32" s="1084">
        <f>INDEX($D131:$AH131,$C$7)</f>
        <v>2.2563803019410491</v>
      </c>
      <c r="G32" s="1085">
        <f t="shared" si="7"/>
        <v>-2.2563803019410491</v>
      </c>
      <c r="H32" s="1079">
        <f t="shared" si="9"/>
        <v>-1</v>
      </c>
      <c r="I32" s="1083">
        <f>INDEX($D130:$AH130,$C$7)</f>
        <v>2.6411837563451774</v>
      </c>
      <c r="J32" s="1084">
        <f>INDEX($D132:$AH132,$C$7)</f>
        <v>2.1988377665947754</v>
      </c>
      <c r="K32" s="1085">
        <f>IFERROR(I32-J32,0)</f>
        <v>0.44234598975040207</v>
      </c>
      <c r="L32" s="1079">
        <f t="shared" si="8"/>
        <v>0.20117263604919797</v>
      </c>
    </row>
    <row r="33" spans="2:34" ht="15" customHeight="1">
      <c r="B33" s="1073">
        <v>5.3</v>
      </c>
      <c r="C33" s="1074" t="s">
        <v>48</v>
      </c>
      <c r="D33" s="1075" t="s">
        <v>69</v>
      </c>
      <c r="E33" s="1083">
        <f>INDEX($D135:$AH135,$C$7)</f>
        <v>0</v>
      </c>
      <c r="F33" s="1084">
        <f>INDEX($D137:$AH137,$C$7)</f>
        <v>2.2398948598130839</v>
      </c>
      <c r="G33" s="1085">
        <f>IFERROR(E33-F33,0)</f>
        <v>-2.2398948598130839</v>
      </c>
      <c r="H33" s="1079">
        <f t="shared" si="9"/>
        <v>-1</v>
      </c>
      <c r="I33" s="1083">
        <f>INDEX($D136:$AH136,$C$7)</f>
        <v>1.7739252336448599</v>
      </c>
      <c r="J33" s="1084">
        <f>INDEX($D137:$AH137,$C$7)</f>
        <v>2.2398948598130839</v>
      </c>
      <c r="K33" s="1085">
        <f>IFERROR(I33-J33,0)</f>
        <v>-0.46596962616822402</v>
      </c>
      <c r="L33" s="1079">
        <f t="shared" si="8"/>
        <v>-0.20803191905494553</v>
      </c>
    </row>
    <row r="34" spans="2:34" ht="15" customHeight="1">
      <c r="B34" s="1073">
        <v>5.4</v>
      </c>
      <c r="C34" s="1074" t="s">
        <v>49</v>
      </c>
      <c r="D34" s="1075" t="s">
        <v>69</v>
      </c>
      <c r="E34" s="1083" t="str">
        <f>INDEX($D141:$AH141,$C$7)</f>
        <v/>
      </c>
      <c r="F34" s="1084">
        <f>INDEX($D143:$AH143,$C$7)</f>
        <v>2.2355007055332963</v>
      </c>
      <c r="G34" s="1085">
        <f t="shared" ref="G34:G36" si="15">IFERROR(E34-F34,0)</f>
        <v>0</v>
      </c>
      <c r="H34" s="1079">
        <f t="shared" ref="H34:H36" si="16">IFERROR(G34/F34,0)</f>
        <v>0</v>
      </c>
      <c r="I34" s="1083">
        <f>INDEX($D142:$AH142,$C$7)</f>
        <v>2.0178731199269673</v>
      </c>
      <c r="J34" s="1084">
        <f>INDEX($D144:$AH144,$C$7)</f>
        <v>2.1847275168228704</v>
      </c>
      <c r="K34" s="1085">
        <f t="shared" ref="K34:K36" si="17">IFERROR(I34-J34,0)</f>
        <v>-0.16685439689590309</v>
      </c>
      <c r="L34" s="1079">
        <f t="shared" ref="L34:L36" si="18">IFERROR(K34/J34,0)</f>
        <v>-7.6373092576116908E-2</v>
      </c>
    </row>
    <row r="35" spans="2:34" ht="15" customHeight="1">
      <c r="B35" s="1073">
        <v>5.5</v>
      </c>
      <c r="C35" s="1074" t="s">
        <v>50</v>
      </c>
      <c r="D35" s="1075" t="s">
        <v>69</v>
      </c>
      <c r="E35" s="1083" t="str">
        <f>INDEX($D147:$AH147,$C$7)</f>
        <v/>
      </c>
      <c r="F35" s="1084">
        <f>INDEX($D149:$AH149,$C$7)</f>
        <v>2.2355007055332963</v>
      </c>
      <c r="G35" s="1085">
        <f t="shared" si="15"/>
        <v>0</v>
      </c>
      <c r="H35" s="1079">
        <f t="shared" si="16"/>
        <v>0</v>
      </c>
      <c r="I35" s="1083">
        <f>INDEX($D148:$AH148,$C$7)</f>
        <v>1.8025186086535305</v>
      </c>
      <c r="J35" s="1084">
        <f>INDEX($D150:$AH150,$C$7)</f>
        <v>2.1847275168228704</v>
      </c>
      <c r="K35" s="1085">
        <f t="shared" si="17"/>
        <v>-0.38220890816933983</v>
      </c>
      <c r="L35" s="1079">
        <f t="shared" si="18"/>
        <v>-0.17494580226881809</v>
      </c>
    </row>
    <row r="36" spans="2:34" ht="15" customHeight="1" thickBot="1">
      <c r="B36" s="1030">
        <v>5.6</v>
      </c>
      <c r="C36" s="981" t="s">
        <v>34</v>
      </c>
      <c r="D36" s="982" t="s">
        <v>69</v>
      </c>
      <c r="E36" s="1031" t="str">
        <f>INDEX($D153:$AH153,$C$7)</f>
        <v/>
      </c>
      <c r="F36" s="983">
        <f>INDEX($D155:$AH155,$C$7)</f>
        <v>2.2355007055332963</v>
      </c>
      <c r="G36" s="984">
        <f t="shared" si="15"/>
        <v>0</v>
      </c>
      <c r="H36" s="980">
        <f t="shared" si="16"/>
        <v>0</v>
      </c>
      <c r="I36" s="1031">
        <f>INDEX($D154:$AH154,$C$7)</f>
        <v>2.1626404668211157</v>
      </c>
      <c r="J36" s="983">
        <f>INDEX($D156:$AH156,$C$7)</f>
        <v>2.1847275168228704</v>
      </c>
      <c r="K36" s="984">
        <f t="shared" si="17"/>
        <v>-2.2087050001754704E-2</v>
      </c>
      <c r="L36" s="980">
        <f t="shared" si="18"/>
        <v>-1.0109750452484204E-2</v>
      </c>
    </row>
    <row r="37" spans="2:34" ht="14.4" thickBot="1"/>
    <row r="38" spans="2:34">
      <c r="B38" s="762">
        <v>6</v>
      </c>
      <c r="C38" s="769" t="s">
        <v>70</v>
      </c>
      <c r="D38" s="770"/>
      <c r="E38" s="770"/>
      <c r="F38" s="770"/>
      <c r="G38" s="770"/>
      <c r="H38" s="770"/>
      <c r="I38" s="770"/>
      <c r="J38" s="770"/>
      <c r="K38" s="770"/>
      <c r="L38" s="771"/>
    </row>
    <row r="39" spans="2:34" ht="14.1" customHeight="1">
      <c r="B39" s="1073">
        <v>6.1</v>
      </c>
      <c r="C39" s="1074" t="s">
        <v>46</v>
      </c>
      <c r="D39" s="1075" t="s">
        <v>71</v>
      </c>
      <c r="E39" s="1076">
        <f>INDEX($D159:$AH159,$C$7)</f>
        <v>2.77766</v>
      </c>
      <c r="F39" s="1077">
        <f>INDEX($D161:$AH161,$C$7)</f>
        <v>2.053306074766355</v>
      </c>
      <c r="G39" s="1078">
        <f t="shared" ref="G39:G41" si="19">IFERROR(E39-F39,0)</f>
        <v>0.72435392523364506</v>
      </c>
      <c r="H39" s="1079">
        <f t="shared" si="9"/>
        <v>0.35277445196087925</v>
      </c>
      <c r="I39" s="1076">
        <f>INDEX($D160:$AH160,$C$7)</f>
        <v>16.704610000000002</v>
      </c>
      <c r="J39" s="1077">
        <f>INDEX($D162:$AH162,$C$7)</f>
        <v>12.319836448598128</v>
      </c>
      <c r="K39" s="1078">
        <f>IFERROR(I39-J39,0)</f>
        <v>4.3847735514018744</v>
      </c>
      <c r="L39" s="1079">
        <f t="shared" si="8"/>
        <v>0.35591166893297654</v>
      </c>
    </row>
    <row r="40" spans="2:34" ht="14.1" customHeight="1">
      <c r="B40" s="1073">
        <v>6.2</v>
      </c>
      <c r="C40" s="1074" t="s">
        <v>47</v>
      </c>
      <c r="D40" s="1075" t="s">
        <v>71</v>
      </c>
      <c r="E40" s="1076">
        <f>INDEX($D165:$AH165,$C$7)</f>
        <v>0</v>
      </c>
      <c r="F40" s="1077">
        <f>INDEX($D167:$AH167,$C$7)</f>
        <v>2.053306074766355</v>
      </c>
      <c r="G40" s="1078">
        <f t="shared" si="19"/>
        <v>-2.053306074766355</v>
      </c>
      <c r="H40" s="1079">
        <f t="shared" ref="H40" si="20">IFERROR(G40/F40,0)</f>
        <v>-1</v>
      </c>
      <c r="I40" s="1076">
        <f>INDEX($D166:$AH166,$C$7)</f>
        <v>13.00783</v>
      </c>
      <c r="J40" s="1077">
        <f>INDEX($D168:$AH168,$C$7)</f>
        <v>12.005654205607474</v>
      </c>
      <c r="K40" s="1078">
        <f>IFERROR(I40-J40,0)</f>
        <v>1.0021757943925262</v>
      </c>
      <c r="L40" s="1079">
        <f t="shared" ref="L40" si="21">IFERROR(K40/J40,0)</f>
        <v>8.347531731543964E-2</v>
      </c>
    </row>
    <row r="41" spans="2:34" ht="14.25" customHeight="1">
      <c r="B41" s="1073">
        <v>6.3</v>
      </c>
      <c r="C41" s="1074" t="s">
        <v>48</v>
      </c>
      <c r="D41" s="1075" t="s">
        <v>71</v>
      </c>
      <c r="E41" s="1076">
        <f>INDEX($D171:$AH171,$C$7)</f>
        <v>0</v>
      </c>
      <c r="F41" s="1077">
        <f>INDEX($D173:$AH173,$C$7)</f>
        <v>1.9039106308411213</v>
      </c>
      <c r="G41" s="1078">
        <f t="shared" si="19"/>
        <v>-1.9039106308411213</v>
      </c>
      <c r="H41" s="1079">
        <f t="shared" ref="H41" si="22">IFERROR(G41/F41,0)</f>
        <v>-1</v>
      </c>
      <c r="I41" s="1076">
        <f>INDEX($D172:$AH172,$C$7)</f>
        <v>9.4905000000000008</v>
      </c>
      <c r="J41" s="1077">
        <f>INDEX($D174:$AH174,$C$7)</f>
        <v>11.149572137850466</v>
      </c>
      <c r="K41" s="1078">
        <f>IFERROR(I41-J41,0)</f>
        <v>-1.6590721378504654</v>
      </c>
      <c r="L41" s="1079">
        <f t="shared" ref="L41" si="23">IFERROR(K41/J41,0)</f>
        <v>-0.14880141743002517</v>
      </c>
    </row>
    <row r="42" spans="2:34" ht="14.25" customHeight="1">
      <c r="B42" s="1073">
        <v>6.4</v>
      </c>
      <c r="C42" s="1074" t="s">
        <v>49</v>
      </c>
      <c r="D42" s="1075" t="s">
        <v>71</v>
      </c>
      <c r="E42" s="1076">
        <f>INDEX($D177:$AH177,$C$7)</f>
        <v>0</v>
      </c>
      <c r="F42" s="1077">
        <f>INDEX($D179:$AH179,$C$7)</f>
        <v>2.6241898958052161</v>
      </c>
      <c r="G42" s="1078">
        <f t="shared" ref="G42:G44" si="24">IFERROR(E42-F42,0)</f>
        <v>-2.6241898958052161</v>
      </c>
      <c r="H42" s="1079">
        <f t="shared" ref="H42:H44" si="25">IFERROR(G42/F42,0)</f>
        <v>-1</v>
      </c>
      <c r="I42" s="1076">
        <f>INDEX($D178:$AH178,$C$7)</f>
        <v>8.6470312599099994</v>
      </c>
      <c r="J42" s="1077">
        <f>INDEX($D180:$AH180,$C$7)</f>
        <v>14.105237915152353</v>
      </c>
      <c r="K42" s="1078">
        <f t="shared" ref="K42:K44" si="26">IFERROR(I42-J42,0)</f>
        <v>-5.4582066552423534</v>
      </c>
      <c r="L42" s="1079">
        <f t="shared" ref="L42:L44" si="27">IFERROR(K42/J42,0)</f>
        <v>-0.38696310463355971</v>
      </c>
    </row>
    <row r="43" spans="2:34" ht="14.25" customHeight="1">
      <c r="B43" s="1073">
        <v>6.5</v>
      </c>
      <c r="C43" s="1074" t="s">
        <v>50</v>
      </c>
      <c r="D43" s="1075" t="s">
        <v>71</v>
      </c>
      <c r="E43" s="1076">
        <f>INDEX($D183:$AH183,$C$7)</f>
        <v>0</v>
      </c>
      <c r="F43" s="1077">
        <f>INDEX($D185:$AH185,$C$7)</f>
        <v>2.6241898958052161</v>
      </c>
      <c r="G43" s="1078">
        <f t="shared" si="24"/>
        <v>-2.6241898958052161</v>
      </c>
      <c r="H43" s="1079">
        <f t="shared" si="25"/>
        <v>-1</v>
      </c>
      <c r="I43" s="1076">
        <f>INDEX($D184:$AH184,$C$7)</f>
        <v>9.4538548259700015</v>
      </c>
      <c r="J43" s="1077">
        <f>INDEX($D186:$AH186,$C$7)</f>
        <v>14.105237915152353</v>
      </c>
      <c r="K43" s="1078">
        <f t="shared" si="26"/>
        <v>-4.6513830891823513</v>
      </c>
      <c r="L43" s="1079">
        <f t="shared" si="27"/>
        <v>-0.32976282407726487</v>
      </c>
    </row>
    <row r="44" spans="2:34" ht="14.25" customHeight="1" thickBot="1">
      <c r="B44" s="1030">
        <v>6.6</v>
      </c>
      <c r="C44" s="981" t="s">
        <v>34</v>
      </c>
      <c r="D44" s="982" t="s">
        <v>71</v>
      </c>
      <c r="E44" s="1028">
        <f>INDEX($D189:$AH189,$C$7)</f>
        <v>0</v>
      </c>
      <c r="F44" s="973">
        <f>INDEX($D191:$AH191,$C$7)</f>
        <v>2.6241898958052161</v>
      </c>
      <c r="G44" s="985">
        <f t="shared" si="24"/>
        <v>-2.6241898958052161</v>
      </c>
      <c r="H44" s="980">
        <f t="shared" si="25"/>
        <v>-1</v>
      </c>
      <c r="I44" s="1028">
        <f>INDEX($D190:$AH190,$C$7)</f>
        <v>11.34262299204074</v>
      </c>
      <c r="J44" s="973">
        <f>INDEX($D192:$AH192,$C$7)</f>
        <v>14.105237915152353</v>
      </c>
      <c r="K44" s="985">
        <f t="shared" si="26"/>
        <v>-2.7626149231116131</v>
      </c>
      <c r="L44" s="980">
        <f t="shared" si="27"/>
        <v>-0.19585737863690431</v>
      </c>
    </row>
    <row r="46" spans="2:34" s="65" customFormat="1">
      <c r="B46" s="327"/>
      <c r="C46" s="327"/>
      <c r="D46" s="327"/>
      <c r="E46" s="327"/>
      <c r="F46" s="327"/>
      <c r="G46" s="327"/>
      <c r="H46" s="327"/>
      <c r="I46" s="327"/>
      <c r="J46" s="327"/>
      <c r="K46" s="327"/>
      <c r="L46" s="327"/>
    </row>
    <row r="47" spans="2:34" s="379" customFormat="1">
      <c r="B47" s="780"/>
      <c r="C47" s="780"/>
      <c r="D47" s="780"/>
      <c r="E47" s="780"/>
      <c r="F47" s="780"/>
      <c r="G47" s="780"/>
      <c r="H47" s="780"/>
      <c r="I47" s="780"/>
      <c r="J47" s="780"/>
      <c r="K47" s="780"/>
      <c r="L47" s="780"/>
    </row>
    <row r="48" spans="2:34" s="379" customFormat="1">
      <c r="B48" s="780"/>
      <c r="C48" s="780"/>
      <c r="D48" s="781">
        <v>1</v>
      </c>
      <c r="E48" s="781">
        <v>2</v>
      </c>
      <c r="F48" s="781">
        <v>3</v>
      </c>
      <c r="G48" s="781">
        <v>4</v>
      </c>
      <c r="H48" s="781">
        <v>5</v>
      </c>
      <c r="I48" s="781">
        <v>6</v>
      </c>
      <c r="J48" s="781">
        <v>7</v>
      </c>
      <c r="K48" s="781">
        <v>8</v>
      </c>
      <c r="L48" s="781">
        <v>9</v>
      </c>
      <c r="M48" s="781">
        <v>10</v>
      </c>
      <c r="N48" s="781">
        <v>11</v>
      </c>
      <c r="O48" s="781">
        <v>12</v>
      </c>
      <c r="P48" s="781">
        <v>13</v>
      </c>
      <c r="Q48" s="781">
        <v>14</v>
      </c>
      <c r="R48" s="781">
        <v>15</v>
      </c>
      <c r="S48" s="781">
        <v>16</v>
      </c>
      <c r="T48" s="781">
        <v>17</v>
      </c>
      <c r="U48" s="781">
        <v>18</v>
      </c>
      <c r="V48" s="781">
        <v>19</v>
      </c>
      <c r="W48" s="781">
        <v>20</v>
      </c>
      <c r="X48" s="781">
        <v>21</v>
      </c>
      <c r="Y48" s="781">
        <v>22</v>
      </c>
      <c r="Z48" s="781">
        <v>23</v>
      </c>
      <c r="AA48" s="781">
        <v>24</v>
      </c>
      <c r="AB48" s="781">
        <v>25</v>
      </c>
      <c r="AC48" s="781">
        <v>26</v>
      </c>
      <c r="AD48" s="781">
        <v>27</v>
      </c>
      <c r="AE48" s="781">
        <v>28</v>
      </c>
      <c r="AF48" s="781">
        <v>29</v>
      </c>
      <c r="AG48" s="781">
        <v>30</v>
      </c>
      <c r="AH48" s="781">
        <v>31</v>
      </c>
    </row>
    <row r="49" spans="3:34" s="783" customFormat="1">
      <c r="C49" s="782"/>
      <c r="D49" s="782">
        <f>SUMMARY!I16</f>
        <v>45870</v>
      </c>
      <c r="E49" s="782">
        <f>SUMMARY!J16</f>
        <v>45871</v>
      </c>
      <c r="F49" s="782">
        <f>SUMMARY!K16</f>
        <v>45872</v>
      </c>
      <c r="G49" s="782">
        <f>SUMMARY!L16</f>
        <v>45873</v>
      </c>
      <c r="H49" s="782">
        <f>SUMMARY!M16</f>
        <v>45874</v>
      </c>
      <c r="I49" s="782">
        <f>SUMMARY!N16</f>
        <v>45875</v>
      </c>
      <c r="J49" s="782">
        <f>SUMMARY!O16</f>
        <v>45876</v>
      </c>
      <c r="K49" s="782">
        <f>SUMMARY!P16</f>
        <v>45877</v>
      </c>
      <c r="L49" s="782">
        <f>SUMMARY!Q16</f>
        <v>45878</v>
      </c>
      <c r="M49" s="783">
        <f>SUMMARY!R16</f>
        <v>45879</v>
      </c>
      <c r="N49" s="783">
        <f>SUMMARY!S16</f>
        <v>45880</v>
      </c>
      <c r="O49" s="783">
        <f>SUMMARY!T16</f>
        <v>45881</v>
      </c>
      <c r="P49" s="783">
        <f>SUMMARY!U16</f>
        <v>45882</v>
      </c>
      <c r="Q49" s="783">
        <f>SUMMARY!V16</f>
        <v>45883</v>
      </c>
      <c r="R49" s="783">
        <f>SUMMARY!W16</f>
        <v>45884</v>
      </c>
      <c r="S49" s="783">
        <f>SUMMARY!X16</f>
        <v>45885</v>
      </c>
      <c r="T49" s="783">
        <f>SUMMARY!Y16</f>
        <v>45886</v>
      </c>
      <c r="U49" s="783">
        <f>SUMMARY!Z16</f>
        <v>45887</v>
      </c>
      <c r="V49" s="783">
        <f>SUMMARY!AA16</f>
        <v>45888</v>
      </c>
      <c r="W49" s="783">
        <f>SUMMARY!AB16</f>
        <v>45889</v>
      </c>
      <c r="X49" s="783">
        <f>SUMMARY!AC16</f>
        <v>45890</v>
      </c>
      <c r="Y49" s="783">
        <f>SUMMARY!AD16</f>
        <v>45891</v>
      </c>
      <c r="Z49" s="783">
        <f>SUMMARY!AE16</f>
        <v>45892</v>
      </c>
      <c r="AA49" s="783">
        <f>SUMMARY!AF16</f>
        <v>45893</v>
      </c>
      <c r="AB49" s="783">
        <f>SUMMARY!AG16</f>
        <v>45894</v>
      </c>
      <c r="AC49" s="783">
        <f>SUMMARY!AH16</f>
        <v>45895</v>
      </c>
      <c r="AD49" s="783">
        <f>SUMMARY!AI16</f>
        <v>45896</v>
      </c>
      <c r="AE49" s="783">
        <f>SUMMARY!AJ16</f>
        <v>45897</v>
      </c>
      <c r="AF49" s="783">
        <f>SUMMARY!AK16</f>
        <v>45898</v>
      </c>
      <c r="AG49" s="783">
        <f>SUMMARY!AL16</f>
        <v>45899</v>
      </c>
      <c r="AH49" s="783">
        <f>SUMMARY!AM16</f>
        <v>45900</v>
      </c>
    </row>
    <row r="50" spans="3:34" s="783" customFormat="1">
      <c r="C50" s="780" t="str">
        <f>_xlfn.CONCAT(C11," ",C10)</f>
        <v>Southwell Shaft Equiping</v>
      </c>
      <c r="D50" s="782"/>
      <c r="E50" s="782"/>
      <c r="F50" s="782"/>
      <c r="G50" s="782"/>
      <c r="H50" s="782"/>
      <c r="I50" s="782"/>
      <c r="J50" s="782"/>
      <c r="K50" s="782"/>
      <c r="L50" s="782"/>
    </row>
    <row r="51" spans="3:34" s="379" customFormat="1">
      <c r="C51" s="780" t="s">
        <v>16</v>
      </c>
      <c r="D51" s="784" t="e">
        <f>IF(D$48&gt;$C$7,"",Projects!#REF!)</f>
        <v>#REF!</v>
      </c>
      <c r="E51" s="784" t="e">
        <f>IF(E$48&gt;$C$7,"",Projects!#REF!)</f>
        <v>#REF!</v>
      </c>
      <c r="F51" s="784" t="e">
        <f>IF(F$48&gt;$C$7,"",Projects!#REF!)</f>
        <v>#REF!</v>
      </c>
      <c r="G51" s="784" t="e">
        <f>IF(G$48&gt;$C$7,"",Projects!#REF!)</f>
        <v>#REF!</v>
      </c>
      <c r="H51" s="784" t="e">
        <f>IF(H$48&gt;$C$7,"",Projects!#REF!)</f>
        <v>#REF!</v>
      </c>
      <c r="I51" s="784" t="e">
        <f>IF(I$48&gt;$C$7,"",Projects!#REF!)</f>
        <v>#REF!</v>
      </c>
      <c r="J51" s="784" t="str">
        <f>IF(J$48&gt;$C$7,"",Projects!#REF!)</f>
        <v/>
      </c>
      <c r="K51" s="784" t="str">
        <f>IF(K$48&gt;$C$7,"",Projects!#REF!)</f>
        <v/>
      </c>
      <c r="L51" s="784" t="str">
        <f>IF(L$48&gt;$C$7,"",Projects!#REF!)</f>
        <v/>
      </c>
      <c r="M51" s="784" t="str">
        <f>IF(M$48&gt;$C$7,"",Projects!#REF!)</f>
        <v/>
      </c>
      <c r="N51" s="784" t="str">
        <f>IF(N$48&gt;$C$7,"",Projects!#REF!)</f>
        <v/>
      </c>
      <c r="O51" s="784" t="str">
        <f>IF(O$48&gt;$C$7,"",Projects!#REF!)</f>
        <v/>
      </c>
      <c r="P51" s="784" t="str">
        <f>IF(P$48&gt;$C$7,"",Projects!#REF!)</f>
        <v/>
      </c>
      <c r="Q51" s="784" t="str">
        <f>IF(Q$48&gt;$C$7,"",Projects!#REF!)</f>
        <v/>
      </c>
      <c r="R51" s="784" t="str">
        <f>IF(R$48&gt;$C$7,"",Projects!#REF!)</f>
        <v/>
      </c>
      <c r="S51" s="784" t="str">
        <f>IF(S$48&gt;$C$7,"",Projects!#REF!)</f>
        <v/>
      </c>
      <c r="T51" s="784" t="str">
        <f>IF(T$48&gt;$C$7,"",Projects!#REF!)</f>
        <v/>
      </c>
      <c r="U51" s="784" t="str">
        <f>IF(U$48&gt;$C$7,"",Projects!#REF!)</f>
        <v/>
      </c>
      <c r="V51" s="784" t="str">
        <f>IF(V$48&gt;$C$7,"",Projects!#REF!)</f>
        <v/>
      </c>
      <c r="W51" s="784" t="str">
        <f>IF(W$48&gt;$C$7,"",Projects!#REF!)</f>
        <v/>
      </c>
      <c r="X51" s="784" t="str">
        <f>IF(X$48&gt;$C$7,"",Projects!#REF!)</f>
        <v/>
      </c>
      <c r="Y51" s="784" t="str">
        <f>IF(Y$48&gt;$C$7,"",Projects!#REF!)</f>
        <v/>
      </c>
      <c r="Z51" s="784" t="str">
        <f>IF(Z$48&gt;$C$7,"",Projects!#REF!)</f>
        <v/>
      </c>
      <c r="AA51" s="784" t="str">
        <f>IF(AA$48&gt;$C$7,"",Projects!#REF!)</f>
        <v/>
      </c>
      <c r="AB51" s="784" t="str">
        <f>IF(AB$48&gt;$C$7,"",Projects!#REF!)</f>
        <v/>
      </c>
      <c r="AC51" s="784" t="str">
        <f>IF(AC$48&gt;$C$7,"",Projects!#REF!)</f>
        <v/>
      </c>
      <c r="AD51" s="784" t="str">
        <f>IF(AD$48&gt;$C$7,"",Projects!#REF!)</f>
        <v/>
      </c>
      <c r="AE51" s="784" t="str">
        <f>IF(AE$48&gt;$C$7,"",Projects!#REF!)</f>
        <v/>
      </c>
      <c r="AF51" s="784" t="str">
        <f>IF(AF$48&gt;$C$7,"",Projects!#REF!)</f>
        <v/>
      </c>
      <c r="AG51" s="784" t="str">
        <f>IF(AG$48&gt;$C$7,"",Projects!#REF!)</f>
        <v/>
      </c>
      <c r="AH51" s="784" t="str">
        <f>IF(AH$48&gt;$C$7,"",Projects!#REF!)</f>
        <v/>
      </c>
    </row>
    <row r="52" spans="3:34" s="379" customFormat="1">
      <c r="C52" s="780" t="s">
        <v>72</v>
      </c>
      <c r="D52" s="784" t="e">
        <f>D51</f>
        <v>#REF!</v>
      </c>
      <c r="E52" s="784" t="str">
        <f>IFERROR(E51+D52,"")</f>
        <v/>
      </c>
      <c r="F52" s="784" t="str">
        <f>IFERROR(F51+E52,"")</f>
        <v/>
      </c>
      <c r="G52" s="784" t="str">
        <f t="shared" ref="G52" si="28">IFERROR(G51+F52,"")</f>
        <v/>
      </c>
      <c r="H52" s="784" t="str">
        <f t="shared" ref="H52" si="29">IFERROR(H51+G52,"")</f>
        <v/>
      </c>
      <c r="I52" s="784" t="str">
        <f t="shared" ref="I52" si="30">IFERROR(I51+H52,"")</f>
        <v/>
      </c>
      <c r="J52" s="784" t="str">
        <f t="shared" ref="J52" si="31">IFERROR(J51+I52,"")</f>
        <v/>
      </c>
      <c r="K52" s="784" t="str">
        <f t="shared" ref="K52" si="32">IFERROR(K51+J52,"")</f>
        <v/>
      </c>
      <c r="L52" s="784" t="str">
        <f t="shared" ref="L52" si="33">IFERROR(L51+K52,"")</f>
        <v/>
      </c>
      <c r="M52" s="785" t="str">
        <f>IFERROR(M51+L52,"")</f>
        <v/>
      </c>
      <c r="N52" s="785" t="str">
        <f t="shared" ref="N52" si="34">IFERROR(N51+M52,"")</f>
        <v/>
      </c>
      <c r="O52" s="785" t="str">
        <f t="shared" ref="O52" si="35">IFERROR(O51+N52,"")</f>
        <v/>
      </c>
      <c r="P52" s="785" t="str">
        <f t="shared" ref="P52" si="36">IFERROR(P51+O52,"")</f>
        <v/>
      </c>
      <c r="Q52" s="785" t="str">
        <f t="shared" ref="Q52" si="37">IFERROR(Q51+P52,"")</f>
        <v/>
      </c>
      <c r="R52" s="785" t="str">
        <f t="shared" ref="R52" si="38">IFERROR(R51+Q52,"")</f>
        <v/>
      </c>
      <c r="S52" s="785" t="str">
        <f t="shared" ref="S52" si="39">IFERROR(S51+R52,"")</f>
        <v/>
      </c>
      <c r="T52" s="785" t="str">
        <f t="shared" ref="T52" si="40">IFERROR(T51+S52,"")</f>
        <v/>
      </c>
      <c r="U52" s="785" t="str">
        <f t="shared" ref="U52" si="41">IFERROR(U51+T52,"")</f>
        <v/>
      </c>
      <c r="V52" s="785" t="str">
        <f t="shared" ref="V52" si="42">IFERROR(V51+U52,"")</f>
        <v/>
      </c>
      <c r="W52" s="785" t="str">
        <f t="shared" ref="W52" si="43">IFERROR(W51+V52,"")</f>
        <v/>
      </c>
      <c r="X52" s="785" t="str">
        <f t="shared" ref="X52" si="44">IFERROR(X51+W52,"")</f>
        <v/>
      </c>
      <c r="Y52" s="785" t="str">
        <f t="shared" ref="Y52" si="45">IFERROR(Y51+X52,"")</f>
        <v/>
      </c>
      <c r="Z52" s="785" t="str">
        <f t="shared" ref="Z52" si="46">IFERROR(Z51+Y52,"")</f>
        <v/>
      </c>
      <c r="AA52" s="785" t="str">
        <f t="shared" ref="AA52" si="47">IFERROR(AA51+Z52,"")</f>
        <v/>
      </c>
      <c r="AB52" s="785" t="str">
        <f t="shared" ref="AB52" si="48">IFERROR(AB51+AA52,"")</f>
        <v/>
      </c>
      <c r="AC52" s="785" t="str">
        <f t="shared" ref="AC52" si="49">IFERROR(AC51+AB52,"")</f>
        <v/>
      </c>
      <c r="AD52" s="785" t="str">
        <f t="shared" ref="AD52" si="50">IFERROR(AD51+AC52,"")</f>
        <v/>
      </c>
      <c r="AE52" s="785" t="str">
        <f t="shared" ref="AE52" si="51">IFERROR(AE51+AD52,"")</f>
        <v/>
      </c>
      <c r="AF52" s="785" t="str">
        <f t="shared" ref="AF52" si="52">IFERROR(AF51+AE52,"")</f>
        <v/>
      </c>
      <c r="AG52" s="785" t="str">
        <f t="shared" ref="AG52" si="53">IFERROR(AG51+AF52,"")</f>
        <v/>
      </c>
      <c r="AH52" s="785" t="str">
        <f t="shared" ref="AH52" si="54">IFERROR(AH51+AG52,"")</f>
        <v/>
      </c>
    </row>
    <row r="53" spans="3:34" s="379" customFormat="1">
      <c r="C53" s="780" t="s">
        <v>17</v>
      </c>
      <c r="D53" s="784" t="e">
        <f>IF(D$48&gt;$C$7,"",Projects!#REF!)</f>
        <v>#REF!</v>
      </c>
      <c r="E53" s="784" t="e">
        <f>IF(E$48&gt;$C$7,"",Projects!#REF!)</f>
        <v>#REF!</v>
      </c>
      <c r="F53" s="784" t="e">
        <f>IF(F$48&gt;$C$7,"",Projects!#REF!)</f>
        <v>#REF!</v>
      </c>
      <c r="G53" s="784" t="e">
        <f>IF(G$48&gt;$C$7,"",Projects!#REF!)</f>
        <v>#REF!</v>
      </c>
      <c r="H53" s="784" t="e">
        <f>IF(H$48&gt;$C$7,"",Projects!#REF!)</f>
        <v>#REF!</v>
      </c>
      <c r="I53" s="784" t="e">
        <f>IF(I$48&gt;$C$7,"",Projects!#REF!)</f>
        <v>#REF!</v>
      </c>
      <c r="J53" s="784" t="str">
        <f>IF(J$48&gt;$C$7,"",Projects!#REF!)</f>
        <v/>
      </c>
      <c r="K53" s="784" t="str">
        <f>IF(K$48&gt;$C$7,"",Projects!#REF!)</f>
        <v/>
      </c>
      <c r="L53" s="784" t="str">
        <f>IF(L$48&gt;$C$7,"",Projects!#REF!)</f>
        <v/>
      </c>
      <c r="M53" s="784" t="str">
        <f>IF(M$48&gt;$C$7,"",Projects!#REF!)</f>
        <v/>
      </c>
      <c r="N53" s="784" t="str">
        <f>IF(N$48&gt;$C$7,"",Projects!#REF!)</f>
        <v/>
      </c>
      <c r="O53" s="784" t="str">
        <f>IF(O$48&gt;$C$7,"",Projects!#REF!)</f>
        <v/>
      </c>
      <c r="P53" s="784" t="str">
        <f>IF(P$48&gt;$C$7,"",Projects!#REF!)</f>
        <v/>
      </c>
      <c r="Q53" s="784" t="str">
        <f>IF(Q$48&gt;$C$7,"",Projects!#REF!)</f>
        <v/>
      </c>
      <c r="R53" s="784" t="str">
        <f>IF(R$48&gt;$C$7,"",Projects!#REF!)</f>
        <v/>
      </c>
      <c r="S53" s="784" t="str">
        <f>IF(S$48&gt;$C$7,"",Projects!#REF!)</f>
        <v/>
      </c>
      <c r="T53" s="784" t="str">
        <f>IF(T$48&gt;$C$7,"",Projects!#REF!)</f>
        <v/>
      </c>
      <c r="U53" s="784" t="str">
        <f>IF(U$48&gt;$C$7,"",Projects!#REF!)</f>
        <v/>
      </c>
      <c r="V53" s="784" t="str">
        <f>IF(V$48&gt;$C$7,"",Projects!#REF!)</f>
        <v/>
      </c>
      <c r="W53" s="784" t="str">
        <f>IF(W$48&gt;$C$7,"",Projects!#REF!)</f>
        <v/>
      </c>
      <c r="X53" s="784" t="str">
        <f>IF(X$48&gt;$C$7,"",Projects!#REF!)</f>
        <v/>
      </c>
      <c r="Y53" s="784" t="str">
        <f>IF(Y$48&gt;$C$7,"",Projects!#REF!)</f>
        <v/>
      </c>
      <c r="Z53" s="784" t="str">
        <f>IF(Z$48&gt;$C$7,"",Projects!#REF!)</f>
        <v/>
      </c>
      <c r="AA53" s="784" t="str">
        <f>IF(AA$48&gt;$C$7,"",Projects!#REF!)</f>
        <v/>
      </c>
      <c r="AB53" s="784" t="str">
        <f>IF(AB$48&gt;$C$7,"",Projects!#REF!)</f>
        <v/>
      </c>
      <c r="AC53" s="784" t="str">
        <f>IF(AC$48&gt;$C$7,"",Projects!#REF!)</f>
        <v/>
      </c>
      <c r="AD53" s="784" t="str">
        <f>IF(AD$48&gt;$C$7,"",Projects!#REF!)</f>
        <v/>
      </c>
      <c r="AE53" s="784" t="str">
        <f>IF(AE$48&gt;$C$7,"",Projects!#REF!)</f>
        <v/>
      </c>
      <c r="AF53" s="784" t="str">
        <f>IF(AF$48&gt;$C$7,"",Projects!#REF!)</f>
        <v/>
      </c>
      <c r="AG53" s="784" t="str">
        <f>IF(AG$48&gt;$C$7,"",Projects!#REF!)</f>
        <v/>
      </c>
      <c r="AH53" s="784" t="str">
        <f>IF(AH$48&gt;$C$7,"",Projects!#REF!)</f>
        <v/>
      </c>
    </row>
    <row r="54" spans="3:34" s="379" customFormat="1">
      <c r="C54" s="780" t="s">
        <v>73</v>
      </c>
      <c r="D54" s="784" t="e">
        <f>D53</f>
        <v>#REF!</v>
      </c>
      <c r="E54" s="784" t="str">
        <f>IFERROR(E53+D54,"")</f>
        <v/>
      </c>
      <c r="F54" s="784" t="str">
        <f>IFERROR(F53+E54,"")</f>
        <v/>
      </c>
      <c r="G54" s="784" t="str">
        <f t="shared" ref="G54" si="55">IFERROR(G53+F54,"")</f>
        <v/>
      </c>
      <c r="H54" s="784" t="str">
        <f t="shared" ref="H54" si="56">IFERROR(H53+G54,"")</f>
        <v/>
      </c>
      <c r="I54" s="784" t="str">
        <f t="shared" ref="I54" si="57">IFERROR(I53+H54,"")</f>
        <v/>
      </c>
      <c r="J54" s="784" t="str">
        <f t="shared" ref="J54" si="58">IFERROR(J53+I54,"")</f>
        <v/>
      </c>
      <c r="K54" s="784" t="str">
        <f t="shared" ref="K54" si="59">IFERROR(K53+J54,"")</f>
        <v/>
      </c>
      <c r="L54" s="784" t="str">
        <f t="shared" ref="L54" si="60">IFERROR(L53+K54,"")</f>
        <v/>
      </c>
      <c r="M54" s="785" t="str">
        <f>IFERROR(M53+L54,"")</f>
        <v/>
      </c>
      <c r="N54" s="785" t="str">
        <f t="shared" ref="N54" si="61">IFERROR(N53+M54,"")</f>
        <v/>
      </c>
      <c r="O54" s="785" t="str">
        <f t="shared" ref="O54" si="62">IFERROR(O53+N54,"")</f>
        <v/>
      </c>
      <c r="P54" s="785" t="str">
        <f t="shared" ref="P54" si="63">IFERROR(P53+O54,"")</f>
        <v/>
      </c>
      <c r="Q54" s="785" t="str">
        <f t="shared" ref="Q54" si="64">IFERROR(Q53+P54,"")</f>
        <v/>
      </c>
      <c r="R54" s="785" t="str">
        <f t="shared" ref="R54" si="65">IFERROR(R53+Q54,"")</f>
        <v/>
      </c>
      <c r="S54" s="785" t="str">
        <f t="shared" ref="S54" si="66">IFERROR(S53+R54,"")</f>
        <v/>
      </c>
      <c r="T54" s="785" t="str">
        <f t="shared" ref="T54" si="67">IFERROR(T53+S54,"")</f>
        <v/>
      </c>
      <c r="U54" s="785" t="str">
        <f t="shared" ref="U54" si="68">IFERROR(U53+T54,"")</f>
        <v/>
      </c>
      <c r="V54" s="785" t="str">
        <f t="shared" ref="V54" si="69">IFERROR(V53+U54,"")</f>
        <v/>
      </c>
      <c r="W54" s="785" t="str">
        <f t="shared" ref="W54" si="70">IFERROR(W53+V54,"")</f>
        <v/>
      </c>
      <c r="X54" s="785" t="str">
        <f t="shared" ref="X54" si="71">IFERROR(X53+W54,"")</f>
        <v/>
      </c>
      <c r="Y54" s="785" t="str">
        <f t="shared" ref="Y54" si="72">IFERROR(Y53+X54,"")</f>
        <v/>
      </c>
      <c r="Z54" s="785" t="str">
        <f t="shared" ref="Z54" si="73">IFERROR(Z53+Y54,"")</f>
        <v/>
      </c>
      <c r="AA54" s="785" t="str">
        <f t="shared" ref="AA54" si="74">IFERROR(AA53+Z54,"")</f>
        <v/>
      </c>
      <c r="AB54" s="785" t="str">
        <f t="shared" ref="AB54" si="75">IFERROR(AB53+AA54,"")</f>
        <v/>
      </c>
      <c r="AC54" s="785" t="str">
        <f t="shared" ref="AC54" si="76">IFERROR(AC53+AB54,"")</f>
        <v/>
      </c>
      <c r="AD54" s="785" t="str">
        <f t="shared" ref="AD54" si="77">IFERROR(AD53+AC54,"")</f>
        <v/>
      </c>
      <c r="AE54" s="785" t="str">
        <f t="shared" ref="AE54" si="78">IFERROR(AE53+AD54,"")</f>
        <v/>
      </c>
      <c r="AF54" s="785" t="str">
        <f t="shared" ref="AF54" si="79">IFERROR(AF53+AE54,"")</f>
        <v/>
      </c>
      <c r="AG54" s="785" t="str">
        <f t="shared" ref="AG54" si="80">IFERROR(AG53+AF54,"")</f>
        <v/>
      </c>
      <c r="AH54" s="785" t="str">
        <f t="shared" ref="AH54" si="81">IFERROR(AH53+AG54,"")</f>
        <v/>
      </c>
    </row>
    <row r="55" spans="3:34" s="783" customFormat="1">
      <c r="C55" s="782"/>
      <c r="D55" s="782"/>
      <c r="E55" s="782"/>
      <c r="F55" s="782"/>
      <c r="G55" s="782"/>
      <c r="H55" s="782"/>
      <c r="I55" s="782"/>
      <c r="J55" s="782"/>
      <c r="K55" s="782"/>
      <c r="L55" s="782"/>
    </row>
    <row r="56" spans="3:34" s="783" customFormat="1">
      <c r="C56" s="780" t="str">
        <f>_xlfn.CONCAT(C14," ",C13)</f>
        <v>Surface Diamond Drilling</v>
      </c>
      <c r="D56" s="782"/>
      <c r="E56" s="782"/>
      <c r="F56" s="782"/>
      <c r="G56" s="782"/>
      <c r="H56" s="782"/>
      <c r="I56" s="782"/>
      <c r="J56" s="782"/>
      <c r="K56" s="782"/>
      <c r="L56" s="782"/>
    </row>
    <row r="57" spans="3:34" s="379" customFormat="1">
      <c r="C57" s="780" t="s">
        <v>16</v>
      </c>
      <c r="D57" s="784">
        <f>IF(D$48&gt;$C$7,"",D_Drilling!H11)</f>
        <v>0</v>
      </c>
      <c r="E57" s="784">
        <f>IF(E$48&gt;$C$7,"",D_Drilling!I11)</f>
        <v>0</v>
      </c>
      <c r="F57" s="784">
        <f>IF(F$48&gt;$C$7,"",D_Drilling!J11)</f>
        <v>0</v>
      </c>
      <c r="G57" s="784">
        <f>IF(G$48&gt;$C$7,"",D_Drilling!K11)</f>
        <v>0</v>
      </c>
      <c r="H57" s="784">
        <f>IF(H$48&gt;$C$7,"",D_Drilling!L11)</f>
        <v>0</v>
      </c>
      <c r="I57" s="784" t="str">
        <f>IF(I$48&gt;$C$7,"",D_Drilling!M11)</f>
        <v/>
      </c>
      <c r="J57" s="784" t="str">
        <f>IF(J$48&gt;$C$7,"",D_Drilling!N11)</f>
        <v/>
      </c>
      <c r="K57" s="784" t="str">
        <f>IF(K$48&gt;$C$7,"",D_Drilling!O11)</f>
        <v/>
      </c>
      <c r="L57" s="784" t="str">
        <f>IF(L$48&gt;$C$7,"",D_Drilling!P11)</f>
        <v/>
      </c>
      <c r="M57" s="784" t="str">
        <f>IF(M$48&gt;$C$7,"",D_Drilling!Q11)</f>
        <v/>
      </c>
      <c r="N57" s="784" t="str">
        <f>IF(N$48&gt;$C$7,"",D_Drilling!R11)</f>
        <v/>
      </c>
      <c r="O57" s="784" t="str">
        <f>IF(O$48&gt;$C$7,"",D_Drilling!S11)</f>
        <v/>
      </c>
      <c r="P57" s="784" t="str">
        <f>IF(P$48&gt;$C$7,"",D_Drilling!T11)</f>
        <v/>
      </c>
      <c r="Q57" s="784" t="str">
        <f>IF(Q$48&gt;$C$7,"",D_Drilling!U11)</f>
        <v/>
      </c>
      <c r="R57" s="784" t="str">
        <f>IF(R$48&gt;$C$7,"",D_Drilling!V11)</f>
        <v/>
      </c>
      <c r="S57" s="784" t="str">
        <f>IF(S$48&gt;$C$7,"",D_Drilling!W11)</f>
        <v/>
      </c>
      <c r="T57" s="784" t="str">
        <f>IF(T$48&gt;$C$7,"",D_Drilling!X11)</f>
        <v/>
      </c>
      <c r="U57" s="784" t="str">
        <f>IF(U$48&gt;$C$7,"",D_Drilling!Y11)</f>
        <v/>
      </c>
      <c r="V57" s="784" t="str">
        <f>IF(V$48&gt;$C$7,"",D_Drilling!Z11)</f>
        <v/>
      </c>
      <c r="W57" s="784" t="str">
        <f>IF(W$48&gt;$C$7,"",D_Drilling!AA11)</f>
        <v/>
      </c>
      <c r="X57" s="784" t="str">
        <f>IF(X$48&gt;$C$7,"",D_Drilling!AB11)</f>
        <v/>
      </c>
      <c r="Y57" s="784" t="str">
        <f>IF(Y$48&gt;$C$7,"",D_Drilling!AC11)</f>
        <v/>
      </c>
      <c r="Z57" s="784" t="str">
        <f>IF(Z$48&gt;$C$7,"",D_Drilling!AD11)</f>
        <v/>
      </c>
      <c r="AA57" s="784" t="str">
        <f>IF(AA$48&gt;$C$7,"",D_Drilling!AE11)</f>
        <v/>
      </c>
      <c r="AB57" s="784" t="str">
        <f>IF(AB$48&gt;$C$7,"",D_Drilling!AF11)</f>
        <v/>
      </c>
      <c r="AC57" s="784" t="str">
        <f>IF(AC$48&gt;$C$7,"",D_Drilling!AG11)</f>
        <v/>
      </c>
      <c r="AD57" s="784" t="str">
        <f>IF(AD$48&gt;$C$7,"",D_Drilling!AH11)</f>
        <v/>
      </c>
      <c r="AE57" s="784" t="str">
        <f>IF(AE$48&gt;$C$7,"",D_Drilling!AI11)</f>
        <v/>
      </c>
      <c r="AF57" s="784" t="str">
        <f>IF(AF$48&gt;$C$7,"",D_Drilling!AJ11)</f>
        <v/>
      </c>
      <c r="AG57" s="784" t="str">
        <f>IF(AG$48&gt;$C$7,"",D_Drilling!AK11)</f>
        <v/>
      </c>
      <c r="AH57" s="784" t="str">
        <f>IF(AH$48&gt;$C$7,"",D_Drilling!AL11)</f>
        <v/>
      </c>
    </row>
    <row r="58" spans="3:34" s="379" customFormat="1">
      <c r="C58" s="780" t="s">
        <v>72</v>
      </c>
      <c r="D58" s="784">
        <f>D57</f>
        <v>0</v>
      </c>
      <c r="E58" s="784">
        <f>IFERROR(E57+D58,"")</f>
        <v>0</v>
      </c>
      <c r="F58" s="784">
        <f>IFERROR(F57+E58,"")</f>
        <v>0</v>
      </c>
      <c r="G58" s="784">
        <f t="shared" ref="G58" si="82">IFERROR(G57+F58,"")</f>
        <v>0</v>
      </c>
      <c r="H58" s="784">
        <f t="shared" ref="H58" si="83">IFERROR(H57+G58,"")</f>
        <v>0</v>
      </c>
      <c r="I58" s="784" t="str">
        <f t="shared" ref="I58" si="84">IFERROR(I57+H58,"")</f>
        <v/>
      </c>
      <c r="J58" s="784" t="str">
        <f t="shared" ref="J58" si="85">IFERROR(J57+I58,"")</f>
        <v/>
      </c>
      <c r="K58" s="784" t="str">
        <f t="shared" ref="K58" si="86">IFERROR(K57+J58,"")</f>
        <v/>
      </c>
      <c r="L58" s="784" t="str">
        <f t="shared" ref="L58" si="87">IFERROR(L57+K58,"")</f>
        <v/>
      </c>
      <c r="M58" s="785" t="str">
        <f>IFERROR(M57+L58,"")</f>
        <v/>
      </c>
      <c r="N58" s="785" t="str">
        <f t="shared" ref="N58" si="88">IFERROR(N57+M58,"")</f>
        <v/>
      </c>
      <c r="O58" s="785" t="str">
        <f t="shared" ref="O58" si="89">IFERROR(O57+N58,"")</f>
        <v/>
      </c>
      <c r="P58" s="785" t="str">
        <f t="shared" ref="P58" si="90">IFERROR(P57+O58,"")</f>
        <v/>
      </c>
      <c r="Q58" s="785" t="str">
        <f t="shared" ref="Q58" si="91">IFERROR(Q57+P58,"")</f>
        <v/>
      </c>
      <c r="R58" s="785" t="str">
        <f t="shared" ref="R58" si="92">IFERROR(R57+Q58,"")</f>
        <v/>
      </c>
      <c r="S58" s="785" t="str">
        <f t="shared" ref="S58" si="93">IFERROR(S57+R58,"")</f>
        <v/>
      </c>
      <c r="T58" s="785" t="str">
        <f t="shared" ref="T58" si="94">IFERROR(T57+S58,"")</f>
        <v/>
      </c>
      <c r="U58" s="785" t="str">
        <f t="shared" ref="U58" si="95">IFERROR(U57+T58,"")</f>
        <v/>
      </c>
      <c r="V58" s="785" t="str">
        <f t="shared" ref="V58" si="96">IFERROR(V57+U58,"")</f>
        <v/>
      </c>
      <c r="W58" s="785" t="str">
        <f t="shared" ref="W58" si="97">IFERROR(W57+V58,"")</f>
        <v/>
      </c>
      <c r="X58" s="785" t="str">
        <f t="shared" ref="X58" si="98">IFERROR(X57+W58,"")</f>
        <v/>
      </c>
      <c r="Y58" s="785" t="str">
        <f t="shared" ref="Y58" si="99">IFERROR(Y57+X58,"")</f>
        <v/>
      </c>
      <c r="Z58" s="785" t="str">
        <f t="shared" ref="Z58" si="100">IFERROR(Z57+Y58,"")</f>
        <v/>
      </c>
      <c r="AA58" s="785" t="str">
        <f t="shared" ref="AA58" si="101">IFERROR(AA57+Z58,"")</f>
        <v/>
      </c>
      <c r="AB58" s="785" t="str">
        <f t="shared" ref="AB58" si="102">IFERROR(AB57+AA58,"")</f>
        <v/>
      </c>
      <c r="AC58" s="785" t="str">
        <f t="shared" ref="AC58" si="103">IFERROR(AC57+AB58,"")</f>
        <v/>
      </c>
      <c r="AD58" s="785" t="str">
        <f t="shared" ref="AD58" si="104">IFERROR(AD57+AC58,"")</f>
        <v/>
      </c>
      <c r="AE58" s="785" t="str">
        <f t="shared" ref="AE58" si="105">IFERROR(AE57+AD58,"")</f>
        <v/>
      </c>
      <c r="AF58" s="785" t="str">
        <f t="shared" ref="AF58" si="106">IFERROR(AF57+AE58,"")</f>
        <v/>
      </c>
      <c r="AG58" s="785" t="str">
        <f t="shared" ref="AG58" si="107">IFERROR(AG57+AF58,"")</f>
        <v/>
      </c>
      <c r="AH58" s="785" t="str">
        <f t="shared" ref="AH58" si="108">IFERROR(AH57+AG58,"")</f>
        <v/>
      </c>
    </row>
    <row r="59" spans="3:34" s="379" customFormat="1">
      <c r="C59" s="780" t="s">
        <v>17</v>
      </c>
      <c r="D59" s="784">
        <f>IF(D$48&gt;$C$7,"",D_Drilling!H10)</f>
        <v>0</v>
      </c>
      <c r="E59" s="784">
        <f>IF(E$48&gt;$C$7,"",D_Drilling!I10)</f>
        <v>0</v>
      </c>
      <c r="F59" s="784">
        <f>IF(F$48&gt;$C$7,"",D_Drilling!J10)</f>
        <v>0</v>
      </c>
      <c r="G59" s="784">
        <f>IF(G$48&gt;$C$7,"",D_Drilling!K10)</f>
        <v>0</v>
      </c>
      <c r="H59" s="784">
        <f>IF(H$48&gt;$C$7,"",D_Drilling!L10)</f>
        <v>0</v>
      </c>
      <c r="I59" s="784" t="str">
        <f>IF(I$48&gt;$C$7,"",D_Drilling!M10)</f>
        <v/>
      </c>
      <c r="J59" s="784" t="str">
        <f>IF(J$48&gt;$C$7,"",D_Drilling!N10)</f>
        <v/>
      </c>
      <c r="K59" s="784" t="str">
        <f>IF(K$48&gt;$C$7,"",D_Drilling!O10)</f>
        <v/>
      </c>
      <c r="L59" s="784" t="str">
        <f>IF(L$48&gt;$C$7,"",D_Drilling!P10)</f>
        <v/>
      </c>
      <c r="M59" s="784" t="str">
        <f>IF(M$48&gt;$C$7,"",D_Drilling!Q10)</f>
        <v/>
      </c>
      <c r="N59" s="784" t="str">
        <f>IF(N$48&gt;$C$7,"",D_Drilling!R10)</f>
        <v/>
      </c>
      <c r="O59" s="784" t="str">
        <f>IF(O$48&gt;$C$7,"",D_Drilling!S10)</f>
        <v/>
      </c>
      <c r="P59" s="784" t="str">
        <f>IF(P$48&gt;$C$7,"",D_Drilling!T10)</f>
        <v/>
      </c>
      <c r="Q59" s="784" t="str">
        <f>IF(Q$48&gt;$C$7,"",D_Drilling!U10)</f>
        <v/>
      </c>
      <c r="R59" s="784" t="str">
        <f>IF(R$48&gt;$C$7,"",D_Drilling!V10)</f>
        <v/>
      </c>
      <c r="S59" s="784" t="str">
        <f>IF(S$48&gt;$C$7,"",D_Drilling!W10)</f>
        <v/>
      </c>
      <c r="T59" s="784" t="str">
        <f>IF(T$48&gt;$C$7,"",D_Drilling!X10)</f>
        <v/>
      </c>
      <c r="U59" s="784" t="str">
        <f>IF(U$48&gt;$C$7,"",D_Drilling!Y10)</f>
        <v/>
      </c>
      <c r="V59" s="784" t="str">
        <f>IF(V$48&gt;$C$7,"",D_Drilling!Z10)</f>
        <v/>
      </c>
      <c r="W59" s="784" t="str">
        <f>IF(W$48&gt;$C$7,"",D_Drilling!AA10)</f>
        <v/>
      </c>
      <c r="X59" s="784" t="str">
        <f>IF(X$48&gt;$C$7,"",D_Drilling!AB10)</f>
        <v/>
      </c>
      <c r="Y59" s="784" t="str">
        <f>IF(Y$48&gt;$C$7,"",D_Drilling!AC10)</f>
        <v/>
      </c>
      <c r="Z59" s="784" t="str">
        <f>IF(Z$48&gt;$C$7,"",D_Drilling!AD10)</f>
        <v/>
      </c>
      <c r="AA59" s="784" t="str">
        <f>IF(AA$48&gt;$C$7,"",D_Drilling!AE10)</f>
        <v/>
      </c>
      <c r="AB59" s="784" t="str">
        <f>IF(AB$48&gt;$C$7,"",D_Drilling!AF10)</f>
        <v/>
      </c>
      <c r="AC59" s="784" t="str">
        <f>IF(AC$48&gt;$C$7,"",D_Drilling!AG10)</f>
        <v/>
      </c>
      <c r="AD59" s="784" t="str">
        <f>IF(AD$48&gt;$C$7,"",D_Drilling!AH10)</f>
        <v/>
      </c>
      <c r="AE59" s="784" t="str">
        <f>IF(AE$48&gt;$C$7,"",D_Drilling!AI10)</f>
        <v/>
      </c>
      <c r="AF59" s="784" t="str">
        <f>IF(AF$48&gt;$C$7,"",D_Drilling!AJ10)</f>
        <v/>
      </c>
      <c r="AG59" s="784" t="str">
        <f>IF(AG$48&gt;$C$7,"",D_Drilling!AK10)</f>
        <v/>
      </c>
      <c r="AH59" s="784" t="str">
        <f>IF(AH$48&gt;$C$7,"",D_Drilling!AL10)</f>
        <v/>
      </c>
    </row>
    <row r="60" spans="3:34" s="379" customFormat="1">
      <c r="C60" s="780" t="s">
        <v>73</v>
      </c>
      <c r="D60" s="784">
        <f>D59</f>
        <v>0</v>
      </c>
      <c r="E60" s="784">
        <f>IFERROR(E59+D60,"")</f>
        <v>0</v>
      </c>
      <c r="F60" s="784">
        <f t="shared" ref="F60:AH60" si="109">IFERROR(F59+E60,"")</f>
        <v>0</v>
      </c>
      <c r="G60" s="784">
        <f t="shared" si="109"/>
        <v>0</v>
      </c>
      <c r="H60" s="784">
        <f t="shared" si="109"/>
        <v>0</v>
      </c>
      <c r="I60" s="784" t="str">
        <f t="shared" si="109"/>
        <v/>
      </c>
      <c r="J60" s="784" t="str">
        <f t="shared" si="109"/>
        <v/>
      </c>
      <c r="K60" s="784" t="str">
        <f t="shared" si="109"/>
        <v/>
      </c>
      <c r="L60" s="784" t="str">
        <f t="shared" si="109"/>
        <v/>
      </c>
      <c r="M60" s="784" t="str">
        <f t="shared" si="109"/>
        <v/>
      </c>
      <c r="N60" s="784" t="str">
        <f t="shared" si="109"/>
        <v/>
      </c>
      <c r="O60" s="784" t="str">
        <f t="shared" si="109"/>
        <v/>
      </c>
      <c r="P60" s="784" t="str">
        <f t="shared" si="109"/>
        <v/>
      </c>
      <c r="Q60" s="784" t="str">
        <f t="shared" si="109"/>
        <v/>
      </c>
      <c r="R60" s="784" t="str">
        <f t="shared" si="109"/>
        <v/>
      </c>
      <c r="S60" s="784" t="str">
        <f t="shared" si="109"/>
        <v/>
      </c>
      <c r="T60" s="784" t="str">
        <f t="shared" si="109"/>
        <v/>
      </c>
      <c r="U60" s="784" t="str">
        <f t="shared" si="109"/>
        <v/>
      </c>
      <c r="V60" s="784" t="str">
        <f t="shared" si="109"/>
        <v/>
      </c>
      <c r="W60" s="784" t="str">
        <f t="shared" si="109"/>
        <v/>
      </c>
      <c r="X60" s="784" t="str">
        <f t="shared" si="109"/>
        <v/>
      </c>
      <c r="Y60" s="784" t="str">
        <f t="shared" si="109"/>
        <v/>
      </c>
      <c r="Z60" s="784" t="str">
        <f t="shared" si="109"/>
        <v/>
      </c>
      <c r="AA60" s="784" t="str">
        <f t="shared" si="109"/>
        <v/>
      </c>
      <c r="AB60" s="784" t="str">
        <f t="shared" si="109"/>
        <v/>
      </c>
      <c r="AC60" s="784" t="str">
        <f t="shared" si="109"/>
        <v/>
      </c>
      <c r="AD60" s="784" t="str">
        <f t="shared" si="109"/>
        <v/>
      </c>
      <c r="AE60" s="784" t="str">
        <f t="shared" si="109"/>
        <v/>
      </c>
      <c r="AF60" s="784" t="str">
        <f t="shared" si="109"/>
        <v/>
      </c>
      <c r="AG60" s="784" t="str">
        <f t="shared" si="109"/>
        <v/>
      </c>
      <c r="AH60" s="784" t="str">
        <f t="shared" si="109"/>
        <v/>
      </c>
    </row>
    <row r="61" spans="3:34" s="783" customFormat="1">
      <c r="C61" s="782"/>
      <c r="D61" s="782"/>
      <c r="E61" s="782"/>
      <c r="F61" s="782"/>
      <c r="G61" s="782"/>
      <c r="H61" s="782"/>
      <c r="I61" s="782"/>
      <c r="J61" s="782"/>
      <c r="K61" s="782"/>
      <c r="L61" s="782"/>
    </row>
    <row r="62" spans="3:34" s="379" customFormat="1">
      <c r="C62" s="780" t="str">
        <f>_xlfn.CONCAT(C15," ",C13)</f>
        <v>Underground Diamond Drilling</v>
      </c>
      <c r="D62" s="784"/>
      <c r="E62" s="784"/>
      <c r="F62" s="784"/>
      <c r="G62" s="784"/>
      <c r="H62" s="784"/>
      <c r="I62" s="784"/>
      <c r="J62" s="784"/>
      <c r="K62" s="784"/>
      <c r="L62" s="784"/>
      <c r="M62" s="785"/>
      <c r="N62" s="785"/>
      <c r="O62" s="785"/>
      <c r="P62" s="785"/>
      <c r="Q62" s="785"/>
      <c r="R62" s="785"/>
      <c r="S62" s="785"/>
      <c r="T62" s="785"/>
      <c r="U62" s="785"/>
      <c r="V62" s="785"/>
      <c r="W62" s="785"/>
      <c r="X62" s="785"/>
      <c r="Y62" s="785"/>
      <c r="Z62" s="785"/>
      <c r="AA62" s="785"/>
      <c r="AB62" s="785"/>
      <c r="AC62" s="785"/>
      <c r="AD62" s="785"/>
      <c r="AE62" s="785"/>
      <c r="AF62" s="785"/>
      <c r="AG62" s="785"/>
      <c r="AH62" s="785"/>
    </row>
    <row r="63" spans="3:34" s="379" customFormat="1">
      <c r="C63" s="780" t="s">
        <v>16</v>
      </c>
      <c r="D63" s="784">
        <f>IF(D$48&gt;$C$7,"",D_Drilling!H13)</f>
        <v>68</v>
      </c>
      <c r="E63" s="784">
        <f>IF(E$48&gt;$C$7,"",D_Drilling!I13)</f>
        <v>54.7</v>
      </c>
      <c r="F63" s="784">
        <f>IF(F$48&gt;$C$7,"",D_Drilling!J13)</f>
        <v>39.5</v>
      </c>
      <c r="G63" s="784">
        <f>IF(G$48&gt;$C$7,"",D_Drilling!K13)</f>
        <v>51</v>
      </c>
      <c r="H63" s="784">
        <f>IF(H$48&gt;$C$7,"",D_Drilling!L13)</f>
        <v>49.6</v>
      </c>
      <c r="I63" s="784" t="str">
        <f>IF(I$48&gt;$C$7,"",D_Drilling!M13)</f>
        <v/>
      </c>
      <c r="J63" s="784" t="str">
        <f>IF(J$48&gt;$C$7,"",D_Drilling!N13)</f>
        <v/>
      </c>
      <c r="K63" s="784" t="str">
        <f>IF(K$48&gt;$C$7,"",D_Drilling!O13)</f>
        <v/>
      </c>
      <c r="L63" s="784" t="str">
        <f>IF(L$48&gt;$C$7,"",D_Drilling!P13)</f>
        <v/>
      </c>
      <c r="M63" s="784" t="str">
        <f>IF(M$48&gt;$C$7,"",D_Drilling!Q13)</f>
        <v/>
      </c>
      <c r="N63" s="784" t="str">
        <f>IF(N$48&gt;$C$7,"",D_Drilling!R13)</f>
        <v/>
      </c>
      <c r="O63" s="784" t="str">
        <f>IF(O$48&gt;$C$7,"",D_Drilling!S13)</f>
        <v/>
      </c>
      <c r="P63" s="784" t="str">
        <f>IF(P$48&gt;$C$7,"",D_Drilling!T13)</f>
        <v/>
      </c>
      <c r="Q63" s="784" t="str">
        <f>IF(Q$48&gt;$C$7,"",D_Drilling!U13)</f>
        <v/>
      </c>
      <c r="R63" s="784" t="str">
        <f>IF(R$48&gt;$C$7,"",D_Drilling!V13)</f>
        <v/>
      </c>
      <c r="S63" s="784" t="str">
        <f>IF(S$48&gt;$C$7,"",D_Drilling!W13)</f>
        <v/>
      </c>
      <c r="T63" s="784" t="str">
        <f>IF(T$48&gt;$C$7,"",D_Drilling!X13)</f>
        <v/>
      </c>
      <c r="U63" s="784" t="str">
        <f>IF(U$48&gt;$C$7,"",D_Drilling!Y13)</f>
        <v/>
      </c>
      <c r="V63" s="784" t="str">
        <f>IF(V$48&gt;$C$7,"",D_Drilling!Z13)</f>
        <v/>
      </c>
      <c r="W63" s="784" t="str">
        <f>IF(W$48&gt;$C$7,"",D_Drilling!AA13)</f>
        <v/>
      </c>
      <c r="X63" s="784" t="str">
        <f>IF(X$48&gt;$C$7,"",D_Drilling!AB13)</f>
        <v/>
      </c>
      <c r="Y63" s="784" t="str">
        <f>IF(Y$48&gt;$C$7,"",D_Drilling!AC13)</f>
        <v/>
      </c>
      <c r="Z63" s="784" t="str">
        <f>IF(Z$48&gt;$C$7,"",D_Drilling!AD13)</f>
        <v/>
      </c>
      <c r="AA63" s="784" t="str">
        <f>IF(AA$48&gt;$C$7,"",D_Drilling!AE13)</f>
        <v/>
      </c>
      <c r="AB63" s="784" t="str">
        <f>IF(AB$48&gt;$C$7,"",D_Drilling!AF13)</f>
        <v/>
      </c>
      <c r="AC63" s="784" t="str">
        <f>IF(AC$48&gt;$C$7,"",D_Drilling!AG13)</f>
        <v/>
      </c>
      <c r="AD63" s="784" t="str">
        <f>IF(AD$48&gt;$C$7,"",D_Drilling!AH13)</f>
        <v/>
      </c>
      <c r="AE63" s="784" t="str">
        <f>IF(AE$48&gt;$C$7,"",D_Drilling!AI13)</f>
        <v/>
      </c>
      <c r="AF63" s="784" t="str">
        <f>IF(AF$48&gt;$C$7,"",D_Drilling!AJ13)</f>
        <v/>
      </c>
      <c r="AG63" s="784" t="str">
        <f>IF(AG$48&gt;$C$7,"",D_Drilling!AK13)</f>
        <v/>
      </c>
      <c r="AH63" s="784" t="str">
        <f>IF(AH$48&gt;$C$7,"",D_Drilling!AL13)</f>
        <v/>
      </c>
    </row>
    <row r="64" spans="3:34" s="379" customFormat="1">
      <c r="C64" s="780" t="s">
        <v>72</v>
      </c>
      <c r="D64" s="784">
        <f>D63</f>
        <v>68</v>
      </c>
      <c r="E64" s="784">
        <f>IFERROR(E63+D64,"")</f>
        <v>122.7</v>
      </c>
      <c r="F64" s="784">
        <f>IFERROR(F63+E64,"")</f>
        <v>162.19999999999999</v>
      </c>
      <c r="G64" s="784">
        <f t="shared" ref="G64" si="110">IFERROR(G63+F64,"")</f>
        <v>213.2</v>
      </c>
      <c r="H64" s="784">
        <f t="shared" ref="H64" si="111">IFERROR(H63+G64,"")</f>
        <v>262.8</v>
      </c>
      <c r="I64" s="784" t="str">
        <f t="shared" ref="I64" si="112">IFERROR(I63+H64,"")</f>
        <v/>
      </c>
      <c r="J64" s="784" t="str">
        <f t="shared" ref="J64" si="113">IFERROR(J63+I64,"")</f>
        <v/>
      </c>
      <c r="K64" s="784" t="str">
        <f t="shared" ref="K64" si="114">IFERROR(K63+J64,"")</f>
        <v/>
      </c>
      <c r="L64" s="784" t="str">
        <f t="shared" ref="L64" si="115">IFERROR(L63+K64,"")</f>
        <v/>
      </c>
      <c r="M64" s="785" t="str">
        <f>IFERROR(M63+L64,"")</f>
        <v/>
      </c>
      <c r="N64" s="785" t="str">
        <f t="shared" ref="N64" si="116">IFERROR(N63+M64,"")</f>
        <v/>
      </c>
      <c r="O64" s="785" t="str">
        <f t="shared" ref="O64" si="117">IFERROR(O63+N64,"")</f>
        <v/>
      </c>
      <c r="P64" s="785" t="str">
        <f t="shared" ref="P64" si="118">IFERROR(P63+O64,"")</f>
        <v/>
      </c>
      <c r="Q64" s="785" t="str">
        <f t="shared" ref="Q64" si="119">IFERROR(Q63+P64,"")</f>
        <v/>
      </c>
      <c r="R64" s="785" t="str">
        <f t="shared" ref="R64" si="120">IFERROR(R63+Q64,"")</f>
        <v/>
      </c>
      <c r="S64" s="785" t="str">
        <f t="shared" ref="S64" si="121">IFERROR(S63+R64,"")</f>
        <v/>
      </c>
      <c r="T64" s="785" t="str">
        <f t="shared" ref="T64" si="122">IFERROR(T63+S64,"")</f>
        <v/>
      </c>
      <c r="U64" s="785" t="str">
        <f t="shared" ref="U64" si="123">IFERROR(U63+T64,"")</f>
        <v/>
      </c>
      <c r="V64" s="785" t="str">
        <f t="shared" ref="V64" si="124">IFERROR(V63+U64,"")</f>
        <v/>
      </c>
      <c r="W64" s="785" t="str">
        <f t="shared" ref="W64" si="125">IFERROR(W63+V64,"")</f>
        <v/>
      </c>
      <c r="X64" s="785" t="str">
        <f t="shared" ref="X64" si="126">IFERROR(X63+W64,"")</f>
        <v/>
      </c>
      <c r="Y64" s="785" t="str">
        <f t="shared" ref="Y64" si="127">IFERROR(Y63+X64,"")</f>
        <v/>
      </c>
      <c r="Z64" s="785" t="str">
        <f t="shared" ref="Z64" si="128">IFERROR(Z63+Y64,"")</f>
        <v/>
      </c>
      <c r="AA64" s="785" t="str">
        <f t="shared" ref="AA64" si="129">IFERROR(AA63+Z64,"")</f>
        <v/>
      </c>
      <c r="AB64" s="785" t="str">
        <f t="shared" ref="AB64" si="130">IFERROR(AB63+AA64,"")</f>
        <v/>
      </c>
      <c r="AC64" s="785" t="str">
        <f t="shared" ref="AC64" si="131">IFERROR(AC63+AB64,"")</f>
        <v/>
      </c>
      <c r="AD64" s="785" t="str">
        <f t="shared" ref="AD64" si="132">IFERROR(AD63+AC64,"")</f>
        <v/>
      </c>
      <c r="AE64" s="785" t="str">
        <f t="shared" ref="AE64" si="133">IFERROR(AE63+AD64,"")</f>
        <v/>
      </c>
      <c r="AF64" s="785" t="str">
        <f t="shared" ref="AF64" si="134">IFERROR(AF63+AE64,"")</f>
        <v/>
      </c>
      <c r="AG64" s="785" t="str">
        <f t="shared" ref="AG64" si="135">IFERROR(AG63+AF64,"")</f>
        <v/>
      </c>
      <c r="AH64" s="785" t="str">
        <f t="shared" ref="AH64" si="136">IFERROR(AH63+AG64,"")</f>
        <v/>
      </c>
    </row>
    <row r="65" spans="3:34" s="379" customFormat="1">
      <c r="C65" s="780" t="s">
        <v>17</v>
      </c>
      <c r="D65" s="784">
        <f>IF(D$48&gt;$C$7,"",D_Drilling!H12)</f>
        <v>38</v>
      </c>
      <c r="E65" s="784">
        <f>IF(E$48&gt;$C$7,"",D_Drilling!I12)</f>
        <v>38</v>
      </c>
      <c r="F65" s="784">
        <f>IF(F$48&gt;$C$7,"",D_Drilling!J12)</f>
        <v>48</v>
      </c>
      <c r="G65" s="784">
        <f>IF(G$48&gt;$C$7,"",D_Drilling!K12)</f>
        <v>66</v>
      </c>
      <c r="H65" s="784">
        <f>IF(H$48&gt;$C$7,"",D_Drilling!L12)</f>
        <v>58</v>
      </c>
      <c r="I65" s="784" t="str">
        <f>IF(I$48&gt;$C$7,"",D_Drilling!M12)</f>
        <v/>
      </c>
      <c r="J65" s="784" t="str">
        <f>IF(J$48&gt;$C$7,"",D_Drilling!N12)</f>
        <v/>
      </c>
      <c r="K65" s="784" t="str">
        <f>IF(K$48&gt;$C$7,"",D_Drilling!O12)</f>
        <v/>
      </c>
      <c r="L65" s="784" t="str">
        <f>IF(L$48&gt;$C$7,"",D_Drilling!P12)</f>
        <v/>
      </c>
      <c r="M65" s="784" t="str">
        <f>IF(M$48&gt;$C$7,"",D_Drilling!Q12)</f>
        <v/>
      </c>
      <c r="N65" s="784" t="str">
        <f>IF(N$48&gt;$C$7,"",D_Drilling!R12)</f>
        <v/>
      </c>
      <c r="O65" s="784" t="str">
        <f>IF(O$48&gt;$C$7,"",D_Drilling!S12)</f>
        <v/>
      </c>
      <c r="P65" s="784" t="str">
        <f>IF(P$48&gt;$C$7,"",D_Drilling!T12)</f>
        <v/>
      </c>
      <c r="Q65" s="784" t="str">
        <f>IF(Q$48&gt;$C$7,"",D_Drilling!U12)</f>
        <v/>
      </c>
      <c r="R65" s="784" t="str">
        <f>IF(R$48&gt;$C$7,"",D_Drilling!V12)</f>
        <v/>
      </c>
      <c r="S65" s="784" t="str">
        <f>IF(S$48&gt;$C$7,"",D_Drilling!W12)</f>
        <v/>
      </c>
      <c r="T65" s="784" t="str">
        <f>IF(T$48&gt;$C$7,"",D_Drilling!X12)</f>
        <v/>
      </c>
      <c r="U65" s="784" t="str">
        <f>IF(U$48&gt;$C$7,"",D_Drilling!Y12)</f>
        <v/>
      </c>
      <c r="V65" s="784" t="str">
        <f>IF(V$48&gt;$C$7,"",D_Drilling!Z12)</f>
        <v/>
      </c>
      <c r="W65" s="784" t="str">
        <f>IF(W$48&gt;$C$7,"",D_Drilling!AA12)</f>
        <v/>
      </c>
      <c r="X65" s="784" t="str">
        <f>IF(X$48&gt;$C$7,"",D_Drilling!AB12)</f>
        <v/>
      </c>
      <c r="Y65" s="784" t="str">
        <f>IF(Y$48&gt;$C$7,"",D_Drilling!AC12)</f>
        <v/>
      </c>
      <c r="Z65" s="784" t="str">
        <f>IF(Z$48&gt;$C$7,"",D_Drilling!AD12)</f>
        <v/>
      </c>
      <c r="AA65" s="784" t="str">
        <f>IF(AA$48&gt;$C$7,"",D_Drilling!AE12)</f>
        <v/>
      </c>
      <c r="AB65" s="784" t="str">
        <f>IF(AB$48&gt;$C$7,"",D_Drilling!AF12)</f>
        <v/>
      </c>
      <c r="AC65" s="784" t="str">
        <f>IF(AC$48&gt;$C$7,"",D_Drilling!AG12)</f>
        <v/>
      </c>
      <c r="AD65" s="784" t="str">
        <f>IF(AD$48&gt;$C$7,"",D_Drilling!AH12)</f>
        <v/>
      </c>
      <c r="AE65" s="784" t="str">
        <f>IF(AE$48&gt;$C$7,"",D_Drilling!AI12)</f>
        <v/>
      </c>
      <c r="AF65" s="784" t="str">
        <f>IF(AF$48&gt;$C$7,"",D_Drilling!AJ12)</f>
        <v/>
      </c>
      <c r="AG65" s="784" t="str">
        <f>IF(AG$48&gt;$C$7,"",D_Drilling!AK12)</f>
        <v/>
      </c>
      <c r="AH65" s="784" t="str">
        <f>IF(AH$48&gt;$C$7,"",D_Drilling!AL12)</f>
        <v/>
      </c>
    </row>
    <row r="66" spans="3:34" s="379" customFormat="1">
      <c r="C66" s="780" t="s">
        <v>73</v>
      </c>
      <c r="D66" s="784">
        <f>D65</f>
        <v>38</v>
      </c>
      <c r="E66" s="784">
        <f>IFERROR(E65+D66,"")</f>
        <v>76</v>
      </c>
      <c r="F66" s="784">
        <f>IFERROR(F65+E66,"")</f>
        <v>124</v>
      </c>
      <c r="G66" s="784">
        <f t="shared" ref="G66" si="137">IFERROR(G65+F66,"")</f>
        <v>190</v>
      </c>
      <c r="H66" s="784">
        <f t="shared" ref="H66" si="138">IFERROR(H65+G66,"")</f>
        <v>248</v>
      </c>
      <c r="I66" s="784" t="str">
        <f t="shared" ref="I66" si="139">IFERROR(I65+H66,"")</f>
        <v/>
      </c>
      <c r="J66" s="784" t="str">
        <f t="shared" ref="J66" si="140">IFERROR(J65+I66,"")</f>
        <v/>
      </c>
      <c r="K66" s="784" t="str">
        <f t="shared" ref="K66" si="141">IFERROR(K65+J66,"")</f>
        <v/>
      </c>
      <c r="L66" s="784" t="str">
        <f t="shared" ref="L66" si="142">IFERROR(L65+K66,"")</f>
        <v/>
      </c>
      <c r="M66" s="785" t="str">
        <f>IFERROR(M65+L66,"")</f>
        <v/>
      </c>
      <c r="N66" s="785" t="str">
        <f t="shared" ref="N66" si="143">IFERROR(N65+M66,"")</f>
        <v/>
      </c>
      <c r="O66" s="785" t="str">
        <f t="shared" ref="O66" si="144">IFERROR(O65+N66,"")</f>
        <v/>
      </c>
      <c r="P66" s="785" t="str">
        <f t="shared" ref="P66" si="145">IFERROR(P65+O66,"")</f>
        <v/>
      </c>
      <c r="Q66" s="785" t="str">
        <f t="shared" ref="Q66" si="146">IFERROR(Q65+P66,"")</f>
        <v/>
      </c>
      <c r="R66" s="785" t="str">
        <f t="shared" ref="R66" si="147">IFERROR(R65+Q66,"")</f>
        <v/>
      </c>
      <c r="S66" s="785" t="str">
        <f t="shared" ref="S66" si="148">IFERROR(S65+R66,"")</f>
        <v/>
      </c>
      <c r="T66" s="785" t="str">
        <f t="shared" ref="T66" si="149">IFERROR(T65+S66,"")</f>
        <v/>
      </c>
      <c r="U66" s="785" t="str">
        <f t="shared" ref="U66" si="150">IFERROR(U65+T66,"")</f>
        <v/>
      </c>
      <c r="V66" s="785" t="str">
        <f t="shared" ref="V66" si="151">IFERROR(V65+U66,"")</f>
        <v/>
      </c>
      <c r="W66" s="785" t="str">
        <f t="shared" ref="W66" si="152">IFERROR(W65+V66,"")</f>
        <v/>
      </c>
      <c r="X66" s="785" t="str">
        <f t="shared" ref="X66" si="153">IFERROR(X65+W66,"")</f>
        <v/>
      </c>
      <c r="Y66" s="785" t="str">
        <f t="shared" ref="Y66" si="154">IFERROR(Y65+X66,"")</f>
        <v/>
      </c>
      <c r="Z66" s="785" t="str">
        <f t="shared" ref="Z66" si="155">IFERROR(Z65+Y66,"")</f>
        <v/>
      </c>
      <c r="AA66" s="785" t="str">
        <f t="shared" ref="AA66" si="156">IFERROR(AA65+Z66,"")</f>
        <v/>
      </c>
      <c r="AB66" s="785" t="str">
        <f t="shared" ref="AB66" si="157">IFERROR(AB65+AA66,"")</f>
        <v/>
      </c>
      <c r="AC66" s="785" t="str">
        <f t="shared" ref="AC66" si="158">IFERROR(AC65+AB66,"")</f>
        <v/>
      </c>
      <c r="AD66" s="785" t="str">
        <f t="shared" ref="AD66" si="159">IFERROR(AD65+AC66,"")</f>
        <v/>
      </c>
      <c r="AE66" s="785" t="str">
        <f t="shared" ref="AE66" si="160">IFERROR(AE65+AD66,"")</f>
        <v/>
      </c>
      <c r="AF66" s="785" t="str">
        <f t="shared" ref="AF66" si="161">IFERROR(AF65+AE66,"")</f>
        <v/>
      </c>
      <c r="AG66" s="785" t="str">
        <f t="shared" ref="AG66" si="162">IFERROR(AG65+AF66,"")</f>
        <v/>
      </c>
      <c r="AH66" s="785" t="str">
        <f t="shared" ref="AH66" si="163">IFERROR(AH65+AG66,"")</f>
        <v/>
      </c>
    </row>
    <row r="67" spans="3:34" s="379" customFormat="1">
      <c r="C67" s="780"/>
      <c r="D67" s="786"/>
      <c r="E67" s="786"/>
      <c r="F67" s="786"/>
      <c r="G67" s="786"/>
      <c r="H67" s="786"/>
      <c r="I67" s="786"/>
      <c r="J67" s="786"/>
      <c r="K67" s="786"/>
      <c r="L67" s="786"/>
      <c r="M67" s="787"/>
      <c r="N67" s="787"/>
      <c r="O67" s="787"/>
      <c r="P67" s="787"/>
      <c r="Q67" s="787"/>
      <c r="R67" s="787"/>
      <c r="S67" s="787"/>
      <c r="T67" s="787"/>
      <c r="U67" s="787"/>
      <c r="V67" s="787"/>
      <c r="W67" s="787"/>
      <c r="X67" s="787"/>
      <c r="Y67" s="787"/>
      <c r="Z67" s="787"/>
      <c r="AA67" s="787"/>
      <c r="AB67" s="787"/>
      <c r="AC67" s="787"/>
      <c r="AD67" s="787"/>
      <c r="AE67" s="787"/>
      <c r="AF67" s="787"/>
      <c r="AG67" s="787"/>
      <c r="AH67" s="787"/>
    </row>
    <row r="68" spans="3:34" s="379" customFormat="1">
      <c r="C68" s="780" t="str">
        <f>_xlfn.CONCAT(C21," ",C13)</f>
        <v>Total Diamond Drilling</v>
      </c>
      <c r="D68" s="784"/>
      <c r="E68" s="784"/>
      <c r="F68" s="784"/>
      <c r="G68" s="784"/>
      <c r="H68" s="784"/>
      <c r="I68" s="784"/>
      <c r="J68" s="784"/>
      <c r="K68" s="784"/>
      <c r="L68" s="784"/>
      <c r="M68" s="785"/>
      <c r="N68" s="785"/>
      <c r="O68" s="785"/>
      <c r="P68" s="785"/>
      <c r="Q68" s="785"/>
      <c r="R68" s="785"/>
      <c r="S68" s="785"/>
      <c r="T68" s="785"/>
      <c r="U68" s="785"/>
      <c r="V68" s="785"/>
      <c r="W68" s="785"/>
      <c r="X68" s="785"/>
      <c r="Y68" s="785"/>
      <c r="Z68" s="785"/>
      <c r="AA68" s="785"/>
      <c r="AB68" s="785"/>
      <c r="AC68" s="785"/>
      <c r="AD68" s="785"/>
      <c r="AE68" s="785"/>
      <c r="AF68" s="785"/>
      <c r="AG68" s="785"/>
      <c r="AH68" s="785"/>
    </row>
    <row r="69" spans="3:34" s="379" customFormat="1">
      <c r="C69" s="780" t="s">
        <v>16</v>
      </c>
      <c r="D69" s="784">
        <f>IFERROR(D57+D63,"")</f>
        <v>68</v>
      </c>
      <c r="E69" s="784">
        <f t="shared" ref="E69:AH69" si="164">IFERROR(E57+E63,"")</f>
        <v>54.7</v>
      </c>
      <c r="F69" s="784">
        <f t="shared" si="164"/>
        <v>39.5</v>
      </c>
      <c r="G69" s="784">
        <f t="shared" si="164"/>
        <v>51</v>
      </c>
      <c r="H69" s="784">
        <f t="shared" si="164"/>
        <v>49.6</v>
      </c>
      <c r="I69" s="784" t="str">
        <f t="shared" si="164"/>
        <v/>
      </c>
      <c r="J69" s="784" t="str">
        <f t="shared" si="164"/>
        <v/>
      </c>
      <c r="K69" s="784" t="str">
        <f t="shared" si="164"/>
        <v/>
      </c>
      <c r="L69" s="784" t="str">
        <f t="shared" si="164"/>
        <v/>
      </c>
      <c r="M69" s="784" t="str">
        <f t="shared" si="164"/>
        <v/>
      </c>
      <c r="N69" s="784" t="str">
        <f t="shared" si="164"/>
        <v/>
      </c>
      <c r="O69" s="784" t="str">
        <f t="shared" si="164"/>
        <v/>
      </c>
      <c r="P69" s="784" t="str">
        <f t="shared" si="164"/>
        <v/>
      </c>
      <c r="Q69" s="784" t="str">
        <f t="shared" si="164"/>
        <v/>
      </c>
      <c r="R69" s="784" t="str">
        <f t="shared" si="164"/>
        <v/>
      </c>
      <c r="S69" s="784" t="str">
        <f t="shared" si="164"/>
        <v/>
      </c>
      <c r="T69" s="784" t="str">
        <f t="shared" si="164"/>
        <v/>
      </c>
      <c r="U69" s="784" t="str">
        <f t="shared" si="164"/>
        <v/>
      </c>
      <c r="V69" s="784" t="str">
        <f t="shared" si="164"/>
        <v/>
      </c>
      <c r="W69" s="784" t="str">
        <f t="shared" si="164"/>
        <v/>
      </c>
      <c r="X69" s="784" t="str">
        <f t="shared" si="164"/>
        <v/>
      </c>
      <c r="Y69" s="784" t="str">
        <f t="shared" si="164"/>
        <v/>
      </c>
      <c r="Z69" s="784" t="str">
        <f t="shared" si="164"/>
        <v/>
      </c>
      <c r="AA69" s="784" t="str">
        <f t="shared" si="164"/>
        <v/>
      </c>
      <c r="AB69" s="784" t="str">
        <f t="shared" si="164"/>
        <v/>
      </c>
      <c r="AC69" s="784" t="str">
        <f t="shared" si="164"/>
        <v/>
      </c>
      <c r="AD69" s="784" t="str">
        <f t="shared" si="164"/>
        <v/>
      </c>
      <c r="AE69" s="784" t="str">
        <f t="shared" si="164"/>
        <v/>
      </c>
      <c r="AF69" s="784" t="str">
        <f t="shared" si="164"/>
        <v/>
      </c>
      <c r="AG69" s="784" t="str">
        <f t="shared" si="164"/>
        <v/>
      </c>
      <c r="AH69" s="784" t="str">
        <f t="shared" si="164"/>
        <v/>
      </c>
    </row>
    <row r="70" spans="3:34" s="379" customFormat="1">
      <c r="C70" s="780" t="s">
        <v>72</v>
      </c>
      <c r="D70" s="784">
        <f>D69</f>
        <v>68</v>
      </c>
      <c r="E70" s="784">
        <f>IFERROR(E69+D70,"")</f>
        <v>122.7</v>
      </c>
      <c r="F70" s="784">
        <f>IFERROR(F69+E70,"")</f>
        <v>162.19999999999999</v>
      </c>
      <c r="G70" s="784">
        <f t="shared" ref="G70" si="165">IFERROR(G69+F70,"")</f>
        <v>213.2</v>
      </c>
      <c r="H70" s="784">
        <f t="shared" ref="H70" si="166">IFERROR(H69+G70,"")</f>
        <v>262.8</v>
      </c>
      <c r="I70" s="784" t="str">
        <f t="shared" ref="I70" si="167">IFERROR(I69+H70,"")</f>
        <v/>
      </c>
      <c r="J70" s="784" t="str">
        <f t="shared" ref="J70" si="168">IFERROR(J69+I70,"")</f>
        <v/>
      </c>
      <c r="K70" s="784" t="str">
        <f t="shared" ref="K70" si="169">IFERROR(K69+J70,"")</f>
        <v/>
      </c>
      <c r="L70" s="784" t="str">
        <f t="shared" ref="L70" si="170">IFERROR(L69+K70,"")</f>
        <v/>
      </c>
      <c r="M70" s="785" t="str">
        <f>IFERROR(M69+L70,"")</f>
        <v/>
      </c>
      <c r="N70" s="785" t="str">
        <f t="shared" ref="N70" si="171">IFERROR(N69+M70,"")</f>
        <v/>
      </c>
      <c r="O70" s="785" t="str">
        <f t="shared" ref="O70" si="172">IFERROR(O69+N70,"")</f>
        <v/>
      </c>
      <c r="P70" s="785" t="str">
        <f t="shared" ref="P70" si="173">IFERROR(P69+O70,"")</f>
        <v/>
      </c>
      <c r="Q70" s="785" t="str">
        <f t="shared" ref="Q70" si="174">IFERROR(Q69+P70,"")</f>
        <v/>
      </c>
      <c r="R70" s="785" t="str">
        <f t="shared" ref="R70" si="175">IFERROR(R69+Q70,"")</f>
        <v/>
      </c>
      <c r="S70" s="785" t="str">
        <f t="shared" ref="S70" si="176">IFERROR(S69+R70,"")</f>
        <v/>
      </c>
      <c r="T70" s="785" t="str">
        <f t="shared" ref="T70" si="177">IFERROR(T69+S70,"")</f>
        <v/>
      </c>
      <c r="U70" s="785" t="str">
        <f t="shared" ref="U70" si="178">IFERROR(U69+T70,"")</f>
        <v/>
      </c>
      <c r="V70" s="785" t="str">
        <f t="shared" ref="V70" si="179">IFERROR(V69+U70,"")</f>
        <v/>
      </c>
      <c r="W70" s="785" t="str">
        <f t="shared" ref="W70" si="180">IFERROR(W69+V70,"")</f>
        <v/>
      </c>
      <c r="X70" s="785" t="str">
        <f t="shared" ref="X70" si="181">IFERROR(X69+W70,"")</f>
        <v/>
      </c>
      <c r="Y70" s="785" t="str">
        <f t="shared" ref="Y70" si="182">IFERROR(Y69+X70,"")</f>
        <v/>
      </c>
      <c r="Z70" s="785" t="str">
        <f t="shared" ref="Z70" si="183">IFERROR(Z69+Y70,"")</f>
        <v/>
      </c>
      <c r="AA70" s="785" t="str">
        <f t="shared" ref="AA70" si="184">IFERROR(AA69+Z70,"")</f>
        <v/>
      </c>
      <c r="AB70" s="785" t="str">
        <f t="shared" ref="AB70" si="185">IFERROR(AB69+AA70,"")</f>
        <v/>
      </c>
      <c r="AC70" s="785" t="str">
        <f t="shared" ref="AC70" si="186">IFERROR(AC69+AB70,"")</f>
        <v/>
      </c>
      <c r="AD70" s="785" t="str">
        <f t="shared" ref="AD70" si="187">IFERROR(AD69+AC70,"")</f>
        <v/>
      </c>
      <c r="AE70" s="785" t="str">
        <f t="shared" ref="AE70" si="188">IFERROR(AE69+AD70,"")</f>
        <v/>
      </c>
      <c r="AF70" s="785" t="str">
        <f t="shared" ref="AF70" si="189">IFERROR(AF69+AE70,"")</f>
        <v/>
      </c>
      <c r="AG70" s="785" t="str">
        <f t="shared" ref="AG70" si="190">IFERROR(AG69+AF70,"")</f>
        <v/>
      </c>
      <c r="AH70" s="785" t="str">
        <f t="shared" ref="AH70" si="191">IFERROR(AH69+AG70,"")</f>
        <v/>
      </c>
    </row>
    <row r="71" spans="3:34" s="379" customFormat="1">
      <c r="C71" s="780" t="s">
        <v>17</v>
      </c>
      <c r="D71" s="784">
        <f>IFERROR(D59+D65,"")</f>
        <v>38</v>
      </c>
      <c r="E71" s="784">
        <f t="shared" ref="E71:AH71" si="192">IFERROR(E59+E65,"")</f>
        <v>38</v>
      </c>
      <c r="F71" s="784">
        <f t="shared" si="192"/>
        <v>48</v>
      </c>
      <c r="G71" s="784">
        <f t="shared" si="192"/>
        <v>66</v>
      </c>
      <c r="H71" s="784">
        <f t="shared" si="192"/>
        <v>58</v>
      </c>
      <c r="I71" s="784" t="str">
        <f t="shared" si="192"/>
        <v/>
      </c>
      <c r="J71" s="784" t="str">
        <f t="shared" si="192"/>
        <v/>
      </c>
      <c r="K71" s="784" t="str">
        <f t="shared" si="192"/>
        <v/>
      </c>
      <c r="L71" s="784" t="str">
        <f t="shared" si="192"/>
        <v/>
      </c>
      <c r="M71" s="784" t="str">
        <f t="shared" si="192"/>
        <v/>
      </c>
      <c r="N71" s="784" t="str">
        <f t="shared" si="192"/>
        <v/>
      </c>
      <c r="O71" s="784" t="str">
        <f t="shared" si="192"/>
        <v/>
      </c>
      <c r="P71" s="784" t="str">
        <f t="shared" si="192"/>
        <v/>
      </c>
      <c r="Q71" s="784" t="str">
        <f t="shared" si="192"/>
        <v/>
      </c>
      <c r="R71" s="784" t="str">
        <f t="shared" si="192"/>
        <v/>
      </c>
      <c r="S71" s="784" t="str">
        <f t="shared" si="192"/>
        <v/>
      </c>
      <c r="T71" s="784" t="str">
        <f t="shared" si="192"/>
        <v/>
      </c>
      <c r="U71" s="784" t="str">
        <f t="shared" si="192"/>
        <v/>
      </c>
      <c r="V71" s="784" t="str">
        <f t="shared" si="192"/>
        <v/>
      </c>
      <c r="W71" s="784" t="str">
        <f t="shared" si="192"/>
        <v/>
      </c>
      <c r="X71" s="784" t="str">
        <f t="shared" si="192"/>
        <v/>
      </c>
      <c r="Y71" s="784" t="str">
        <f t="shared" si="192"/>
        <v/>
      </c>
      <c r="Z71" s="784" t="str">
        <f t="shared" si="192"/>
        <v/>
      </c>
      <c r="AA71" s="784" t="str">
        <f t="shared" si="192"/>
        <v/>
      </c>
      <c r="AB71" s="784" t="str">
        <f t="shared" si="192"/>
        <v/>
      </c>
      <c r="AC71" s="784" t="str">
        <f t="shared" si="192"/>
        <v/>
      </c>
      <c r="AD71" s="784" t="str">
        <f t="shared" si="192"/>
        <v/>
      </c>
      <c r="AE71" s="784" t="str">
        <f t="shared" si="192"/>
        <v/>
      </c>
      <c r="AF71" s="784" t="str">
        <f t="shared" si="192"/>
        <v/>
      </c>
      <c r="AG71" s="784" t="str">
        <f t="shared" si="192"/>
        <v/>
      </c>
      <c r="AH71" s="784" t="str">
        <f t="shared" si="192"/>
        <v/>
      </c>
    </row>
    <row r="72" spans="3:34" s="379" customFormat="1">
      <c r="C72" s="780" t="s">
        <v>73</v>
      </c>
      <c r="D72" s="784">
        <f>D71</f>
        <v>38</v>
      </c>
      <c r="E72" s="784">
        <f>IFERROR(E71+D72,"")</f>
        <v>76</v>
      </c>
      <c r="F72" s="784">
        <f>IFERROR(F71+E72,"")</f>
        <v>124</v>
      </c>
      <c r="G72" s="784">
        <f t="shared" ref="G72" si="193">IFERROR(G71+F72,"")</f>
        <v>190</v>
      </c>
      <c r="H72" s="784">
        <f t="shared" ref="H72" si="194">IFERROR(H71+G72,"")</f>
        <v>248</v>
      </c>
      <c r="I72" s="784" t="str">
        <f t="shared" ref="I72" si="195">IFERROR(I71+H72,"")</f>
        <v/>
      </c>
      <c r="J72" s="784" t="str">
        <f t="shared" ref="J72" si="196">IFERROR(J71+I72,"")</f>
        <v/>
      </c>
      <c r="K72" s="784" t="str">
        <f t="shared" ref="K72" si="197">IFERROR(K71+J72,"")</f>
        <v/>
      </c>
      <c r="L72" s="784" t="str">
        <f t="shared" ref="L72" si="198">IFERROR(L71+K72,"")</f>
        <v/>
      </c>
      <c r="M72" s="785" t="str">
        <f>IFERROR(M71+L72,"")</f>
        <v/>
      </c>
      <c r="N72" s="785" t="str">
        <f t="shared" ref="N72" si="199">IFERROR(N71+M72,"")</f>
        <v/>
      </c>
      <c r="O72" s="785" t="str">
        <f t="shared" ref="O72" si="200">IFERROR(O71+N72,"")</f>
        <v/>
      </c>
      <c r="P72" s="785" t="str">
        <f t="shared" ref="P72" si="201">IFERROR(P71+O72,"")</f>
        <v/>
      </c>
      <c r="Q72" s="785" t="str">
        <f t="shared" ref="Q72" si="202">IFERROR(Q71+P72,"")</f>
        <v/>
      </c>
      <c r="R72" s="785" t="str">
        <f t="shared" ref="R72" si="203">IFERROR(R71+Q72,"")</f>
        <v/>
      </c>
      <c r="S72" s="785" t="str">
        <f t="shared" ref="S72" si="204">IFERROR(S71+R72,"")</f>
        <v/>
      </c>
      <c r="T72" s="785" t="str">
        <f t="shared" ref="T72" si="205">IFERROR(T71+S72,"")</f>
        <v/>
      </c>
      <c r="U72" s="785" t="str">
        <f t="shared" ref="U72" si="206">IFERROR(U71+T72,"")</f>
        <v/>
      </c>
      <c r="V72" s="785" t="str">
        <f t="shared" ref="V72" si="207">IFERROR(V71+U72,"")</f>
        <v/>
      </c>
      <c r="W72" s="785" t="str">
        <f t="shared" ref="W72" si="208">IFERROR(W71+V72,"")</f>
        <v/>
      </c>
      <c r="X72" s="785" t="str">
        <f t="shared" ref="X72" si="209">IFERROR(X71+W72,"")</f>
        <v/>
      </c>
      <c r="Y72" s="785" t="str">
        <f t="shared" ref="Y72" si="210">IFERROR(Y71+X72,"")</f>
        <v/>
      </c>
      <c r="Z72" s="785" t="str">
        <f t="shared" ref="Z72" si="211">IFERROR(Z71+Y72,"")</f>
        <v/>
      </c>
      <c r="AA72" s="785" t="str">
        <f t="shared" ref="AA72" si="212">IFERROR(AA71+Z72,"")</f>
        <v/>
      </c>
      <c r="AB72" s="785" t="str">
        <f t="shared" ref="AB72" si="213">IFERROR(AB71+AA72,"")</f>
        <v/>
      </c>
      <c r="AC72" s="785" t="str">
        <f t="shared" ref="AC72" si="214">IFERROR(AC71+AB72,"")</f>
        <v/>
      </c>
      <c r="AD72" s="785" t="str">
        <f t="shared" ref="AD72" si="215">IFERROR(AD71+AC72,"")</f>
        <v/>
      </c>
      <c r="AE72" s="785" t="str">
        <f t="shared" ref="AE72" si="216">IFERROR(AE71+AD72,"")</f>
        <v/>
      </c>
      <c r="AF72" s="785" t="str">
        <f t="shared" ref="AF72" si="217">IFERROR(AF71+AE72,"")</f>
        <v/>
      </c>
      <c r="AG72" s="785" t="str">
        <f t="shared" ref="AG72" si="218">IFERROR(AG71+AF72,"")</f>
        <v/>
      </c>
      <c r="AH72" s="785" t="str">
        <f t="shared" ref="AH72" si="219">IFERROR(AH71+AG72,"")</f>
        <v/>
      </c>
    </row>
    <row r="73" spans="3:34" s="379" customFormat="1">
      <c r="C73" s="780"/>
      <c r="D73" s="786"/>
      <c r="E73" s="786"/>
      <c r="F73" s="786"/>
      <c r="G73" s="786"/>
      <c r="H73" s="786"/>
      <c r="I73" s="786"/>
      <c r="J73" s="786"/>
      <c r="K73" s="786"/>
      <c r="L73" s="786"/>
      <c r="M73" s="787"/>
      <c r="N73" s="787"/>
      <c r="O73" s="787"/>
      <c r="P73" s="787"/>
      <c r="Q73" s="787"/>
      <c r="R73" s="787"/>
      <c r="S73" s="787"/>
      <c r="T73" s="787"/>
      <c r="U73" s="787"/>
      <c r="V73" s="787"/>
      <c r="W73" s="787"/>
      <c r="X73" s="787"/>
      <c r="Y73" s="787"/>
      <c r="Z73" s="787"/>
      <c r="AA73" s="787"/>
      <c r="AB73" s="787"/>
      <c r="AC73" s="787"/>
      <c r="AD73" s="787"/>
      <c r="AE73" s="787"/>
      <c r="AF73" s="787"/>
      <c r="AG73" s="787"/>
      <c r="AH73" s="787"/>
    </row>
    <row r="74" spans="3:34" s="379" customFormat="1">
      <c r="C74" s="780" t="str">
        <f>_xlfn.CONCAT(C19," ",C18)</f>
        <v>CAPEX Development</v>
      </c>
      <c r="D74" s="786"/>
      <c r="E74" s="786"/>
      <c r="F74" s="786"/>
      <c r="G74" s="786"/>
      <c r="H74" s="786"/>
      <c r="I74" s="786"/>
      <c r="J74" s="786"/>
      <c r="K74" s="786"/>
      <c r="L74" s="786"/>
      <c r="M74" s="787"/>
      <c r="N74" s="787"/>
      <c r="O74" s="787"/>
      <c r="P74" s="787"/>
      <c r="Q74" s="787"/>
      <c r="R74" s="787"/>
      <c r="S74" s="787"/>
      <c r="T74" s="787"/>
      <c r="U74" s="787"/>
      <c r="V74" s="787"/>
      <c r="W74" s="787"/>
      <c r="X74" s="787"/>
      <c r="Y74" s="787"/>
      <c r="Z74" s="787"/>
      <c r="AA74" s="787"/>
      <c r="AB74" s="787"/>
      <c r="AC74" s="787"/>
      <c r="AD74" s="787"/>
      <c r="AE74" s="787"/>
      <c r="AF74" s="787"/>
      <c r="AG74" s="787"/>
      <c r="AH74" s="787"/>
    </row>
    <row r="75" spans="3:34" s="379" customFormat="1">
      <c r="C75" s="780" t="s">
        <v>16</v>
      </c>
      <c r="D75" s="784">
        <f>IF(D$48&gt;$C$7,"",Development!H10)</f>
        <v>5.7</v>
      </c>
      <c r="E75" s="784">
        <f>IF(E$48&gt;$C$7,"",Development!I10)</f>
        <v>4.9000000000000004</v>
      </c>
      <c r="F75" s="784">
        <f>IF(F$48&gt;$C$7,"",Development!J10)</f>
        <v>2.9000000000000004</v>
      </c>
      <c r="G75" s="784">
        <f>IF(G$48&gt;$C$7,"",Development!K10)</f>
        <v>3.8</v>
      </c>
      <c r="H75" s="784">
        <f>IF(H$48&gt;$C$7,"",Development!L10)</f>
        <v>4</v>
      </c>
      <c r="I75" s="784">
        <f>IF(I$48&gt;$C$7,"",Development!M10)</f>
        <v>3.8000000000000003</v>
      </c>
      <c r="J75" s="784" t="str">
        <f>IF(J$48&gt;$C$7,"",Development!N10)</f>
        <v/>
      </c>
      <c r="K75" s="784" t="str">
        <f>IF(K$48&gt;$C$7,"",Development!O10)</f>
        <v/>
      </c>
      <c r="L75" s="784" t="str">
        <f>IF(L$48&gt;$C$7,"",Development!P10)</f>
        <v/>
      </c>
      <c r="M75" s="784" t="str">
        <f>IF(M$48&gt;$C$7,"",Development!Q10)</f>
        <v/>
      </c>
      <c r="N75" s="784" t="str">
        <f>IF(N$48&gt;$C$7,"",Development!R10)</f>
        <v/>
      </c>
      <c r="O75" s="784" t="str">
        <f>IF(O$48&gt;$C$7,"",Development!S10)</f>
        <v/>
      </c>
      <c r="P75" s="784" t="str">
        <f>IF(P$48&gt;$C$7,"",Development!T10)</f>
        <v/>
      </c>
      <c r="Q75" s="784" t="str">
        <f>IF(Q$48&gt;$C$7,"",Development!U10)</f>
        <v/>
      </c>
      <c r="R75" s="784" t="str">
        <f>IF(R$48&gt;$C$7,"",Development!V10)</f>
        <v/>
      </c>
      <c r="S75" s="784" t="str">
        <f>IF(S$48&gt;$C$7,"",Development!W10)</f>
        <v/>
      </c>
      <c r="T75" s="784" t="str">
        <f>IF(T$48&gt;$C$7,"",Development!X10)</f>
        <v/>
      </c>
      <c r="U75" s="784" t="str">
        <f>IF(U$48&gt;$C$7,"",Development!Y10)</f>
        <v/>
      </c>
      <c r="V75" s="784" t="str">
        <f>IF(V$48&gt;$C$7,"",Development!Z10)</f>
        <v/>
      </c>
      <c r="W75" s="784" t="str">
        <f>IF(W$48&gt;$C$7,"",Development!AA10)</f>
        <v/>
      </c>
      <c r="X75" s="784" t="str">
        <f>IF(X$48&gt;$C$7,"",Development!AB10)</f>
        <v/>
      </c>
      <c r="Y75" s="784" t="str">
        <f>IF(Y$48&gt;$C$7,"",Development!AC10)</f>
        <v/>
      </c>
      <c r="Z75" s="784" t="str">
        <f>IF(Z$48&gt;$C$7,"",Development!AD10)</f>
        <v/>
      </c>
      <c r="AA75" s="784" t="str">
        <f>IF(AA$48&gt;$C$7,"",Development!AE10)</f>
        <v/>
      </c>
      <c r="AB75" s="784" t="str">
        <f>IF(AB$48&gt;$C$7,"",Development!AF10)</f>
        <v/>
      </c>
      <c r="AC75" s="784" t="str">
        <f>IF(AC$48&gt;$C$7,"",Development!AG10)</f>
        <v/>
      </c>
      <c r="AD75" s="784" t="str">
        <f>IF(AD$48&gt;$C$7,"",Development!AH10)</f>
        <v/>
      </c>
      <c r="AE75" s="784" t="str">
        <f>IF(AE$48&gt;$C$7,"",Development!AI10)</f>
        <v/>
      </c>
      <c r="AF75" s="784" t="str">
        <f>IF(AF$48&gt;$C$7,"",Development!AJ10)</f>
        <v/>
      </c>
      <c r="AG75" s="784" t="str">
        <f>IF(AG$48&gt;$C$7,"",Development!AK10)</f>
        <v/>
      </c>
      <c r="AH75" s="784" t="str">
        <f>IF(AH$48&gt;$C$7,"",Development!AL10)</f>
        <v/>
      </c>
    </row>
    <row r="76" spans="3:34" s="379" customFormat="1">
      <c r="C76" s="780" t="s">
        <v>72</v>
      </c>
      <c r="D76" s="784">
        <f>D75</f>
        <v>5.7</v>
      </c>
      <c r="E76" s="784">
        <f>IFERROR(E75+D76,"")</f>
        <v>10.600000000000001</v>
      </c>
      <c r="F76" s="784">
        <f>IFERROR(F75+E76,"")</f>
        <v>13.500000000000002</v>
      </c>
      <c r="G76" s="784">
        <f t="shared" ref="G76:AH76" si="220">IFERROR(G75+F76,"")</f>
        <v>17.3</v>
      </c>
      <c r="H76" s="784">
        <f t="shared" si="220"/>
        <v>21.3</v>
      </c>
      <c r="I76" s="784">
        <f t="shared" si="220"/>
        <v>25.1</v>
      </c>
      <c r="J76" s="784" t="str">
        <f t="shared" si="220"/>
        <v/>
      </c>
      <c r="K76" s="784" t="str">
        <f t="shared" si="220"/>
        <v/>
      </c>
      <c r="L76" s="784" t="str">
        <f t="shared" si="220"/>
        <v/>
      </c>
      <c r="M76" s="785" t="str">
        <f>IFERROR(M75+L76,"")</f>
        <v/>
      </c>
      <c r="N76" s="785" t="str">
        <f t="shared" si="220"/>
        <v/>
      </c>
      <c r="O76" s="785" t="str">
        <f t="shared" si="220"/>
        <v/>
      </c>
      <c r="P76" s="785" t="str">
        <f t="shared" si="220"/>
        <v/>
      </c>
      <c r="Q76" s="785" t="str">
        <f t="shared" si="220"/>
        <v/>
      </c>
      <c r="R76" s="785" t="str">
        <f t="shared" si="220"/>
        <v/>
      </c>
      <c r="S76" s="785" t="str">
        <f t="shared" si="220"/>
        <v/>
      </c>
      <c r="T76" s="785" t="str">
        <f t="shared" si="220"/>
        <v/>
      </c>
      <c r="U76" s="785" t="str">
        <f t="shared" si="220"/>
        <v/>
      </c>
      <c r="V76" s="785" t="str">
        <f t="shared" si="220"/>
        <v/>
      </c>
      <c r="W76" s="785" t="str">
        <f t="shared" si="220"/>
        <v/>
      </c>
      <c r="X76" s="785" t="str">
        <f t="shared" si="220"/>
        <v/>
      </c>
      <c r="Y76" s="785" t="str">
        <f t="shared" si="220"/>
        <v/>
      </c>
      <c r="Z76" s="785" t="str">
        <f t="shared" si="220"/>
        <v/>
      </c>
      <c r="AA76" s="785" t="str">
        <f t="shared" si="220"/>
        <v/>
      </c>
      <c r="AB76" s="785" t="str">
        <f t="shared" si="220"/>
        <v/>
      </c>
      <c r="AC76" s="785" t="str">
        <f t="shared" si="220"/>
        <v/>
      </c>
      <c r="AD76" s="785" t="str">
        <f t="shared" si="220"/>
        <v/>
      </c>
      <c r="AE76" s="785" t="str">
        <f t="shared" si="220"/>
        <v/>
      </c>
      <c r="AF76" s="785" t="str">
        <f t="shared" si="220"/>
        <v/>
      </c>
      <c r="AG76" s="785" t="str">
        <f t="shared" si="220"/>
        <v/>
      </c>
      <c r="AH76" s="785" t="str">
        <f t="shared" si="220"/>
        <v/>
      </c>
    </row>
    <row r="77" spans="3:34" s="379" customFormat="1">
      <c r="C77" s="780" t="s">
        <v>17</v>
      </c>
      <c r="D77" s="784">
        <f>IF(D$48&gt;$C$7,"",Development!H9)</f>
        <v>3.6</v>
      </c>
      <c r="E77" s="784">
        <f>IF(E$48&gt;$C$7,"",Development!I9)</f>
        <v>3.6</v>
      </c>
      <c r="F77" s="784">
        <f>IF(F$48&gt;$C$7,"",Development!J9)</f>
        <v>0.9</v>
      </c>
      <c r="G77" s="784">
        <f>IF(G$48&gt;$C$7,"",Development!K9)</f>
        <v>3.6</v>
      </c>
      <c r="H77" s="784">
        <f>IF(H$48&gt;$C$7,"",Development!L9)</f>
        <v>2.7</v>
      </c>
      <c r="I77" s="784">
        <f>IF(I$48&gt;$C$7,"",Development!M9)</f>
        <v>4.9000000000000004</v>
      </c>
      <c r="J77" s="784" t="str">
        <f>IF(J$48&gt;$C$7,"",Development!N9)</f>
        <v/>
      </c>
      <c r="K77" s="784" t="str">
        <f>IF(K$48&gt;$C$7,"",Development!O9)</f>
        <v/>
      </c>
      <c r="L77" s="784" t="str">
        <f>IF(L$48&gt;$C$7,"",Development!P9)</f>
        <v/>
      </c>
      <c r="M77" s="784" t="str">
        <f>IF(M$48&gt;$C$7,"",Development!Q9)</f>
        <v/>
      </c>
      <c r="N77" s="784" t="str">
        <f>IF(N$48&gt;$C$7,"",Development!R9)</f>
        <v/>
      </c>
      <c r="O77" s="784" t="str">
        <f>IF(O$48&gt;$C$7,"",Development!S9)</f>
        <v/>
      </c>
      <c r="P77" s="784" t="str">
        <f>IF(P$48&gt;$C$7,"",Development!T9)</f>
        <v/>
      </c>
      <c r="Q77" s="784" t="str">
        <f>IF(Q$48&gt;$C$7,"",Development!U9)</f>
        <v/>
      </c>
      <c r="R77" s="784" t="str">
        <f>IF(R$48&gt;$C$7,"",Development!V9)</f>
        <v/>
      </c>
      <c r="S77" s="784" t="str">
        <f>IF(S$48&gt;$C$7,"",Development!W9)</f>
        <v/>
      </c>
      <c r="T77" s="784" t="str">
        <f>IF(T$48&gt;$C$7,"",Development!X9)</f>
        <v/>
      </c>
      <c r="U77" s="784" t="str">
        <f>IF(U$48&gt;$C$7,"",Development!Y9)</f>
        <v/>
      </c>
      <c r="V77" s="784" t="str">
        <f>IF(V$48&gt;$C$7,"",Development!Z9)</f>
        <v/>
      </c>
      <c r="W77" s="784" t="str">
        <f>IF(W$48&gt;$C$7,"",Development!AA9)</f>
        <v/>
      </c>
      <c r="X77" s="784" t="str">
        <f>IF(X$48&gt;$C$7,"",Development!AB9)</f>
        <v/>
      </c>
      <c r="Y77" s="784" t="str">
        <f>IF(Y$48&gt;$C$7,"",Development!AC9)</f>
        <v/>
      </c>
      <c r="Z77" s="784" t="str">
        <f>IF(Z$48&gt;$C$7,"",Development!AD9)</f>
        <v/>
      </c>
      <c r="AA77" s="784" t="str">
        <f>IF(AA$48&gt;$C$7,"",Development!AE9)</f>
        <v/>
      </c>
      <c r="AB77" s="784" t="str">
        <f>IF(AB$48&gt;$C$7,"",Development!AF9)</f>
        <v/>
      </c>
      <c r="AC77" s="784" t="str">
        <f>IF(AC$48&gt;$C$7,"",Development!AG9)</f>
        <v/>
      </c>
      <c r="AD77" s="784" t="str">
        <f>IF(AD$48&gt;$C$7,"",Development!AH9)</f>
        <v/>
      </c>
      <c r="AE77" s="784" t="str">
        <f>IF(AE$48&gt;$C$7,"",Development!AI9)</f>
        <v/>
      </c>
      <c r="AF77" s="784" t="str">
        <f>IF(AF$48&gt;$C$7,"",Development!AJ9)</f>
        <v/>
      </c>
      <c r="AG77" s="784" t="str">
        <f>IF(AG$48&gt;$C$7,"",Development!AK9)</f>
        <v/>
      </c>
      <c r="AH77" s="784" t="str">
        <f>IF(AH$48&gt;$C$7,"",Development!AL9)</f>
        <v/>
      </c>
    </row>
    <row r="78" spans="3:34" s="379" customFormat="1">
      <c r="C78" s="780" t="s">
        <v>73</v>
      </c>
      <c r="D78" s="784">
        <f>D77</f>
        <v>3.6</v>
      </c>
      <c r="E78" s="784">
        <f>IFERROR(E77+D78,"")</f>
        <v>7.2</v>
      </c>
      <c r="F78" s="784">
        <f>IFERROR(F77+E78,"")</f>
        <v>8.1</v>
      </c>
      <c r="G78" s="784">
        <f t="shared" ref="G78:AH78" si="221">IFERROR(G77+F78,"")</f>
        <v>11.7</v>
      </c>
      <c r="H78" s="784">
        <f t="shared" si="221"/>
        <v>14.399999999999999</v>
      </c>
      <c r="I78" s="784">
        <f t="shared" si="221"/>
        <v>19.299999999999997</v>
      </c>
      <c r="J78" s="784" t="str">
        <f t="shared" si="221"/>
        <v/>
      </c>
      <c r="K78" s="784" t="str">
        <f t="shared" si="221"/>
        <v/>
      </c>
      <c r="L78" s="784" t="str">
        <f t="shared" si="221"/>
        <v/>
      </c>
      <c r="M78" s="785" t="str">
        <f>IFERROR(M77+L78,"")</f>
        <v/>
      </c>
      <c r="N78" s="785" t="str">
        <f t="shared" si="221"/>
        <v/>
      </c>
      <c r="O78" s="785" t="str">
        <f t="shared" si="221"/>
        <v/>
      </c>
      <c r="P78" s="785" t="str">
        <f t="shared" si="221"/>
        <v/>
      </c>
      <c r="Q78" s="785" t="str">
        <f t="shared" si="221"/>
        <v/>
      </c>
      <c r="R78" s="785" t="str">
        <f t="shared" si="221"/>
        <v/>
      </c>
      <c r="S78" s="785" t="str">
        <f t="shared" si="221"/>
        <v/>
      </c>
      <c r="T78" s="785" t="str">
        <f t="shared" si="221"/>
        <v/>
      </c>
      <c r="U78" s="785" t="str">
        <f t="shared" si="221"/>
        <v/>
      </c>
      <c r="V78" s="785" t="str">
        <f t="shared" si="221"/>
        <v/>
      </c>
      <c r="W78" s="785" t="str">
        <f t="shared" si="221"/>
        <v/>
      </c>
      <c r="X78" s="785" t="str">
        <f t="shared" si="221"/>
        <v/>
      </c>
      <c r="Y78" s="785" t="str">
        <f t="shared" si="221"/>
        <v/>
      </c>
      <c r="Z78" s="785" t="str">
        <f t="shared" si="221"/>
        <v/>
      </c>
      <c r="AA78" s="785" t="str">
        <f t="shared" si="221"/>
        <v/>
      </c>
      <c r="AB78" s="785" t="str">
        <f t="shared" si="221"/>
        <v/>
      </c>
      <c r="AC78" s="785" t="str">
        <f t="shared" si="221"/>
        <v/>
      </c>
      <c r="AD78" s="785" t="str">
        <f t="shared" si="221"/>
        <v/>
      </c>
      <c r="AE78" s="785" t="str">
        <f t="shared" si="221"/>
        <v/>
      </c>
      <c r="AF78" s="785" t="str">
        <f t="shared" si="221"/>
        <v/>
      </c>
      <c r="AG78" s="785" t="str">
        <f t="shared" si="221"/>
        <v/>
      </c>
      <c r="AH78" s="785" t="str">
        <f t="shared" si="221"/>
        <v/>
      </c>
    </row>
    <row r="79" spans="3:34" s="379" customFormat="1">
      <c r="C79" s="780"/>
      <c r="D79" s="784"/>
      <c r="E79" s="784"/>
      <c r="F79" s="784"/>
      <c r="G79" s="784"/>
      <c r="H79" s="784"/>
      <c r="I79" s="784"/>
      <c r="J79" s="784"/>
      <c r="K79" s="784"/>
      <c r="L79" s="784"/>
      <c r="M79" s="785"/>
      <c r="N79" s="785"/>
      <c r="O79" s="785"/>
      <c r="P79" s="785"/>
      <c r="Q79" s="785"/>
      <c r="R79" s="785"/>
      <c r="S79" s="785"/>
      <c r="T79" s="785"/>
      <c r="U79" s="785"/>
      <c r="V79" s="785"/>
      <c r="W79" s="785"/>
      <c r="X79" s="785"/>
      <c r="Y79" s="785"/>
      <c r="Z79" s="785"/>
      <c r="AA79" s="785"/>
      <c r="AB79" s="785"/>
      <c r="AC79" s="785"/>
      <c r="AD79" s="785"/>
      <c r="AE79" s="785"/>
      <c r="AF79" s="785"/>
      <c r="AG79" s="785"/>
      <c r="AH79" s="785"/>
    </row>
    <row r="80" spans="3:34" s="379" customFormat="1">
      <c r="C80" s="780" t="str">
        <f>_xlfn.CONCAT(C20," ",C18)</f>
        <v>ROM Development</v>
      </c>
      <c r="D80" s="784"/>
      <c r="E80" s="784"/>
      <c r="F80" s="784"/>
      <c r="G80" s="784"/>
      <c r="H80" s="784"/>
      <c r="I80" s="784"/>
      <c r="J80" s="784"/>
      <c r="K80" s="784"/>
      <c r="L80" s="784"/>
      <c r="M80" s="785"/>
      <c r="N80" s="785"/>
      <c r="O80" s="785"/>
      <c r="P80" s="785"/>
      <c r="Q80" s="785"/>
      <c r="R80" s="785"/>
      <c r="S80" s="785"/>
      <c r="T80" s="785"/>
      <c r="U80" s="785"/>
      <c r="V80" s="785"/>
      <c r="W80" s="785"/>
      <c r="X80" s="785"/>
      <c r="Y80" s="785"/>
      <c r="Z80" s="785"/>
      <c r="AA80" s="785"/>
      <c r="AB80" s="785"/>
      <c r="AC80" s="785"/>
      <c r="AD80" s="785"/>
      <c r="AE80" s="785"/>
      <c r="AF80" s="785"/>
      <c r="AG80" s="785"/>
      <c r="AH80" s="785"/>
    </row>
    <row r="81" spans="3:34" s="379" customFormat="1">
      <c r="C81" s="780" t="s">
        <v>16</v>
      </c>
      <c r="D81" s="784">
        <f>IF(D$48&gt;$C$7,"",Development!H8)</f>
        <v>33.199999999999989</v>
      </c>
      <c r="E81" s="784">
        <f>IF(E$48&gt;$C$7,"",Development!I8)</f>
        <v>34.699999999999996</v>
      </c>
      <c r="F81" s="784">
        <f>IF(F$48&gt;$C$7,"",Development!J8)</f>
        <v>0</v>
      </c>
      <c r="G81" s="784">
        <f>IF(G$48&gt;$C$7,"",Development!K8)</f>
        <v>35.1</v>
      </c>
      <c r="H81" s="784">
        <f>IF(H$48&gt;$C$7,"",Development!L8)</f>
        <v>34.9</v>
      </c>
      <c r="I81" s="784">
        <f>IF(I$48&gt;$C$7,"",Development!M8)</f>
        <v>17.299999999999997</v>
      </c>
      <c r="J81" s="784" t="str">
        <f>IF(J$48&gt;$C$7,"",Development!N8)</f>
        <v/>
      </c>
      <c r="K81" s="784" t="str">
        <f>IF(K$48&gt;$C$7,"",Development!O8)</f>
        <v/>
      </c>
      <c r="L81" s="784" t="str">
        <f>IF(L$48&gt;$C$7,"",Development!P8)</f>
        <v/>
      </c>
      <c r="M81" s="784" t="str">
        <f>IF(M$48&gt;$C$7,"",Development!Q8)</f>
        <v/>
      </c>
      <c r="N81" s="784" t="str">
        <f>IF(N$48&gt;$C$7,"",Development!R8)</f>
        <v/>
      </c>
      <c r="O81" s="784" t="str">
        <f>IF(O$48&gt;$C$7,"",Development!S8)</f>
        <v/>
      </c>
      <c r="P81" s="784" t="str">
        <f>IF(P$48&gt;$C$7,"",Development!T8)</f>
        <v/>
      </c>
      <c r="Q81" s="784" t="str">
        <f>IF(Q$48&gt;$C$7,"",Development!U8)</f>
        <v/>
      </c>
      <c r="R81" s="784" t="str">
        <f>IF(R$48&gt;$C$7,"",Development!V8)</f>
        <v/>
      </c>
      <c r="S81" s="784" t="str">
        <f>IF(S$48&gt;$C$7,"",Development!W8)</f>
        <v/>
      </c>
      <c r="T81" s="784" t="str">
        <f>IF(T$48&gt;$C$7,"",Development!X8)</f>
        <v/>
      </c>
      <c r="U81" s="784" t="str">
        <f>IF(U$48&gt;$C$7,"",Development!Y8)</f>
        <v/>
      </c>
      <c r="V81" s="784" t="str">
        <f>IF(V$48&gt;$C$7,"",Development!Z8)</f>
        <v/>
      </c>
      <c r="W81" s="784" t="str">
        <f>IF(W$48&gt;$C$7,"",Development!AA8)</f>
        <v/>
      </c>
      <c r="X81" s="784" t="str">
        <f>IF(X$48&gt;$C$7,"",Development!AB8)</f>
        <v/>
      </c>
      <c r="Y81" s="784" t="str">
        <f>IF(Y$48&gt;$C$7,"",Development!AC8)</f>
        <v/>
      </c>
      <c r="Z81" s="784" t="str">
        <f>IF(Z$48&gt;$C$7,"",Development!AD8)</f>
        <v/>
      </c>
      <c r="AA81" s="784" t="str">
        <f>IF(AA$48&gt;$C$7,"",Development!AE8)</f>
        <v/>
      </c>
      <c r="AB81" s="784" t="str">
        <f>IF(AB$48&gt;$C$7,"",Development!AF8)</f>
        <v/>
      </c>
      <c r="AC81" s="784" t="str">
        <f>IF(AC$48&gt;$C$7,"",Development!AG8)</f>
        <v/>
      </c>
      <c r="AD81" s="784" t="str">
        <f>IF(AD$48&gt;$C$7,"",Development!AH8)</f>
        <v/>
      </c>
      <c r="AE81" s="784" t="str">
        <f>IF(AE$48&gt;$C$7,"",Development!AI8)</f>
        <v/>
      </c>
      <c r="AF81" s="784" t="str">
        <f>IF(AF$48&gt;$C$7,"",Development!AJ8)</f>
        <v/>
      </c>
      <c r="AG81" s="784" t="str">
        <f>IF(AG$48&gt;$C$7,"",Development!AK8)</f>
        <v/>
      </c>
      <c r="AH81" s="784" t="str">
        <f>IF(AH$48&gt;$C$7,"",Development!AL8)</f>
        <v/>
      </c>
    </row>
    <row r="82" spans="3:34" s="379" customFormat="1">
      <c r="C82" s="780" t="s">
        <v>72</v>
      </c>
      <c r="D82" s="784">
        <f>D81</f>
        <v>33.199999999999989</v>
      </c>
      <c r="E82" s="784">
        <f>IFERROR(E81+D82,"")</f>
        <v>67.899999999999977</v>
      </c>
      <c r="F82" s="784">
        <f>IFERROR(F81+E82,"")</f>
        <v>67.899999999999977</v>
      </c>
      <c r="G82" s="784">
        <f t="shared" ref="G82" si="222">IFERROR(G81+F82,"")</f>
        <v>102.99999999999997</v>
      </c>
      <c r="H82" s="784">
        <f t="shared" ref="H82" si="223">IFERROR(H81+G82,"")</f>
        <v>137.89999999999998</v>
      </c>
      <c r="I82" s="784">
        <f t="shared" ref="I82" si="224">IFERROR(I81+H82,"")</f>
        <v>155.19999999999999</v>
      </c>
      <c r="J82" s="784" t="str">
        <f t="shared" ref="J82" si="225">IFERROR(J81+I82,"")</f>
        <v/>
      </c>
      <c r="K82" s="784" t="str">
        <f t="shared" ref="K82" si="226">IFERROR(K81+J82,"")</f>
        <v/>
      </c>
      <c r="L82" s="784" t="str">
        <f t="shared" ref="L82" si="227">IFERROR(L81+K82,"")</f>
        <v/>
      </c>
      <c r="M82" s="785" t="str">
        <f>IFERROR(M81+L82,"")</f>
        <v/>
      </c>
      <c r="N82" s="785" t="str">
        <f t="shared" ref="N82" si="228">IFERROR(N81+M82,"")</f>
        <v/>
      </c>
      <c r="O82" s="785" t="str">
        <f t="shared" ref="O82" si="229">IFERROR(O81+N82,"")</f>
        <v/>
      </c>
      <c r="P82" s="785" t="str">
        <f t="shared" ref="P82" si="230">IFERROR(P81+O82,"")</f>
        <v/>
      </c>
      <c r="Q82" s="785" t="str">
        <f t="shared" ref="Q82" si="231">IFERROR(Q81+P82,"")</f>
        <v/>
      </c>
      <c r="R82" s="785" t="str">
        <f t="shared" ref="R82" si="232">IFERROR(R81+Q82,"")</f>
        <v/>
      </c>
      <c r="S82" s="785" t="str">
        <f t="shared" ref="S82" si="233">IFERROR(S81+R82,"")</f>
        <v/>
      </c>
      <c r="T82" s="785" t="str">
        <f t="shared" ref="T82" si="234">IFERROR(T81+S82,"")</f>
        <v/>
      </c>
      <c r="U82" s="785" t="str">
        <f t="shared" ref="U82" si="235">IFERROR(U81+T82,"")</f>
        <v/>
      </c>
      <c r="V82" s="785" t="str">
        <f t="shared" ref="V82" si="236">IFERROR(V81+U82,"")</f>
        <v/>
      </c>
      <c r="W82" s="785" t="str">
        <f t="shared" ref="W82" si="237">IFERROR(W81+V82,"")</f>
        <v/>
      </c>
      <c r="X82" s="785" t="str">
        <f t="shared" ref="X82" si="238">IFERROR(X81+W82,"")</f>
        <v/>
      </c>
      <c r="Y82" s="785" t="str">
        <f t="shared" ref="Y82" si="239">IFERROR(Y81+X82,"")</f>
        <v/>
      </c>
      <c r="Z82" s="785" t="str">
        <f t="shared" ref="Z82" si="240">IFERROR(Z81+Y82,"")</f>
        <v/>
      </c>
      <c r="AA82" s="785" t="str">
        <f t="shared" ref="AA82" si="241">IFERROR(AA81+Z82,"")</f>
        <v/>
      </c>
      <c r="AB82" s="785" t="str">
        <f t="shared" ref="AB82" si="242">IFERROR(AB81+AA82,"")</f>
        <v/>
      </c>
      <c r="AC82" s="785" t="str">
        <f t="shared" ref="AC82" si="243">IFERROR(AC81+AB82,"")</f>
        <v/>
      </c>
      <c r="AD82" s="785" t="str">
        <f t="shared" ref="AD82" si="244">IFERROR(AD81+AC82,"")</f>
        <v/>
      </c>
      <c r="AE82" s="785" t="str">
        <f t="shared" ref="AE82" si="245">IFERROR(AE81+AD82,"")</f>
        <v/>
      </c>
      <c r="AF82" s="785" t="str">
        <f t="shared" ref="AF82" si="246">IFERROR(AF81+AE82,"")</f>
        <v/>
      </c>
      <c r="AG82" s="785" t="str">
        <f t="shared" ref="AG82" si="247">IFERROR(AG81+AF82,"")</f>
        <v/>
      </c>
      <c r="AH82" s="785" t="str">
        <f t="shared" ref="AH82" si="248">IFERROR(AH81+AG82,"")</f>
        <v/>
      </c>
    </row>
    <row r="83" spans="3:34" s="379" customFormat="1">
      <c r="C83" s="780" t="s">
        <v>17</v>
      </c>
      <c r="D83" s="784">
        <f>IF(D$48&gt;$C$7,"",Development!H7)</f>
        <v>32.099999999999994</v>
      </c>
      <c r="E83" s="784">
        <f>IF(E$48&gt;$C$7,"",Development!I7)</f>
        <v>32.099999999999994</v>
      </c>
      <c r="F83" s="784">
        <f>IF(F$48&gt;$C$7,"",Development!J7)</f>
        <v>0</v>
      </c>
      <c r="G83" s="784">
        <f>IF(G$48&gt;$C$7,"",Development!K7)</f>
        <v>32.999999999999993</v>
      </c>
      <c r="H83" s="784">
        <f>IF(H$48&gt;$C$7,"",Development!L7)</f>
        <v>33.899999999999991</v>
      </c>
      <c r="I83" s="784">
        <f>IF(I$48&gt;$C$7,"",Development!M7)</f>
        <v>33.899999999999991</v>
      </c>
      <c r="J83" s="784" t="str">
        <f>IF(J$48&gt;$C$7,"",Development!N7)</f>
        <v/>
      </c>
      <c r="K83" s="784" t="str">
        <f>IF(K$48&gt;$C$7,"",Development!O7)</f>
        <v/>
      </c>
      <c r="L83" s="784" t="str">
        <f>IF(L$48&gt;$C$7,"",Development!P7)</f>
        <v/>
      </c>
      <c r="M83" s="784" t="str">
        <f>IF(M$48&gt;$C$7,"",Development!Q7)</f>
        <v/>
      </c>
      <c r="N83" s="784" t="str">
        <f>IF(N$48&gt;$C$7,"",Development!R7)</f>
        <v/>
      </c>
      <c r="O83" s="784" t="str">
        <f>IF(O$48&gt;$C$7,"",Development!S7)</f>
        <v/>
      </c>
      <c r="P83" s="784" t="str">
        <f>IF(P$48&gt;$C$7,"",Development!T7)</f>
        <v/>
      </c>
      <c r="Q83" s="784" t="str">
        <f>IF(Q$48&gt;$C$7,"",Development!U7)</f>
        <v/>
      </c>
      <c r="R83" s="784" t="str">
        <f>IF(R$48&gt;$C$7,"",Development!V7)</f>
        <v/>
      </c>
      <c r="S83" s="784" t="str">
        <f>IF(S$48&gt;$C$7,"",Development!W7)</f>
        <v/>
      </c>
      <c r="T83" s="784" t="str">
        <f>IF(T$48&gt;$C$7,"",Development!X7)</f>
        <v/>
      </c>
      <c r="U83" s="784" t="str">
        <f>IF(U$48&gt;$C$7,"",Development!Y7)</f>
        <v/>
      </c>
      <c r="V83" s="784" t="str">
        <f>IF(V$48&gt;$C$7,"",Development!Z7)</f>
        <v/>
      </c>
      <c r="W83" s="784" t="str">
        <f>IF(W$48&gt;$C$7,"",Development!AA7)</f>
        <v/>
      </c>
      <c r="X83" s="784" t="str">
        <f>IF(X$48&gt;$C$7,"",Development!AB7)</f>
        <v/>
      </c>
      <c r="Y83" s="784" t="str">
        <f>IF(Y$48&gt;$C$7,"",Development!AC7)</f>
        <v/>
      </c>
      <c r="Z83" s="784" t="str">
        <f>IF(Z$48&gt;$C$7,"",Development!AD7)</f>
        <v/>
      </c>
      <c r="AA83" s="784" t="str">
        <f>IF(AA$48&gt;$C$7,"",Development!AE7)</f>
        <v/>
      </c>
      <c r="AB83" s="784" t="str">
        <f>IF(AB$48&gt;$C$7,"",Development!AF7)</f>
        <v/>
      </c>
      <c r="AC83" s="784" t="str">
        <f>IF(AC$48&gt;$C$7,"",Development!AG7)</f>
        <v/>
      </c>
      <c r="AD83" s="784" t="str">
        <f>IF(AD$48&gt;$C$7,"",Development!AH7)</f>
        <v/>
      </c>
      <c r="AE83" s="784" t="str">
        <f>IF(AE$48&gt;$C$7,"",Development!AI7)</f>
        <v/>
      </c>
      <c r="AF83" s="784" t="str">
        <f>IF(AF$48&gt;$C$7,"",Development!AJ7)</f>
        <v/>
      </c>
      <c r="AG83" s="784" t="str">
        <f>IF(AG$48&gt;$C$7,"",Development!AK7)</f>
        <v/>
      </c>
      <c r="AH83" s="784" t="str">
        <f>IF(AH$48&gt;$C$7,"",Development!AL7)</f>
        <v/>
      </c>
    </row>
    <row r="84" spans="3:34" s="379" customFormat="1">
      <c r="C84" s="780" t="s">
        <v>73</v>
      </c>
      <c r="D84" s="784">
        <f>D83</f>
        <v>32.099999999999994</v>
      </c>
      <c r="E84" s="784">
        <f>IFERROR(E83+D84,"")</f>
        <v>64.199999999999989</v>
      </c>
      <c r="F84" s="784">
        <f>IFERROR(F83+E84,"")</f>
        <v>64.199999999999989</v>
      </c>
      <c r="G84" s="784">
        <f t="shared" ref="G84" si="249">IFERROR(G83+F84,"")</f>
        <v>97.199999999999989</v>
      </c>
      <c r="H84" s="784">
        <f t="shared" ref="H84" si="250">IFERROR(H83+G84,"")</f>
        <v>131.09999999999997</v>
      </c>
      <c r="I84" s="784">
        <f t="shared" ref="I84" si="251">IFERROR(I83+H84,"")</f>
        <v>164.99999999999994</v>
      </c>
      <c r="J84" s="784" t="str">
        <f t="shared" ref="J84" si="252">IFERROR(J83+I84,"")</f>
        <v/>
      </c>
      <c r="K84" s="784" t="str">
        <f t="shared" ref="K84" si="253">IFERROR(K83+J84,"")</f>
        <v/>
      </c>
      <c r="L84" s="784" t="str">
        <f t="shared" ref="L84" si="254">IFERROR(L83+K84,"")</f>
        <v/>
      </c>
      <c r="M84" s="785" t="str">
        <f>IFERROR(M83+L84,"")</f>
        <v/>
      </c>
      <c r="N84" s="785" t="str">
        <f t="shared" ref="N84" si="255">IFERROR(N83+M84,"")</f>
        <v/>
      </c>
      <c r="O84" s="785" t="str">
        <f t="shared" ref="O84" si="256">IFERROR(O83+N84,"")</f>
        <v/>
      </c>
      <c r="P84" s="785" t="str">
        <f t="shared" ref="P84" si="257">IFERROR(P83+O84,"")</f>
        <v/>
      </c>
      <c r="Q84" s="785" t="str">
        <f t="shared" ref="Q84" si="258">IFERROR(Q83+P84,"")</f>
        <v/>
      </c>
      <c r="R84" s="785" t="str">
        <f t="shared" ref="R84" si="259">IFERROR(R83+Q84,"")</f>
        <v/>
      </c>
      <c r="S84" s="785" t="str">
        <f t="shared" ref="S84" si="260">IFERROR(S83+R84,"")</f>
        <v/>
      </c>
      <c r="T84" s="785" t="str">
        <f t="shared" ref="T84" si="261">IFERROR(T83+S84,"")</f>
        <v/>
      </c>
      <c r="U84" s="785" t="str">
        <f t="shared" ref="U84" si="262">IFERROR(U83+T84,"")</f>
        <v/>
      </c>
      <c r="V84" s="785" t="str">
        <f t="shared" ref="V84" si="263">IFERROR(V83+U84,"")</f>
        <v/>
      </c>
      <c r="W84" s="785" t="str">
        <f t="shared" ref="W84" si="264">IFERROR(W83+V84,"")</f>
        <v/>
      </c>
      <c r="X84" s="785" t="str">
        <f t="shared" ref="X84" si="265">IFERROR(X83+W84,"")</f>
        <v/>
      </c>
      <c r="Y84" s="785" t="str">
        <f t="shared" ref="Y84" si="266">IFERROR(Y83+X84,"")</f>
        <v/>
      </c>
      <c r="Z84" s="785" t="str">
        <f t="shared" ref="Z84" si="267">IFERROR(Z83+Y84,"")</f>
        <v/>
      </c>
      <c r="AA84" s="785" t="str">
        <f t="shared" ref="AA84" si="268">IFERROR(AA83+Z84,"")</f>
        <v/>
      </c>
      <c r="AB84" s="785" t="str">
        <f t="shared" ref="AB84" si="269">IFERROR(AB83+AA84,"")</f>
        <v/>
      </c>
      <c r="AC84" s="785" t="str">
        <f t="shared" ref="AC84" si="270">IFERROR(AC83+AB84,"")</f>
        <v/>
      </c>
      <c r="AD84" s="785" t="str">
        <f t="shared" ref="AD84" si="271">IFERROR(AD83+AC84,"")</f>
        <v/>
      </c>
      <c r="AE84" s="785" t="str">
        <f t="shared" ref="AE84" si="272">IFERROR(AE83+AD84,"")</f>
        <v/>
      </c>
      <c r="AF84" s="785" t="str">
        <f t="shared" ref="AF84" si="273">IFERROR(AF83+AE84,"")</f>
        <v/>
      </c>
      <c r="AG84" s="785" t="str">
        <f t="shared" ref="AG84" si="274">IFERROR(AG83+AF84,"")</f>
        <v/>
      </c>
      <c r="AH84" s="785" t="str">
        <f t="shared" ref="AH84" si="275">IFERROR(AH83+AG84,"")</f>
        <v/>
      </c>
    </row>
    <row r="85" spans="3:34" s="379" customFormat="1">
      <c r="C85" s="780"/>
      <c r="D85" s="786"/>
      <c r="E85" s="786"/>
      <c r="F85" s="786"/>
      <c r="G85" s="786"/>
      <c r="H85" s="786"/>
      <c r="I85" s="786"/>
      <c r="J85" s="786"/>
      <c r="K85" s="786"/>
      <c r="L85" s="786"/>
      <c r="M85" s="787"/>
      <c r="N85" s="787"/>
      <c r="O85" s="787"/>
      <c r="P85" s="787"/>
      <c r="Q85" s="787"/>
      <c r="R85" s="787"/>
      <c r="S85" s="787"/>
      <c r="T85" s="787"/>
      <c r="U85" s="787"/>
      <c r="V85" s="787"/>
      <c r="W85" s="787"/>
      <c r="X85" s="787"/>
      <c r="Y85" s="787"/>
      <c r="Z85" s="787"/>
      <c r="AA85" s="787"/>
      <c r="AB85" s="787"/>
      <c r="AC85" s="787"/>
      <c r="AD85" s="787"/>
      <c r="AE85" s="787"/>
      <c r="AF85" s="787"/>
      <c r="AG85" s="787"/>
      <c r="AH85" s="787"/>
    </row>
    <row r="86" spans="3:34" s="379" customFormat="1">
      <c r="C86" s="780" t="str">
        <f>_xlfn.CONCAT(C21," ",C18)</f>
        <v>Total Development</v>
      </c>
      <c r="D86" s="784"/>
      <c r="E86" s="784"/>
      <c r="F86" s="784"/>
      <c r="G86" s="784"/>
      <c r="H86" s="784"/>
      <c r="I86" s="784"/>
      <c r="J86" s="784"/>
      <c r="K86" s="784"/>
      <c r="L86" s="784"/>
      <c r="M86" s="785"/>
      <c r="N86" s="785"/>
      <c r="O86" s="785"/>
      <c r="P86" s="785"/>
      <c r="Q86" s="785"/>
      <c r="R86" s="785"/>
      <c r="S86" s="785"/>
      <c r="T86" s="785"/>
      <c r="U86" s="785"/>
      <c r="V86" s="785"/>
      <c r="W86" s="785"/>
      <c r="X86" s="785"/>
      <c r="Y86" s="785"/>
      <c r="Z86" s="785"/>
      <c r="AA86" s="785"/>
      <c r="AB86" s="785"/>
      <c r="AC86" s="785"/>
      <c r="AD86" s="785"/>
      <c r="AE86" s="785"/>
      <c r="AF86" s="785"/>
      <c r="AG86" s="785"/>
      <c r="AH86" s="785"/>
    </row>
    <row r="87" spans="3:34" s="379" customFormat="1">
      <c r="C87" s="780" t="s">
        <v>16</v>
      </c>
      <c r="D87" s="784">
        <f>IFERROR(D75+D81,"")</f>
        <v>38.899999999999991</v>
      </c>
      <c r="E87" s="784">
        <f t="shared" ref="E87:AH89" si="276">IFERROR(E75+E81,"")</f>
        <v>39.599999999999994</v>
      </c>
      <c r="F87" s="784">
        <f t="shared" si="276"/>
        <v>2.9000000000000004</v>
      </c>
      <c r="G87" s="784">
        <f t="shared" si="276"/>
        <v>38.9</v>
      </c>
      <c r="H87" s="784">
        <f t="shared" si="276"/>
        <v>38.9</v>
      </c>
      <c r="I87" s="784">
        <f t="shared" si="276"/>
        <v>21.099999999999998</v>
      </c>
      <c r="J87" s="784" t="str">
        <f t="shared" si="276"/>
        <v/>
      </c>
      <c r="K87" s="784" t="str">
        <f t="shared" si="276"/>
        <v/>
      </c>
      <c r="L87" s="784" t="str">
        <f t="shared" si="276"/>
        <v/>
      </c>
      <c r="M87" s="784" t="str">
        <f t="shared" si="276"/>
        <v/>
      </c>
      <c r="N87" s="784" t="str">
        <f t="shared" si="276"/>
        <v/>
      </c>
      <c r="O87" s="784" t="str">
        <f t="shared" si="276"/>
        <v/>
      </c>
      <c r="P87" s="784" t="str">
        <f t="shared" si="276"/>
        <v/>
      </c>
      <c r="Q87" s="784" t="str">
        <f t="shared" si="276"/>
        <v/>
      </c>
      <c r="R87" s="784" t="str">
        <f t="shared" si="276"/>
        <v/>
      </c>
      <c r="S87" s="784" t="str">
        <f t="shared" si="276"/>
        <v/>
      </c>
      <c r="T87" s="784" t="str">
        <f t="shared" si="276"/>
        <v/>
      </c>
      <c r="U87" s="784" t="str">
        <f t="shared" si="276"/>
        <v/>
      </c>
      <c r="V87" s="784" t="str">
        <f t="shared" si="276"/>
        <v/>
      </c>
      <c r="W87" s="784" t="str">
        <f t="shared" si="276"/>
        <v/>
      </c>
      <c r="X87" s="784" t="str">
        <f t="shared" si="276"/>
        <v/>
      </c>
      <c r="Y87" s="784" t="str">
        <f t="shared" si="276"/>
        <v/>
      </c>
      <c r="Z87" s="784" t="str">
        <f t="shared" si="276"/>
        <v/>
      </c>
      <c r="AA87" s="784" t="str">
        <f t="shared" si="276"/>
        <v/>
      </c>
      <c r="AB87" s="784" t="str">
        <f t="shared" si="276"/>
        <v/>
      </c>
      <c r="AC87" s="784" t="str">
        <f t="shared" si="276"/>
        <v/>
      </c>
      <c r="AD87" s="784" t="str">
        <f t="shared" si="276"/>
        <v/>
      </c>
      <c r="AE87" s="784" t="str">
        <f t="shared" si="276"/>
        <v/>
      </c>
      <c r="AF87" s="784" t="str">
        <f t="shared" si="276"/>
        <v/>
      </c>
      <c r="AG87" s="784" t="str">
        <f t="shared" si="276"/>
        <v/>
      </c>
      <c r="AH87" s="784" t="str">
        <f t="shared" si="276"/>
        <v/>
      </c>
    </row>
    <row r="88" spans="3:34" s="379" customFormat="1">
      <c r="C88" s="780" t="s">
        <v>72</v>
      </c>
      <c r="D88" s="784">
        <f>D87</f>
        <v>38.899999999999991</v>
      </c>
      <c r="E88" s="784">
        <f>IFERROR(E87+D88,"")</f>
        <v>78.499999999999986</v>
      </c>
      <c r="F88" s="784">
        <f>IFERROR(F87+E88,"")</f>
        <v>81.399999999999991</v>
      </c>
      <c r="G88" s="784">
        <f t="shared" ref="G88" si="277">IFERROR(G87+F88,"")</f>
        <v>120.29999999999998</v>
      </c>
      <c r="H88" s="784">
        <f t="shared" ref="H88" si="278">IFERROR(H87+G88,"")</f>
        <v>159.19999999999999</v>
      </c>
      <c r="I88" s="784">
        <f t="shared" ref="I88" si="279">IFERROR(I87+H88,"")</f>
        <v>180.29999999999998</v>
      </c>
      <c r="J88" s="784" t="str">
        <f t="shared" ref="J88" si="280">IFERROR(J87+I88,"")</f>
        <v/>
      </c>
      <c r="K88" s="784" t="str">
        <f t="shared" ref="K88" si="281">IFERROR(K87+J88,"")</f>
        <v/>
      </c>
      <c r="L88" s="784" t="str">
        <f t="shared" ref="L88" si="282">IFERROR(L87+K88,"")</f>
        <v/>
      </c>
      <c r="M88" s="785" t="str">
        <f>IFERROR(M87+L88,"")</f>
        <v/>
      </c>
      <c r="N88" s="785" t="str">
        <f t="shared" ref="N88" si="283">IFERROR(N87+M88,"")</f>
        <v/>
      </c>
      <c r="O88" s="785" t="str">
        <f t="shared" ref="O88" si="284">IFERROR(O87+N88,"")</f>
        <v/>
      </c>
      <c r="P88" s="785" t="str">
        <f t="shared" ref="P88" si="285">IFERROR(P87+O88,"")</f>
        <v/>
      </c>
      <c r="Q88" s="785" t="str">
        <f t="shared" ref="Q88" si="286">IFERROR(Q87+P88,"")</f>
        <v/>
      </c>
      <c r="R88" s="785" t="str">
        <f t="shared" ref="R88" si="287">IFERROR(R87+Q88,"")</f>
        <v/>
      </c>
      <c r="S88" s="785" t="str">
        <f t="shared" ref="S88" si="288">IFERROR(S87+R88,"")</f>
        <v/>
      </c>
      <c r="T88" s="785" t="str">
        <f t="shared" ref="T88" si="289">IFERROR(T87+S88,"")</f>
        <v/>
      </c>
      <c r="U88" s="785" t="str">
        <f t="shared" ref="U88" si="290">IFERROR(U87+T88,"")</f>
        <v/>
      </c>
      <c r="V88" s="785" t="str">
        <f t="shared" ref="V88" si="291">IFERROR(V87+U88,"")</f>
        <v/>
      </c>
      <c r="W88" s="785" t="str">
        <f t="shared" ref="W88" si="292">IFERROR(W87+V88,"")</f>
        <v/>
      </c>
      <c r="X88" s="785" t="str">
        <f t="shared" ref="X88" si="293">IFERROR(X87+W88,"")</f>
        <v/>
      </c>
      <c r="Y88" s="785" t="str">
        <f t="shared" ref="Y88" si="294">IFERROR(Y87+X88,"")</f>
        <v/>
      </c>
      <c r="Z88" s="785" t="str">
        <f t="shared" ref="Z88" si="295">IFERROR(Z87+Y88,"")</f>
        <v/>
      </c>
      <c r="AA88" s="785" t="str">
        <f t="shared" ref="AA88" si="296">IFERROR(AA87+Z88,"")</f>
        <v/>
      </c>
      <c r="AB88" s="785" t="str">
        <f t="shared" ref="AB88" si="297">IFERROR(AB87+AA88,"")</f>
        <v/>
      </c>
      <c r="AC88" s="785" t="str">
        <f t="shared" ref="AC88" si="298">IFERROR(AC87+AB88,"")</f>
        <v/>
      </c>
      <c r="AD88" s="785" t="str">
        <f t="shared" ref="AD88" si="299">IFERROR(AD87+AC88,"")</f>
        <v/>
      </c>
      <c r="AE88" s="785" t="str">
        <f t="shared" ref="AE88" si="300">IFERROR(AE87+AD88,"")</f>
        <v/>
      </c>
      <c r="AF88" s="785" t="str">
        <f t="shared" ref="AF88" si="301">IFERROR(AF87+AE88,"")</f>
        <v/>
      </c>
      <c r="AG88" s="785" t="str">
        <f t="shared" ref="AG88" si="302">IFERROR(AG87+AF88,"")</f>
        <v/>
      </c>
      <c r="AH88" s="785" t="str">
        <f t="shared" ref="AH88" si="303">IFERROR(AH87+AG88,"")</f>
        <v/>
      </c>
    </row>
    <row r="89" spans="3:34" s="379" customFormat="1">
      <c r="C89" s="780" t="s">
        <v>17</v>
      </c>
      <c r="D89" s="784">
        <f>IFERROR(D77+D83,"")</f>
        <v>35.699999999999996</v>
      </c>
      <c r="E89" s="784">
        <f t="shared" si="276"/>
        <v>35.699999999999996</v>
      </c>
      <c r="F89" s="784">
        <f t="shared" si="276"/>
        <v>0.9</v>
      </c>
      <c r="G89" s="784">
        <f t="shared" si="276"/>
        <v>36.599999999999994</v>
      </c>
      <c r="H89" s="784">
        <f t="shared" si="276"/>
        <v>36.599999999999994</v>
      </c>
      <c r="I89" s="784">
        <f t="shared" si="276"/>
        <v>38.79999999999999</v>
      </c>
      <c r="J89" s="784" t="str">
        <f t="shared" si="276"/>
        <v/>
      </c>
      <c r="K89" s="784" t="str">
        <f t="shared" si="276"/>
        <v/>
      </c>
      <c r="L89" s="784" t="str">
        <f t="shared" si="276"/>
        <v/>
      </c>
      <c r="M89" s="784" t="str">
        <f t="shared" si="276"/>
        <v/>
      </c>
      <c r="N89" s="784" t="str">
        <f t="shared" si="276"/>
        <v/>
      </c>
      <c r="O89" s="784" t="str">
        <f t="shared" si="276"/>
        <v/>
      </c>
      <c r="P89" s="784" t="str">
        <f t="shared" si="276"/>
        <v/>
      </c>
      <c r="Q89" s="784" t="str">
        <f t="shared" si="276"/>
        <v/>
      </c>
      <c r="R89" s="784" t="str">
        <f t="shared" si="276"/>
        <v/>
      </c>
      <c r="S89" s="784" t="str">
        <f t="shared" si="276"/>
        <v/>
      </c>
      <c r="T89" s="784" t="str">
        <f t="shared" si="276"/>
        <v/>
      </c>
      <c r="U89" s="784" t="str">
        <f t="shared" si="276"/>
        <v/>
      </c>
      <c r="V89" s="784" t="str">
        <f t="shared" si="276"/>
        <v/>
      </c>
      <c r="W89" s="784" t="str">
        <f t="shared" si="276"/>
        <v/>
      </c>
      <c r="X89" s="784" t="str">
        <f t="shared" si="276"/>
        <v/>
      </c>
      <c r="Y89" s="784" t="str">
        <f t="shared" si="276"/>
        <v/>
      </c>
      <c r="Z89" s="784" t="str">
        <f t="shared" si="276"/>
        <v/>
      </c>
      <c r="AA89" s="784" t="str">
        <f t="shared" si="276"/>
        <v/>
      </c>
      <c r="AB89" s="784" t="str">
        <f t="shared" si="276"/>
        <v/>
      </c>
      <c r="AC89" s="784" t="str">
        <f t="shared" si="276"/>
        <v/>
      </c>
      <c r="AD89" s="784" t="str">
        <f t="shared" si="276"/>
        <v/>
      </c>
      <c r="AE89" s="784" t="str">
        <f t="shared" si="276"/>
        <v/>
      </c>
      <c r="AF89" s="784" t="str">
        <f t="shared" si="276"/>
        <v/>
      </c>
      <c r="AG89" s="784" t="str">
        <f t="shared" si="276"/>
        <v/>
      </c>
      <c r="AH89" s="784" t="str">
        <f t="shared" si="276"/>
        <v/>
      </c>
    </row>
    <row r="90" spans="3:34" s="379" customFormat="1">
      <c r="C90" s="780" t="s">
        <v>73</v>
      </c>
      <c r="D90" s="784">
        <f>D89</f>
        <v>35.699999999999996</v>
      </c>
      <c r="E90" s="784">
        <f>IFERROR(E89+D90,"")</f>
        <v>71.399999999999991</v>
      </c>
      <c r="F90" s="784">
        <f>IFERROR(F89+E90,"")</f>
        <v>72.3</v>
      </c>
      <c r="G90" s="784">
        <f t="shared" ref="G90" si="304">IFERROR(G89+F90,"")</f>
        <v>108.89999999999999</v>
      </c>
      <c r="H90" s="784">
        <f t="shared" ref="H90" si="305">IFERROR(H89+G90,"")</f>
        <v>145.5</v>
      </c>
      <c r="I90" s="784">
        <f t="shared" ref="I90" si="306">IFERROR(I89+H90,"")</f>
        <v>184.29999999999998</v>
      </c>
      <c r="J90" s="784" t="str">
        <f t="shared" ref="J90" si="307">IFERROR(J89+I90,"")</f>
        <v/>
      </c>
      <c r="K90" s="784" t="str">
        <f t="shared" ref="K90" si="308">IFERROR(K89+J90,"")</f>
        <v/>
      </c>
      <c r="L90" s="784" t="str">
        <f t="shared" ref="L90" si="309">IFERROR(L89+K90,"")</f>
        <v/>
      </c>
      <c r="M90" s="785" t="str">
        <f>IFERROR(M89+L90,"")</f>
        <v/>
      </c>
      <c r="N90" s="785" t="str">
        <f t="shared" ref="N90" si="310">IFERROR(N89+M90,"")</f>
        <v/>
      </c>
      <c r="O90" s="785" t="str">
        <f t="shared" ref="O90" si="311">IFERROR(O89+N90,"")</f>
        <v/>
      </c>
      <c r="P90" s="785" t="str">
        <f t="shared" ref="P90" si="312">IFERROR(P89+O90,"")</f>
        <v/>
      </c>
      <c r="Q90" s="785" t="str">
        <f t="shared" ref="Q90" si="313">IFERROR(Q89+P90,"")</f>
        <v/>
      </c>
      <c r="R90" s="785" t="str">
        <f t="shared" ref="R90" si="314">IFERROR(R89+Q90,"")</f>
        <v/>
      </c>
      <c r="S90" s="785" t="str">
        <f t="shared" ref="S90" si="315">IFERROR(S89+R90,"")</f>
        <v/>
      </c>
      <c r="T90" s="785" t="str">
        <f t="shared" ref="T90" si="316">IFERROR(T89+S90,"")</f>
        <v/>
      </c>
      <c r="U90" s="785" t="str">
        <f t="shared" ref="U90" si="317">IFERROR(U89+T90,"")</f>
        <v/>
      </c>
      <c r="V90" s="785" t="str">
        <f t="shared" ref="V90" si="318">IFERROR(V89+U90,"")</f>
        <v/>
      </c>
      <c r="W90" s="785" t="str">
        <f t="shared" ref="W90" si="319">IFERROR(W89+V90,"")</f>
        <v/>
      </c>
      <c r="X90" s="785" t="str">
        <f t="shared" ref="X90" si="320">IFERROR(X89+W90,"")</f>
        <v/>
      </c>
      <c r="Y90" s="785" t="str">
        <f t="shared" ref="Y90" si="321">IFERROR(Y89+X90,"")</f>
        <v/>
      </c>
      <c r="Z90" s="785" t="str">
        <f t="shared" ref="Z90" si="322">IFERROR(Z89+Y90,"")</f>
        <v/>
      </c>
      <c r="AA90" s="785" t="str">
        <f t="shared" ref="AA90" si="323">IFERROR(AA89+Z90,"")</f>
        <v/>
      </c>
      <c r="AB90" s="785" t="str">
        <f t="shared" ref="AB90" si="324">IFERROR(AB89+AA90,"")</f>
        <v/>
      </c>
      <c r="AC90" s="785" t="str">
        <f t="shared" ref="AC90" si="325">IFERROR(AC89+AB90,"")</f>
        <v/>
      </c>
      <c r="AD90" s="785" t="str">
        <f t="shared" ref="AD90" si="326">IFERROR(AD89+AC90,"")</f>
        <v/>
      </c>
      <c r="AE90" s="785" t="str">
        <f t="shared" ref="AE90" si="327">IFERROR(AE89+AD90,"")</f>
        <v/>
      </c>
      <c r="AF90" s="785" t="str">
        <f t="shared" ref="AF90" si="328">IFERROR(AF89+AE90,"")</f>
        <v/>
      </c>
      <c r="AG90" s="785" t="str">
        <f t="shared" ref="AG90" si="329">IFERROR(AG89+AF90,"")</f>
        <v/>
      </c>
      <c r="AH90" s="785" t="str">
        <f t="shared" ref="AH90" si="330">IFERROR(AH89+AG90,"")</f>
        <v/>
      </c>
    </row>
    <row r="91" spans="3:34" s="379" customFormat="1">
      <c r="C91" s="780"/>
      <c r="D91" s="786"/>
      <c r="E91" s="786"/>
      <c r="F91" s="786"/>
      <c r="G91" s="786"/>
      <c r="H91" s="786"/>
      <c r="I91" s="786"/>
      <c r="J91" s="786"/>
      <c r="K91" s="786"/>
      <c r="L91" s="786"/>
      <c r="M91" s="787"/>
      <c r="N91" s="787"/>
      <c r="O91" s="787"/>
      <c r="P91" s="787"/>
      <c r="Q91" s="787"/>
      <c r="R91" s="787"/>
      <c r="S91" s="787"/>
      <c r="T91" s="787"/>
      <c r="U91" s="787"/>
      <c r="V91" s="787"/>
      <c r="W91" s="787"/>
      <c r="X91" s="787"/>
      <c r="Y91" s="787"/>
      <c r="Z91" s="787"/>
      <c r="AA91" s="787"/>
      <c r="AB91" s="787"/>
      <c r="AC91" s="787"/>
      <c r="AD91" s="787"/>
      <c r="AE91" s="787"/>
      <c r="AF91" s="787"/>
      <c r="AG91" s="787"/>
      <c r="AH91" s="787"/>
    </row>
    <row r="92" spans="3:34" s="379" customFormat="1">
      <c r="C92" s="780" t="str">
        <f>_xlfn.CONCAT(C24," ",C23)</f>
        <v>Broken Tonnes</v>
      </c>
      <c r="D92" s="788"/>
      <c r="E92" s="788"/>
      <c r="F92" s="788"/>
      <c r="G92" s="788"/>
      <c r="H92" s="788"/>
      <c r="I92" s="788"/>
      <c r="J92" s="788"/>
      <c r="K92" s="788"/>
      <c r="L92" s="788"/>
      <c r="M92" s="789"/>
      <c r="N92" s="789"/>
      <c r="O92" s="789"/>
      <c r="P92" s="789"/>
      <c r="Q92" s="789"/>
      <c r="R92" s="789"/>
      <c r="S92" s="789"/>
      <c r="T92" s="789"/>
      <c r="U92" s="789"/>
      <c r="V92" s="789"/>
      <c r="W92" s="789"/>
      <c r="X92" s="789"/>
      <c r="Y92" s="789"/>
      <c r="Z92" s="789"/>
      <c r="AA92" s="789"/>
      <c r="AB92" s="789"/>
      <c r="AC92" s="789"/>
      <c r="AD92" s="789"/>
      <c r="AE92" s="789"/>
      <c r="AF92" s="789"/>
      <c r="AG92" s="789"/>
      <c r="AH92" s="789"/>
    </row>
    <row r="93" spans="3:34" s="379" customFormat="1">
      <c r="C93" s="780" t="s">
        <v>16</v>
      </c>
      <c r="D93" s="790">
        <f>IF(D$48&gt;$C$7,"",Stoping!H11)</f>
        <v>926</v>
      </c>
      <c r="E93" s="790">
        <f>IF(E$48&gt;$C$7,"",Stoping!I11)</f>
        <v>879</v>
      </c>
      <c r="F93" s="790">
        <f>IF(F$48&gt;$C$7,"",Stoping!J11)</f>
        <v>965</v>
      </c>
      <c r="G93" s="790">
        <f>IF(G$48&gt;$C$7,"",Stoping!K11)</f>
        <v>977</v>
      </c>
      <c r="H93" s="790">
        <f>IF(H$48&gt;$C$7,"",Stoping!L11)</f>
        <v>979</v>
      </c>
      <c r="I93" s="790">
        <f>IF(I$48&gt;$C$7,"",Stoping!M11)</f>
        <v>987</v>
      </c>
      <c r="J93" s="790" t="str">
        <f>IF(J$48&gt;$C$7,"",Stoping!N11)</f>
        <v/>
      </c>
      <c r="K93" s="790" t="str">
        <f>IF(K$48&gt;$C$7,"",Stoping!O11)</f>
        <v/>
      </c>
      <c r="L93" s="790" t="str">
        <f>IF(L$48&gt;$C$7,"",Stoping!P11)</f>
        <v/>
      </c>
      <c r="M93" s="790" t="str">
        <f>IF(M$48&gt;$C$7,"",Stoping!Q11)</f>
        <v/>
      </c>
      <c r="N93" s="790" t="str">
        <f>IF(N$48&gt;$C$7,"",Stoping!R11)</f>
        <v/>
      </c>
      <c r="O93" s="790" t="str">
        <f>IF(O$48&gt;$C$7,"",Stoping!S11)</f>
        <v/>
      </c>
      <c r="P93" s="790" t="str">
        <f>IF(P$48&gt;$C$7,"",Stoping!T11)</f>
        <v/>
      </c>
      <c r="Q93" s="790" t="str">
        <f>IF(Q$48&gt;$C$7,"",Stoping!U11)</f>
        <v/>
      </c>
      <c r="R93" s="790" t="str">
        <f>IF(R$48&gt;$C$7,"",Stoping!V11)</f>
        <v/>
      </c>
      <c r="S93" s="790" t="str">
        <f>IF(S$48&gt;$C$7,"",Stoping!W11)</f>
        <v/>
      </c>
      <c r="T93" s="790" t="str">
        <f>IF(T$48&gt;$C$7,"",Stoping!X11)</f>
        <v/>
      </c>
      <c r="U93" s="790" t="str">
        <f>IF(U$48&gt;$C$7,"",Stoping!Y11)</f>
        <v/>
      </c>
      <c r="V93" s="790" t="str">
        <f>IF(V$48&gt;$C$7,"",Stoping!Z11)</f>
        <v/>
      </c>
      <c r="W93" s="790" t="str">
        <f>IF(W$48&gt;$C$7,"",Stoping!AA11)</f>
        <v/>
      </c>
      <c r="X93" s="790" t="str">
        <f>IF(X$48&gt;$C$7,"",Stoping!AB11)</f>
        <v/>
      </c>
      <c r="Y93" s="790" t="str">
        <f>IF(Y$48&gt;$C$7,"",Stoping!AC11)</f>
        <v/>
      </c>
      <c r="Z93" s="790" t="str">
        <f>IF(Z$48&gt;$C$7,"",Stoping!AD11)</f>
        <v/>
      </c>
      <c r="AA93" s="790" t="str">
        <f>IF(AA$48&gt;$C$7,"",Stoping!AE11)</f>
        <v/>
      </c>
      <c r="AB93" s="790" t="str">
        <f>IF(AB$48&gt;$C$7,"",Stoping!AF11)</f>
        <v/>
      </c>
      <c r="AC93" s="790" t="str">
        <f>IF(AC$48&gt;$C$7,"",Stoping!AG11)</f>
        <v/>
      </c>
      <c r="AD93" s="790" t="str">
        <f>IF(AD$48&gt;$C$7,"",Stoping!AH11)</f>
        <v/>
      </c>
      <c r="AE93" s="790" t="str">
        <f>IF(AE$48&gt;$C$7,"",Stoping!AI11)</f>
        <v/>
      </c>
      <c r="AF93" s="790" t="str">
        <f>IF(AF$48&gt;$C$7,"",Stoping!AJ11)</f>
        <v/>
      </c>
      <c r="AG93" s="790" t="str">
        <f>IF(AG$48&gt;$C$7,"",Stoping!AK11)</f>
        <v/>
      </c>
      <c r="AH93" s="790" t="str">
        <f>IF(AH$48&gt;$C$7,"",Stoping!AL11)</f>
        <v/>
      </c>
    </row>
    <row r="94" spans="3:34" s="379" customFormat="1">
      <c r="C94" s="780" t="s">
        <v>72</v>
      </c>
      <c r="D94" s="790">
        <f>D93</f>
        <v>926</v>
      </c>
      <c r="E94" s="790">
        <f>IFERROR(E93+D94,"")</f>
        <v>1805</v>
      </c>
      <c r="F94" s="790">
        <f>IFERROR(F93+E94,"")</f>
        <v>2770</v>
      </c>
      <c r="G94" s="790">
        <f t="shared" ref="G94" si="331">IFERROR(G93+F94,"")</f>
        <v>3747</v>
      </c>
      <c r="H94" s="790">
        <f t="shared" ref="H94" si="332">IFERROR(H93+G94,"")</f>
        <v>4726</v>
      </c>
      <c r="I94" s="790">
        <f t="shared" ref="I94" si="333">IFERROR(I93+H94,"")</f>
        <v>5713</v>
      </c>
      <c r="J94" s="790" t="str">
        <f t="shared" ref="J94" si="334">IFERROR(J93+I94,"")</f>
        <v/>
      </c>
      <c r="K94" s="790" t="str">
        <f t="shared" ref="K94" si="335">IFERROR(K93+J94,"")</f>
        <v/>
      </c>
      <c r="L94" s="790" t="str">
        <f t="shared" ref="L94" si="336">IFERROR(L93+K94,"")</f>
        <v/>
      </c>
      <c r="M94" s="790" t="str">
        <f>IFERROR(M93+L94,"")</f>
        <v/>
      </c>
      <c r="N94" s="790" t="str">
        <f t="shared" ref="N94" si="337">IFERROR(N93+M94,"")</f>
        <v/>
      </c>
      <c r="O94" s="790" t="str">
        <f t="shared" ref="O94" si="338">IFERROR(O93+N94,"")</f>
        <v/>
      </c>
      <c r="P94" s="790" t="str">
        <f t="shared" ref="P94" si="339">IFERROR(P93+O94,"")</f>
        <v/>
      </c>
      <c r="Q94" s="790" t="str">
        <f t="shared" ref="Q94" si="340">IFERROR(Q93+P94,"")</f>
        <v/>
      </c>
      <c r="R94" s="790" t="str">
        <f t="shared" ref="R94" si="341">IFERROR(R93+Q94,"")</f>
        <v/>
      </c>
      <c r="S94" s="790" t="str">
        <f t="shared" ref="S94" si="342">IFERROR(S93+R94,"")</f>
        <v/>
      </c>
      <c r="T94" s="790" t="str">
        <f t="shared" ref="T94" si="343">IFERROR(T93+S94,"")</f>
        <v/>
      </c>
      <c r="U94" s="790" t="str">
        <f t="shared" ref="U94" si="344">IFERROR(U93+T94,"")</f>
        <v/>
      </c>
      <c r="V94" s="790" t="str">
        <f t="shared" ref="V94" si="345">IFERROR(V93+U94,"")</f>
        <v/>
      </c>
      <c r="W94" s="790" t="str">
        <f t="shared" ref="W94" si="346">IFERROR(W93+V94,"")</f>
        <v/>
      </c>
      <c r="X94" s="790" t="str">
        <f t="shared" ref="X94" si="347">IFERROR(X93+W94,"")</f>
        <v/>
      </c>
      <c r="Y94" s="790" t="str">
        <f t="shared" ref="Y94" si="348">IFERROR(Y93+X94,"")</f>
        <v/>
      </c>
      <c r="Z94" s="790" t="str">
        <f t="shared" ref="Z94" si="349">IFERROR(Z93+Y94,"")</f>
        <v/>
      </c>
      <c r="AA94" s="790" t="str">
        <f t="shared" ref="AA94" si="350">IFERROR(AA93+Z94,"")</f>
        <v/>
      </c>
      <c r="AB94" s="790" t="str">
        <f t="shared" ref="AB94" si="351">IFERROR(AB93+AA94,"")</f>
        <v/>
      </c>
      <c r="AC94" s="790" t="str">
        <f t="shared" ref="AC94" si="352">IFERROR(AC93+AB94,"")</f>
        <v/>
      </c>
      <c r="AD94" s="790" t="str">
        <f t="shared" ref="AD94" si="353">IFERROR(AD93+AC94,"")</f>
        <v/>
      </c>
      <c r="AE94" s="790" t="str">
        <f t="shared" ref="AE94" si="354">IFERROR(AE93+AD94,"")</f>
        <v/>
      </c>
      <c r="AF94" s="790" t="str">
        <f t="shared" ref="AF94" si="355">IFERROR(AF93+AE94,"")</f>
        <v/>
      </c>
      <c r="AG94" s="790" t="str">
        <f t="shared" ref="AG94" si="356">IFERROR(AG93+AF94,"")</f>
        <v/>
      </c>
      <c r="AH94" s="790" t="str">
        <f t="shared" ref="AH94" si="357">IFERROR(AH93+AG94,"")</f>
        <v/>
      </c>
    </row>
    <row r="95" spans="3:34" s="379" customFormat="1">
      <c r="C95" s="780" t="s">
        <v>17</v>
      </c>
      <c r="D95" s="790">
        <f>IF(D$48&gt;$C$7,"",Stoping!H10)</f>
        <v>910</v>
      </c>
      <c r="E95" s="790">
        <f>IF(E$48&gt;$C$7,"",Stoping!I10)</f>
        <v>910</v>
      </c>
      <c r="F95" s="790">
        <f>IF(F$48&gt;$C$7,"",Stoping!J10)</f>
        <v>910</v>
      </c>
      <c r="G95" s="790">
        <f>IF(G$48&gt;$C$7,"",Stoping!K10)</f>
        <v>910</v>
      </c>
      <c r="H95" s="790">
        <f>IF(H$48&gt;$C$7,"",Stoping!L10)</f>
        <v>910</v>
      </c>
      <c r="I95" s="790">
        <f>IF(I$48&gt;$C$7,"",Stoping!M10)</f>
        <v>910</v>
      </c>
      <c r="J95" s="790" t="str">
        <f>IF(J$48&gt;$C$7,"",Stoping!N10)</f>
        <v/>
      </c>
      <c r="K95" s="790" t="str">
        <f>IF(K$48&gt;$C$7,"",Stoping!O10)</f>
        <v/>
      </c>
      <c r="L95" s="790" t="str">
        <f>IF(L$48&gt;$C$7,"",Stoping!P10)</f>
        <v/>
      </c>
      <c r="M95" s="790" t="str">
        <f>IF(M$48&gt;$C$7,"",Stoping!Q10)</f>
        <v/>
      </c>
      <c r="N95" s="790" t="str">
        <f>IF(N$48&gt;$C$7,"",Stoping!R10)</f>
        <v/>
      </c>
      <c r="O95" s="790" t="str">
        <f>IF(O$48&gt;$C$7,"",Stoping!S10)</f>
        <v/>
      </c>
      <c r="P95" s="790" t="str">
        <f>IF(P$48&gt;$C$7,"",Stoping!T10)</f>
        <v/>
      </c>
      <c r="Q95" s="790" t="str">
        <f>IF(Q$48&gt;$C$7,"",Stoping!U10)</f>
        <v/>
      </c>
      <c r="R95" s="790" t="str">
        <f>IF(R$48&gt;$C$7,"",Stoping!V10)</f>
        <v/>
      </c>
      <c r="S95" s="790" t="str">
        <f>IF(S$48&gt;$C$7,"",Stoping!W10)</f>
        <v/>
      </c>
      <c r="T95" s="790" t="str">
        <f>IF(T$48&gt;$C$7,"",Stoping!X10)</f>
        <v/>
      </c>
      <c r="U95" s="790" t="str">
        <f>IF(U$48&gt;$C$7,"",Stoping!Y10)</f>
        <v/>
      </c>
      <c r="V95" s="790" t="str">
        <f>IF(V$48&gt;$C$7,"",Stoping!Z10)</f>
        <v/>
      </c>
      <c r="W95" s="790" t="str">
        <f>IF(W$48&gt;$C$7,"",Stoping!AA10)</f>
        <v/>
      </c>
      <c r="X95" s="790" t="str">
        <f>IF(X$48&gt;$C$7,"",Stoping!AB10)</f>
        <v/>
      </c>
      <c r="Y95" s="790" t="str">
        <f>IF(Y$48&gt;$C$7,"",Stoping!AC10)</f>
        <v/>
      </c>
      <c r="Z95" s="790" t="str">
        <f>IF(Z$48&gt;$C$7,"",Stoping!AD10)</f>
        <v/>
      </c>
      <c r="AA95" s="790" t="str">
        <f>IF(AA$48&gt;$C$7,"",Stoping!AE10)</f>
        <v/>
      </c>
      <c r="AB95" s="790" t="str">
        <f>IF(AB$48&gt;$C$7,"",Stoping!AF10)</f>
        <v/>
      </c>
      <c r="AC95" s="790" t="str">
        <f>IF(AC$48&gt;$C$7,"",Stoping!AG10)</f>
        <v/>
      </c>
      <c r="AD95" s="790" t="str">
        <f>IF(AD$48&gt;$C$7,"",Stoping!AH10)</f>
        <v/>
      </c>
      <c r="AE95" s="790" t="str">
        <f>IF(AE$48&gt;$C$7,"",Stoping!AI10)</f>
        <v/>
      </c>
      <c r="AF95" s="790" t="str">
        <f>IF(AF$48&gt;$C$7,"",Stoping!AJ10)</f>
        <v/>
      </c>
      <c r="AG95" s="790" t="str">
        <f>IF(AG$48&gt;$C$7,"",Stoping!AK10)</f>
        <v/>
      </c>
      <c r="AH95" s="790" t="str">
        <f>IF(AH$48&gt;$C$7,"",Stoping!AL10)</f>
        <v/>
      </c>
    </row>
    <row r="96" spans="3:34" s="379" customFormat="1">
      <c r="C96" s="780" t="s">
        <v>73</v>
      </c>
      <c r="D96" s="790">
        <f>D95</f>
        <v>910</v>
      </c>
      <c r="E96" s="790">
        <f>IFERROR(E95+D96,"")</f>
        <v>1820</v>
      </c>
      <c r="F96" s="790">
        <f>IFERROR(F95+E96,"")</f>
        <v>2730</v>
      </c>
      <c r="G96" s="790">
        <f t="shared" ref="G96" si="358">IFERROR(G95+F96,"")</f>
        <v>3640</v>
      </c>
      <c r="H96" s="790">
        <f t="shared" ref="H96" si="359">IFERROR(H95+G96,"")</f>
        <v>4550</v>
      </c>
      <c r="I96" s="790">
        <f t="shared" ref="I96" si="360">IFERROR(I95+H96,"")</f>
        <v>5460</v>
      </c>
      <c r="J96" s="790" t="str">
        <f t="shared" ref="J96" si="361">IFERROR(J95+I96,"")</f>
        <v/>
      </c>
      <c r="K96" s="790" t="str">
        <f t="shared" ref="K96" si="362">IFERROR(K95+J96,"")</f>
        <v/>
      </c>
      <c r="L96" s="790" t="str">
        <f t="shared" ref="L96" si="363">IFERROR(L95+K96,"")</f>
        <v/>
      </c>
      <c r="M96" s="790" t="str">
        <f>IFERROR(M95+L96,"")</f>
        <v/>
      </c>
      <c r="N96" s="790" t="str">
        <f t="shared" ref="N96" si="364">IFERROR(N95+M96,"")</f>
        <v/>
      </c>
      <c r="O96" s="790" t="str">
        <f t="shared" ref="O96" si="365">IFERROR(O95+N96,"")</f>
        <v/>
      </c>
      <c r="P96" s="790" t="str">
        <f t="shared" ref="P96" si="366">IFERROR(P95+O96,"")</f>
        <v/>
      </c>
      <c r="Q96" s="790" t="str">
        <f t="shared" ref="Q96" si="367">IFERROR(Q95+P96,"")</f>
        <v/>
      </c>
      <c r="R96" s="790" t="str">
        <f t="shared" ref="R96" si="368">IFERROR(R95+Q96,"")</f>
        <v/>
      </c>
      <c r="S96" s="790" t="str">
        <f t="shared" ref="S96" si="369">IFERROR(S95+R96,"")</f>
        <v/>
      </c>
      <c r="T96" s="790" t="str">
        <f t="shared" ref="T96" si="370">IFERROR(T95+S96,"")</f>
        <v/>
      </c>
      <c r="U96" s="790" t="str">
        <f t="shared" ref="U96" si="371">IFERROR(U95+T96,"")</f>
        <v/>
      </c>
      <c r="V96" s="790" t="str">
        <f t="shared" ref="V96" si="372">IFERROR(V95+U96,"")</f>
        <v/>
      </c>
      <c r="W96" s="790" t="str">
        <f t="shared" ref="W96" si="373">IFERROR(W95+V96,"")</f>
        <v/>
      </c>
      <c r="X96" s="790" t="str">
        <f t="shared" ref="X96" si="374">IFERROR(X95+W96,"")</f>
        <v/>
      </c>
      <c r="Y96" s="790" t="str">
        <f t="shared" ref="Y96" si="375">IFERROR(Y95+X96,"")</f>
        <v/>
      </c>
      <c r="Z96" s="790" t="str">
        <f t="shared" ref="Z96" si="376">IFERROR(Z95+Y96,"")</f>
        <v/>
      </c>
      <c r="AA96" s="790" t="str">
        <f t="shared" ref="AA96" si="377">IFERROR(AA95+Z96,"")</f>
        <v/>
      </c>
      <c r="AB96" s="790" t="str">
        <f t="shared" ref="AB96" si="378">IFERROR(AB95+AA96,"")</f>
        <v/>
      </c>
      <c r="AC96" s="790" t="str">
        <f t="shared" ref="AC96" si="379">IFERROR(AC95+AB96,"")</f>
        <v/>
      </c>
      <c r="AD96" s="790" t="str">
        <f t="shared" ref="AD96" si="380">IFERROR(AD95+AC96,"")</f>
        <v/>
      </c>
      <c r="AE96" s="790" t="str">
        <f t="shared" ref="AE96" si="381">IFERROR(AE95+AD96,"")</f>
        <v/>
      </c>
      <c r="AF96" s="790" t="str">
        <f t="shared" ref="AF96" si="382">IFERROR(AF95+AE96,"")</f>
        <v/>
      </c>
      <c r="AG96" s="790" t="str">
        <f t="shared" ref="AG96" si="383">IFERROR(AG95+AF96,"")</f>
        <v/>
      </c>
      <c r="AH96" s="790" t="str">
        <f t="shared" ref="AH96" si="384">IFERROR(AH95+AG96,"")</f>
        <v/>
      </c>
    </row>
    <row r="98" spans="3:34" s="379" customFormat="1">
      <c r="C98" s="780" t="str">
        <f>_xlfn.CONCAT(C25," ",C23)</f>
        <v>Trammed Tonnes</v>
      </c>
      <c r="D98" s="790"/>
      <c r="E98" s="790"/>
      <c r="F98" s="790"/>
      <c r="G98" s="790"/>
      <c r="H98" s="790"/>
      <c r="I98" s="790"/>
      <c r="J98" s="790"/>
      <c r="K98" s="790"/>
      <c r="L98" s="790"/>
      <c r="M98" s="791"/>
      <c r="N98" s="791"/>
      <c r="O98" s="791"/>
      <c r="P98" s="791"/>
      <c r="Q98" s="791"/>
      <c r="R98" s="791"/>
      <c r="S98" s="791"/>
      <c r="T98" s="791"/>
      <c r="U98" s="791"/>
      <c r="V98" s="791"/>
      <c r="W98" s="791"/>
      <c r="X98" s="791"/>
      <c r="Y98" s="791"/>
      <c r="Z98" s="791"/>
      <c r="AA98" s="791"/>
      <c r="AB98" s="791"/>
      <c r="AC98" s="791"/>
      <c r="AD98" s="791"/>
      <c r="AE98" s="791"/>
      <c r="AF98" s="791"/>
      <c r="AG98" s="791"/>
      <c r="AH98" s="791"/>
    </row>
    <row r="99" spans="3:34" s="379" customFormat="1">
      <c r="C99" s="780" t="s">
        <v>16</v>
      </c>
      <c r="D99" s="790">
        <f>IF(D$48&gt;$C$7,"",Tramming!H11)</f>
        <v>758</v>
      </c>
      <c r="E99" s="790">
        <f>IF(E$48&gt;$C$7,"",Tramming!I11)</f>
        <v>1006</v>
      </c>
      <c r="F99" s="790">
        <f>IF(F$48&gt;$C$7,"",Tramming!J11)</f>
        <v>960</v>
      </c>
      <c r="G99" s="790">
        <f>IF(G$48&gt;$C$7,"",Tramming!K11)</f>
        <v>795.5</v>
      </c>
      <c r="H99" s="790">
        <f>IF(H$48&gt;$C$7,"",Tramming!L11)</f>
        <v>947.5</v>
      </c>
      <c r="I99" s="790">
        <f>IF(I$48&gt;$C$7,"",Tramming!M11)</f>
        <v>458</v>
      </c>
      <c r="J99" s="790" t="str">
        <f>IF(J$48&gt;$C$7,"",Tramming!N11)</f>
        <v/>
      </c>
      <c r="K99" s="790" t="str">
        <f>IF(K$48&gt;$C$7,"",Tramming!O11)</f>
        <v/>
      </c>
      <c r="L99" s="790" t="str">
        <f>IF(L$48&gt;$C$7,"",Tramming!P11)</f>
        <v/>
      </c>
      <c r="M99" s="790" t="str">
        <f>IF(M$48&gt;$C$7,"",Tramming!Q11)</f>
        <v/>
      </c>
      <c r="N99" s="790" t="str">
        <f>IF(N$48&gt;$C$7,"",Tramming!R11)</f>
        <v/>
      </c>
      <c r="O99" s="790" t="str">
        <f>IF(O$48&gt;$C$7,"",Tramming!S11)</f>
        <v/>
      </c>
      <c r="P99" s="790" t="str">
        <f>IF(P$48&gt;$C$7,"",Tramming!T11)</f>
        <v/>
      </c>
      <c r="Q99" s="790" t="str">
        <f>IF(Q$48&gt;$C$7,"",Tramming!U11)</f>
        <v/>
      </c>
      <c r="R99" s="790" t="str">
        <f>IF(R$48&gt;$C$7,"",Tramming!V11)</f>
        <v/>
      </c>
      <c r="S99" s="790" t="str">
        <f>IF(S$48&gt;$C$7,"",Tramming!W11)</f>
        <v/>
      </c>
      <c r="T99" s="790" t="str">
        <f>IF(T$48&gt;$C$7,"",Tramming!X11)</f>
        <v/>
      </c>
      <c r="U99" s="790" t="str">
        <f>IF(U$48&gt;$C$7,"",Tramming!Y11)</f>
        <v/>
      </c>
      <c r="V99" s="790" t="str">
        <f>IF(V$48&gt;$C$7,"",Tramming!Z11)</f>
        <v/>
      </c>
      <c r="W99" s="790" t="str">
        <f>IF(W$48&gt;$C$7,"",Tramming!AA11)</f>
        <v/>
      </c>
      <c r="X99" s="790" t="str">
        <f>IF(X$48&gt;$C$7,"",Tramming!AB11)</f>
        <v/>
      </c>
      <c r="Y99" s="790" t="str">
        <f>IF(Y$48&gt;$C$7,"",Tramming!AC11)</f>
        <v/>
      </c>
      <c r="Z99" s="790" t="str">
        <f>IF(Z$48&gt;$C$7,"",Tramming!AD11)</f>
        <v/>
      </c>
      <c r="AA99" s="790" t="str">
        <f>IF(AA$48&gt;$C$7,"",Tramming!AE11)</f>
        <v/>
      </c>
      <c r="AB99" s="790" t="str">
        <f>IF(AB$48&gt;$C$7,"",Tramming!AF11)</f>
        <v/>
      </c>
      <c r="AC99" s="790" t="str">
        <f>IF(AC$48&gt;$C$7,"",Tramming!AG11)</f>
        <v/>
      </c>
      <c r="AD99" s="790" t="str">
        <f>IF(AD$48&gt;$C$7,"",Tramming!AH11)</f>
        <v/>
      </c>
      <c r="AE99" s="790" t="str">
        <f>IF(AE$48&gt;$C$7,"",Tramming!AI11)</f>
        <v/>
      </c>
      <c r="AF99" s="790" t="str">
        <f>IF(AF$48&gt;$C$7,"",Tramming!AJ11)</f>
        <v/>
      </c>
      <c r="AG99" s="790" t="str">
        <f>IF(AG$48&gt;$C$7,"",Tramming!AK11)</f>
        <v/>
      </c>
      <c r="AH99" s="790" t="str">
        <f>Tramming!AL11</f>
        <v/>
      </c>
    </row>
    <row r="100" spans="3:34" s="379" customFormat="1">
      <c r="C100" s="780" t="s">
        <v>72</v>
      </c>
      <c r="D100" s="790">
        <f>D99</f>
        <v>758</v>
      </c>
      <c r="E100" s="790">
        <f>IFERROR(E99+D100,"")</f>
        <v>1764</v>
      </c>
      <c r="F100" s="790">
        <f>IFERROR(F99+E100,"")</f>
        <v>2724</v>
      </c>
      <c r="G100" s="790">
        <f t="shared" ref="G100" si="385">IFERROR(G99+F100,"")</f>
        <v>3519.5</v>
      </c>
      <c r="H100" s="790">
        <f t="shared" ref="H100" si="386">IFERROR(H99+G100,"")</f>
        <v>4467</v>
      </c>
      <c r="I100" s="790">
        <f t="shared" ref="I100" si="387">IFERROR(I99+H100,"")</f>
        <v>4925</v>
      </c>
      <c r="J100" s="790" t="str">
        <f t="shared" ref="J100" si="388">IFERROR(J99+I100,"")</f>
        <v/>
      </c>
      <c r="K100" s="790" t="str">
        <f t="shared" ref="K100" si="389">IFERROR(K99+J100,"")</f>
        <v/>
      </c>
      <c r="L100" s="790" t="str">
        <f t="shared" ref="L100" si="390">IFERROR(L99+K100,"")</f>
        <v/>
      </c>
      <c r="M100" s="790" t="str">
        <f>IFERROR(M99+L100,"")</f>
        <v/>
      </c>
      <c r="N100" s="790" t="str">
        <f t="shared" ref="N100" si="391">IFERROR(N99+M100,"")</f>
        <v/>
      </c>
      <c r="O100" s="790" t="str">
        <f t="shared" ref="O100" si="392">IFERROR(O99+N100,"")</f>
        <v/>
      </c>
      <c r="P100" s="790" t="str">
        <f t="shared" ref="P100" si="393">IFERROR(P99+O100,"")</f>
        <v/>
      </c>
      <c r="Q100" s="790" t="str">
        <f t="shared" ref="Q100" si="394">IFERROR(Q99+P100,"")</f>
        <v/>
      </c>
      <c r="R100" s="790" t="str">
        <f t="shared" ref="R100" si="395">IFERROR(R99+Q100,"")</f>
        <v/>
      </c>
      <c r="S100" s="790" t="str">
        <f t="shared" ref="S100" si="396">IFERROR(S99+R100,"")</f>
        <v/>
      </c>
      <c r="T100" s="790" t="str">
        <f t="shared" ref="T100" si="397">IFERROR(T99+S100,"")</f>
        <v/>
      </c>
      <c r="U100" s="790" t="str">
        <f t="shared" ref="U100" si="398">IFERROR(U99+T100,"")</f>
        <v/>
      </c>
      <c r="V100" s="790" t="str">
        <f t="shared" ref="V100" si="399">IFERROR(V99+U100,"")</f>
        <v/>
      </c>
      <c r="W100" s="790" t="str">
        <f t="shared" ref="W100" si="400">IFERROR(W99+V100,"")</f>
        <v/>
      </c>
      <c r="X100" s="790" t="str">
        <f t="shared" ref="X100" si="401">IFERROR(X99+W100,"")</f>
        <v/>
      </c>
      <c r="Y100" s="790" t="str">
        <f t="shared" ref="Y100" si="402">IFERROR(Y99+X100,"")</f>
        <v/>
      </c>
      <c r="Z100" s="790" t="str">
        <f t="shared" ref="Z100" si="403">IFERROR(Z99+Y100,"")</f>
        <v/>
      </c>
      <c r="AA100" s="790" t="str">
        <f t="shared" ref="AA100" si="404">IFERROR(AA99+Z100,"")</f>
        <v/>
      </c>
      <c r="AB100" s="790" t="str">
        <f t="shared" ref="AB100" si="405">IFERROR(AB99+AA100,"")</f>
        <v/>
      </c>
      <c r="AC100" s="790" t="str">
        <f t="shared" ref="AC100" si="406">IFERROR(AC99+AB100,"")</f>
        <v/>
      </c>
      <c r="AD100" s="790" t="str">
        <f t="shared" ref="AD100" si="407">IFERROR(AD99+AC100,"")</f>
        <v/>
      </c>
      <c r="AE100" s="790" t="str">
        <f t="shared" ref="AE100" si="408">IFERROR(AE99+AD100,"")</f>
        <v/>
      </c>
      <c r="AF100" s="790" t="str">
        <f t="shared" ref="AF100" si="409">IFERROR(AF99+AE100,"")</f>
        <v/>
      </c>
      <c r="AG100" s="790" t="str">
        <f t="shared" ref="AG100" si="410">IFERROR(AG99+AF100,"")</f>
        <v/>
      </c>
      <c r="AH100" s="790" t="str">
        <f t="shared" ref="AH100" si="411">IFERROR(AH99+AG100,"")</f>
        <v/>
      </c>
    </row>
    <row r="101" spans="3:34" s="379" customFormat="1">
      <c r="C101" s="780" t="s">
        <v>17</v>
      </c>
      <c r="D101" s="790">
        <f>IF(D$48&gt;$C$7,"",Tramming!H10)</f>
        <v>910</v>
      </c>
      <c r="E101" s="790">
        <f>IF(E$48&gt;$C$7,"",Tramming!I10)</f>
        <v>910</v>
      </c>
      <c r="F101" s="790">
        <f>IF(F$48&gt;$C$7,"",Tramming!J10)</f>
        <v>910</v>
      </c>
      <c r="G101" s="790">
        <f>IF(G$48&gt;$C$7,"",Tramming!K10)</f>
        <v>910</v>
      </c>
      <c r="H101" s="790">
        <f>IF(H$48&gt;$C$7,"",Tramming!L10)</f>
        <v>910</v>
      </c>
      <c r="I101" s="790">
        <f>IF(I$48&gt;$C$7,"",Tramming!M10)</f>
        <v>910</v>
      </c>
      <c r="J101" s="790" t="str">
        <f>IF(J$48&gt;$C$7,"",Tramming!N10)</f>
        <v/>
      </c>
      <c r="K101" s="790" t="str">
        <f>IF(K$48&gt;$C$7,"",Tramming!O10)</f>
        <v/>
      </c>
      <c r="L101" s="790" t="str">
        <f>IF(L$48&gt;$C$7,"",Tramming!P10)</f>
        <v/>
      </c>
      <c r="M101" s="790" t="str">
        <f>IF(M$48&gt;$C$7,"",Tramming!Q10)</f>
        <v/>
      </c>
      <c r="N101" s="790" t="str">
        <f>IF(N$48&gt;$C$7,"",Tramming!R10)</f>
        <v/>
      </c>
      <c r="O101" s="790" t="str">
        <f>IF(O$48&gt;$C$7,"",Tramming!S10)</f>
        <v/>
      </c>
      <c r="P101" s="790" t="str">
        <f>IF(P$48&gt;$C$7,"",Tramming!T10)</f>
        <v/>
      </c>
      <c r="Q101" s="790" t="str">
        <f>IF(Q$48&gt;$C$7,"",Tramming!U10)</f>
        <v/>
      </c>
      <c r="R101" s="790" t="str">
        <f>IF(R$48&gt;$C$7,"",Tramming!V10)</f>
        <v/>
      </c>
      <c r="S101" s="790" t="str">
        <f>IF(S$48&gt;$C$7,"",Tramming!W10)</f>
        <v/>
      </c>
      <c r="T101" s="790" t="str">
        <f>IF(T$48&gt;$C$7,"",Tramming!X10)</f>
        <v/>
      </c>
      <c r="U101" s="790" t="str">
        <f>IF(U$48&gt;$C$7,"",Tramming!Y10)</f>
        <v/>
      </c>
      <c r="V101" s="790" t="str">
        <f>IF(V$48&gt;$C$7,"",Tramming!Z10)</f>
        <v/>
      </c>
      <c r="W101" s="790" t="str">
        <f>IF(W$48&gt;$C$7,"",Tramming!AA10)</f>
        <v/>
      </c>
      <c r="X101" s="790" t="str">
        <f>IF(X$48&gt;$C$7,"",Tramming!AB10)</f>
        <v/>
      </c>
      <c r="Y101" s="790" t="str">
        <f>IF(Y$48&gt;$C$7,"",Tramming!AC10)</f>
        <v/>
      </c>
      <c r="Z101" s="790" t="str">
        <f>IF(Z$48&gt;$C$7,"",Tramming!AD10)</f>
        <v/>
      </c>
      <c r="AA101" s="790" t="str">
        <f>IF(AA$48&gt;$C$7,"",Tramming!AE10)</f>
        <v/>
      </c>
      <c r="AB101" s="790" t="str">
        <f>IF(AB$48&gt;$C$7,"",Tramming!AF10)</f>
        <v/>
      </c>
      <c r="AC101" s="790" t="str">
        <f>IF(AC$48&gt;$C$7,"",Tramming!AG10)</f>
        <v/>
      </c>
      <c r="AD101" s="790" t="str">
        <f>IF(AD$48&gt;$C$7,"",Tramming!AH10)</f>
        <v/>
      </c>
      <c r="AE101" s="790" t="str">
        <f>IF(AE$48&gt;$C$7,"",Tramming!AI10)</f>
        <v/>
      </c>
      <c r="AF101" s="790" t="str">
        <f>IF(AF$48&gt;$C$7,"",Tramming!AJ10)</f>
        <v/>
      </c>
      <c r="AG101" s="790" t="str">
        <f>IF(AG$48&gt;$C$7,"",Tramming!AK10)</f>
        <v/>
      </c>
      <c r="AH101" s="790" t="str">
        <f>Tramming!AL13</f>
        <v/>
      </c>
    </row>
    <row r="102" spans="3:34" s="379" customFormat="1">
      <c r="C102" s="780" t="s">
        <v>73</v>
      </c>
      <c r="D102" s="790">
        <f>D101</f>
        <v>910</v>
      </c>
      <c r="E102" s="790">
        <f>IFERROR(E101+D102,"")</f>
        <v>1820</v>
      </c>
      <c r="F102" s="790">
        <f>IFERROR(F101+E102,"")</f>
        <v>2730</v>
      </c>
      <c r="G102" s="790">
        <f t="shared" ref="G102" si="412">IFERROR(G101+F102,"")</f>
        <v>3640</v>
      </c>
      <c r="H102" s="790">
        <f t="shared" ref="H102" si="413">IFERROR(H101+G102,"")</f>
        <v>4550</v>
      </c>
      <c r="I102" s="790">
        <f t="shared" ref="I102" si="414">IFERROR(I101+H102,"")</f>
        <v>5460</v>
      </c>
      <c r="J102" s="790" t="str">
        <f t="shared" ref="J102" si="415">IFERROR(J101+I102,"")</f>
        <v/>
      </c>
      <c r="K102" s="790" t="str">
        <f t="shared" ref="K102" si="416">IFERROR(K101+J102,"")</f>
        <v/>
      </c>
      <c r="L102" s="790" t="str">
        <f t="shared" ref="L102" si="417">IFERROR(L101+K102,"")</f>
        <v/>
      </c>
      <c r="M102" s="790" t="str">
        <f>IFERROR(M101+L102,"")</f>
        <v/>
      </c>
      <c r="N102" s="790" t="str">
        <f t="shared" ref="N102" si="418">IFERROR(N101+M102,"")</f>
        <v/>
      </c>
      <c r="O102" s="790" t="str">
        <f t="shared" ref="O102" si="419">IFERROR(O101+N102,"")</f>
        <v/>
      </c>
      <c r="P102" s="790" t="str">
        <f t="shared" ref="P102" si="420">IFERROR(P101+O102,"")</f>
        <v/>
      </c>
      <c r="Q102" s="790" t="str">
        <f t="shared" ref="Q102" si="421">IFERROR(Q101+P102,"")</f>
        <v/>
      </c>
      <c r="R102" s="790" t="str">
        <f t="shared" ref="R102" si="422">IFERROR(R101+Q102,"")</f>
        <v/>
      </c>
      <c r="S102" s="790" t="str">
        <f t="shared" ref="S102" si="423">IFERROR(S101+R102,"")</f>
        <v/>
      </c>
      <c r="T102" s="790" t="str">
        <f t="shared" ref="T102" si="424">IFERROR(T101+S102,"")</f>
        <v/>
      </c>
      <c r="U102" s="790" t="str">
        <f t="shared" ref="U102" si="425">IFERROR(U101+T102,"")</f>
        <v/>
      </c>
      <c r="V102" s="790" t="str">
        <f t="shared" ref="V102" si="426">IFERROR(V101+U102,"")</f>
        <v/>
      </c>
      <c r="W102" s="790" t="str">
        <f t="shared" ref="W102" si="427">IFERROR(W101+V102,"")</f>
        <v/>
      </c>
      <c r="X102" s="790" t="str">
        <f t="shared" ref="X102" si="428">IFERROR(X101+W102,"")</f>
        <v/>
      </c>
      <c r="Y102" s="790" t="str">
        <f t="shared" ref="Y102" si="429">IFERROR(Y101+X102,"")</f>
        <v/>
      </c>
      <c r="Z102" s="790" t="str">
        <f t="shared" ref="Z102" si="430">IFERROR(Z101+Y102,"")</f>
        <v/>
      </c>
      <c r="AA102" s="790" t="str">
        <f t="shared" ref="AA102" si="431">IFERROR(AA101+Z102,"")</f>
        <v/>
      </c>
      <c r="AB102" s="790" t="str">
        <f t="shared" ref="AB102" si="432">IFERROR(AB101+AA102,"")</f>
        <v/>
      </c>
      <c r="AC102" s="790" t="str">
        <f t="shared" ref="AC102" si="433">IFERROR(AC101+AB102,"")</f>
        <v/>
      </c>
      <c r="AD102" s="790" t="str">
        <f t="shared" ref="AD102" si="434">IFERROR(AD101+AC102,"")</f>
        <v/>
      </c>
      <c r="AE102" s="790" t="str">
        <f t="shared" ref="AE102" si="435">IFERROR(AE101+AD102,"")</f>
        <v/>
      </c>
      <c r="AF102" s="790" t="str">
        <f t="shared" ref="AF102" si="436">IFERROR(AF101+AE102,"")</f>
        <v/>
      </c>
      <c r="AG102" s="790" t="str">
        <f t="shared" ref="AG102" si="437">IFERROR(AG101+AF102,"")</f>
        <v/>
      </c>
      <c r="AH102" s="790" t="str">
        <f t="shared" ref="AH102" si="438">IFERROR(AH101+AG102,"")</f>
        <v/>
      </c>
    </row>
    <row r="103" spans="3:34" s="379" customFormat="1">
      <c r="C103" s="780"/>
      <c r="D103" s="790"/>
      <c r="E103" s="790"/>
      <c r="F103" s="790"/>
      <c r="G103" s="790"/>
      <c r="H103" s="790"/>
      <c r="I103" s="790"/>
      <c r="J103" s="790"/>
      <c r="K103" s="790"/>
      <c r="L103" s="790"/>
      <c r="M103" s="790"/>
      <c r="N103" s="790"/>
      <c r="O103" s="790"/>
      <c r="P103" s="790"/>
      <c r="Q103" s="790"/>
      <c r="R103" s="790"/>
      <c r="S103" s="790"/>
      <c r="T103" s="790"/>
      <c r="U103" s="790"/>
      <c r="V103" s="790"/>
      <c r="W103" s="790"/>
      <c r="X103" s="790"/>
      <c r="Y103" s="790"/>
      <c r="Z103" s="790"/>
      <c r="AA103" s="790"/>
      <c r="AB103" s="790"/>
      <c r="AC103" s="790"/>
      <c r="AD103" s="790"/>
      <c r="AE103" s="790"/>
      <c r="AF103" s="790"/>
      <c r="AG103" s="790"/>
      <c r="AH103" s="790"/>
    </row>
    <row r="104" spans="3:34" s="379" customFormat="1">
      <c r="C104" s="780" t="str">
        <f>_xlfn.CONCAT(C26," ",C23)</f>
        <v>Hoisted Tonnes</v>
      </c>
      <c r="D104" s="790"/>
      <c r="E104" s="790"/>
      <c r="F104" s="790"/>
      <c r="G104" s="790"/>
      <c r="H104" s="790"/>
      <c r="I104" s="790"/>
      <c r="J104" s="790"/>
      <c r="K104" s="790"/>
      <c r="L104" s="790"/>
      <c r="M104" s="790"/>
      <c r="N104" s="790"/>
      <c r="O104" s="790"/>
      <c r="P104" s="790"/>
      <c r="Q104" s="790"/>
      <c r="R104" s="790"/>
      <c r="S104" s="790"/>
      <c r="T104" s="790"/>
      <c r="U104" s="790"/>
      <c r="V104" s="790"/>
      <c r="W104" s="790"/>
      <c r="X104" s="790"/>
      <c r="Y104" s="790"/>
      <c r="Z104" s="790"/>
      <c r="AA104" s="790"/>
      <c r="AB104" s="790"/>
      <c r="AC104" s="790"/>
      <c r="AD104" s="790"/>
      <c r="AE104" s="790"/>
      <c r="AF104" s="790"/>
      <c r="AG104" s="790"/>
      <c r="AH104" s="790"/>
    </row>
    <row r="105" spans="3:34" s="379" customFormat="1">
      <c r="C105" s="780" t="s">
        <v>16</v>
      </c>
      <c r="D105" s="790">
        <f>IF(D$48&gt;$C$7,"",Hoisting!H11)</f>
        <v>782</v>
      </c>
      <c r="E105" s="790">
        <f>IF(E$48&gt;$C$7,"",Hoisting!I11)</f>
        <v>952</v>
      </c>
      <c r="F105" s="790">
        <f>IF(F$48&gt;$C$7,"",Hoisting!J11)</f>
        <v>907</v>
      </c>
      <c r="G105" s="790">
        <f>IF(G$48&gt;$C$7,"",Hoisting!K11)</f>
        <v>812</v>
      </c>
      <c r="H105" s="790">
        <f>IF(H$48&gt;$C$7,"",Hoisting!L11)</f>
        <v>931</v>
      </c>
      <c r="I105" s="790">
        <f>IF(I$48&gt;$C$7,"",Hoisting!M11)</f>
        <v>966</v>
      </c>
      <c r="J105" s="790" t="str">
        <f>IF(J$48&gt;$C$7,"",Hoisting!N11)</f>
        <v/>
      </c>
      <c r="K105" s="790" t="str">
        <f>IF(K$48&gt;$C$7,"",Hoisting!O11)</f>
        <v/>
      </c>
      <c r="L105" s="790" t="str">
        <f>IF(L$48&gt;$C$7,"",Hoisting!P11)</f>
        <v/>
      </c>
      <c r="M105" s="790" t="str">
        <f>IF(M$48&gt;$C$7,"",Hoisting!Q11)</f>
        <v/>
      </c>
      <c r="N105" s="790" t="str">
        <f>IF(N$48&gt;$C$7,"",Hoisting!R11)</f>
        <v/>
      </c>
      <c r="O105" s="790" t="str">
        <f>IF(O$48&gt;$C$7,"",Hoisting!S11)</f>
        <v/>
      </c>
      <c r="P105" s="790" t="str">
        <f>IF(P$48&gt;$C$7,"",Hoisting!T11)</f>
        <v/>
      </c>
      <c r="Q105" s="790" t="str">
        <f>IF(Q$48&gt;$C$7,"",Hoisting!U11)</f>
        <v/>
      </c>
      <c r="R105" s="790" t="str">
        <f>IF(R$48&gt;$C$7,"",Hoisting!V11)</f>
        <v/>
      </c>
      <c r="S105" s="790" t="str">
        <f>IF(S$48&gt;$C$7,"",Hoisting!W11)</f>
        <v/>
      </c>
      <c r="T105" s="790" t="str">
        <f>IF(T$48&gt;$C$7,"",Hoisting!X11)</f>
        <v/>
      </c>
      <c r="U105" s="790" t="str">
        <f>IF(U$48&gt;$C$7,"",Hoisting!Y11)</f>
        <v/>
      </c>
      <c r="V105" s="790" t="str">
        <f>IF(V$48&gt;$C$7,"",Hoisting!Z11)</f>
        <v/>
      </c>
      <c r="W105" s="790" t="str">
        <f>IF(W$48&gt;$C$7,"",Hoisting!AA11)</f>
        <v/>
      </c>
      <c r="X105" s="790" t="str">
        <f>IF(X$48&gt;$C$7,"",Hoisting!AB11)</f>
        <v/>
      </c>
      <c r="Y105" s="790" t="str">
        <f>IF(Y$48&gt;$C$7,"",Hoisting!AC11)</f>
        <v/>
      </c>
      <c r="Z105" s="790" t="str">
        <f>IF(Z$48&gt;$C$7,"",Hoisting!AD11)</f>
        <v/>
      </c>
      <c r="AA105" s="790" t="str">
        <f>IF(AA$48&gt;$C$7,"",Hoisting!AE11)</f>
        <v/>
      </c>
      <c r="AB105" s="790" t="str">
        <f>IF(AB$48&gt;$C$7,"",Hoisting!AF11)</f>
        <v/>
      </c>
      <c r="AC105" s="790" t="str">
        <f>IF(AC$48&gt;$C$7,"",Hoisting!AG11)</f>
        <v/>
      </c>
      <c r="AD105" s="790" t="str">
        <f>IF(AD$48&gt;$C$7,"",Hoisting!AH11)</f>
        <v/>
      </c>
      <c r="AE105" s="790" t="str">
        <f>IF(AE$48&gt;$C$7,"",Hoisting!AI11)</f>
        <v/>
      </c>
      <c r="AF105" s="790" t="str">
        <f>IF(AF$48&gt;$C$7,"",Hoisting!AJ11)</f>
        <v/>
      </c>
      <c r="AG105" s="790" t="str">
        <f>IF(AG$48&gt;$C$7,"",Hoisting!AK11)</f>
        <v/>
      </c>
      <c r="AH105" s="790" t="str">
        <f>IF(AH$48&gt;$C$7,"",Hoisting!AL11)</f>
        <v/>
      </c>
    </row>
    <row r="106" spans="3:34" s="379" customFormat="1">
      <c r="C106" s="780" t="s">
        <v>72</v>
      </c>
      <c r="D106" s="790">
        <f>D105</f>
        <v>782</v>
      </c>
      <c r="E106" s="790">
        <f>IFERROR(E105+D106,"")</f>
        <v>1734</v>
      </c>
      <c r="F106" s="790">
        <f>IFERROR(F105+E106,"")</f>
        <v>2641</v>
      </c>
      <c r="G106" s="790">
        <f t="shared" ref="G106" si="439">IFERROR(G105+F106,"")</f>
        <v>3453</v>
      </c>
      <c r="H106" s="790">
        <f t="shared" ref="H106" si="440">IFERROR(H105+G106,"")</f>
        <v>4384</v>
      </c>
      <c r="I106" s="790">
        <f t="shared" ref="I106" si="441">IFERROR(I105+H106,"")</f>
        <v>5350</v>
      </c>
      <c r="J106" s="790" t="str">
        <f t="shared" ref="J106" si="442">IFERROR(J105+I106,"")</f>
        <v/>
      </c>
      <c r="K106" s="790" t="str">
        <f t="shared" ref="K106" si="443">IFERROR(K105+J106,"")</f>
        <v/>
      </c>
      <c r="L106" s="790" t="str">
        <f t="shared" ref="L106" si="444">IFERROR(L105+K106,"")</f>
        <v/>
      </c>
      <c r="M106" s="790" t="str">
        <f>IFERROR(M105+L106,"")</f>
        <v/>
      </c>
      <c r="N106" s="790" t="str">
        <f t="shared" ref="N106" si="445">IFERROR(N105+M106,"")</f>
        <v/>
      </c>
      <c r="O106" s="790" t="str">
        <f t="shared" ref="O106" si="446">IFERROR(O105+N106,"")</f>
        <v/>
      </c>
      <c r="P106" s="790" t="str">
        <f t="shared" ref="P106" si="447">IFERROR(P105+O106,"")</f>
        <v/>
      </c>
      <c r="Q106" s="790" t="str">
        <f t="shared" ref="Q106" si="448">IFERROR(Q105+P106,"")</f>
        <v/>
      </c>
      <c r="R106" s="790" t="str">
        <f t="shared" ref="R106" si="449">IFERROR(R105+Q106,"")</f>
        <v/>
      </c>
      <c r="S106" s="790" t="str">
        <f t="shared" ref="S106" si="450">IFERROR(S105+R106,"")</f>
        <v/>
      </c>
      <c r="T106" s="790" t="str">
        <f t="shared" ref="T106" si="451">IFERROR(T105+S106,"")</f>
        <v/>
      </c>
      <c r="U106" s="790" t="str">
        <f t="shared" ref="U106" si="452">IFERROR(U105+T106,"")</f>
        <v/>
      </c>
      <c r="V106" s="790" t="str">
        <f t="shared" ref="V106" si="453">IFERROR(V105+U106,"")</f>
        <v/>
      </c>
      <c r="W106" s="790" t="str">
        <f t="shared" ref="W106" si="454">IFERROR(W105+V106,"")</f>
        <v/>
      </c>
      <c r="X106" s="790" t="str">
        <f t="shared" ref="X106" si="455">IFERROR(X105+W106,"")</f>
        <v/>
      </c>
      <c r="Y106" s="790" t="str">
        <f t="shared" ref="Y106" si="456">IFERROR(Y105+X106,"")</f>
        <v/>
      </c>
      <c r="Z106" s="790" t="str">
        <f t="shared" ref="Z106" si="457">IFERROR(Z105+Y106,"")</f>
        <v/>
      </c>
      <c r="AA106" s="790" t="str">
        <f t="shared" ref="AA106" si="458">IFERROR(AA105+Z106,"")</f>
        <v/>
      </c>
      <c r="AB106" s="790" t="str">
        <f t="shared" ref="AB106" si="459">IFERROR(AB105+AA106,"")</f>
        <v/>
      </c>
      <c r="AC106" s="790" t="str">
        <f t="shared" ref="AC106" si="460">IFERROR(AC105+AB106,"")</f>
        <v/>
      </c>
      <c r="AD106" s="790" t="str">
        <f t="shared" ref="AD106" si="461">IFERROR(AD105+AC106,"")</f>
        <v/>
      </c>
      <c r="AE106" s="790" t="str">
        <f t="shared" ref="AE106" si="462">IFERROR(AE105+AD106,"")</f>
        <v/>
      </c>
      <c r="AF106" s="790" t="str">
        <f t="shared" ref="AF106" si="463">IFERROR(AF105+AE106,"")</f>
        <v/>
      </c>
      <c r="AG106" s="790" t="str">
        <f t="shared" ref="AG106" si="464">IFERROR(AG105+AF106,"")</f>
        <v/>
      </c>
      <c r="AH106" s="790" t="str">
        <f t="shared" ref="AH106" si="465">IFERROR(AH105+AG106,"")</f>
        <v/>
      </c>
    </row>
    <row r="107" spans="3:34" s="379" customFormat="1">
      <c r="C107" s="780" t="s">
        <v>17</v>
      </c>
      <c r="D107" s="790">
        <f>IF(D$48&gt;$C$7,"",Hoisting!H10)</f>
        <v>740</v>
      </c>
      <c r="E107" s="790">
        <f>IF(E$48&gt;$C$7,"",Hoisting!I10)</f>
        <v>850</v>
      </c>
      <c r="F107" s="790">
        <f>IF(F$48&gt;$C$7,"",Hoisting!J10)</f>
        <v>850</v>
      </c>
      <c r="G107" s="790">
        <f>IF(G$48&gt;$C$7,"",Hoisting!K10)</f>
        <v>850</v>
      </c>
      <c r="H107" s="790">
        <f>IF(H$48&gt;$C$7,"",Hoisting!L10)</f>
        <v>850</v>
      </c>
      <c r="I107" s="790">
        <f>IF(I$48&gt;$C$7,"",Hoisting!M10)</f>
        <v>850</v>
      </c>
      <c r="J107" s="790" t="str">
        <f>IF(J$48&gt;$C$7,"",Hoisting!N10)</f>
        <v/>
      </c>
      <c r="K107" s="790" t="str">
        <f>IF(K$48&gt;$C$7,"",Hoisting!O10)</f>
        <v/>
      </c>
      <c r="L107" s="790" t="str">
        <f>IF(L$48&gt;$C$7,"",Hoisting!P10)</f>
        <v/>
      </c>
      <c r="M107" s="790" t="str">
        <f>IF(M$48&gt;$C$7,"",Hoisting!Q10)</f>
        <v/>
      </c>
      <c r="N107" s="790" t="str">
        <f>IF(N$48&gt;$C$7,"",Hoisting!R10)</f>
        <v/>
      </c>
      <c r="O107" s="790" t="str">
        <f>IF(O$48&gt;$C$7,"",Hoisting!S10)</f>
        <v/>
      </c>
      <c r="P107" s="790" t="str">
        <f>IF(P$48&gt;$C$7,"",Hoisting!T10)</f>
        <v/>
      </c>
      <c r="Q107" s="790" t="str">
        <f>IF(Q$48&gt;$C$7,"",Hoisting!U10)</f>
        <v/>
      </c>
      <c r="R107" s="790" t="str">
        <f>IF(R$48&gt;$C$7,"",Hoisting!V10)</f>
        <v/>
      </c>
      <c r="S107" s="790" t="str">
        <f>IF(S$48&gt;$C$7,"",Hoisting!W10)</f>
        <v/>
      </c>
      <c r="T107" s="790" t="str">
        <f>IF(T$48&gt;$C$7,"",Hoisting!X10)</f>
        <v/>
      </c>
      <c r="U107" s="790" t="str">
        <f>IF(U$48&gt;$C$7,"",Hoisting!Y10)</f>
        <v/>
      </c>
      <c r="V107" s="790" t="str">
        <f>IF(V$48&gt;$C$7,"",Hoisting!Z10)</f>
        <v/>
      </c>
      <c r="W107" s="790" t="str">
        <f>IF(W$48&gt;$C$7,"",Hoisting!AA10)</f>
        <v/>
      </c>
      <c r="X107" s="790" t="str">
        <f>IF(X$48&gt;$C$7,"",Hoisting!AB10)</f>
        <v/>
      </c>
      <c r="Y107" s="790" t="str">
        <f>IF(Y$48&gt;$C$7,"",Hoisting!AC10)</f>
        <v/>
      </c>
      <c r="Z107" s="790" t="str">
        <f>IF(Z$48&gt;$C$7,"",Hoisting!AD10)</f>
        <v/>
      </c>
      <c r="AA107" s="790" t="str">
        <f>IF(AA$48&gt;$C$7,"",Hoisting!AE10)</f>
        <v/>
      </c>
      <c r="AB107" s="790" t="str">
        <f>IF(AB$48&gt;$C$7,"",Hoisting!AF10)</f>
        <v/>
      </c>
      <c r="AC107" s="790" t="str">
        <f>IF(AC$48&gt;$C$7,"",Hoisting!AG10)</f>
        <v/>
      </c>
      <c r="AD107" s="790" t="str">
        <f>IF(AD$48&gt;$C$7,"",Hoisting!AH10)</f>
        <v/>
      </c>
      <c r="AE107" s="790" t="str">
        <f>IF(AE$48&gt;$C$7,"",Hoisting!AI10)</f>
        <v/>
      </c>
      <c r="AF107" s="790" t="str">
        <f>IF(AF$48&gt;$C$7,"",Hoisting!AJ10)</f>
        <v/>
      </c>
      <c r="AG107" s="790" t="str">
        <f>IF(AG$48&gt;$C$7,"",Hoisting!AK10)</f>
        <v/>
      </c>
      <c r="AH107" s="790" t="str">
        <f>IF(AH$48&gt;$C$7,"",Hoisting!AL10)</f>
        <v/>
      </c>
    </row>
    <row r="108" spans="3:34" s="379" customFormat="1">
      <c r="C108" s="780" t="s">
        <v>73</v>
      </c>
      <c r="D108" s="790">
        <f>D107</f>
        <v>740</v>
      </c>
      <c r="E108" s="790">
        <f>IFERROR(E107+D108,"")</f>
        <v>1590</v>
      </c>
      <c r="F108" s="790">
        <f>IFERROR(F107+E108,"")</f>
        <v>2440</v>
      </c>
      <c r="G108" s="790">
        <f t="shared" ref="G108" si="466">IFERROR(G107+F108,"")</f>
        <v>3290</v>
      </c>
      <c r="H108" s="790">
        <f t="shared" ref="H108" si="467">IFERROR(H107+G108,"")</f>
        <v>4140</v>
      </c>
      <c r="I108" s="790">
        <f t="shared" ref="I108" si="468">IFERROR(I107+H108,"")</f>
        <v>4990</v>
      </c>
      <c r="J108" s="790" t="str">
        <f t="shared" ref="J108" si="469">IFERROR(J107+I108,"")</f>
        <v/>
      </c>
      <c r="K108" s="790" t="str">
        <f t="shared" ref="K108" si="470">IFERROR(K107+J108,"")</f>
        <v/>
      </c>
      <c r="L108" s="790" t="str">
        <f t="shared" ref="L108" si="471">IFERROR(L107+K108,"")</f>
        <v/>
      </c>
      <c r="M108" s="790" t="str">
        <f>IFERROR(M107+L108,"")</f>
        <v/>
      </c>
      <c r="N108" s="790" t="str">
        <f t="shared" ref="N108" si="472">IFERROR(N107+M108,"")</f>
        <v/>
      </c>
      <c r="O108" s="790" t="str">
        <f t="shared" ref="O108" si="473">IFERROR(O107+N108,"")</f>
        <v/>
      </c>
      <c r="P108" s="790" t="str">
        <f t="shared" ref="P108" si="474">IFERROR(P107+O108,"")</f>
        <v/>
      </c>
      <c r="Q108" s="790" t="str">
        <f t="shared" ref="Q108" si="475">IFERROR(Q107+P108,"")</f>
        <v/>
      </c>
      <c r="R108" s="790" t="str">
        <f t="shared" ref="R108" si="476">IFERROR(R107+Q108,"")</f>
        <v/>
      </c>
      <c r="S108" s="790" t="str">
        <f t="shared" ref="S108" si="477">IFERROR(S107+R108,"")</f>
        <v/>
      </c>
      <c r="T108" s="790" t="str">
        <f t="shared" ref="T108" si="478">IFERROR(T107+S108,"")</f>
        <v/>
      </c>
      <c r="U108" s="790" t="str">
        <f t="shared" ref="U108" si="479">IFERROR(U107+T108,"")</f>
        <v/>
      </c>
      <c r="V108" s="790" t="str">
        <f t="shared" ref="V108" si="480">IFERROR(V107+U108,"")</f>
        <v/>
      </c>
      <c r="W108" s="790" t="str">
        <f t="shared" ref="W108" si="481">IFERROR(W107+V108,"")</f>
        <v/>
      </c>
      <c r="X108" s="790" t="str">
        <f t="shared" ref="X108" si="482">IFERROR(X107+W108,"")</f>
        <v/>
      </c>
      <c r="Y108" s="790" t="str">
        <f t="shared" ref="Y108" si="483">IFERROR(Y107+X108,"")</f>
        <v/>
      </c>
      <c r="Z108" s="790" t="str">
        <f t="shared" ref="Z108" si="484">IFERROR(Z107+Y108,"")</f>
        <v/>
      </c>
      <c r="AA108" s="790" t="str">
        <f t="shared" ref="AA108" si="485">IFERROR(AA107+Z108,"")</f>
        <v/>
      </c>
      <c r="AB108" s="790" t="str">
        <f t="shared" ref="AB108" si="486">IFERROR(AB107+AA108,"")</f>
        <v/>
      </c>
      <c r="AC108" s="790" t="str">
        <f t="shared" ref="AC108" si="487">IFERROR(AC107+AB108,"")</f>
        <v/>
      </c>
      <c r="AD108" s="790" t="str">
        <f t="shared" ref="AD108" si="488">IFERROR(AD107+AC108,"")</f>
        <v/>
      </c>
      <c r="AE108" s="790" t="str">
        <f t="shared" ref="AE108" si="489">IFERROR(AE107+AD108,"")</f>
        <v/>
      </c>
      <c r="AF108" s="790" t="str">
        <f t="shared" ref="AF108" si="490">IFERROR(AF107+AE108,"")</f>
        <v/>
      </c>
      <c r="AG108" s="790" t="str">
        <f t="shared" ref="AG108" si="491">IFERROR(AG107+AF108,"")</f>
        <v/>
      </c>
      <c r="AH108" s="790" t="str">
        <f t="shared" ref="AH108" si="492">IFERROR(AH107+AG108,"")</f>
        <v/>
      </c>
    </row>
    <row r="109" spans="3:34" s="379" customFormat="1">
      <c r="C109" s="780"/>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c r="AA109" s="792"/>
      <c r="AB109" s="792"/>
      <c r="AC109" s="792"/>
      <c r="AD109" s="792"/>
      <c r="AE109" s="792"/>
      <c r="AF109" s="792"/>
      <c r="AG109" s="792"/>
      <c r="AH109" s="792"/>
    </row>
    <row r="110" spans="3:34" s="379" customFormat="1">
      <c r="C110" s="780" t="str">
        <f>_xlfn.CONCAT(C27," ",C23)</f>
        <v>Crushed Tonnes</v>
      </c>
      <c r="D110" s="790"/>
      <c r="E110" s="790"/>
      <c r="F110" s="790"/>
      <c r="G110" s="790"/>
      <c r="H110" s="790"/>
      <c r="I110" s="790"/>
      <c r="J110" s="790"/>
      <c r="K110" s="790"/>
      <c r="L110" s="790"/>
      <c r="M110" s="790"/>
      <c r="N110" s="790"/>
      <c r="O110" s="790"/>
      <c r="P110" s="790"/>
      <c r="Q110" s="790"/>
      <c r="R110" s="790"/>
      <c r="S110" s="790"/>
      <c r="T110" s="790"/>
      <c r="U110" s="790"/>
      <c r="V110" s="790"/>
      <c r="W110" s="790"/>
      <c r="X110" s="790"/>
      <c r="Y110" s="790"/>
      <c r="Z110" s="790"/>
      <c r="AA110" s="790"/>
      <c r="AB110" s="790"/>
      <c r="AC110" s="790"/>
      <c r="AD110" s="790"/>
      <c r="AE110" s="790"/>
      <c r="AF110" s="790"/>
      <c r="AG110" s="790"/>
      <c r="AH110" s="790"/>
    </row>
    <row r="111" spans="3:34" s="379" customFormat="1">
      <c r="C111" s="780" t="s">
        <v>16</v>
      </c>
      <c r="D111" s="790">
        <f>IF(D$48&gt;$C$7,"",PLANT!H6)</f>
        <v>1078.5735999999999</v>
      </c>
      <c r="E111" s="790">
        <f>IF(E$48&gt;$C$7,"",PLANT!I6)</f>
        <v>1066.0175999999999</v>
      </c>
      <c r="F111" s="790">
        <f>IF(F$48&gt;$C$7,"",PLANT!J6)</f>
        <v>648.29840000000002</v>
      </c>
      <c r="G111" s="790">
        <f>IF(G$48&gt;$C$7,"",PLANT!K6)</f>
        <v>753.73090000000002</v>
      </c>
      <c r="H111" s="790">
        <f>IF(H$48&gt;$C$7,"",PLANT!L6)</f>
        <v>738.6</v>
      </c>
      <c r="I111" s="790">
        <f>IF(I$48&gt;$C$7,"",PLANT!M6)</f>
        <v>0</v>
      </c>
      <c r="J111" s="790" t="str">
        <f>IF(J$48&gt;$C$7,"",PLANT!N6)</f>
        <v/>
      </c>
      <c r="K111" s="790" t="str">
        <f>IF(K$48&gt;$C$7,"",PLANT!O6)</f>
        <v/>
      </c>
      <c r="L111" s="790" t="str">
        <f>IF(L$48&gt;$C$7,"",PLANT!P6)</f>
        <v/>
      </c>
      <c r="M111" s="790" t="str">
        <f>IF(M$48&gt;$C$7,"",PLANT!Q6)</f>
        <v/>
      </c>
      <c r="N111" s="790" t="str">
        <f>IF(N$48&gt;$C$7,"",PLANT!R6)</f>
        <v/>
      </c>
      <c r="O111" s="790" t="str">
        <f>IF(O$48&gt;$C$7,"",PLANT!S6)</f>
        <v/>
      </c>
      <c r="P111" s="790" t="str">
        <f>IF(P$48&gt;$C$7,"",PLANT!T6)</f>
        <v/>
      </c>
      <c r="Q111" s="790" t="str">
        <f>IF(Q$48&gt;$C$7,"",PLANT!U6)</f>
        <v/>
      </c>
      <c r="R111" s="790" t="str">
        <f>IF(R$48&gt;$C$7,"",PLANT!V6)</f>
        <v/>
      </c>
      <c r="S111" s="790" t="str">
        <f>IF(S$48&gt;$C$7,"",PLANT!W6)</f>
        <v/>
      </c>
      <c r="T111" s="790" t="str">
        <f>IF(T$48&gt;$C$7,"",PLANT!X6)</f>
        <v/>
      </c>
      <c r="U111" s="790" t="str">
        <f>IF(U$48&gt;$C$7,"",PLANT!Y6)</f>
        <v/>
      </c>
      <c r="V111" s="790" t="str">
        <f>IF(V$48&gt;$C$7,"",PLANT!Z6)</f>
        <v/>
      </c>
      <c r="W111" s="790" t="str">
        <f>IF(W$48&gt;$C$7,"",PLANT!AA6)</f>
        <v/>
      </c>
      <c r="X111" s="790" t="str">
        <f>IF(X$48&gt;$C$7,"",PLANT!AB6)</f>
        <v/>
      </c>
      <c r="Y111" s="790" t="str">
        <f>IF(Y$48&gt;$C$7,"",PLANT!AC6)</f>
        <v/>
      </c>
      <c r="Z111" s="790" t="str">
        <f>IF(Z$48&gt;$C$7,"",PLANT!AD6)</f>
        <v/>
      </c>
      <c r="AA111" s="790" t="str">
        <f>IF(AA$48&gt;$C$7,"",PLANT!AE6)</f>
        <v/>
      </c>
      <c r="AB111" s="790" t="str">
        <f>IF(AB$48&gt;$C$7,"",PLANT!AF6)</f>
        <v/>
      </c>
      <c r="AC111" s="790" t="str">
        <f>IF(AC$48&gt;$C$7,"",PLANT!AG6)</f>
        <v/>
      </c>
      <c r="AD111" s="790" t="str">
        <f>IF(AD$48&gt;$C$7,"",PLANT!AH6)</f>
        <v/>
      </c>
      <c r="AE111" s="790" t="str">
        <f>IF(AE$48&gt;$C$7,"",PLANT!AI6)</f>
        <v/>
      </c>
      <c r="AF111" s="790" t="str">
        <f>IF(AF$48&gt;$C$7,"",PLANT!AJ6)</f>
        <v/>
      </c>
      <c r="AG111" s="790" t="str">
        <f>IF(AG$48&gt;$C$7,"",PLANT!AK6)</f>
        <v/>
      </c>
      <c r="AH111" s="790" t="str">
        <f>IF(AH$48&gt;$C$7,"",PLANT!AL6)</f>
        <v/>
      </c>
    </row>
    <row r="112" spans="3:34" s="379" customFormat="1">
      <c r="C112" s="780" t="s">
        <v>72</v>
      </c>
      <c r="D112" s="790">
        <f>D111</f>
        <v>1078.5735999999999</v>
      </c>
      <c r="E112" s="790">
        <f>IFERROR(E111+D112,"")</f>
        <v>2144.5911999999998</v>
      </c>
      <c r="F112" s="790">
        <f>IFERROR(F111+E112,"")</f>
        <v>2792.8896</v>
      </c>
      <c r="G112" s="790">
        <f t="shared" ref="G112" si="493">IFERROR(G111+F112,"")</f>
        <v>3546.6205</v>
      </c>
      <c r="H112" s="790">
        <f t="shared" ref="H112" si="494">IFERROR(H111+G112,"")</f>
        <v>4285.2205000000004</v>
      </c>
      <c r="I112" s="790">
        <f t="shared" ref="I112" si="495">IFERROR(I111+H112,"")</f>
        <v>4285.2205000000004</v>
      </c>
      <c r="J112" s="790" t="str">
        <f t="shared" ref="J112" si="496">IFERROR(J111+I112,"")</f>
        <v/>
      </c>
      <c r="K112" s="790" t="str">
        <f t="shared" ref="K112" si="497">IFERROR(K111+J112,"")</f>
        <v/>
      </c>
      <c r="L112" s="790" t="str">
        <f t="shared" ref="L112" si="498">IFERROR(L111+K112,"")</f>
        <v/>
      </c>
      <c r="M112" s="790" t="str">
        <f>IFERROR(M111+L112,"")</f>
        <v/>
      </c>
      <c r="N112" s="790" t="str">
        <f t="shared" ref="N112" si="499">IFERROR(N111+M112,"")</f>
        <v/>
      </c>
      <c r="O112" s="790" t="str">
        <f t="shared" ref="O112" si="500">IFERROR(O111+N112,"")</f>
        <v/>
      </c>
      <c r="P112" s="790" t="str">
        <f t="shared" ref="P112" si="501">IFERROR(P111+O112,"")</f>
        <v/>
      </c>
      <c r="Q112" s="790" t="str">
        <f t="shared" ref="Q112" si="502">IFERROR(Q111+P112,"")</f>
        <v/>
      </c>
      <c r="R112" s="790" t="str">
        <f t="shared" ref="R112" si="503">IFERROR(R111+Q112,"")</f>
        <v/>
      </c>
      <c r="S112" s="790" t="str">
        <f t="shared" ref="S112" si="504">IFERROR(S111+R112,"")</f>
        <v/>
      </c>
      <c r="T112" s="790" t="str">
        <f t="shared" ref="T112" si="505">IFERROR(T111+S112,"")</f>
        <v/>
      </c>
      <c r="U112" s="790" t="str">
        <f t="shared" ref="U112" si="506">IFERROR(U111+T112,"")</f>
        <v/>
      </c>
      <c r="V112" s="790" t="str">
        <f t="shared" ref="V112" si="507">IFERROR(V111+U112,"")</f>
        <v/>
      </c>
      <c r="W112" s="790" t="str">
        <f t="shared" ref="W112" si="508">IFERROR(W111+V112,"")</f>
        <v/>
      </c>
      <c r="X112" s="790" t="str">
        <f t="shared" ref="X112" si="509">IFERROR(X111+W112,"")</f>
        <v/>
      </c>
      <c r="Y112" s="790" t="str">
        <f t="shared" ref="Y112" si="510">IFERROR(Y111+X112,"")</f>
        <v/>
      </c>
      <c r="Z112" s="790" t="str">
        <f t="shared" ref="Z112" si="511">IFERROR(Z111+Y112,"")</f>
        <v/>
      </c>
      <c r="AA112" s="790" t="str">
        <f t="shared" ref="AA112" si="512">IFERROR(AA111+Z112,"")</f>
        <v/>
      </c>
      <c r="AB112" s="790" t="str">
        <f t="shared" ref="AB112" si="513">IFERROR(AB111+AA112,"")</f>
        <v/>
      </c>
      <c r="AC112" s="790" t="str">
        <f t="shared" ref="AC112" si="514">IFERROR(AC111+AB112,"")</f>
        <v/>
      </c>
      <c r="AD112" s="790" t="str">
        <f t="shared" ref="AD112" si="515">IFERROR(AD111+AC112,"")</f>
        <v/>
      </c>
      <c r="AE112" s="790" t="str">
        <f t="shared" ref="AE112" si="516">IFERROR(AE111+AD112,"")</f>
        <v/>
      </c>
      <c r="AF112" s="790" t="str">
        <f t="shared" ref="AF112" si="517">IFERROR(AF111+AE112,"")</f>
        <v/>
      </c>
      <c r="AG112" s="790" t="str">
        <f t="shared" ref="AG112" si="518">IFERROR(AG111+AF112,"")</f>
        <v/>
      </c>
      <c r="AH112" s="790" t="str">
        <f t="shared" ref="AH112" si="519">IFERROR(AH111+AG112,"")</f>
        <v/>
      </c>
    </row>
    <row r="113" spans="3:34" s="379" customFormat="1">
      <c r="C113" s="780" t="s">
        <v>17</v>
      </c>
      <c r="D113" s="790">
        <f>IF(D$48&gt;$C$7,"",PLANT!H5)</f>
        <v>1173.8711999999996</v>
      </c>
      <c r="E113" s="790">
        <f>IF(E$48&gt;$C$7,"",PLANT!I5)</f>
        <v>1173.8711999999996</v>
      </c>
      <c r="F113" s="790">
        <f>IF(F$48&gt;$C$7,"",PLANT!J5)</f>
        <v>1173.8711999999996</v>
      </c>
      <c r="G113" s="790">
        <f>IF(G$48&gt;$C$7,"",PLANT!K5)</f>
        <v>1173.8711999999996</v>
      </c>
      <c r="H113" s="790">
        <f>IF(H$48&gt;$C$7,"",PLANT!L5)</f>
        <v>586.93559999999979</v>
      </c>
      <c r="I113" s="790">
        <f>IF(I$48&gt;$C$7,"",PLANT!M5)</f>
        <v>1173.8711999999996</v>
      </c>
      <c r="J113" s="790" t="str">
        <f>IF(J$48&gt;$C$7,"",PLANT!N5)</f>
        <v/>
      </c>
      <c r="K113" s="790" t="str">
        <f>IF(K$48&gt;$C$7,"",PLANT!O5)</f>
        <v/>
      </c>
      <c r="L113" s="790" t="str">
        <f>IF(L$48&gt;$C$7,"",PLANT!P5)</f>
        <v/>
      </c>
      <c r="M113" s="790" t="str">
        <f>IF(M$48&gt;$C$7,"",PLANT!Q5)</f>
        <v/>
      </c>
      <c r="N113" s="790" t="str">
        <f>IF(N$48&gt;$C$7,"",PLANT!R5)</f>
        <v/>
      </c>
      <c r="O113" s="790" t="str">
        <f>IF(O$48&gt;$C$7,"",PLANT!S5)</f>
        <v/>
      </c>
      <c r="P113" s="790" t="str">
        <f>IF(P$48&gt;$C$7,"",PLANT!T5)</f>
        <v/>
      </c>
      <c r="Q113" s="790" t="str">
        <f>IF(Q$48&gt;$C$7,"",PLANT!U5)</f>
        <v/>
      </c>
      <c r="R113" s="790" t="str">
        <f>IF(R$48&gt;$C$7,"",PLANT!V5)</f>
        <v/>
      </c>
      <c r="S113" s="790" t="str">
        <f>IF(S$48&gt;$C$7,"",PLANT!W5)</f>
        <v/>
      </c>
      <c r="T113" s="790" t="str">
        <f>IF(T$48&gt;$C$7,"",PLANT!X5)</f>
        <v/>
      </c>
      <c r="U113" s="790" t="str">
        <f>IF(U$48&gt;$C$7,"",PLANT!Y5)</f>
        <v/>
      </c>
      <c r="V113" s="790" t="str">
        <f>IF(V$48&gt;$C$7,"",PLANT!Z5)</f>
        <v/>
      </c>
      <c r="W113" s="790" t="str">
        <f>IF(W$48&gt;$C$7,"",PLANT!AA5)</f>
        <v/>
      </c>
      <c r="X113" s="790" t="str">
        <f>IF(X$48&gt;$C$7,"",PLANT!AB5)</f>
        <v/>
      </c>
      <c r="Y113" s="790" t="str">
        <f>IF(Y$48&gt;$C$7,"",PLANT!AC5)</f>
        <v/>
      </c>
      <c r="Z113" s="790" t="str">
        <f>IF(Z$48&gt;$C$7,"",PLANT!AD5)</f>
        <v/>
      </c>
      <c r="AA113" s="790" t="str">
        <f>IF(AA$48&gt;$C$7,"",PLANT!AE5)</f>
        <v/>
      </c>
      <c r="AB113" s="790" t="str">
        <f>IF(AB$48&gt;$C$7,"",PLANT!AF5)</f>
        <v/>
      </c>
      <c r="AC113" s="790" t="str">
        <f>IF(AC$48&gt;$C$7,"",PLANT!AG5)</f>
        <v/>
      </c>
      <c r="AD113" s="790" t="str">
        <f>IF(AD$48&gt;$C$7,"",PLANT!AH5)</f>
        <v/>
      </c>
      <c r="AE113" s="790" t="str">
        <f>IF(AE$48&gt;$C$7,"",PLANT!AI5)</f>
        <v/>
      </c>
      <c r="AF113" s="790" t="str">
        <f>IF(AF$48&gt;$C$7,"",PLANT!AJ5)</f>
        <v/>
      </c>
      <c r="AG113" s="790" t="str">
        <f>IF(AG$48&gt;$C$7,"",PLANT!AK5)</f>
        <v/>
      </c>
      <c r="AH113" s="790" t="str">
        <f>IF(AH$48&gt;$C$7,"",PLANT!AL5)</f>
        <v/>
      </c>
    </row>
    <row r="114" spans="3:34" s="379" customFormat="1">
      <c r="C114" s="780" t="s">
        <v>73</v>
      </c>
      <c r="D114" s="790">
        <f>D113</f>
        <v>1173.8711999999996</v>
      </c>
      <c r="E114" s="790">
        <f>IFERROR(E113+D114,"")</f>
        <v>2347.7423999999992</v>
      </c>
      <c r="F114" s="790">
        <f>IFERROR(F113+E114,"")</f>
        <v>3521.6135999999988</v>
      </c>
      <c r="G114" s="790">
        <f t="shared" ref="G114" si="520">IFERROR(G113+F114,"")</f>
        <v>4695.4847999999984</v>
      </c>
      <c r="H114" s="790">
        <f t="shared" ref="H114" si="521">IFERROR(H113+G114,"")</f>
        <v>5282.4203999999982</v>
      </c>
      <c r="I114" s="790">
        <f t="shared" ref="I114" si="522">IFERROR(I113+H114,"")</f>
        <v>6456.2915999999977</v>
      </c>
      <c r="J114" s="790" t="str">
        <f t="shared" ref="J114" si="523">IFERROR(J113+I114,"")</f>
        <v/>
      </c>
      <c r="K114" s="790" t="str">
        <f t="shared" ref="K114" si="524">IFERROR(K113+J114,"")</f>
        <v/>
      </c>
      <c r="L114" s="790" t="str">
        <f t="shared" ref="L114" si="525">IFERROR(L113+K114,"")</f>
        <v/>
      </c>
      <c r="M114" s="790" t="str">
        <f>IFERROR(M113+L114,"")</f>
        <v/>
      </c>
      <c r="N114" s="790" t="str">
        <f t="shared" ref="N114" si="526">IFERROR(N113+M114,"")</f>
        <v/>
      </c>
      <c r="O114" s="790" t="str">
        <f t="shared" ref="O114" si="527">IFERROR(O113+N114,"")</f>
        <v/>
      </c>
      <c r="P114" s="790" t="str">
        <f t="shared" ref="P114" si="528">IFERROR(P113+O114,"")</f>
        <v/>
      </c>
      <c r="Q114" s="790" t="str">
        <f t="shared" ref="Q114" si="529">IFERROR(Q113+P114,"")</f>
        <v/>
      </c>
      <c r="R114" s="790" t="str">
        <f t="shared" ref="R114" si="530">IFERROR(R113+Q114,"")</f>
        <v/>
      </c>
      <c r="S114" s="790" t="str">
        <f t="shared" ref="S114" si="531">IFERROR(S113+R114,"")</f>
        <v/>
      </c>
      <c r="T114" s="790" t="str">
        <f t="shared" ref="T114" si="532">IFERROR(T113+S114,"")</f>
        <v/>
      </c>
      <c r="U114" s="790" t="str">
        <f t="shared" ref="U114" si="533">IFERROR(U113+T114,"")</f>
        <v/>
      </c>
      <c r="V114" s="790" t="str">
        <f t="shared" ref="V114" si="534">IFERROR(V113+U114,"")</f>
        <v/>
      </c>
      <c r="W114" s="790" t="str">
        <f t="shared" ref="W114" si="535">IFERROR(W113+V114,"")</f>
        <v/>
      </c>
      <c r="X114" s="790" t="str">
        <f t="shared" ref="X114" si="536">IFERROR(X113+W114,"")</f>
        <v/>
      </c>
      <c r="Y114" s="790" t="str">
        <f t="shared" ref="Y114" si="537">IFERROR(Y113+X114,"")</f>
        <v/>
      </c>
      <c r="Z114" s="790" t="str">
        <f t="shared" ref="Z114" si="538">IFERROR(Z113+Y114,"")</f>
        <v/>
      </c>
      <c r="AA114" s="790" t="str">
        <f t="shared" ref="AA114" si="539">IFERROR(AA113+Z114,"")</f>
        <v/>
      </c>
      <c r="AB114" s="790" t="str">
        <f t="shared" ref="AB114" si="540">IFERROR(AB113+AA114,"")</f>
        <v/>
      </c>
      <c r="AC114" s="790" t="str">
        <f t="shared" ref="AC114" si="541">IFERROR(AC113+AB114,"")</f>
        <v/>
      </c>
      <c r="AD114" s="790" t="str">
        <f t="shared" ref="AD114" si="542">IFERROR(AD113+AC114,"")</f>
        <v/>
      </c>
      <c r="AE114" s="790" t="str">
        <f t="shared" ref="AE114" si="543">IFERROR(AE113+AD114,"")</f>
        <v/>
      </c>
      <c r="AF114" s="790" t="str">
        <f t="shared" ref="AF114" si="544">IFERROR(AF113+AE114,"")</f>
        <v/>
      </c>
      <c r="AG114" s="790" t="str">
        <f t="shared" ref="AG114" si="545">IFERROR(AG113+AF114,"")</f>
        <v/>
      </c>
      <c r="AH114" s="790" t="str">
        <f t="shared" ref="AH114" si="546">IFERROR(AH113+AG114,"")</f>
        <v/>
      </c>
    </row>
    <row r="115" spans="3:34" s="379" customFormat="1">
      <c r="C115" s="780"/>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c r="AA115" s="792"/>
      <c r="AB115" s="792"/>
      <c r="AC115" s="792"/>
      <c r="AD115" s="792"/>
      <c r="AE115" s="792"/>
      <c r="AF115" s="792"/>
      <c r="AG115" s="792"/>
      <c r="AH115" s="792"/>
    </row>
    <row r="116" spans="3:34" s="379" customFormat="1">
      <c r="C116" s="780" t="str">
        <f>_xlfn.CONCAT(C28," ",C23)</f>
        <v>Milled Tonnes</v>
      </c>
      <c r="D116" s="790"/>
      <c r="E116" s="790"/>
      <c r="F116" s="790"/>
      <c r="G116" s="790"/>
      <c r="H116" s="790"/>
      <c r="I116" s="790"/>
      <c r="J116" s="790"/>
      <c r="K116" s="790"/>
      <c r="L116" s="790"/>
      <c r="M116" s="790"/>
      <c r="N116" s="790"/>
      <c r="O116" s="790"/>
      <c r="P116" s="790"/>
      <c r="Q116" s="790"/>
      <c r="R116" s="790"/>
      <c r="S116" s="790"/>
      <c r="T116" s="790"/>
      <c r="U116" s="790"/>
      <c r="V116" s="790"/>
      <c r="W116" s="790"/>
      <c r="X116" s="790"/>
      <c r="Y116" s="790"/>
      <c r="Z116" s="790"/>
      <c r="AA116" s="790"/>
      <c r="AB116" s="790"/>
      <c r="AC116" s="790"/>
      <c r="AD116" s="790"/>
      <c r="AE116" s="790"/>
      <c r="AF116" s="790"/>
      <c r="AG116" s="790"/>
      <c r="AH116" s="790"/>
    </row>
    <row r="117" spans="3:34" s="379" customFormat="1">
      <c r="C117" s="780" t="s">
        <v>16</v>
      </c>
      <c r="D117" s="790">
        <f>IF(D$48&gt;$C$7,"",PLANT!H7)</f>
        <v>1244.3207</v>
      </c>
      <c r="E117" s="790">
        <f>IF(E$48&gt;$C$7,"",PLANT!I7)</f>
        <v>1143.296</v>
      </c>
      <c r="F117" s="790">
        <f>IF(F$48&gt;$C$7,"",PLANT!J7)</f>
        <v>665.4402</v>
      </c>
      <c r="G117" s="790">
        <f>IF(G$48&gt;$C$7,"",PLANT!K7)</f>
        <v>1124.527</v>
      </c>
      <c r="H117" s="790">
        <f>IF(H$48&gt;$C$7,"",PLANT!L7)</f>
        <v>1067.2190000000001</v>
      </c>
      <c r="I117" s="790">
        <f>IF(I$48&gt;$C$7,"",PLANT!M7)</f>
        <v>0</v>
      </c>
      <c r="J117" s="790" t="str">
        <f>IF(J$48&gt;$C$7,"",PLANT!N7)</f>
        <v/>
      </c>
      <c r="K117" s="790" t="str">
        <f>IF(K$48&gt;$C$7,"",PLANT!O7)</f>
        <v/>
      </c>
      <c r="L117" s="790" t="str">
        <f>IF(L$48&gt;$C$7,"",PLANT!P7)</f>
        <v/>
      </c>
      <c r="M117" s="790" t="str">
        <f>IF(M$48&gt;$C$7,"",PLANT!Q7)</f>
        <v/>
      </c>
      <c r="N117" s="790" t="str">
        <f>IF(N$48&gt;$C$7,"",PLANT!R7)</f>
        <v/>
      </c>
      <c r="O117" s="790" t="str">
        <f>IF(O$48&gt;$C$7,"",PLANT!S7)</f>
        <v/>
      </c>
      <c r="P117" s="790" t="str">
        <f>IF(P$48&gt;$C$7,"",PLANT!T7)</f>
        <v/>
      </c>
      <c r="Q117" s="790" t="str">
        <f>IF(Q$48&gt;$C$7,"",PLANT!U7)</f>
        <v/>
      </c>
      <c r="R117" s="790" t="str">
        <f>IF(R$48&gt;$C$7,"",PLANT!V7)</f>
        <v/>
      </c>
      <c r="S117" s="790" t="str">
        <f>IF(S$48&gt;$C$7,"",PLANT!W7)</f>
        <v/>
      </c>
      <c r="T117" s="790" t="str">
        <f>IF(T$48&gt;$C$7,"",PLANT!X7)</f>
        <v/>
      </c>
      <c r="U117" s="790" t="str">
        <f>IF(U$48&gt;$C$7,"",PLANT!Y7)</f>
        <v/>
      </c>
      <c r="V117" s="790" t="str">
        <f>IF(V$48&gt;$C$7,"",PLANT!Z7)</f>
        <v/>
      </c>
      <c r="W117" s="790" t="str">
        <f>IF(W$48&gt;$C$7,"",PLANT!AA7)</f>
        <v/>
      </c>
      <c r="X117" s="790" t="str">
        <f>IF(X$48&gt;$C$7,"",PLANT!AB7)</f>
        <v/>
      </c>
      <c r="Y117" s="790" t="str">
        <f>IF(Y$48&gt;$C$7,"",PLANT!AC7)</f>
        <v/>
      </c>
      <c r="Z117" s="790" t="str">
        <f>IF(Z$48&gt;$C$7,"",PLANT!AD7)</f>
        <v/>
      </c>
      <c r="AA117" s="790" t="str">
        <f>IF(AA$48&gt;$C$7,"",PLANT!AE7)</f>
        <v/>
      </c>
      <c r="AB117" s="790" t="str">
        <f>IF(AB$48&gt;$C$7,"",PLANT!AF7)</f>
        <v/>
      </c>
      <c r="AC117" s="790" t="str">
        <f>IF(AC$48&gt;$C$7,"",PLANT!AG7)</f>
        <v/>
      </c>
      <c r="AD117" s="790" t="str">
        <f>IF(AD$48&gt;$C$7,"",PLANT!AH7)</f>
        <v/>
      </c>
      <c r="AE117" s="790" t="str">
        <f>IF(AE$48&gt;$C$7,"",PLANT!AI7)</f>
        <v/>
      </c>
      <c r="AF117" s="790" t="str">
        <f>IF(AF$48&gt;$C$7,"",PLANT!AJ7)</f>
        <v/>
      </c>
      <c r="AG117" s="790" t="str">
        <f>IF(AG$48&gt;$C$7,"",PLANT!AK7)</f>
        <v/>
      </c>
      <c r="AH117" s="790" t="str">
        <f>IF(AH$48&gt;$C$7,"",PLANT!AL7)</f>
        <v/>
      </c>
    </row>
    <row r="118" spans="3:34" s="379" customFormat="1">
      <c r="C118" s="780" t="s">
        <v>72</v>
      </c>
      <c r="D118" s="790">
        <f>D117</f>
        <v>1244.3207</v>
      </c>
      <c r="E118" s="790">
        <f>IFERROR(E117+D118,"")</f>
        <v>2387.6167</v>
      </c>
      <c r="F118" s="790">
        <f>IFERROR(F117+E118,"")</f>
        <v>3053.0569</v>
      </c>
      <c r="G118" s="790">
        <f t="shared" ref="G118" si="547">IFERROR(G117+F118,"")</f>
        <v>4177.5838999999996</v>
      </c>
      <c r="H118" s="790">
        <f t="shared" ref="H118" si="548">IFERROR(H117+G118,"")</f>
        <v>5244.8028999999997</v>
      </c>
      <c r="I118" s="790">
        <f t="shared" ref="I118" si="549">IFERROR(I117+H118,"")</f>
        <v>5244.8028999999997</v>
      </c>
      <c r="J118" s="790" t="str">
        <f t="shared" ref="J118" si="550">IFERROR(J117+I118,"")</f>
        <v/>
      </c>
      <c r="K118" s="790" t="str">
        <f t="shared" ref="K118" si="551">IFERROR(K117+J118,"")</f>
        <v/>
      </c>
      <c r="L118" s="790" t="str">
        <f t="shared" ref="L118" si="552">IFERROR(L117+K118,"")</f>
        <v/>
      </c>
      <c r="M118" s="790" t="str">
        <f>IFERROR(M117+L118,"")</f>
        <v/>
      </c>
      <c r="N118" s="790" t="str">
        <f t="shared" ref="N118" si="553">IFERROR(N117+M118,"")</f>
        <v/>
      </c>
      <c r="O118" s="790" t="str">
        <f t="shared" ref="O118" si="554">IFERROR(O117+N118,"")</f>
        <v/>
      </c>
      <c r="P118" s="790" t="str">
        <f t="shared" ref="P118" si="555">IFERROR(P117+O118,"")</f>
        <v/>
      </c>
      <c r="Q118" s="790" t="str">
        <f t="shared" ref="Q118" si="556">IFERROR(Q117+P118,"")</f>
        <v/>
      </c>
      <c r="R118" s="790" t="str">
        <f t="shared" ref="R118" si="557">IFERROR(R117+Q118,"")</f>
        <v/>
      </c>
      <c r="S118" s="790" t="str">
        <f t="shared" ref="S118" si="558">IFERROR(S117+R118,"")</f>
        <v/>
      </c>
      <c r="T118" s="790" t="str">
        <f t="shared" ref="T118" si="559">IFERROR(T117+S118,"")</f>
        <v/>
      </c>
      <c r="U118" s="790" t="str">
        <f t="shared" ref="U118" si="560">IFERROR(U117+T118,"")</f>
        <v/>
      </c>
      <c r="V118" s="790" t="str">
        <f t="shared" ref="V118" si="561">IFERROR(V117+U118,"")</f>
        <v/>
      </c>
      <c r="W118" s="790" t="str">
        <f t="shared" ref="W118" si="562">IFERROR(W117+V118,"")</f>
        <v/>
      </c>
      <c r="X118" s="790" t="str">
        <f t="shared" ref="X118" si="563">IFERROR(X117+W118,"")</f>
        <v/>
      </c>
      <c r="Y118" s="790" t="str">
        <f t="shared" ref="Y118" si="564">IFERROR(Y117+X118,"")</f>
        <v/>
      </c>
      <c r="Z118" s="790" t="str">
        <f t="shared" ref="Z118" si="565">IFERROR(Z117+Y118,"")</f>
        <v/>
      </c>
      <c r="AA118" s="790" t="str">
        <f t="shared" ref="AA118" si="566">IFERROR(AA117+Z118,"")</f>
        <v/>
      </c>
      <c r="AB118" s="790" t="str">
        <f t="shared" ref="AB118" si="567">IFERROR(AB117+AA118,"")</f>
        <v/>
      </c>
      <c r="AC118" s="790" t="str">
        <f t="shared" ref="AC118" si="568">IFERROR(AC117+AB118,"")</f>
        <v/>
      </c>
      <c r="AD118" s="790" t="str">
        <f t="shared" ref="AD118" si="569">IFERROR(AD117+AC118,"")</f>
        <v/>
      </c>
      <c r="AE118" s="790" t="str">
        <f t="shared" ref="AE118" si="570">IFERROR(AE117+AD118,"")</f>
        <v/>
      </c>
      <c r="AF118" s="790" t="str">
        <f t="shared" ref="AF118" si="571">IFERROR(AF117+AE118,"")</f>
        <v/>
      </c>
      <c r="AG118" s="790" t="str">
        <f t="shared" ref="AG118" si="572">IFERROR(AG117+AF118,"")</f>
        <v/>
      </c>
      <c r="AH118" s="790" t="str">
        <f t="shared" ref="AH118" si="573">IFERROR(AH117+AG118,"")</f>
        <v/>
      </c>
    </row>
    <row r="119" spans="3:34" s="379" customFormat="1">
      <c r="C119" s="780" t="s">
        <v>17</v>
      </c>
      <c r="D119" s="790">
        <f>IF(D$48&gt;$C$7,"",PLANT!H5)</f>
        <v>1173.8711999999996</v>
      </c>
      <c r="E119" s="790">
        <f>IF(E$48&gt;$C$7,"",PLANT!I5)</f>
        <v>1173.8711999999996</v>
      </c>
      <c r="F119" s="790">
        <f>IF(F$48&gt;$C$7,"",PLANT!J5)</f>
        <v>1173.8711999999996</v>
      </c>
      <c r="G119" s="790">
        <f>IF(G$48&gt;$C$7,"",PLANT!K5)</f>
        <v>1173.8711999999996</v>
      </c>
      <c r="H119" s="790">
        <f>IF(H$48&gt;$C$7,"",PLANT!L5)</f>
        <v>586.93559999999979</v>
      </c>
      <c r="I119" s="790">
        <f>IF(I$48&gt;$C$7,"",PLANT!M5)</f>
        <v>1173.8711999999996</v>
      </c>
      <c r="J119" s="790" t="str">
        <f>IF(J$48&gt;$C$7,"",PLANT!N5)</f>
        <v/>
      </c>
      <c r="K119" s="790" t="str">
        <f>IF(K$48&gt;$C$7,"",PLANT!O5)</f>
        <v/>
      </c>
      <c r="L119" s="790" t="str">
        <f>IF(L$48&gt;$C$7,"",PLANT!P5)</f>
        <v/>
      </c>
      <c r="M119" s="790" t="str">
        <f>IF(M$48&gt;$C$7,"",PLANT!Q5)</f>
        <v/>
      </c>
      <c r="N119" s="790" t="str">
        <f>IF(N$48&gt;$C$7,"",PLANT!R5)</f>
        <v/>
      </c>
      <c r="O119" s="790" t="str">
        <f>IF(O$48&gt;$C$7,"",PLANT!S5)</f>
        <v/>
      </c>
      <c r="P119" s="790" t="str">
        <f>IF(P$48&gt;$C$7,"",PLANT!T5)</f>
        <v/>
      </c>
      <c r="Q119" s="790" t="str">
        <f>IF(Q$48&gt;$C$7,"",PLANT!U5)</f>
        <v/>
      </c>
      <c r="R119" s="790" t="str">
        <f>IF(R$48&gt;$C$7,"",PLANT!V5)</f>
        <v/>
      </c>
      <c r="S119" s="790" t="str">
        <f>IF(S$48&gt;$C$7,"",PLANT!W5)</f>
        <v/>
      </c>
      <c r="T119" s="790" t="str">
        <f>IF(T$48&gt;$C$7,"",PLANT!X5)</f>
        <v/>
      </c>
      <c r="U119" s="790" t="str">
        <f>IF(U$48&gt;$C$7,"",PLANT!Y5)</f>
        <v/>
      </c>
      <c r="V119" s="790" t="str">
        <f>IF(V$48&gt;$C$7,"",PLANT!Z5)</f>
        <v/>
      </c>
      <c r="W119" s="790" t="str">
        <f>IF(W$48&gt;$C$7,"",PLANT!AA5)</f>
        <v/>
      </c>
      <c r="X119" s="790" t="str">
        <f>IF(X$48&gt;$C$7,"",PLANT!AB5)</f>
        <v/>
      </c>
      <c r="Y119" s="790" t="str">
        <f>IF(Y$48&gt;$C$7,"",PLANT!AC5)</f>
        <v/>
      </c>
      <c r="Z119" s="790" t="str">
        <f>IF(Z$48&gt;$C$7,"",PLANT!AD5)</f>
        <v/>
      </c>
      <c r="AA119" s="790" t="str">
        <f>IF(AA$48&gt;$C$7,"",PLANT!AE5)</f>
        <v/>
      </c>
      <c r="AB119" s="790" t="str">
        <f>IF(AB$48&gt;$C$7,"",PLANT!AF5)</f>
        <v/>
      </c>
      <c r="AC119" s="790" t="str">
        <f>IF(AC$48&gt;$C$7,"",PLANT!AG5)</f>
        <v/>
      </c>
      <c r="AD119" s="790" t="str">
        <f>IF(AD$48&gt;$C$7,"",PLANT!AH5)</f>
        <v/>
      </c>
      <c r="AE119" s="790" t="str">
        <f>IF(AE$48&gt;$C$7,"",PLANT!AI5)</f>
        <v/>
      </c>
      <c r="AF119" s="790" t="str">
        <f>IF(AF$48&gt;$C$7,"",PLANT!AJ5)</f>
        <v/>
      </c>
      <c r="AG119" s="790" t="str">
        <f>IF(AG$48&gt;$C$7,"",PLANT!AK5)</f>
        <v/>
      </c>
      <c r="AH119" s="790" t="str">
        <f>IF(AH$48&gt;$C$7,"",PLANT!AL5)</f>
        <v/>
      </c>
    </row>
    <row r="120" spans="3:34" s="379" customFormat="1">
      <c r="C120" s="780" t="s">
        <v>73</v>
      </c>
      <c r="D120" s="790">
        <f>D119</f>
        <v>1173.8711999999996</v>
      </c>
      <c r="E120" s="790">
        <f>IFERROR(E119+D120,"")</f>
        <v>2347.7423999999992</v>
      </c>
      <c r="F120" s="790">
        <f>IFERROR(F119+E120,"")</f>
        <v>3521.6135999999988</v>
      </c>
      <c r="G120" s="790">
        <f t="shared" ref="G120" si="574">IFERROR(G119+F120,"")</f>
        <v>4695.4847999999984</v>
      </c>
      <c r="H120" s="790">
        <f t="shared" ref="H120" si="575">IFERROR(H119+G120,"")</f>
        <v>5282.4203999999982</v>
      </c>
      <c r="I120" s="790">
        <f t="shared" ref="I120" si="576">IFERROR(I119+H120,"")</f>
        <v>6456.2915999999977</v>
      </c>
      <c r="J120" s="790" t="str">
        <f t="shared" ref="J120" si="577">IFERROR(J119+I120,"")</f>
        <v/>
      </c>
      <c r="K120" s="790" t="str">
        <f t="shared" ref="K120" si="578">IFERROR(K119+J120,"")</f>
        <v/>
      </c>
      <c r="L120" s="790" t="str">
        <f t="shared" ref="L120" si="579">IFERROR(L119+K120,"")</f>
        <v/>
      </c>
      <c r="M120" s="790" t="str">
        <f>IFERROR(M119+L120,"")</f>
        <v/>
      </c>
      <c r="N120" s="790" t="str">
        <f t="shared" ref="N120" si="580">IFERROR(N119+M120,"")</f>
        <v/>
      </c>
      <c r="O120" s="790" t="str">
        <f t="shared" ref="O120" si="581">IFERROR(O119+N120,"")</f>
        <v/>
      </c>
      <c r="P120" s="790" t="str">
        <f t="shared" ref="P120" si="582">IFERROR(P119+O120,"")</f>
        <v/>
      </c>
      <c r="Q120" s="790" t="str">
        <f t="shared" ref="Q120" si="583">IFERROR(Q119+P120,"")</f>
        <v/>
      </c>
      <c r="R120" s="790" t="str">
        <f t="shared" ref="R120" si="584">IFERROR(R119+Q120,"")</f>
        <v/>
      </c>
      <c r="S120" s="790" t="str">
        <f t="shared" ref="S120" si="585">IFERROR(S119+R120,"")</f>
        <v/>
      </c>
      <c r="T120" s="790" t="str">
        <f t="shared" ref="T120" si="586">IFERROR(T119+S120,"")</f>
        <v/>
      </c>
      <c r="U120" s="790" t="str">
        <f t="shared" ref="U120" si="587">IFERROR(U119+T120,"")</f>
        <v/>
      </c>
      <c r="V120" s="790" t="str">
        <f t="shared" ref="V120" si="588">IFERROR(V119+U120,"")</f>
        <v/>
      </c>
      <c r="W120" s="790" t="str">
        <f t="shared" ref="W120" si="589">IFERROR(W119+V120,"")</f>
        <v/>
      </c>
      <c r="X120" s="790" t="str">
        <f t="shared" ref="X120" si="590">IFERROR(X119+W120,"")</f>
        <v/>
      </c>
      <c r="Y120" s="790" t="str">
        <f t="shared" ref="Y120" si="591">IFERROR(Y119+X120,"")</f>
        <v/>
      </c>
      <c r="Z120" s="790" t="str">
        <f t="shared" ref="Z120" si="592">IFERROR(Z119+Y120,"")</f>
        <v/>
      </c>
      <c r="AA120" s="790" t="str">
        <f t="shared" ref="AA120" si="593">IFERROR(AA119+Z120,"")</f>
        <v/>
      </c>
      <c r="AB120" s="790" t="str">
        <f t="shared" ref="AB120" si="594">IFERROR(AB119+AA120,"")</f>
        <v/>
      </c>
      <c r="AC120" s="790" t="str">
        <f t="shared" ref="AC120" si="595">IFERROR(AC119+AB120,"")</f>
        <v/>
      </c>
      <c r="AD120" s="790" t="str">
        <f t="shared" ref="AD120" si="596">IFERROR(AD119+AC120,"")</f>
        <v/>
      </c>
      <c r="AE120" s="790" t="str">
        <f t="shared" ref="AE120" si="597">IFERROR(AE119+AD120,"")</f>
        <v/>
      </c>
      <c r="AF120" s="790" t="str">
        <f t="shared" ref="AF120" si="598">IFERROR(AF119+AE120,"")</f>
        <v/>
      </c>
      <c r="AG120" s="790" t="str">
        <f t="shared" ref="AG120" si="599">IFERROR(AG119+AF120,"")</f>
        <v/>
      </c>
      <c r="AH120" s="790" t="str">
        <f t="shared" ref="AH120" si="600">IFERROR(AH119+AG120,"")</f>
        <v/>
      </c>
    </row>
    <row r="121" spans="3:34" s="379" customFormat="1">
      <c r="C121" s="780"/>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c r="AA121" s="792"/>
      <c r="AB121" s="792"/>
      <c r="AC121" s="792"/>
      <c r="AD121" s="792"/>
      <c r="AE121" s="792"/>
      <c r="AF121" s="792"/>
      <c r="AG121" s="792"/>
      <c r="AH121" s="792"/>
    </row>
    <row r="122" spans="3:34" s="379" customFormat="1">
      <c r="C122" s="780" t="str">
        <f>_xlfn.CONCAT(C31," ",C30)</f>
        <v>Broken Grade</v>
      </c>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c r="AA122" s="792"/>
      <c r="AB122" s="792"/>
      <c r="AC122" s="792"/>
      <c r="AD122" s="792"/>
      <c r="AE122" s="792"/>
      <c r="AF122" s="792"/>
      <c r="AG122" s="792"/>
      <c r="AH122" s="792"/>
    </row>
    <row r="123" spans="3:34" s="379" customFormat="1">
      <c r="C123" s="780" t="s">
        <v>16</v>
      </c>
      <c r="D123" s="793">
        <f t="shared" ref="D123:H123" si="601">IFERROR(D159*1000/D93,"")</f>
        <v>3.5549352051835856</v>
      </c>
      <c r="E123" s="793">
        <f t="shared" si="601"/>
        <v>3.330409556313993</v>
      </c>
      <c r="F123" s="793">
        <f t="shared" si="601"/>
        <v>2.9583834196891199</v>
      </c>
      <c r="G123" s="793">
        <f t="shared" si="601"/>
        <v>3.4357523029682699</v>
      </c>
      <c r="H123" s="793">
        <f t="shared" si="601"/>
        <v>1.5281716036772217</v>
      </c>
      <c r="I123" s="793">
        <f t="shared" ref="I123:AH123" si="602">IFERROR(I159*1000/I93,"")</f>
        <v>2.8142451874366765</v>
      </c>
      <c r="J123" s="793" t="str">
        <f t="shared" si="602"/>
        <v/>
      </c>
      <c r="K123" s="793" t="str">
        <f t="shared" si="602"/>
        <v/>
      </c>
      <c r="L123" s="793" t="str">
        <f t="shared" si="602"/>
        <v/>
      </c>
      <c r="M123" s="793" t="str">
        <f t="shared" si="602"/>
        <v/>
      </c>
      <c r="N123" s="793" t="str">
        <f t="shared" si="602"/>
        <v/>
      </c>
      <c r="O123" s="793" t="str">
        <f t="shared" si="602"/>
        <v/>
      </c>
      <c r="P123" s="793" t="str">
        <f t="shared" si="602"/>
        <v/>
      </c>
      <c r="Q123" s="793" t="str">
        <f t="shared" si="602"/>
        <v/>
      </c>
      <c r="R123" s="793" t="str">
        <f t="shared" si="602"/>
        <v/>
      </c>
      <c r="S123" s="793" t="str">
        <f t="shared" si="602"/>
        <v/>
      </c>
      <c r="T123" s="793" t="str">
        <f t="shared" si="602"/>
        <v/>
      </c>
      <c r="U123" s="793" t="str">
        <f t="shared" si="602"/>
        <v/>
      </c>
      <c r="V123" s="793" t="str">
        <f t="shared" si="602"/>
        <v/>
      </c>
      <c r="W123" s="793" t="str">
        <f t="shared" si="602"/>
        <v/>
      </c>
      <c r="X123" s="793" t="str">
        <f t="shared" si="602"/>
        <v/>
      </c>
      <c r="Y123" s="793" t="str">
        <f t="shared" si="602"/>
        <v/>
      </c>
      <c r="Z123" s="793" t="str">
        <f t="shared" si="602"/>
        <v/>
      </c>
      <c r="AA123" s="793" t="str">
        <f t="shared" si="602"/>
        <v/>
      </c>
      <c r="AB123" s="793" t="str">
        <f t="shared" si="602"/>
        <v/>
      </c>
      <c r="AC123" s="793" t="str">
        <f t="shared" si="602"/>
        <v/>
      </c>
      <c r="AD123" s="793" t="str">
        <f t="shared" si="602"/>
        <v/>
      </c>
      <c r="AE123" s="793" t="str">
        <f t="shared" si="602"/>
        <v/>
      </c>
      <c r="AF123" s="793" t="str">
        <f t="shared" si="602"/>
        <v/>
      </c>
      <c r="AG123" s="793" t="str">
        <f t="shared" si="602"/>
        <v/>
      </c>
      <c r="AH123" s="793" t="str">
        <f t="shared" si="602"/>
        <v/>
      </c>
    </row>
    <row r="124" spans="3:34" s="379" customFormat="1">
      <c r="C124" s="780" t="s">
        <v>72</v>
      </c>
      <c r="D124" s="793">
        <f t="shared" ref="D124:H124" si="603">IFERROR(D160*1000/D94,"")</f>
        <v>3.5549352051835856</v>
      </c>
      <c r="E124" s="793">
        <f t="shared" si="603"/>
        <v>3.445595567867036</v>
      </c>
      <c r="F124" s="793">
        <f t="shared" si="603"/>
        <v>3.2758628158844769</v>
      </c>
      <c r="G124" s="793">
        <f t="shared" si="603"/>
        <v>3.3175527088337344</v>
      </c>
      <c r="H124" s="793">
        <f t="shared" si="603"/>
        <v>2.9468789674143041</v>
      </c>
      <c r="I124" s="793">
        <f t="shared" ref="I124:AH124" si="604">IFERROR(I160*1000/I94,"")</f>
        <v>2.92396464204446</v>
      </c>
      <c r="J124" s="793" t="str">
        <f t="shared" si="604"/>
        <v/>
      </c>
      <c r="K124" s="793" t="str">
        <f t="shared" si="604"/>
        <v/>
      </c>
      <c r="L124" s="793" t="str">
        <f t="shared" si="604"/>
        <v/>
      </c>
      <c r="M124" s="793" t="str">
        <f t="shared" si="604"/>
        <v/>
      </c>
      <c r="N124" s="793" t="str">
        <f t="shared" si="604"/>
        <v/>
      </c>
      <c r="O124" s="793" t="str">
        <f t="shared" si="604"/>
        <v/>
      </c>
      <c r="P124" s="793" t="str">
        <f t="shared" si="604"/>
        <v/>
      </c>
      <c r="Q124" s="793" t="str">
        <f t="shared" si="604"/>
        <v/>
      </c>
      <c r="R124" s="793" t="str">
        <f t="shared" si="604"/>
        <v/>
      </c>
      <c r="S124" s="793" t="str">
        <f t="shared" si="604"/>
        <v/>
      </c>
      <c r="T124" s="793" t="str">
        <f t="shared" si="604"/>
        <v/>
      </c>
      <c r="U124" s="793" t="str">
        <f t="shared" si="604"/>
        <v/>
      </c>
      <c r="V124" s="793" t="str">
        <f t="shared" si="604"/>
        <v/>
      </c>
      <c r="W124" s="793" t="str">
        <f t="shared" si="604"/>
        <v/>
      </c>
      <c r="X124" s="793" t="str">
        <f t="shared" si="604"/>
        <v/>
      </c>
      <c r="Y124" s="793" t="str">
        <f t="shared" si="604"/>
        <v/>
      </c>
      <c r="Z124" s="793" t="str">
        <f t="shared" si="604"/>
        <v/>
      </c>
      <c r="AA124" s="793" t="str">
        <f t="shared" si="604"/>
        <v/>
      </c>
      <c r="AB124" s="793" t="str">
        <f t="shared" si="604"/>
        <v/>
      </c>
      <c r="AC124" s="793" t="str">
        <f t="shared" si="604"/>
        <v/>
      </c>
      <c r="AD124" s="793" t="str">
        <f t="shared" si="604"/>
        <v/>
      </c>
      <c r="AE124" s="793" t="str">
        <f t="shared" si="604"/>
        <v/>
      </c>
      <c r="AF124" s="793" t="str">
        <f t="shared" si="604"/>
        <v/>
      </c>
      <c r="AG124" s="793" t="str">
        <f t="shared" si="604"/>
        <v/>
      </c>
      <c r="AH124" s="793" t="str">
        <f t="shared" si="604"/>
        <v/>
      </c>
    </row>
    <row r="125" spans="3:34" s="379" customFormat="1">
      <c r="C125" s="780" t="s">
        <v>17</v>
      </c>
      <c r="D125" s="793">
        <f t="shared" ref="D125:H125" si="605">IFERROR(D161*1000/D95,"")</f>
        <v>2.2563803019410491</v>
      </c>
      <c r="E125" s="793">
        <f t="shared" si="605"/>
        <v>2.2563803019410491</v>
      </c>
      <c r="F125" s="793">
        <f t="shared" si="605"/>
        <v>2.2563803019410491</v>
      </c>
      <c r="G125" s="793">
        <f t="shared" si="605"/>
        <v>2.2563803019410491</v>
      </c>
      <c r="H125" s="793">
        <f t="shared" si="605"/>
        <v>2.2563803019410491</v>
      </c>
      <c r="I125" s="793">
        <f t="shared" ref="I125:AH125" si="606">IFERROR(I161*1000/I95,"")</f>
        <v>2.2563803019410491</v>
      </c>
      <c r="J125" s="793" t="str">
        <f t="shared" si="606"/>
        <v/>
      </c>
      <c r="K125" s="793" t="str">
        <f t="shared" si="606"/>
        <v/>
      </c>
      <c r="L125" s="793" t="str">
        <f t="shared" si="606"/>
        <v/>
      </c>
      <c r="M125" s="793" t="str">
        <f t="shared" si="606"/>
        <v/>
      </c>
      <c r="N125" s="793" t="str">
        <f t="shared" si="606"/>
        <v/>
      </c>
      <c r="O125" s="793" t="str">
        <f t="shared" si="606"/>
        <v/>
      </c>
      <c r="P125" s="793" t="str">
        <f t="shared" si="606"/>
        <v/>
      </c>
      <c r="Q125" s="793" t="str">
        <f t="shared" si="606"/>
        <v/>
      </c>
      <c r="R125" s="793" t="str">
        <f t="shared" si="606"/>
        <v/>
      </c>
      <c r="S125" s="793" t="str">
        <f t="shared" si="606"/>
        <v/>
      </c>
      <c r="T125" s="793" t="str">
        <f t="shared" si="606"/>
        <v/>
      </c>
      <c r="U125" s="793" t="str">
        <f t="shared" si="606"/>
        <v/>
      </c>
      <c r="V125" s="793" t="str">
        <f t="shared" si="606"/>
        <v/>
      </c>
      <c r="W125" s="793" t="str">
        <f t="shared" si="606"/>
        <v/>
      </c>
      <c r="X125" s="793" t="str">
        <f t="shared" si="606"/>
        <v/>
      </c>
      <c r="Y125" s="793" t="str">
        <f t="shared" si="606"/>
        <v/>
      </c>
      <c r="Z125" s="793" t="str">
        <f t="shared" si="606"/>
        <v/>
      </c>
      <c r="AA125" s="793" t="str">
        <f t="shared" si="606"/>
        <v/>
      </c>
      <c r="AB125" s="793" t="str">
        <f t="shared" si="606"/>
        <v/>
      </c>
      <c r="AC125" s="793" t="str">
        <f t="shared" si="606"/>
        <v/>
      </c>
      <c r="AD125" s="793" t="str">
        <f t="shared" si="606"/>
        <v/>
      </c>
      <c r="AE125" s="793" t="str">
        <f t="shared" si="606"/>
        <v/>
      </c>
      <c r="AF125" s="793" t="str">
        <f t="shared" si="606"/>
        <v/>
      </c>
      <c r="AG125" s="793" t="str">
        <f t="shared" si="606"/>
        <v/>
      </c>
      <c r="AH125" s="793" t="str">
        <f t="shared" si="606"/>
        <v/>
      </c>
    </row>
    <row r="126" spans="3:34" s="379" customFormat="1">
      <c r="C126" s="780" t="s">
        <v>73</v>
      </c>
      <c r="D126" s="793">
        <f t="shared" ref="D126:H126" si="607">IFERROR(D162*1000/D96,"")</f>
        <v>2.2563803019410491</v>
      </c>
      <c r="E126" s="793">
        <f t="shared" si="607"/>
        <v>2.2563803019410491</v>
      </c>
      <c r="F126" s="793">
        <f t="shared" si="607"/>
        <v>2.2563803019410491</v>
      </c>
      <c r="G126" s="793">
        <f t="shared" si="607"/>
        <v>2.2563803019410491</v>
      </c>
      <c r="H126" s="793">
        <f t="shared" si="607"/>
        <v>2.2563803019410491</v>
      </c>
      <c r="I126" s="793">
        <f t="shared" ref="I126:AH126" si="608">IFERROR(I162*1000/I96,"")</f>
        <v>2.2563803019410491</v>
      </c>
      <c r="J126" s="793" t="str">
        <f t="shared" si="608"/>
        <v/>
      </c>
      <c r="K126" s="793" t="str">
        <f t="shared" si="608"/>
        <v/>
      </c>
      <c r="L126" s="793" t="str">
        <f t="shared" si="608"/>
        <v/>
      </c>
      <c r="M126" s="793" t="str">
        <f t="shared" si="608"/>
        <v/>
      </c>
      <c r="N126" s="793" t="str">
        <f t="shared" si="608"/>
        <v/>
      </c>
      <c r="O126" s="793" t="str">
        <f t="shared" si="608"/>
        <v/>
      </c>
      <c r="P126" s="793" t="str">
        <f t="shared" si="608"/>
        <v/>
      </c>
      <c r="Q126" s="793" t="str">
        <f t="shared" si="608"/>
        <v/>
      </c>
      <c r="R126" s="793" t="str">
        <f t="shared" si="608"/>
        <v/>
      </c>
      <c r="S126" s="793" t="str">
        <f t="shared" si="608"/>
        <v/>
      </c>
      <c r="T126" s="793" t="str">
        <f t="shared" si="608"/>
        <v/>
      </c>
      <c r="U126" s="793" t="str">
        <f t="shared" si="608"/>
        <v/>
      </c>
      <c r="V126" s="793" t="str">
        <f t="shared" si="608"/>
        <v/>
      </c>
      <c r="W126" s="793" t="str">
        <f t="shared" si="608"/>
        <v/>
      </c>
      <c r="X126" s="793" t="str">
        <f t="shared" si="608"/>
        <v/>
      </c>
      <c r="Y126" s="793" t="str">
        <f t="shared" si="608"/>
        <v/>
      </c>
      <c r="Z126" s="793" t="str">
        <f t="shared" si="608"/>
        <v/>
      </c>
      <c r="AA126" s="793" t="str">
        <f t="shared" si="608"/>
        <v/>
      </c>
      <c r="AB126" s="793" t="str">
        <f t="shared" si="608"/>
        <v/>
      </c>
      <c r="AC126" s="793" t="str">
        <f t="shared" si="608"/>
        <v/>
      </c>
      <c r="AD126" s="793" t="str">
        <f t="shared" si="608"/>
        <v/>
      </c>
      <c r="AE126" s="793" t="str">
        <f t="shared" si="608"/>
        <v/>
      </c>
      <c r="AF126" s="793" t="str">
        <f t="shared" si="608"/>
        <v/>
      </c>
      <c r="AG126" s="793" t="str">
        <f t="shared" si="608"/>
        <v/>
      </c>
      <c r="AH126" s="793" t="str">
        <f t="shared" si="608"/>
        <v/>
      </c>
    </row>
    <row r="127" spans="3:34" s="379" customFormat="1">
      <c r="C127" s="780"/>
      <c r="D127" s="793"/>
      <c r="E127" s="793"/>
      <c r="F127" s="793"/>
      <c r="G127" s="793"/>
      <c r="H127" s="793"/>
      <c r="I127" s="793"/>
      <c r="J127" s="793"/>
      <c r="K127" s="793"/>
      <c r="L127" s="793"/>
      <c r="M127" s="793"/>
      <c r="N127" s="793"/>
      <c r="O127" s="793"/>
      <c r="P127" s="793"/>
      <c r="Q127" s="793"/>
      <c r="R127" s="793"/>
      <c r="S127" s="793"/>
      <c r="T127" s="793"/>
      <c r="U127" s="793"/>
      <c r="V127" s="793"/>
      <c r="W127" s="793"/>
      <c r="X127" s="793"/>
      <c r="Y127" s="793"/>
      <c r="Z127" s="793"/>
      <c r="AA127" s="793"/>
      <c r="AB127" s="793"/>
      <c r="AC127" s="793"/>
      <c r="AD127" s="793"/>
      <c r="AE127" s="793"/>
      <c r="AF127" s="793"/>
      <c r="AG127" s="793"/>
      <c r="AH127" s="793"/>
    </row>
    <row r="128" spans="3:34" s="379" customFormat="1">
      <c r="C128" s="780" t="str">
        <f>_xlfn.CONCAT(C32," ",C30)</f>
        <v>Trammed Grade</v>
      </c>
      <c r="D128" s="793"/>
      <c r="E128" s="793"/>
      <c r="F128" s="793"/>
      <c r="G128" s="793"/>
      <c r="H128" s="793"/>
      <c r="I128" s="793"/>
      <c r="J128" s="793"/>
      <c r="K128" s="793"/>
      <c r="L128" s="793"/>
      <c r="M128" s="793"/>
      <c r="N128" s="793"/>
      <c r="O128" s="793"/>
      <c r="P128" s="793"/>
      <c r="Q128" s="793"/>
      <c r="R128" s="793"/>
      <c r="S128" s="793"/>
      <c r="T128" s="793"/>
      <c r="U128" s="793"/>
      <c r="V128" s="793"/>
      <c r="W128" s="793"/>
      <c r="X128" s="793"/>
      <c r="Y128" s="793"/>
      <c r="Z128" s="793"/>
      <c r="AA128" s="793"/>
      <c r="AB128" s="793"/>
      <c r="AC128" s="793"/>
      <c r="AD128" s="793"/>
      <c r="AE128" s="793"/>
      <c r="AF128" s="793"/>
      <c r="AG128" s="793"/>
      <c r="AH128" s="793"/>
    </row>
    <row r="129" spans="3:34" s="379" customFormat="1">
      <c r="C129" s="780" t="s">
        <v>16</v>
      </c>
      <c r="D129" s="793">
        <f t="shared" ref="D129:H129" si="609">IFERROR(D165*1000/D99,"")</f>
        <v>2.2936411609498677</v>
      </c>
      <c r="E129" s="793">
        <f t="shared" si="609"/>
        <v>3.351784294234593</v>
      </c>
      <c r="F129" s="793">
        <f t="shared" si="609"/>
        <v>3.1195104166666661</v>
      </c>
      <c r="G129" s="793">
        <f t="shared" si="609"/>
        <v>2.8486549340037706</v>
      </c>
      <c r="H129" s="793">
        <f t="shared" si="609"/>
        <v>2.7826068601583116</v>
      </c>
      <c r="I129" s="793">
        <f t="shared" ref="I129:AH129" si="610">IFERROR(I165*1000/I99,"")</f>
        <v>0</v>
      </c>
      <c r="J129" s="793" t="str">
        <f t="shared" si="610"/>
        <v/>
      </c>
      <c r="K129" s="793" t="str">
        <f t="shared" si="610"/>
        <v/>
      </c>
      <c r="L129" s="793" t="str">
        <f t="shared" si="610"/>
        <v/>
      </c>
      <c r="M129" s="793" t="str">
        <f t="shared" si="610"/>
        <v/>
      </c>
      <c r="N129" s="793" t="str">
        <f t="shared" si="610"/>
        <v/>
      </c>
      <c r="O129" s="793" t="str">
        <f t="shared" si="610"/>
        <v/>
      </c>
      <c r="P129" s="793" t="str">
        <f t="shared" si="610"/>
        <v/>
      </c>
      <c r="Q129" s="793" t="str">
        <f t="shared" si="610"/>
        <v/>
      </c>
      <c r="R129" s="793" t="str">
        <f t="shared" si="610"/>
        <v/>
      </c>
      <c r="S129" s="793" t="str">
        <f t="shared" si="610"/>
        <v/>
      </c>
      <c r="T129" s="793" t="str">
        <f t="shared" si="610"/>
        <v/>
      </c>
      <c r="U129" s="793" t="str">
        <f t="shared" si="610"/>
        <v/>
      </c>
      <c r="V129" s="793" t="str">
        <f t="shared" si="610"/>
        <v/>
      </c>
      <c r="W129" s="793" t="str">
        <f t="shared" si="610"/>
        <v/>
      </c>
      <c r="X129" s="793" t="str">
        <f t="shared" si="610"/>
        <v/>
      </c>
      <c r="Y129" s="793" t="str">
        <f t="shared" si="610"/>
        <v/>
      </c>
      <c r="Z129" s="793" t="str">
        <f t="shared" si="610"/>
        <v/>
      </c>
      <c r="AA129" s="793" t="str">
        <f t="shared" si="610"/>
        <v/>
      </c>
      <c r="AB129" s="793" t="str">
        <f t="shared" si="610"/>
        <v/>
      </c>
      <c r="AC129" s="793" t="str">
        <f t="shared" si="610"/>
        <v/>
      </c>
      <c r="AD129" s="793" t="str">
        <f t="shared" si="610"/>
        <v/>
      </c>
      <c r="AE129" s="793" t="str">
        <f t="shared" si="610"/>
        <v/>
      </c>
      <c r="AF129" s="793" t="str">
        <f t="shared" si="610"/>
        <v/>
      </c>
      <c r="AG129" s="793" t="str">
        <f t="shared" si="610"/>
        <v/>
      </c>
      <c r="AH129" s="793" t="str">
        <f t="shared" si="610"/>
        <v/>
      </c>
    </row>
    <row r="130" spans="3:34" s="379" customFormat="1">
      <c r="C130" s="780" t="s">
        <v>72</v>
      </c>
      <c r="D130" s="793">
        <f t="shared" ref="D130:H130" si="611">IFERROR(D166*1000/D100,"")</f>
        <v>2.2936411609498677</v>
      </c>
      <c r="E130" s="793">
        <f t="shared" si="611"/>
        <v>2.8970946712018142</v>
      </c>
      <c r="F130" s="793">
        <f t="shared" si="611"/>
        <v>2.9754790748898676</v>
      </c>
      <c r="G130" s="793">
        <f t="shared" si="611"/>
        <v>2.9468134678221336</v>
      </c>
      <c r="H130" s="793">
        <f t="shared" si="611"/>
        <v>2.9119834340720843</v>
      </c>
      <c r="I130" s="793">
        <f t="shared" ref="I130:AH130" si="612">IFERROR(I166*1000/I100,"")</f>
        <v>2.6411837563451774</v>
      </c>
      <c r="J130" s="793" t="str">
        <f t="shared" si="612"/>
        <v/>
      </c>
      <c r="K130" s="793" t="str">
        <f t="shared" si="612"/>
        <v/>
      </c>
      <c r="L130" s="793" t="str">
        <f t="shared" si="612"/>
        <v/>
      </c>
      <c r="M130" s="793" t="str">
        <f t="shared" si="612"/>
        <v/>
      </c>
      <c r="N130" s="793" t="str">
        <f t="shared" si="612"/>
        <v/>
      </c>
      <c r="O130" s="793" t="str">
        <f t="shared" si="612"/>
        <v/>
      </c>
      <c r="P130" s="793" t="str">
        <f t="shared" si="612"/>
        <v/>
      </c>
      <c r="Q130" s="793" t="str">
        <f t="shared" si="612"/>
        <v/>
      </c>
      <c r="R130" s="793" t="str">
        <f t="shared" si="612"/>
        <v/>
      </c>
      <c r="S130" s="793" t="str">
        <f t="shared" si="612"/>
        <v/>
      </c>
      <c r="T130" s="793" t="str">
        <f t="shared" si="612"/>
        <v/>
      </c>
      <c r="U130" s="793" t="str">
        <f t="shared" si="612"/>
        <v/>
      </c>
      <c r="V130" s="793" t="str">
        <f t="shared" si="612"/>
        <v/>
      </c>
      <c r="W130" s="793" t="str">
        <f t="shared" si="612"/>
        <v/>
      </c>
      <c r="X130" s="793" t="str">
        <f t="shared" si="612"/>
        <v/>
      </c>
      <c r="Y130" s="793" t="str">
        <f t="shared" si="612"/>
        <v/>
      </c>
      <c r="Z130" s="793" t="str">
        <f t="shared" si="612"/>
        <v/>
      </c>
      <c r="AA130" s="793" t="str">
        <f t="shared" si="612"/>
        <v/>
      </c>
      <c r="AB130" s="793" t="str">
        <f t="shared" si="612"/>
        <v/>
      </c>
      <c r="AC130" s="793" t="str">
        <f t="shared" si="612"/>
        <v/>
      </c>
      <c r="AD130" s="793" t="str">
        <f t="shared" si="612"/>
        <v/>
      </c>
      <c r="AE130" s="793" t="str">
        <f t="shared" si="612"/>
        <v/>
      </c>
      <c r="AF130" s="793" t="str">
        <f t="shared" si="612"/>
        <v/>
      </c>
      <c r="AG130" s="793" t="str">
        <f t="shared" si="612"/>
        <v/>
      </c>
      <c r="AH130" s="793" t="str">
        <f t="shared" si="612"/>
        <v/>
      </c>
    </row>
    <row r="131" spans="3:34" s="379" customFormat="1">
      <c r="C131" s="780" t="s">
        <v>17</v>
      </c>
      <c r="D131" s="793">
        <f t="shared" ref="D131:H131" si="613">IFERROR(D167*1000/D101,"")</f>
        <v>1.9111250898634073</v>
      </c>
      <c r="E131" s="793">
        <f t="shared" si="613"/>
        <v>2.2563803019410491</v>
      </c>
      <c r="F131" s="793">
        <f t="shared" si="613"/>
        <v>2.2563803019410491</v>
      </c>
      <c r="G131" s="793">
        <f t="shared" si="613"/>
        <v>2.2563803019410491</v>
      </c>
      <c r="H131" s="793">
        <f t="shared" si="613"/>
        <v>2.2563803019410491</v>
      </c>
      <c r="I131" s="793">
        <f t="shared" ref="I131:AH131" si="614">IFERROR(I167*1000/I101,"")</f>
        <v>2.2563803019410491</v>
      </c>
      <c r="J131" s="793" t="str">
        <f t="shared" si="614"/>
        <v/>
      </c>
      <c r="K131" s="793" t="str">
        <f t="shared" si="614"/>
        <v/>
      </c>
      <c r="L131" s="793" t="str">
        <f t="shared" si="614"/>
        <v/>
      </c>
      <c r="M131" s="793" t="str">
        <f t="shared" si="614"/>
        <v/>
      </c>
      <c r="N131" s="793" t="str">
        <f t="shared" si="614"/>
        <v/>
      </c>
      <c r="O131" s="793" t="str">
        <f t="shared" si="614"/>
        <v/>
      </c>
      <c r="P131" s="793" t="str">
        <f t="shared" si="614"/>
        <v/>
      </c>
      <c r="Q131" s="793" t="str">
        <f t="shared" si="614"/>
        <v/>
      </c>
      <c r="R131" s="793" t="str">
        <f t="shared" si="614"/>
        <v/>
      </c>
      <c r="S131" s="793" t="str">
        <f t="shared" si="614"/>
        <v/>
      </c>
      <c r="T131" s="793" t="str">
        <f t="shared" si="614"/>
        <v/>
      </c>
      <c r="U131" s="793" t="str">
        <f t="shared" si="614"/>
        <v/>
      </c>
      <c r="V131" s="793" t="str">
        <f t="shared" si="614"/>
        <v/>
      </c>
      <c r="W131" s="793" t="str">
        <f t="shared" si="614"/>
        <v/>
      </c>
      <c r="X131" s="793" t="str">
        <f t="shared" si="614"/>
        <v/>
      </c>
      <c r="Y131" s="793" t="str">
        <f t="shared" si="614"/>
        <v/>
      </c>
      <c r="Z131" s="793" t="str">
        <f t="shared" si="614"/>
        <v/>
      </c>
      <c r="AA131" s="793" t="str">
        <f t="shared" si="614"/>
        <v/>
      </c>
      <c r="AB131" s="793" t="str">
        <f t="shared" si="614"/>
        <v/>
      </c>
      <c r="AC131" s="793" t="str">
        <f t="shared" si="614"/>
        <v/>
      </c>
      <c r="AD131" s="793" t="str">
        <f t="shared" si="614"/>
        <v/>
      </c>
      <c r="AE131" s="793" t="str">
        <f t="shared" si="614"/>
        <v/>
      </c>
      <c r="AF131" s="793" t="str">
        <f t="shared" si="614"/>
        <v/>
      </c>
      <c r="AG131" s="793" t="str">
        <f t="shared" si="614"/>
        <v/>
      </c>
      <c r="AH131" s="793" t="str">
        <f t="shared" si="614"/>
        <v/>
      </c>
    </row>
    <row r="132" spans="3:34" s="379" customFormat="1">
      <c r="C132" s="780" t="s">
        <v>73</v>
      </c>
      <c r="D132" s="793">
        <f t="shared" ref="D132:H132" si="615">IFERROR(D168*1000/D102,"")</f>
        <v>1.9111250898634073</v>
      </c>
      <c r="E132" s="793">
        <f t="shared" si="615"/>
        <v>2.0837526959022283</v>
      </c>
      <c r="F132" s="793">
        <f t="shared" si="615"/>
        <v>2.1412952312485025</v>
      </c>
      <c r="G132" s="793">
        <f t="shared" si="615"/>
        <v>2.1700664989216389</v>
      </c>
      <c r="H132" s="793">
        <f t="shared" si="615"/>
        <v>2.1873292595255207</v>
      </c>
      <c r="I132" s="793">
        <f t="shared" ref="I132:AH132" si="616">IFERROR(I168*1000/I102,"")</f>
        <v>2.1988377665947754</v>
      </c>
      <c r="J132" s="793" t="str">
        <f t="shared" si="616"/>
        <v/>
      </c>
      <c r="K132" s="793" t="str">
        <f t="shared" si="616"/>
        <v/>
      </c>
      <c r="L132" s="793" t="str">
        <f t="shared" si="616"/>
        <v/>
      </c>
      <c r="M132" s="793" t="str">
        <f t="shared" si="616"/>
        <v/>
      </c>
      <c r="N132" s="793" t="str">
        <f t="shared" si="616"/>
        <v/>
      </c>
      <c r="O132" s="793" t="str">
        <f t="shared" si="616"/>
        <v/>
      </c>
      <c r="P132" s="793" t="str">
        <f t="shared" si="616"/>
        <v/>
      </c>
      <c r="Q132" s="793" t="str">
        <f t="shared" si="616"/>
        <v/>
      </c>
      <c r="R132" s="793" t="str">
        <f t="shared" si="616"/>
        <v/>
      </c>
      <c r="S132" s="793" t="str">
        <f t="shared" si="616"/>
        <v/>
      </c>
      <c r="T132" s="793" t="str">
        <f t="shared" si="616"/>
        <v/>
      </c>
      <c r="U132" s="793" t="str">
        <f t="shared" si="616"/>
        <v/>
      </c>
      <c r="V132" s="793" t="str">
        <f t="shared" si="616"/>
        <v/>
      </c>
      <c r="W132" s="793" t="str">
        <f t="shared" si="616"/>
        <v/>
      </c>
      <c r="X132" s="793" t="str">
        <f t="shared" si="616"/>
        <v/>
      </c>
      <c r="Y132" s="793" t="str">
        <f t="shared" si="616"/>
        <v/>
      </c>
      <c r="Z132" s="793" t="str">
        <f t="shared" si="616"/>
        <v/>
      </c>
      <c r="AA132" s="793" t="str">
        <f t="shared" si="616"/>
        <v/>
      </c>
      <c r="AB132" s="793" t="str">
        <f t="shared" si="616"/>
        <v/>
      </c>
      <c r="AC132" s="793" t="str">
        <f t="shared" si="616"/>
        <v/>
      </c>
      <c r="AD132" s="793" t="str">
        <f t="shared" si="616"/>
        <v/>
      </c>
      <c r="AE132" s="793" t="str">
        <f t="shared" si="616"/>
        <v/>
      </c>
      <c r="AF132" s="793" t="str">
        <f t="shared" si="616"/>
        <v/>
      </c>
      <c r="AG132" s="793" t="str">
        <f t="shared" si="616"/>
        <v/>
      </c>
      <c r="AH132" s="793" t="str">
        <f t="shared" si="616"/>
        <v/>
      </c>
    </row>
    <row r="133" spans="3:34" s="379" customFormat="1">
      <c r="C133" s="780"/>
      <c r="D133" s="793"/>
      <c r="E133" s="793"/>
      <c r="F133" s="793"/>
      <c r="G133" s="793"/>
      <c r="H133" s="793"/>
      <c r="I133" s="793"/>
      <c r="J133" s="793"/>
      <c r="K133" s="793"/>
      <c r="L133" s="793"/>
      <c r="M133" s="793"/>
      <c r="N133" s="793"/>
      <c r="O133" s="793"/>
      <c r="P133" s="793"/>
      <c r="Q133" s="793"/>
      <c r="R133" s="793"/>
      <c r="S133" s="793"/>
      <c r="T133" s="793"/>
      <c r="U133" s="793"/>
      <c r="V133" s="793"/>
      <c r="W133" s="793"/>
      <c r="X133" s="793"/>
      <c r="Y133" s="793"/>
      <c r="Z133" s="793"/>
      <c r="AA133" s="793"/>
      <c r="AB133" s="793"/>
      <c r="AC133" s="793"/>
      <c r="AD133" s="793"/>
      <c r="AE133" s="793"/>
      <c r="AF133" s="793"/>
      <c r="AG133" s="793"/>
      <c r="AH133" s="793"/>
    </row>
    <row r="134" spans="3:34" s="379" customFormat="1">
      <c r="C134" s="780" t="str">
        <f>_xlfn.CONCAT(C33," ",C30)</f>
        <v>Hoisted Grade</v>
      </c>
      <c r="D134" s="793"/>
      <c r="E134" s="793"/>
      <c r="F134" s="793"/>
      <c r="G134" s="793"/>
      <c r="H134" s="793"/>
      <c r="I134" s="793"/>
      <c r="J134" s="793"/>
      <c r="K134" s="793"/>
      <c r="L134" s="793"/>
      <c r="M134" s="793"/>
      <c r="N134" s="793"/>
      <c r="O134" s="793"/>
      <c r="P134" s="793"/>
      <c r="Q134" s="793"/>
      <c r="R134" s="793"/>
      <c r="S134" s="793"/>
      <c r="T134" s="793"/>
      <c r="U134" s="793"/>
      <c r="V134" s="793"/>
      <c r="W134" s="793"/>
      <c r="X134" s="793"/>
      <c r="Y134" s="793"/>
      <c r="Z134" s="793"/>
      <c r="AA134" s="793"/>
      <c r="AB134" s="793"/>
      <c r="AC134" s="793"/>
      <c r="AD134" s="793"/>
      <c r="AE134" s="793"/>
      <c r="AF134" s="793"/>
      <c r="AG134" s="793"/>
      <c r="AH134" s="793"/>
    </row>
    <row r="135" spans="3:34" s="379" customFormat="1">
      <c r="C135" s="780" t="s">
        <v>16</v>
      </c>
      <c r="D135" s="793">
        <f t="shared" ref="D135:H135" si="617">IFERROR(D171*1000/D105,"")</f>
        <v>1.99</v>
      </c>
      <c r="E135" s="793">
        <f t="shared" si="617"/>
        <v>2.13</v>
      </c>
      <c r="F135" s="793">
        <f t="shared" si="617"/>
        <v>1.6699999999999997</v>
      </c>
      <c r="G135" s="793">
        <f t="shared" si="617"/>
        <v>1.8200000000000003</v>
      </c>
      <c r="H135" s="793">
        <f t="shared" si="617"/>
        <v>3.13</v>
      </c>
      <c r="I135" s="793">
        <f t="shared" ref="I135:AH135" si="618">IFERROR(I171*1000/I105,"")</f>
        <v>0</v>
      </c>
      <c r="J135" s="793" t="str">
        <f t="shared" si="618"/>
        <v/>
      </c>
      <c r="K135" s="793" t="str">
        <f t="shared" si="618"/>
        <v/>
      </c>
      <c r="L135" s="793" t="str">
        <f t="shared" si="618"/>
        <v/>
      </c>
      <c r="M135" s="793" t="str">
        <f t="shared" si="618"/>
        <v/>
      </c>
      <c r="N135" s="793" t="str">
        <f t="shared" si="618"/>
        <v/>
      </c>
      <c r="O135" s="793" t="str">
        <f t="shared" si="618"/>
        <v/>
      </c>
      <c r="P135" s="793" t="str">
        <f t="shared" si="618"/>
        <v/>
      </c>
      <c r="Q135" s="793" t="str">
        <f t="shared" si="618"/>
        <v/>
      </c>
      <c r="R135" s="793" t="str">
        <f t="shared" si="618"/>
        <v/>
      </c>
      <c r="S135" s="793" t="str">
        <f t="shared" si="618"/>
        <v/>
      </c>
      <c r="T135" s="793" t="str">
        <f t="shared" si="618"/>
        <v/>
      </c>
      <c r="U135" s="793" t="str">
        <f t="shared" si="618"/>
        <v/>
      </c>
      <c r="V135" s="793" t="str">
        <f t="shared" si="618"/>
        <v/>
      </c>
      <c r="W135" s="793" t="str">
        <f t="shared" si="618"/>
        <v/>
      </c>
      <c r="X135" s="793" t="str">
        <f t="shared" si="618"/>
        <v/>
      </c>
      <c r="Y135" s="793" t="str">
        <f t="shared" si="618"/>
        <v/>
      </c>
      <c r="Z135" s="793" t="str">
        <f t="shared" si="618"/>
        <v/>
      </c>
      <c r="AA135" s="793" t="str">
        <f t="shared" si="618"/>
        <v/>
      </c>
      <c r="AB135" s="793" t="str">
        <f t="shared" si="618"/>
        <v/>
      </c>
      <c r="AC135" s="793" t="str">
        <f t="shared" si="618"/>
        <v/>
      </c>
      <c r="AD135" s="793" t="str">
        <f t="shared" si="618"/>
        <v/>
      </c>
      <c r="AE135" s="793" t="str">
        <f t="shared" si="618"/>
        <v/>
      </c>
      <c r="AF135" s="793" t="str">
        <f t="shared" si="618"/>
        <v/>
      </c>
      <c r="AG135" s="793" t="str">
        <f t="shared" si="618"/>
        <v/>
      </c>
      <c r="AH135" s="793" t="str">
        <f t="shared" si="618"/>
        <v/>
      </c>
    </row>
    <row r="136" spans="3:34" s="379" customFormat="1">
      <c r="C136" s="780" t="s">
        <v>72</v>
      </c>
      <c r="D136" s="793">
        <f t="shared" ref="D136:H136" si="619">IFERROR(D172*1000/D106,"")</f>
        <v>1.99</v>
      </c>
      <c r="E136" s="793">
        <f t="shared" si="619"/>
        <v>2.0668627450980392</v>
      </c>
      <c r="F136" s="793">
        <f t="shared" si="619"/>
        <v>1.9305679666792881</v>
      </c>
      <c r="G136" s="793">
        <f t="shared" si="619"/>
        <v>1.9045670431508834</v>
      </c>
      <c r="H136" s="793">
        <f t="shared" si="619"/>
        <v>2.1648038321167884</v>
      </c>
      <c r="I136" s="793">
        <f t="shared" ref="I136:AH136" si="620">IFERROR(I172*1000/I106,"")</f>
        <v>1.7739252336448599</v>
      </c>
      <c r="J136" s="793" t="str">
        <f t="shared" si="620"/>
        <v/>
      </c>
      <c r="K136" s="793" t="str">
        <f t="shared" si="620"/>
        <v/>
      </c>
      <c r="L136" s="793" t="str">
        <f t="shared" si="620"/>
        <v/>
      </c>
      <c r="M136" s="793" t="str">
        <f t="shared" si="620"/>
        <v/>
      </c>
      <c r="N136" s="793" t="str">
        <f t="shared" si="620"/>
        <v/>
      </c>
      <c r="O136" s="793" t="str">
        <f t="shared" si="620"/>
        <v/>
      </c>
      <c r="P136" s="793" t="str">
        <f t="shared" si="620"/>
        <v/>
      </c>
      <c r="Q136" s="793" t="str">
        <f t="shared" si="620"/>
        <v/>
      </c>
      <c r="R136" s="793" t="str">
        <f t="shared" si="620"/>
        <v/>
      </c>
      <c r="S136" s="793" t="str">
        <f t="shared" si="620"/>
        <v/>
      </c>
      <c r="T136" s="793" t="str">
        <f t="shared" si="620"/>
        <v/>
      </c>
      <c r="U136" s="793" t="str">
        <f t="shared" si="620"/>
        <v/>
      </c>
      <c r="V136" s="793" t="str">
        <f t="shared" si="620"/>
        <v/>
      </c>
      <c r="W136" s="793" t="str">
        <f t="shared" si="620"/>
        <v/>
      </c>
      <c r="X136" s="793" t="str">
        <f t="shared" si="620"/>
        <v/>
      </c>
      <c r="Y136" s="793" t="str">
        <f t="shared" si="620"/>
        <v/>
      </c>
      <c r="Z136" s="793" t="str">
        <f t="shared" si="620"/>
        <v/>
      </c>
      <c r="AA136" s="793" t="str">
        <f t="shared" si="620"/>
        <v/>
      </c>
      <c r="AB136" s="793" t="str">
        <f t="shared" si="620"/>
        <v/>
      </c>
      <c r="AC136" s="793" t="str">
        <f t="shared" si="620"/>
        <v/>
      </c>
      <c r="AD136" s="793" t="str">
        <f t="shared" si="620"/>
        <v/>
      </c>
      <c r="AE136" s="793" t="str">
        <f t="shared" si="620"/>
        <v/>
      </c>
      <c r="AF136" s="793" t="str">
        <f t="shared" si="620"/>
        <v/>
      </c>
      <c r="AG136" s="793" t="str">
        <f t="shared" si="620"/>
        <v/>
      </c>
      <c r="AH136" s="793" t="str">
        <f t="shared" si="620"/>
        <v/>
      </c>
    </row>
    <row r="137" spans="3:34" s="379" customFormat="1">
      <c r="C137" s="780" t="s">
        <v>17</v>
      </c>
      <c r="D137" s="793">
        <f t="shared" ref="D137:H137" si="621">IFERROR(D173*1000/D107,"")</f>
        <v>2.2027283562768369</v>
      </c>
      <c r="E137" s="793">
        <f t="shared" si="621"/>
        <v>2.2398948598130839</v>
      </c>
      <c r="F137" s="793">
        <f t="shared" si="621"/>
        <v>2.2398948598130839</v>
      </c>
      <c r="G137" s="793">
        <f t="shared" si="621"/>
        <v>2.2398948598130839</v>
      </c>
      <c r="H137" s="793">
        <f t="shared" si="621"/>
        <v>2.2398948598130839</v>
      </c>
      <c r="I137" s="793">
        <f t="shared" ref="I137:AH137" si="622">IFERROR(I173*1000/I107,"")</f>
        <v>2.2398948598130839</v>
      </c>
      <c r="J137" s="793" t="str">
        <f t="shared" si="622"/>
        <v/>
      </c>
      <c r="K137" s="793" t="str">
        <f t="shared" si="622"/>
        <v/>
      </c>
      <c r="L137" s="793" t="str">
        <f t="shared" si="622"/>
        <v/>
      </c>
      <c r="M137" s="793" t="str">
        <f t="shared" si="622"/>
        <v/>
      </c>
      <c r="N137" s="793" t="str">
        <f t="shared" si="622"/>
        <v/>
      </c>
      <c r="O137" s="793" t="str">
        <f t="shared" si="622"/>
        <v/>
      </c>
      <c r="P137" s="793" t="str">
        <f t="shared" si="622"/>
        <v/>
      </c>
      <c r="Q137" s="793" t="str">
        <f t="shared" si="622"/>
        <v/>
      </c>
      <c r="R137" s="793" t="str">
        <f t="shared" si="622"/>
        <v/>
      </c>
      <c r="S137" s="793" t="str">
        <f t="shared" si="622"/>
        <v/>
      </c>
      <c r="T137" s="793" t="str">
        <f t="shared" si="622"/>
        <v/>
      </c>
      <c r="U137" s="793" t="str">
        <f t="shared" si="622"/>
        <v/>
      </c>
      <c r="V137" s="793" t="str">
        <f t="shared" si="622"/>
        <v/>
      </c>
      <c r="W137" s="793" t="str">
        <f t="shared" si="622"/>
        <v/>
      </c>
      <c r="X137" s="793" t="str">
        <f t="shared" si="622"/>
        <v/>
      </c>
      <c r="Y137" s="793" t="str">
        <f t="shared" si="622"/>
        <v/>
      </c>
      <c r="Z137" s="793" t="str">
        <f t="shared" si="622"/>
        <v/>
      </c>
      <c r="AA137" s="793" t="str">
        <f t="shared" si="622"/>
        <v/>
      </c>
      <c r="AB137" s="793" t="str">
        <f t="shared" si="622"/>
        <v/>
      </c>
      <c r="AC137" s="793" t="str">
        <f t="shared" si="622"/>
        <v/>
      </c>
      <c r="AD137" s="793" t="str">
        <f t="shared" si="622"/>
        <v/>
      </c>
      <c r="AE137" s="793" t="str">
        <f t="shared" si="622"/>
        <v/>
      </c>
      <c r="AF137" s="793" t="str">
        <f t="shared" si="622"/>
        <v/>
      </c>
      <c r="AG137" s="793" t="str">
        <f t="shared" si="622"/>
        <v/>
      </c>
      <c r="AH137" s="793" t="str">
        <f t="shared" si="622"/>
        <v/>
      </c>
    </row>
    <row r="138" spans="3:34" s="379" customFormat="1">
      <c r="C138" s="780" t="s">
        <v>73</v>
      </c>
      <c r="D138" s="793">
        <f t="shared" ref="D138:H138" si="623">IFERROR(D174*1000/D108,"")</f>
        <v>2.2027283562768369</v>
      </c>
      <c r="E138" s="793">
        <f t="shared" si="623"/>
        <v>2.2225972418150821</v>
      </c>
      <c r="F138" s="793">
        <f t="shared" si="623"/>
        <v>2.2286230513635665</v>
      </c>
      <c r="G138" s="793">
        <f t="shared" si="623"/>
        <v>2.2315352207198247</v>
      </c>
      <c r="H138" s="793">
        <f t="shared" si="623"/>
        <v>2.2332515717413877</v>
      </c>
      <c r="I138" s="793">
        <f t="shared" ref="I138:AH138" si="624">IFERROR(I174*1000/I108,"")</f>
        <v>2.234383193958009</v>
      </c>
      <c r="J138" s="793" t="str">
        <f t="shared" si="624"/>
        <v/>
      </c>
      <c r="K138" s="793" t="str">
        <f t="shared" si="624"/>
        <v/>
      </c>
      <c r="L138" s="793" t="str">
        <f t="shared" si="624"/>
        <v/>
      </c>
      <c r="M138" s="793" t="str">
        <f t="shared" si="624"/>
        <v/>
      </c>
      <c r="N138" s="793" t="str">
        <f t="shared" si="624"/>
        <v/>
      </c>
      <c r="O138" s="793" t="str">
        <f t="shared" si="624"/>
        <v/>
      </c>
      <c r="P138" s="793" t="str">
        <f t="shared" si="624"/>
        <v/>
      </c>
      <c r="Q138" s="793" t="str">
        <f t="shared" si="624"/>
        <v/>
      </c>
      <c r="R138" s="793" t="str">
        <f t="shared" si="624"/>
        <v/>
      </c>
      <c r="S138" s="793" t="str">
        <f t="shared" si="624"/>
        <v/>
      </c>
      <c r="T138" s="793" t="str">
        <f t="shared" si="624"/>
        <v/>
      </c>
      <c r="U138" s="793" t="str">
        <f t="shared" si="624"/>
        <v/>
      </c>
      <c r="V138" s="793" t="str">
        <f t="shared" si="624"/>
        <v/>
      </c>
      <c r="W138" s="793" t="str">
        <f t="shared" si="624"/>
        <v/>
      </c>
      <c r="X138" s="793" t="str">
        <f t="shared" si="624"/>
        <v/>
      </c>
      <c r="Y138" s="793" t="str">
        <f t="shared" si="624"/>
        <v/>
      </c>
      <c r="Z138" s="793" t="str">
        <f t="shared" si="624"/>
        <v/>
      </c>
      <c r="AA138" s="793" t="str">
        <f t="shared" si="624"/>
        <v/>
      </c>
      <c r="AB138" s="793" t="str">
        <f t="shared" si="624"/>
        <v/>
      </c>
      <c r="AC138" s="793" t="str">
        <f t="shared" si="624"/>
        <v/>
      </c>
      <c r="AD138" s="793" t="str">
        <f t="shared" si="624"/>
        <v/>
      </c>
      <c r="AE138" s="793" t="str">
        <f t="shared" si="624"/>
        <v/>
      </c>
      <c r="AF138" s="793" t="str">
        <f t="shared" si="624"/>
        <v/>
      </c>
      <c r="AG138" s="793" t="str">
        <f t="shared" si="624"/>
        <v/>
      </c>
      <c r="AH138" s="793" t="str">
        <f t="shared" si="624"/>
        <v/>
      </c>
    </row>
    <row r="139" spans="3:34" s="379" customFormat="1">
      <c r="C139" s="780"/>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c r="AA139" s="792"/>
      <c r="AB139" s="792"/>
      <c r="AC139" s="792"/>
      <c r="AD139" s="792"/>
      <c r="AE139" s="792"/>
      <c r="AF139" s="792"/>
      <c r="AG139" s="792"/>
      <c r="AH139" s="792"/>
    </row>
    <row r="140" spans="3:34" s="379" customFormat="1">
      <c r="C140" s="780" t="str">
        <f>_xlfn.CONCAT(C34," ",C30)</f>
        <v>Crushed Grade</v>
      </c>
      <c r="D140" s="793"/>
      <c r="E140" s="793"/>
      <c r="F140" s="793"/>
      <c r="G140" s="793"/>
      <c r="H140" s="793"/>
      <c r="I140" s="793"/>
      <c r="J140" s="793"/>
      <c r="K140" s="793"/>
      <c r="L140" s="793"/>
      <c r="M140" s="793"/>
      <c r="N140" s="793"/>
      <c r="O140" s="793"/>
      <c r="P140" s="793"/>
      <c r="Q140" s="793"/>
      <c r="R140" s="793"/>
      <c r="S140" s="793"/>
      <c r="T140" s="793"/>
      <c r="U140" s="793"/>
      <c r="V140" s="793"/>
      <c r="W140" s="793"/>
      <c r="X140" s="793"/>
      <c r="Y140" s="793"/>
      <c r="Z140" s="793"/>
      <c r="AA140" s="793"/>
      <c r="AB140" s="793"/>
      <c r="AC140" s="793"/>
      <c r="AD140" s="793"/>
      <c r="AE140" s="793"/>
      <c r="AF140" s="793"/>
      <c r="AG140" s="793"/>
      <c r="AH140" s="793"/>
    </row>
    <row r="141" spans="3:34" s="379" customFormat="1">
      <c r="C141" s="780" t="s">
        <v>16</v>
      </c>
      <c r="D141" s="793">
        <f>IFERROR(D177*1000/D111,"")</f>
        <v>1.4863999999999999</v>
      </c>
      <c r="E141" s="793">
        <f t="shared" ref="E141:AH141" si="625">IFERROR(E177*1000/E111,"")</f>
        <v>1.8516999999999999</v>
      </c>
      <c r="F141" s="793">
        <f t="shared" si="625"/>
        <v>2.7927</v>
      </c>
      <c r="G141" s="793">
        <f t="shared" si="625"/>
        <v>1.7002999999999999</v>
      </c>
      <c r="H141" s="793">
        <f t="shared" si="625"/>
        <v>2.6778</v>
      </c>
      <c r="I141" s="793" t="str">
        <f t="shared" si="625"/>
        <v/>
      </c>
      <c r="J141" s="793" t="str">
        <f t="shared" si="625"/>
        <v/>
      </c>
      <c r="K141" s="793" t="str">
        <f t="shared" si="625"/>
        <v/>
      </c>
      <c r="L141" s="793" t="str">
        <f t="shared" si="625"/>
        <v/>
      </c>
      <c r="M141" s="793" t="str">
        <f t="shared" si="625"/>
        <v/>
      </c>
      <c r="N141" s="793" t="str">
        <f t="shared" si="625"/>
        <v/>
      </c>
      <c r="O141" s="793" t="str">
        <f t="shared" si="625"/>
        <v/>
      </c>
      <c r="P141" s="793" t="str">
        <f t="shared" si="625"/>
        <v/>
      </c>
      <c r="Q141" s="793" t="str">
        <f t="shared" si="625"/>
        <v/>
      </c>
      <c r="R141" s="793" t="str">
        <f t="shared" si="625"/>
        <v/>
      </c>
      <c r="S141" s="793" t="str">
        <f t="shared" si="625"/>
        <v/>
      </c>
      <c r="T141" s="793" t="str">
        <f t="shared" si="625"/>
        <v/>
      </c>
      <c r="U141" s="793" t="str">
        <f t="shared" si="625"/>
        <v/>
      </c>
      <c r="V141" s="793" t="str">
        <f t="shared" si="625"/>
        <v/>
      </c>
      <c r="W141" s="793" t="str">
        <f t="shared" si="625"/>
        <v/>
      </c>
      <c r="X141" s="793" t="str">
        <f t="shared" si="625"/>
        <v/>
      </c>
      <c r="Y141" s="793" t="str">
        <f t="shared" si="625"/>
        <v/>
      </c>
      <c r="Z141" s="793" t="str">
        <f t="shared" si="625"/>
        <v/>
      </c>
      <c r="AA141" s="793" t="str">
        <f t="shared" si="625"/>
        <v/>
      </c>
      <c r="AB141" s="793" t="str">
        <f t="shared" si="625"/>
        <v/>
      </c>
      <c r="AC141" s="793" t="str">
        <f t="shared" si="625"/>
        <v/>
      </c>
      <c r="AD141" s="793" t="str">
        <f t="shared" si="625"/>
        <v/>
      </c>
      <c r="AE141" s="793" t="str">
        <f t="shared" si="625"/>
        <v/>
      </c>
      <c r="AF141" s="793" t="str">
        <f t="shared" si="625"/>
        <v/>
      </c>
      <c r="AG141" s="793" t="str">
        <f t="shared" si="625"/>
        <v/>
      </c>
      <c r="AH141" s="793" t="str">
        <f t="shared" si="625"/>
        <v/>
      </c>
    </row>
    <row r="142" spans="3:34" s="379" customFormat="1">
      <c r="C142" s="780" t="s">
        <v>72</v>
      </c>
      <c r="D142" s="793">
        <f>IFERROR(D178*1000/D112,"")</f>
        <v>1.4863999999999999</v>
      </c>
      <c r="E142" s="793">
        <f t="shared" ref="E142:AH142" si="626">IFERROR(E178*1000/E112,"")</f>
        <v>1.6679806337730003</v>
      </c>
      <c r="F142" s="793">
        <f t="shared" si="626"/>
        <v>1.9290556743238259</v>
      </c>
      <c r="G142" s="793">
        <f t="shared" si="626"/>
        <v>1.8804403177362785</v>
      </c>
      <c r="H142" s="793">
        <f t="shared" si="626"/>
        <v>2.0178731199269673</v>
      </c>
      <c r="I142" s="793">
        <f t="shared" si="626"/>
        <v>2.0178731199269673</v>
      </c>
      <c r="J142" s="793" t="str">
        <f t="shared" si="626"/>
        <v/>
      </c>
      <c r="K142" s="793" t="str">
        <f t="shared" si="626"/>
        <v/>
      </c>
      <c r="L142" s="793" t="str">
        <f t="shared" si="626"/>
        <v/>
      </c>
      <c r="M142" s="793" t="str">
        <f t="shared" si="626"/>
        <v/>
      </c>
      <c r="N142" s="793" t="str">
        <f t="shared" si="626"/>
        <v/>
      </c>
      <c r="O142" s="793" t="str">
        <f t="shared" si="626"/>
        <v/>
      </c>
      <c r="P142" s="793" t="str">
        <f t="shared" si="626"/>
        <v/>
      </c>
      <c r="Q142" s="793" t="str">
        <f t="shared" si="626"/>
        <v/>
      </c>
      <c r="R142" s="793" t="str">
        <f t="shared" si="626"/>
        <v/>
      </c>
      <c r="S142" s="793" t="str">
        <f t="shared" si="626"/>
        <v/>
      </c>
      <c r="T142" s="793" t="str">
        <f t="shared" si="626"/>
        <v/>
      </c>
      <c r="U142" s="793" t="str">
        <f t="shared" si="626"/>
        <v/>
      </c>
      <c r="V142" s="793" t="str">
        <f t="shared" si="626"/>
        <v/>
      </c>
      <c r="W142" s="793" t="str">
        <f t="shared" si="626"/>
        <v/>
      </c>
      <c r="X142" s="793" t="str">
        <f t="shared" si="626"/>
        <v/>
      </c>
      <c r="Y142" s="793" t="str">
        <f t="shared" si="626"/>
        <v/>
      </c>
      <c r="Z142" s="793" t="str">
        <f t="shared" si="626"/>
        <v/>
      </c>
      <c r="AA142" s="793" t="str">
        <f t="shared" si="626"/>
        <v/>
      </c>
      <c r="AB142" s="793" t="str">
        <f t="shared" si="626"/>
        <v/>
      </c>
      <c r="AC142" s="793" t="str">
        <f t="shared" si="626"/>
        <v/>
      </c>
      <c r="AD142" s="793" t="str">
        <f t="shared" si="626"/>
        <v/>
      </c>
      <c r="AE142" s="793" t="str">
        <f t="shared" si="626"/>
        <v/>
      </c>
      <c r="AF142" s="793" t="str">
        <f t="shared" si="626"/>
        <v/>
      </c>
      <c r="AG142" s="793" t="str">
        <f t="shared" si="626"/>
        <v/>
      </c>
      <c r="AH142" s="793" t="str">
        <f t="shared" si="626"/>
        <v/>
      </c>
    </row>
    <row r="143" spans="3:34" s="379" customFormat="1">
      <c r="C143" s="780" t="s">
        <v>17</v>
      </c>
      <c r="D143" s="793">
        <f>IFERROR(D179*1000/D113,"")</f>
        <v>2.2999999999999998</v>
      </c>
      <c r="E143" s="793">
        <f t="shared" ref="E143:AH143" si="627">IFERROR(E179*1000/E113,"")</f>
        <v>2.3000000000000003</v>
      </c>
      <c r="F143" s="793">
        <f t="shared" si="627"/>
        <v>1.8320000000000001</v>
      </c>
      <c r="G143" s="793">
        <f t="shared" si="627"/>
        <v>2.2315352207198247</v>
      </c>
      <c r="H143" s="793">
        <f t="shared" si="627"/>
        <v>2.2339308325453358</v>
      </c>
      <c r="I143" s="793">
        <f t="shared" si="627"/>
        <v>2.2355007055332963</v>
      </c>
      <c r="J143" s="793" t="str">
        <f t="shared" si="627"/>
        <v/>
      </c>
      <c r="K143" s="793" t="str">
        <f t="shared" si="627"/>
        <v/>
      </c>
      <c r="L143" s="793" t="str">
        <f t="shared" si="627"/>
        <v/>
      </c>
      <c r="M143" s="793" t="str">
        <f t="shared" si="627"/>
        <v/>
      </c>
      <c r="N143" s="793" t="str">
        <f t="shared" si="627"/>
        <v/>
      </c>
      <c r="O143" s="793" t="str">
        <f t="shared" si="627"/>
        <v/>
      </c>
      <c r="P143" s="793" t="str">
        <f t="shared" si="627"/>
        <v/>
      </c>
      <c r="Q143" s="793" t="str">
        <f t="shared" si="627"/>
        <v/>
      </c>
      <c r="R143" s="793" t="str">
        <f t="shared" si="627"/>
        <v/>
      </c>
      <c r="S143" s="793" t="str">
        <f t="shared" si="627"/>
        <v/>
      </c>
      <c r="T143" s="793" t="str">
        <f t="shared" si="627"/>
        <v/>
      </c>
      <c r="U143" s="793" t="str">
        <f t="shared" si="627"/>
        <v/>
      </c>
      <c r="V143" s="793" t="str">
        <f t="shared" si="627"/>
        <v/>
      </c>
      <c r="W143" s="793" t="str">
        <f t="shared" si="627"/>
        <v/>
      </c>
      <c r="X143" s="793" t="str">
        <f t="shared" si="627"/>
        <v/>
      </c>
      <c r="Y143" s="793" t="str">
        <f t="shared" si="627"/>
        <v/>
      </c>
      <c r="Z143" s="793" t="str">
        <f t="shared" si="627"/>
        <v/>
      </c>
      <c r="AA143" s="793" t="str">
        <f t="shared" si="627"/>
        <v/>
      </c>
      <c r="AB143" s="793" t="str">
        <f t="shared" si="627"/>
        <v/>
      </c>
      <c r="AC143" s="793" t="str">
        <f t="shared" si="627"/>
        <v/>
      </c>
      <c r="AD143" s="793" t="str">
        <f t="shared" si="627"/>
        <v/>
      </c>
      <c r="AE143" s="793" t="str">
        <f t="shared" si="627"/>
        <v/>
      </c>
      <c r="AF143" s="793" t="str">
        <f t="shared" si="627"/>
        <v/>
      </c>
      <c r="AG143" s="793" t="str">
        <f t="shared" si="627"/>
        <v/>
      </c>
      <c r="AH143" s="793" t="str">
        <f t="shared" si="627"/>
        <v/>
      </c>
    </row>
    <row r="144" spans="3:34" s="379" customFormat="1">
      <c r="C144" s="780" t="s">
        <v>73</v>
      </c>
      <c r="D144" s="793">
        <f>IFERROR(D180*1000/D114,"")</f>
        <v>2.2999999999999998</v>
      </c>
      <c r="E144" s="793">
        <f t="shared" ref="E144:AH144" si="628">IFERROR(E180*1000/E114,"")</f>
        <v>2.2999999999999998</v>
      </c>
      <c r="F144" s="793">
        <f t="shared" si="628"/>
        <v>2.1440000000000001</v>
      </c>
      <c r="G144" s="793">
        <f t="shared" si="628"/>
        <v>2.165883805179956</v>
      </c>
      <c r="H144" s="793">
        <f t="shared" si="628"/>
        <v>2.1734445859983316</v>
      </c>
      <c r="I144" s="793">
        <f t="shared" si="628"/>
        <v>2.1847275168228704</v>
      </c>
      <c r="J144" s="793" t="str">
        <f t="shared" si="628"/>
        <v/>
      </c>
      <c r="K144" s="793" t="str">
        <f t="shared" si="628"/>
        <v/>
      </c>
      <c r="L144" s="793" t="str">
        <f t="shared" si="628"/>
        <v/>
      </c>
      <c r="M144" s="793" t="str">
        <f t="shared" si="628"/>
        <v/>
      </c>
      <c r="N144" s="793" t="str">
        <f t="shared" si="628"/>
        <v/>
      </c>
      <c r="O144" s="793" t="str">
        <f t="shared" si="628"/>
        <v/>
      </c>
      <c r="P144" s="793" t="str">
        <f t="shared" si="628"/>
        <v/>
      </c>
      <c r="Q144" s="793" t="str">
        <f t="shared" si="628"/>
        <v/>
      </c>
      <c r="R144" s="793" t="str">
        <f t="shared" si="628"/>
        <v/>
      </c>
      <c r="S144" s="793" t="str">
        <f t="shared" si="628"/>
        <v/>
      </c>
      <c r="T144" s="793" t="str">
        <f t="shared" si="628"/>
        <v/>
      </c>
      <c r="U144" s="793" t="str">
        <f t="shared" si="628"/>
        <v/>
      </c>
      <c r="V144" s="793" t="str">
        <f t="shared" si="628"/>
        <v/>
      </c>
      <c r="W144" s="793" t="str">
        <f t="shared" si="628"/>
        <v/>
      </c>
      <c r="X144" s="793" t="str">
        <f t="shared" si="628"/>
        <v/>
      </c>
      <c r="Y144" s="793" t="str">
        <f t="shared" si="628"/>
        <v/>
      </c>
      <c r="Z144" s="793" t="str">
        <f t="shared" si="628"/>
        <v/>
      </c>
      <c r="AA144" s="793" t="str">
        <f t="shared" si="628"/>
        <v/>
      </c>
      <c r="AB144" s="793" t="str">
        <f t="shared" si="628"/>
        <v/>
      </c>
      <c r="AC144" s="793" t="str">
        <f t="shared" si="628"/>
        <v/>
      </c>
      <c r="AD144" s="793" t="str">
        <f t="shared" si="628"/>
        <v/>
      </c>
      <c r="AE144" s="793" t="str">
        <f t="shared" si="628"/>
        <v/>
      </c>
      <c r="AF144" s="793" t="str">
        <f t="shared" si="628"/>
        <v/>
      </c>
      <c r="AG144" s="793" t="str">
        <f t="shared" si="628"/>
        <v/>
      </c>
      <c r="AH144" s="793" t="str">
        <f t="shared" si="628"/>
        <v/>
      </c>
    </row>
    <row r="146" spans="3:34" s="379" customFormat="1">
      <c r="C146" s="780" t="str">
        <f>_xlfn.CONCAT(C35," ",C30)</f>
        <v>Milled Grade</v>
      </c>
      <c r="D146" s="793"/>
      <c r="E146" s="793"/>
      <c r="F146" s="793"/>
      <c r="G146" s="793"/>
      <c r="H146" s="793"/>
      <c r="I146" s="793"/>
      <c r="J146" s="793"/>
      <c r="K146" s="793"/>
      <c r="L146" s="793"/>
      <c r="M146" s="793"/>
      <c r="N146" s="793"/>
      <c r="O146" s="793"/>
      <c r="P146" s="793"/>
      <c r="Q146" s="793"/>
      <c r="R146" s="793"/>
      <c r="S146" s="793"/>
      <c r="T146" s="793"/>
      <c r="U146" s="793"/>
      <c r="V146" s="793"/>
      <c r="W146" s="793"/>
      <c r="X146" s="793"/>
      <c r="Y146" s="793"/>
      <c r="Z146" s="793"/>
      <c r="AA146" s="793"/>
      <c r="AB146" s="793"/>
      <c r="AC146" s="793"/>
      <c r="AD146" s="793"/>
      <c r="AE146" s="793"/>
      <c r="AF146" s="793"/>
      <c r="AG146" s="793"/>
      <c r="AH146" s="793"/>
    </row>
    <row r="147" spans="3:34" s="379" customFormat="1">
      <c r="C147" s="780" t="s">
        <v>16</v>
      </c>
      <c r="D147" s="793">
        <f>IFERROR(D183*1000/D117,"")</f>
        <v>1.3227</v>
      </c>
      <c r="E147" s="793">
        <f t="shared" ref="E147:AH147" si="629">IFERROR(E183*1000/E117,"")</f>
        <v>1.9326000000000003</v>
      </c>
      <c r="F147" s="793">
        <f t="shared" si="629"/>
        <v>2.1524000000000001</v>
      </c>
      <c r="G147" s="793">
        <f t="shared" si="629"/>
        <v>1.7907</v>
      </c>
      <c r="H147" s="793">
        <f t="shared" si="629"/>
        <v>2.0169000000000001</v>
      </c>
      <c r="I147" s="793" t="str">
        <f t="shared" si="629"/>
        <v/>
      </c>
      <c r="J147" s="793" t="str">
        <f t="shared" si="629"/>
        <v/>
      </c>
      <c r="K147" s="793" t="str">
        <f t="shared" si="629"/>
        <v/>
      </c>
      <c r="L147" s="793" t="str">
        <f t="shared" si="629"/>
        <v/>
      </c>
      <c r="M147" s="793" t="str">
        <f t="shared" si="629"/>
        <v/>
      </c>
      <c r="N147" s="793" t="str">
        <f t="shared" si="629"/>
        <v/>
      </c>
      <c r="O147" s="793" t="str">
        <f t="shared" si="629"/>
        <v/>
      </c>
      <c r="P147" s="793" t="str">
        <f t="shared" si="629"/>
        <v/>
      </c>
      <c r="Q147" s="793" t="str">
        <f t="shared" si="629"/>
        <v/>
      </c>
      <c r="R147" s="793" t="str">
        <f t="shared" si="629"/>
        <v/>
      </c>
      <c r="S147" s="793" t="str">
        <f t="shared" si="629"/>
        <v/>
      </c>
      <c r="T147" s="793" t="str">
        <f t="shared" si="629"/>
        <v/>
      </c>
      <c r="U147" s="793" t="str">
        <f t="shared" si="629"/>
        <v/>
      </c>
      <c r="V147" s="793" t="str">
        <f t="shared" si="629"/>
        <v/>
      </c>
      <c r="W147" s="793" t="str">
        <f t="shared" si="629"/>
        <v/>
      </c>
      <c r="X147" s="793" t="str">
        <f t="shared" si="629"/>
        <v/>
      </c>
      <c r="Y147" s="793" t="str">
        <f t="shared" si="629"/>
        <v/>
      </c>
      <c r="Z147" s="793" t="str">
        <f t="shared" si="629"/>
        <v/>
      </c>
      <c r="AA147" s="793" t="str">
        <f t="shared" si="629"/>
        <v/>
      </c>
      <c r="AB147" s="793" t="str">
        <f t="shared" si="629"/>
        <v/>
      </c>
      <c r="AC147" s="793" t="str">
        <f t="shared" si="629"/>
        <v/>
      </c>
      <c r="AD147" s="793" t="str">
        <f t="shared" si="629"/>
        <v/>
      </c>
      <c r="AE147" s="793" t="str">
        <f t="shared" si="629"/>
        <v/>
      </c>
      <c r="AF147" s="793" t="str">
        <f t="shared" si="629"/>
        <v/>
      </c>
      <c r="AG147" s="793" t="str">
        <f t="shared" si="629"/>
        <v/>
      </c>
      <c r="AH147" s="793" t="str">
        <f t="shared" si="629"/>
        <v/>
      </c>
    </row>
    <row r="148" spans="3:34" s="379" customFormat="1">
      <c r="C148" s="780" t="s">
        <v>72</v>
      </c>
      <c r="D148" s="793">
        <f>IFERROR(D184*1000/D118,"")</f>
        <v>1.3227</v>
      </c>
      <c r="E148" s="793">
        <f t="shared" ref="E148:AH148" si="630">IFERROR(E184*1000/E118,"")</f>
        <v>1.614746973201352</v>
      </c>
      <c r="F148" s="793">
        <f t="shared" si="630"/>
        <v>1.7319331080825913</v>
      </c>
      <c r="G148" s="793">
        <f t="shared" si="630"/>
        <v>1.7477520499037735</v>
      </c>
      <c r="H148" s="793">
        <f t="shared" si="630"/>
        <v>1.8025186086535305</v>
      </c>
      <c r="I148" s="793">
        <f t="shared" si="630"/>
        <v>1.8025186086535305</v>
      </c>
      <c r="J148" s="793" t="str">
        <f t="shared" si="630"/>
        <v/>
      </c>
      <c r="K148" s="793" t="str">
        <f t="shared" si="630"/>
        <v/>
      </c>
      <c r="L148" s="793" t="str">
        <f t="shared" si="630"/>
        <v/>
      </c>
      <c r="M148" s="793" t="str">
        <f t="shared" si="630"/>
        <v/>
      </c>
      <c r="N148" s="793" t="str">
        <f t="shared" si="630"/>
        <v/>
      </c>
      <c r="O148" s="793" t="str">
        <f t="shared" si="630"/>
        <v/>
      </c>
      <c r="P148" s="793" t="str">
        <f t="shared" si="630"/>
        <v/>
      </c>
      <c r="Q148" s="793" t="str">
        <f t="shared" si="630"/>
        <v/>
      </c>
      <c r="R148" s="793" t="str">
        <f t="shared" si="630"/>
        <v/>
      </c>
      <c r="S148" s="793" t="str">
        <f t="shared" si="630"/>
        <v/>
      </c>
      <c r="T148" s="793" t="str">
        <f t="shared" si="630"/>
        <v/>
      </c>
      <c r="U148" s="793" t="str">
        <f t="shared" si="630"/>
        <v/>
      </c>
      <c r="V148" s="793" t="str">
        <f t="shared" si="630"/>
        <v/>
      </c>
      <c r="W148" s="793" t="str">
        <f t="shared" si="630"/>
        <v/>
      </c>
      <c r="X148" s="793" t="str">
        <f t="shared" si="630"/>
        <v/>
      </c>
      <c r="Y148" s="793" t="str">
        <f t="shared" si="630"/>
        <v/>
      </c>
      <c r="Z148" s="793" t="str">
        <f t="shared" si="630"/>
        <v/>
      </c>
      <c r="AA148" s="793" t="str">
        <f t="shared" si="630"/>
        <v/>
      </c>
      <c r="AB148" s="793" t="str">
        <f t="shared" si="630"/>
        <v/>
      </c>
      <c r="AC148" s="793" t="str">
        <f t="shared" si="630"/>
        <v/>
      </c>
      <c r="AD148" s="793" t="str">
        <f t="shared" si="630"/>
        <v/>
      </c>
      <c r="AE148" s="793" t="str">
        <f t="shared" si="630"/>
        <v/>
      </c>
      <c r="AF148" s="793" t="str">
        <f t="shared" si="630"/>
        <v/>
      </c>
      <c r="AG148" s="793" t="str">
        <f t="shared" si="630"/>
        <v/>
      </c>
      <c r="AH148" s="793" t="str">
        <f t="shared" si="630"/>
        <v/>
      </c>
    </row>
    <row r="149" spans="3:34" s="379" customFormat="1">
      <c r="C149" s="780" t="s">
        <v>17</v>
      </c>
      <c r="D149" s="793">
        <f>IFERROR(D185*1000/D119,"")</f>
        <v>2.2999999999999998</v>
      </c>
      <c r="E149" s="793">
        <f t="shared" ref="E149:AH149" si="631">IFERROR(E185*1000/E119,"")</f>
        <v>2.3000000000000003</v>
      </c>
      <c r="F149" s="793">
        <f t="shared" si="631"/>
        <v>1.8320000000000001</v>
      </c>
      <c r="G149" s="793">
        <f t="shared" si="631"/>
        <v>2.2315352207198247</v>
      </c>
      <c r="H149" s="793">
        <f t="shared" si="631"/>
        <v>2.2339308325453358</v>
      </c>
      <c r="I149" s="793">
        <f t="shared" si="631"/>
        <v>2.2355007055332963</v>
      </c>
      <c r="J149" s="793" t="str">
        <f t="shared" si="631"/>
        <v/>
      </c>
      <c r="K149" s="793" t="str">
        <f t="shared" si="631"/>
        <v/>
      </c>
      <c r="L149" s="793" t="str">
        <f t="shared" si="631"/>
        <v/>
      </c>
      <c r="M149" s="793" t="str">
        <f t="shared" si="631"/>
        <v/>
      </c>
      <c r="N149" s="793" t="str">
        <f t="shared" si="631"/>
        <v/>
      </c>
      <c r="O149" s="793" t="str">
        <f t="shared" si="631"/>
        <v/>
      </c>
      <c r="P149" s="793" t="str">
        <f t="shared" si="631"/>
        <v/>
      </c>
      <c r="Q149" s="793" t="str">
        <f t="shared" si="631"/>
        <v/>
      </c>
      <c r="R149" s="793" t="str">
        <f t="shared" si="631"/>
        <v/>
      </c>
      <c r="S149" s="793" t="str">
        <f t="shared" si="631"/>
        <v/>
      </c>
      <c r="T149" s="793" t="str">
        <f t="shared" si="631"/>
        <v/>
      </c>
      <c r="U149" s="793" t="str">
        <f t="shared" si="631"/>
        <v/>
      </c>
      <c r="V149" s="793" t="str">
        <f t="shared" si="631"/>
        <v/>
      </c>
      <c r="W149" s="793" t="str">
        <f t="shared" si="631"/>
        <v/>
      </c>
      <c r="X149" s="793" t="str">
        <f t="shared" si="631"/>
        <v/>
      </c>
      <c r="Y149" s="793" t="str">
        <f t="shared" si="631"/>
        <v/>
      </c>
      <c r="Z149" s="793" t="str">
        <f t="shared" si="631"/>
        <v/>
      </c>
      <c r="AA149" s="793" t="str">
        <f t="shared" si="631"/>
        <v/>
      </c>
      <c r="AB149" s="793" t="str">
        <f t="shared" si="631"/>
        <v/>
      </c>
      <c r="AC149" s="793" t="str">
        <f t="shared" si="631"/>
        <v/>
      </c>
      <c r="AD149" s="793" t="str">
        <f t="shared" si="631"/>
        <v/>
      </c>
      <c r="AE149" s="793" t="str">
        <f t="shared" si="631"/>
        <v/>
      </c>
      <c r="AF149" s="793" t="str">
        <f t="shared" si="631"/>
        <v/>
      </c>
      <c r="AG149" s="793" t="str">
        <f t="shared" si="631"/>
        <v/>
      </c>
      <c r="AH149" s="793" t="str">
        <f t="shared" si="631"/>
        <v/>
      </c>
    </row>
    <row r="150" spans="3:34" s="379" customFormat="1">
      <c r="C150" s="780" t="s">
        <v>73</v>
      </c>
      <c r="D150" s="793">
        <f>IFERROR(D186*1000/D120,"")</f>
        <v>2.2999999999999998</v>
      </c>
      <c r="E150" s="793">
        <f t="shared" ref="E150:AH150" si="632">IFERROR(E186*1000/E120,"")</f>
        <v>2.2999999999999998</v>
      </c>
      <c r="F150" s="793">
        <f t="shared" si="632"/>
        <v>2.1440000000000001</v>
      </c>
      <c r="G150" s="793">
        <f t="shared" si="632"/>
        <v>2.165883805179956</v>
      </c>
      <c r="H150" s="793">
        <f t="shared" si="632"/>
        <v>2.1734445859983316</v>
      </c>
      <c r="I150" s="793">
        <f t="shared" si="632"/>
        <v>2.1847275168228704</v>
      </c>
      <c r="J150" s="793" t="str">
        <f t="shared" si="632"/>
        <v/>
      </c>
      <c r="K150" s="793" t="str">
        <f t="shared" si="632"/>
        <v/>
      </c>
      <c r="L150" s="793" t="str">
        <f t="shared" si="632"/>
        <v/>
      </c>
      <c r="M150" s="793" t="str">
        <f t="shared" si="632"/>
        <v/>
      </c>
      <c r="N150" s="793" t="str">
        <f t="shared" si="632"/>
        <v/>
      </c>
      <c r="O150" s="793" t="str">
        <f t="shared" si="632"/>
        <v/>
      </c>
      <c r="P150" s="793" t="str">
        <f t="shared" si="632"/>
        <v/>
      </c>
      <c r="Q150" s="793" t="str">
        <f t="shared" si="632"/>
        <v/>
      </c>
      <c r="R150" s="793" t="str">
        <f t="shared" si="632"/>
        <v/>
      </c>
      <c r="S150" s="793" t="str">
        <f t="shared" si="632"/>
        <v/>
      </c>
      <c r="T150" s="793" t="str">
        <f t="shared" si="632"/>
        <v/>
      </c>
      <c r="U150" s="793" t="str">
        <f t="shared" si="632"/>
        <v/>
      </c>
      <c r="V150" s="793" t="str">
        <f t="shared" si="632"/>
        <v/>
      </c>
      <c r="W150" s="793" t="str">
        <f t="shared" si="632"/>
        <v/>
      </c>
      <c r="X150" s="793" t="str">
        <f t="shared" si="632"/>
        <v/>
      </c>
      <c r="Y150" s="793" t="str">
        <f t="shared" si="632"/>
        <v/>
      </c>
      <c r="Z150" s="793" t="str">
        <f t="shared" si="632"/>
        <v/>
      </c>
      <c r="AA150" s="793" t="str">
        <f t="shared" si="632"/>
        <v/>
      </c>
      <c r="AB150" s="793" t="str">
        <f t="shared" si="632"/>
        <v/>
      </c>
      <c r="AC150" s="793" t="str">
        <f t="shared" si="632"/>
        <v/>
      </c>
      <c r="AD150" s="793" t="str">
        <f t="shared" si="632"/>
        <v/>
      </c>
      <c r="AE150" s="793" t="str">
        <f t="shared" si="632"/>
        <v/>
      </c>
      <c r="AF150" s="793" t="str">
        <f t="shared" si="632"/>
        <v/>
      </c>
      <c r="AG150" s="793" t="str">
        <f t="shared" si="632"/>
        <v/>
      </c>
      <c r="AH150" s="793" t="str">
        <f t="shared" si="632"/>
        <v/>
      </c>
    </row>
    <row r="151" spans="3:34" s="379" customFormat="1">
      <c r="C151" s="780"/>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c r="AA151" s="792"/>
      <c r="AB151" s="792"/>
      <c r="AC151" s="792"/>
      <c r="AD151" s="792"/>
      <c r="AE151" s="792"/>
      <c r="AF151" s="792"/>
      <c r="AG151" s="792"/>
      <c r="AH151" s="792"/>
    </row>
    <row r="152" spans="3:34" s="379" customFormat="1">
      <c r="C152" s="780" t="str">
        <f>_xlfn.CONCAT(C36," ",C30)</f>
        <v>CIL Feed Grade</v>
      </c>
      <c r="D152" s="793"/>
      <c r="E152" s="793"/>
      <c r="F152" s="793"/>
      <c r="G152" s="793"/>
      <c r="H152" s="793"/>
      <c r="I152" s="793"/>
      <c r="J152" s="793"/>
      <c r="K152" s="793"/>
      <c r="L152" s="793"/>
      <c r="M152" s="793"/>
      <c r="N152" s="793"/>
      <c r="O152" s="793"/>
      <c r="P152" s="793"/>
      <c r="Q152" s="793"/>
      <c r="R152" s="793"/>
      <c r="S152" s="793"/>
      <c r="T152" s="793"/>
      <c r="U152" s="793"/>
      <c r="V152" s="793"/>
      <c r="W152" s="793"/>
      <c r="X152" s="793"/>
      <c r="Y152" s="793"/>
      <c r="Z152" s="793"/>
      <c r="AA152" s="793"/>
      <c r="AB152" s="793"/>
      <c r="AC152" s="793"/>
      <c r="AD152" s="793"/>
      <c r="AE152" s="793"/>
      <c r="AF152" s="793"/>
      <c r="AG152" s="793"/>
      <c r="AH152" s="793"/>
    </row>
    <row r="153" spans="3:34" s="379" customFormat="1">
      <c r="C153" s="780" t="s">
        <v>16</v>
      </c>
      <c r="D153" s="793">
        <f>IFERROR(D189*1000/D117,"")</f>
        <v>1.8463861999999998</v>
      </c>
      <c r="E153" s="793">
        <f t="shared" ref="E153:AH153" si="633">IFERROR(E189*1000/E117,"")</f>
        <v>2.0515102999999999</v>
      </c>
      <c r="F153" s="793">
        <f t="shared" si="633"/>
        <v>2.7219905</v>
      </c>
      <c r="G153" s="793">
        <f t="shared" si="633"/>
        <v>2.2959665999999999</v>
      </c>
      <c r="H153" s="793">
        <f t="shared" si="633"/>
        <v>2.1611726999999998</v>
      </c>
      <c r="I153" s="793" t="str">
        <f t="shared" si="633"/>
        <v/>
      </c>
      <c r="J153" s="793" t="str">
        <f t="shared" si="633"/>
        <v/>
      </c>
      <c r="K153" s="793" t="str">
        <f t="shared" si="633"/>
        <v/>
      </c>
      <c r="L153" s="793" t="str">
        <f t="shared" si="633"/>
        <v/>
      </c>
      <c r="M153" s="793" t="str">
        <f t="shared" si="633"/>
        <v/>
      </c>
      <c r="N153" s="793" t="str">
        <f t="shared" si="633"/>
        <v/>
      </c>
      <c r="O153" s="793" t="str">
        <f t="shared" si="633"/>
        <v/>
      </c>
      <c r="P153" s="793" t="str">
        <f t="shared" si="633"/>
        <v/>
      </c>
      <c r="Q153" s="793" t="str">
        <f t="shared" si="633"/>
        <v/>
      </c>
      <c r="R153" s="793" t="str">
        <f t="shared" si="633"/>
        <v/>
      </c>
      <c r="S153" s="793" t="str">
        <f t="shared" si="633"/>
        <v/>
      </c>
      <c r="T153" s="793" t="str">
        <f t="shared" si="633"/>
        <v/>
      </c>
      <c r="U153" s="793" t="str">
        <f t="shared" si="633"/>
        <v/>
      </c>
      <c r="V153" s="793" t="str">
        <f t="shared" si="633"/>
        <v/>
      </c>
      <c r="W153" s="793" t="str">
        <f t="shared" si="633"/>
        <v/>
      </c>
      <c r="X153" s="793" t="str">
        <f t="shared" si="633"/>
        <v/>
      </c>
      <c r="Y153" s="793" t="str">
        <f t="shared" si="633"/>
        <v/>
      </c>
      <c r="Z153" s="793" t="str">
        <f t="shared" si="633"/>
        <v/>
      </c>
      <c r="AA153" s="793" t="str">
        <f t="shared" si="633"/>
        <v/>
      </c>
      <c r="AB153" s="793" t="str">
        <f t="shared" si="633"/>
        <v/>
      </c>
      <c r="AC153" s="793" t="str">
        <f t="shared" si="633"/>
        <v/>
      </c>
      <c r="AD153" s="793" t="str">
        <f t="shared" si="633"/>
        <v/>
      </c>
      <c r="AE153" s="793" t="str">
        <f t="shared" si="633"/>
        <v/>
      </c>
      <c r="AF153" s="793" t="str">
        <f t="shared" si="633"/>
        <v/>
      </c>
      <c r="AG153" s="793" t="str">
        <f t="shared" si="633"/>
        <v/>
      </c>
      <c r="AH153" s="793" t="str">
        <f t="shared" si="633"/>
        <v/>
      </c>
    </row>
    <row r="154" spans="3:34" s="379" customFormat="1">
      <c r="C154" s="780" t="s">
        <v>72</v>
      </c>
      <c r="D154" s="793">
        <f>IFERROR(D190*1000/D118,"")</f>
        <v>1.8463861999999998</v>
      </c>
      <c r="E154" s="793">
        <f t="shared" ref="E154:AH154" si="634">IFERROR(E190*1000/E118,"")</f>
        <v>1.9446086504601594</v>
      </c>
      <c r="F154" s="793">
        <f t="shared" si="634"/>
        <v>2.1140457590296595</v>
      </c>
      <c r="G154" s="793">
        <f t="shared" si="634"/>
        <v>2.16301542724718</v>
      </c>
      <c r="H154" s="793">
        <f t="shared" si="634"/>
        <v>2.1626404668211157</v>
      </c>
      <c r="I154" s="793">
        <f t="shared" si="634"/>
        <v>2.1626404668211157</v>
      </c>
      <c r="J154" s="793" t="str">
        <f t="shared" si="634"/>
        <v/>
      </c>
      <c r="K154" s="793" t="str">
        <f t="shared" si="634"/>
        <v/>
      </c>
      <c r="L154" s="793" t="str">
        <f t="shared" si="634"/>
        <v/>
      </c>
      <c r="M154" s="793" t="str">
        <f t="shared" si="634"/>
        <v/>
      </c>
      <c r="N154" s="793" t="str">
        <f t="shared" si="634"/>
        <v/>
      </c>
      <c r="O154" s="793" t="str">
        <f t="shared" si="634"/>
        <v/>
      </c>
      <c r="P154" s="793" t="str">
        <f t="shared" si="634"/>
        <v/>
      </c>
      <c r="Q154" s="793" t="str">
        <f t="shared" si="634"/>
        <v/>
      </c>
      <c r="R154" s="793" t="str">
        <f t="shared" si="634"/>
        <v/>
      </c>
      <c r="S154" s="793" t="str">
        <f t="shared" si="634"/>
        <v/>
      </c>
      <c r="T154" s="793" t="str">
        <f t="shared" si="634"/>
        <v/>
      </c>
      <c r="U154" s="793" t="str">
        <f t="shared" si="634"/>
        <v/>
      </c>
      <c r="V154" s="793" t="str">
        <f t="shared" si="634"/>
        <v/>
      </c>
      <c r="W154" s="793" t="str">
        <f t="shared" si="634"/>
        <v/>
      </c>
      <c r="X154" s="793" t="str">
        <f t="shared" si="634"/>
        <v/>
      </c>
      <c r="Y154" s="793" t="str">
        <f t="shared" si="634"/>
        <v/>
      </c>
      <c r="Z154" s="793" t="str">
        <f t="shared" si="634"/>
        <v/>
      </c>
      <c r="AA154" s="793" t="str">
        <f t="shared" si="634"/>
        <v/>
      </c>
      <c r="AB154" s="793" t="str">
        <f t="shared" si="634"/>
        <v/>
      </c>
      <c r="AC154" s="793" t="str">
        <f t="shared" si="634"/>
        <v/>
      </c>
      <c r="AD154" s="793" t="str">
        <f t="shared" si="634"/>
        <v/>
      </c>
      <c r="AE154" s="793" t="str">
        <f t="shared" si="634"/>
        <v/>
      </c>
      <c r="AF154" s="793" t="str">
        <f t="shared" si="634"/>
        <v/>
      </c>
      <c r="AG154" s="793" t="str">
        <f t="shared" si="634"/>
        <v/>
      </c>
      <c r="AH154" s="793" t="str">
        <f t="shared" si="634"/>
        <v/>
      </c>
    </row>
    <row r="155" spans="3:34" s="379" customFormat="1">
      <c r="C155" s="780" t="s">
        <v>17</v>
      </c>
      <c r="D155" s="793">
        <f>IFERROR(D191*1000/D119,"")</f>
        <v>2.2999999999999998</v>
      </c>
      <c r="E155" s="793">
        <f t="shared" ref="E155:AH155" si="635">IFERROR(E191*1000/E119,"")</f>
        <v>2.3000000000000003</v>
      </c>
      <c r="F155" s="793">
        <f t="shared" si="635"/>
        <v>1.8320000000000001</v>
      </c>
      <c r="G155" s="793">
        <f t="shared" si="635"/>
        <v>2.2315352207198247</v>
      </c>
      <c r="H155" s="793">
        <f t="shared" si="635"/>
        <v>2.2339308325453358</v>
      </c>
      <c r="I155" s="793">
        <f t="shared" si="635"/>
        <v>2.2355007055332963</v>
      </c>
      <c r="J155" s="793" t="str">
        <f t="shared" si="635"/>
        <v/>
      </c>
      <c r="K155" s="793" t="str">
        <f t="shared" si="635"/>
        <v/>
      </c>
      <c r="L155" s="793" t="str">
        <f t="shared" si="635"/>
        <v/>
      </c>
      <c r="M155" s="793" t="str">
        <f t="shared" si="635"/>
        <v/>
      </c>
      <c r="N155" s="793" t="str">
        <f t="shared" si="635"/>
        <v/>
      </c>
      <c r="O155" s="793" t="str">
        <f t="shared" si="635"/>
        <v/>
      </c>
      <c r="P155" s="793" t="str">
        <f t="shared" si="635"/>
        <v/>
      </c>
      <c r="Q155" s="793" t="str">
        <f t="shared" si="635"/>
        <v/>
      </c>
      <c r="R155" s="793" t="str">
        <f t="shared" si="635"/>
        <v/>
      </c>
      <c r="S155" s="793" t="str">
        <f t="shared" si="635"/>
        <v/>
      </c>
      <c r="T155" s="793" t="str">
        <f t="shared" si="635"/>
        <v/>
      </c>
      <c r="U155" s="793" t="str">
        <f t="shared" si="635"/>
        <v/>
      </c>
      <c r="V155" s="793" t="str">
        <f t="shared" si="635"/>
        <v/>
      </c>
      <c r="W155" s="793" t="str">
        <f t="shared" si="635"/>
        <v/>
      </c>
      <c r="X155" s="793" t="str">
        <f t="shared" si="635"/>
        <v/>
      </c>
      <c r="Y155" s="793" t="str">
        <f t="shared" si="635"/>
        <v/>
      </c>
      <c r="Z155" s="793" t="str">
        <f t="shared" si="635"/>
        <v/>
      </c>
      <c r="AA155" s="793" t="str">
        <f t="shared" si="635"/>
        <v/>
      </c>
      <c r="AB155" s="793" t="str">
        <f t="shared" si="635"/>
        <v/>
      </c>
      <c r="AC155" s="793" t="str">
        <f t="shared" si="635"/>
        <v/>
      </c>
      <c r="AD155" s="793" t="str">
        <f t="shared" si="635"/>
        <v/>
      </c>
      <c r="AE155" s="793" t="str">
        <f t="shared" si="635"/>
        <v/>
      </c>
      <c r="AF155" s="793" t="str">
        <f t="shared" si="635"/>
        <v/>
      </c>
      <c r="AG155" s="793" t="str">
        <f t="shared" si="635"/>
        <v/>
      </c>
      <c r="AH155" s="793" t="str">
        <f t="shared" si="635"/>
        <v/>
      </c>
    </row>
    <row r="156" spans="3:34" s="379" customFormat="1">
      <c r="C156" s="780" t="s">
        <v>73</v>
      </c>
      <c r="D156" s="793">
        <f>IFERROR(D192*1000/D120,"")</f>
        <v>2.2999999999999998</v>
      </c>
      <c r="E156" s="793">
        <f t="shared" ref="E156:AH156" si="636">IFERROR(E192*1000/E120,"")</f>
        <v>2.2999999999999998</v>
      </c>
      <c r="F156" s="793">
        <f t="shared" si="636"/>
        <v>2.1440000000000001</v>
      </c>
      <c r="G156" s="793">
        <f t="shared" si="636"/>
        <v>2.165883805179956</v>
      </c>
      <c r="H156" s="793">
        <f t="shared" si="636"/>
        <v>2.1734445859983316</v>
      </c>
      <c r="I156" s="793">
        <f t="shared" si="636"/>
        <v>2.1847275168228704</v>
      </c>
      <c r="J156" s="793" t="str">
        <f t="shared" si="636"/>
        <v/>
      </c>
      <c r="K156" s="793" t="str">
        <f t="shared" si="636"/>
        <v/>
      </c>
      <c r="L156" s="793" t="str">
        <f t="shared" si="636"/>
        <v/>
      </c>
      <c r="M156" s="793" t="str">
        <f t="shared" si="636"/>
        <v/>
      </c>
      <c r="N156" s="793" t="str">
        <f t="shared" si="636"/>
        <v/>
      </c>
      <c r="O156" s="793" t="str">
        <f t="shared" si="636"/>
        <v/>
      </c>
      <c r="P156" s="793" t="str">
        <f t="shared" si="636"/>
        <v/>
      </c>
      <c r="Q156" s="793" t="str">
        <f t="shared" si="636"/>
        <v/>
      </c>
      <c r="R156" s="793" t="str">
        <f t="shared" si="636"/>
        <v/>
      </c>
      <c r="S156" s="793" t="str">
        <f t="shared" si="636"/>
        <v/>
      </c>
      <c r="T156" s="793" t="str">
        <f t="shared" si="636"/>
        <v/>
      </c>
      <c r="U156" s="793" t="str">
        <f t="shared" si="636"/>
        <v/>
      </c>
      <c r="V156" s="793" t="str">
        <f t="shared" si="636"/>
        <v/>
      </c>
      <c r="W156" s="793" t="str">
        <f t="shared" si="636"/>
        <v/>
      </c>
      <c r="X156" s="793" t="str">
        <f t="shared" si="636"/>
        <v/>
      </c>
      <c r="Y156" s="793" t="str">
        <f t="shared" si="636"/>
        <v/>
      </c>
      <c r="Z156" s="793" t="str">
        <f t="shared" si="636"/>
        <v/>
      </c>
      <c r="AA156" s="793" t="str">
        <f t="shared" si="636"/>
        <v/>
      </c>
      <c r="AB156" s="793" t="str">
        <f t="shared" si="636"/>
        <v/>
      </c>
      <c r="AC156" s="793" t="str">
        <f t="shared" si="636"/>
        <v/>
      </c>
      <c r="AD156" s="793" t="str">
        <f t="shared" si="636"/>
        <v/>
      </c>
      <c r="AE156" s="793" t="str">
        <f t="shared" si="636"/>
        <v/>
      </c>
      <c r="AF156" s="793" t="str">
        <f t="shared" si="636"/>
        <v/>
      </c>
      <c r="AG156" s="793" t="str">
        <f t="shared" si="636"/>
        <v/>
      </c>
      <c r="AH156" s="793" t="str">
        <f t="shared" si="636"/>
        <v/>
      </c>
    </row>
    <row r="157" spans="3:34" s="379" customFormat="1">
      <c r="C157" s="780"/>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c r="AA157" s="792"/>
      <c r="AB157" s="792"/>
      <c r="AC157" s="792"/>
      <c r="AD157" s="792"/>
      <c r="AE157" s="792"/>
      <c r="AF157" s="792"/>
      <c r="AG157" s="792"/>
      <c r="AH157" s="792"/>
    </row>
    <row r="158" spans="3:34" s="379" customFormat="1">
      <c r="C158" s="780" t="str">
        <f>_xlfn.CONCAT(C39," ",C38)</f>
        <v>Broken Gold</v>
      </c>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c r="AA158" s="792"/>
      <c r="AB158" s="792"/>
      <c r="AC158" s="792"/>
      <c r="AD158" s="792"/>
      <c r="AE158" s="792"/>
      <c r="AF158" s="792"/>
      <c r="AG158" s="792"/>
      <c r="AH158" s="792"/>
    </row>
    <row r="159" spans="3:34" s="379" customFormat="1">
      <c r="C159" s="780" t="s">
        <v>16</v>
      </c>
      <c r="D159" s="794">
        <f>IF(D$48&gt;$C$7,"",Stoping!H15)</f>
        <v>3.2918700000000003</v>
      </c>
      <c r="E159" s="794">
        <f>IF(E$48&gt;$C$7,"",Stoping!I15)</f>
        <v>2.9274299999999998</v>
      </c>
      <c r="F159" s="794">
        <f>IF(F$48&gt;$C$7,"",Stoping!J15)</f>
        <v>2.8548400000000007</v>
      </c>
      <c r="G159" s="794">
        <f>IF(G$48&gt;$C$7,"",Stoping!K15)</f>
        <v>3.3567299999999998</v>
      </c>
      <c r="H159" s="794">
        <f>IF(H$48&gt;$C$7,"",Stoping!L15)</f>
        <v>1.4960800000000001</v>
      </c>
      <c r="I159" s="794">
        <f>IF(I$48&gt;$C$7,"",Stoping!M15)</f>
        <v>2.77766</v>
      </c>
      <c r="J159" s="794" t="str">
        <f>IF(J$48&gt;$C$7,"",Stoping!N15)</f>
        <v/>
      </c>
      <c r="K159" s="794" t="str">
        <f>IF(K$48&gt;$C$7,"",Stoping!O15)</f>
        <v/>
      </c>
      <c r="L159" s="794" t="str">
        <f>IF(L$48&gt;$C$7,"",Stoping!P15)</f>
        <v/>
      </c>
      <c r="M159" s="794" t="str">
        <f>IF(M$48&gt;$C$7,"",Stoping!Q15)</f>
        <v/>
      </c>
      <c r="N159" s="794" t="str">
        <f>IF(N$48&gt;$C$7,"",Stoping!R15)</f>
        <v/>
      </c>
      <c r="O159" s="794" t="str">
        <f>IF(O$48&gt;$C$7,"",Stoping!S15)</f>
        <v/>
      </c>
      <c r="P159" s="794" t="str">
        <f>IF(P$48&gt;$C$7,"",Stoping!T15)</f>
        <v/>
      </c>
      <c r="Q159" s="794" t="str">
        <f>IF(Q$48&gt;$C$7,"",Stoping!U15)</f>
        <v/>
      </c>
      <c r="R159" s="794" t="str">
        <f>IF(R$48&gt;$C$7,"",Stoping!V15)</f>
        <v/>
      </c>
      <c r="S159" s="794" t="str">
        <f>IF(S$48&gt;$C$7,"",Stoping!W15)</f>
        <v/>
      </c>
      <c r="T159" s="794" t="str">
        <f>IF(T$48&gt;$C$7,"",Stoping!X15)</f>
        <v/>
      </c>
      <c r="U159" s="794" t="str">
        <f>IF(U$48&gt;$C$7,"",Stoping!Y15)</f>
        <v/>
      </c>
      <c r="V159" s="794" t="str">
        <f>IF(V$48&gt;$C$7,"",Stoping!Z15)</f>
        <v/>
      </c>
      <c r="W159" s="794" t="str">
        <f>IF(W$48&gt;$C$7,"",Stoping!AA15)</f>
        <v/>
      </c>
      <c r="X159" s="794" t="str">
        <f>IF(X$48&gt;$C$7,"",Stoping!AB15)</f>
        <v/>
      </c>
      <c r="Y159" s="794" t="str">
        <f>IF(Y$48&gt;$C$7,"",Stoping!AC15)</f>
        <v/>
      </c>
      <c r="Z159" s="794" t="str">
        <f>IF(Z$48&gt;$C$7,"",Stoping!AD15)</f>
        <v/>
      </c>
      <c r="AA159" s="794" t="str">
        <f>IF(AA$48&gt;$C$7,"",Stoping!AE15)</f>
        <v/>
      </c>
      <c r="AB159" s="794" t="str">
        <f>IF(AB$48&gt;$C$7,"",Stoping!AF15)</f>
        <v/>
      </c>
      <c r="AC159" s="794" t="str">
        <f>IF(AC$48&gt;$C$7,"",Stoping!AG15)</f>
        <v/>
      </c>
      <c r="AD159" s="794" t="str">
        <f>IF(AD$48&gt;$C$7,"",Stoping!AH15)</f>
        <v/>
      </c>
      <c r="AE159" s="794" t="str">
        <f>IF(AE$48&gt;$C$7,"",Stoping!AI15)</f>
        <v/>
      </c>
      <c r="AF159" s="794" t="str">
        <f>IF(AF$48&gt;$C$7,"",Stoping!AJ15)</f>
        <v/>
      </c>
      <c r="AG159" s="794" t="str">
        <f>IF(AG$48&gt;$C$7,"",Stoping!AK15)</f>
        <v/>
      </c>
      <c r="AH159" s="794" t="str">
        <f>IF(AH$48&gt;$C$7,"",Stoping!AL15)</f>
        <v/>
      </c>
    </row>
    <row r="160" spans="3:34" s="379" customFormat="1">
      <c r="C160" s="780" t="s">
        <v>72</v>
      </c>
      <c r="D160" s="794">
        <f>D159</f>
        <v>3.2918700000000003</v>
      </c>
      <c r="E160" s="794">
        <f>IFERROR(E159+D160,"")</f>
        <v>6.2193000000000005</v>
      </c>
      <c r="F160" s="794">
        <f>IFERROR(F159+E160,"")</f>
        <v>9.0741400000000016</v>
      </c>
      <c r="G160" s="794">
        <f t="shared" ref="G160" si="637">IFERROR(G159+F160,"")</f>
        <v>12.430870000000002</v>
      </c>
      <c r="H160" s="794">
        <f t="shared" ref="H160" si="638">IFERROR(H159+G160,"")</f>
        <v>13.926950000000001</v>
      </c>
      <c r="I160" s="794">
        <f t="shared" ref="I160" si="639">IFERROR(I159+H160,"")</f>
        <v>16.704610000000002</v>
      </c>
      <c r="J160" s="794" t="str">
        <f t="shared" ref="J160" si="640">IFERROR(J159+I160,"")</f>
        <v/>
      </c>
      <c r="K160" s="794" t="str">
        <f t="shared" ref="K160" si="641">IFERROR(K159+J160,"")</f>
        <v/>
      </c>
      <c r="L160" s="794" t="str">
        <f t="shared" ref="L160" si="642">IFERROR(L159+K160,"")</f>
        <v/>
      </c>
      <c r="M160" s="794" t="str">
        <f>IFERROR(M159+L160,"")</f>
        <v/>
      </c>
      <c r="N160" s="794" t="str">
        <f t="shared" ref="N160" si="643">IFERROR(N159+M160,"")</f>
        <v/>
      </c>
      <c r="O160" s="794" t="str">
        <f t="shared" ref="O160" si="644">IFERROR(O159+N160,"")</f>
        <v/>
      </c>
      <c r="P160" s="794" t="str">
        <f t="shared" ref="P160" si="645">IFERROR(P159+O160,"")</f>
        <v/>
      </c>
      <c r="Q160" s="794" t="str">
        <f t="shared" ref="Q160" si="646">IFERROR(Q159+P160,"")</f>
        <v/>
      </c>
      <c r="R160" s="794" t="str">
        <f t="shared" ref="R160" si="647">IFERROR(R159+Q160,"")</f>
        <v/>
      </c>
      <c r="S160" s="794" t="str">
        <f t="shared" ref="S160" si="648">IFERROR(S159+R160,"")</f>
        <v/>
      </c>
      <c r="T160" s="794" t="str">
        <f t="shared" ref="T160" si="649">IFERROR(T159+S160,"")</f>
        <v/>
      </c>
      <c r="U160" s="794" t="str">
        <f t="shared" ref="U160" si="650">IFERROR(U159+T160,"")</f>
        <v/>
      </c>
      <c r="V160" s="794" t="str">
        <f t="shared" ref="V160" si="651">IFERROR(V159+U160,"")</f>
        <v/>
      </c>
      <c r="W160" s="794" t="str">
        <f t="shared" ref="W160" si="652">IFERROR(W159+V160,"")</f>
        <v/>
      </c>
      <c r="X160" s="794" t="str">
        <f t="shared" ref="X160" si="653">IFERROR(X159+W160,"")</f>
        <v/>
      </c>
      <c r="Y160" s="794" t="str">
        <f t="shared" ref="Y160" si="654">IFERROR(Y159+X160,"")</f>
        <v/>
      </c>
      <c r="Z160" s="794" t="str">
        <f t="shared" ref="Z160" si="655">IFERROR(Z159+Y160,"")</f>
        <v/>
      </c>
      <c r="AA160" s="794" t="str">
        <f t="shared" ref="AA160" si="656">IFERROR(AA159+Z160,"")</f>
        <v/>
      </c>
      <c r="AB160" s="794" t="str">
        <f t="shared" ref="AB160" si="657">IFERROR(AB159+AA160,"")</f>
        <v/>
      </c>
      <c r="AC160" s="794" t="str">
        <f t="shared" ref="AC160" si="658">IFERROR(AC159+AB160,"")</f>
        <v/>
      </c>
      <c r="AD160" s="794" t="str">
        <f t="shared" ref="AD160" si="659">IFERROR(AD159+AC160,"")</f>
        <v/>
      </c>
      <c r="AE160" s="794" t="str">
        <f t="shared" ref="AE160" si="660">IFERROR(AE159+AD160,"")</f>
        <v/>
      </c>
      <c r="AF160" s="794" t="str">
        <f t="shared" ref="AF160" si="661">IFERROR(AF159+AE160,"")</f>
        <v/>
      </c>
      <c r="AG160" s="794" t="str">
        <f t="shared" ref="AG160" si="662">IFERROR(AG159+AF160,"")</f>
        <v/>
      </c>
      <c r="AH160" s="794" t="str">
        <f t="shared" ref="AH160" si="663">IFERROR(AH159+AG160,"")</f>
        <v/>
      </c>
    </row>
    <row r="161" spans="3:34" s="379" customFormat="1">
      <c r="C161" s="780" t="s">
        <v>17</v>
      </c>
      <c r="D161" s="794">
        <f>IF(D$48&gt;$C$7,"",Stoping!H14)</f>
        <v>2.053306074766355</v>
      </c>
      <c r="E161" s="794">
        <f>IF(E$48&gt;$C$7,"",Stoping!I14)</f>
        <v>2.053306074766355</v>
      </c>
      <c r="F161" s="794">
        <f>IF(F$48&gt;$C$7,"",Stoping!J14)</f>
        <v>2.053306074766355</v>
      </c>
      <c r="G161" s="794">
        <f>IF(G$48&gt;$C$7,"",Stoping!K14)</f>
        <v>2.053306074766355</v>
      </c>
      <c r="H161" s="794">
        <f>IF(H$48&gt;$C$7,"",Stoping!L14)</f>
        <v>2.053306074766355</v>
      </c>
      <c r="I161" s="794">
        <f>IF(I$48&gt;$C$7,"",Stoping!M14)</f>
        <v>2.053306074766355</v>
      </c>
      <c r="J161" s="794" t="str">
        <f>IF(J$48&gt;$C$7,"",Stoping!N14)</f>
        <v/>
      </c>
      <c r="K161" s="794" t="str">
        <f>IF(K$48&gt;$C$7,"",Stoping!O14)</f>
        <v/>
      </c>
      <c r="L161" s="794" t="str">
        <f>IF(L$48&gt;$C$7,"",Stoping!P14)</f>
        <v/>
      </c>
      <c r="M161" s="794" t="str">
        <f>IF(M$48&gt;$C$7,"",Stoping!Q14)</f>
        <v/>
      </c>
      <c r="N161" s="794" t="str">
        <f>IF(N$48&gt;$C$7,"",Stoping!R14)</f>
        <v/>
      </c>
      <c r="O161" s="794" t="str">
        <f>IF(O$48&gt;$C$7,"",Stoping!S14)</f>
        <v/>
      </c>
      <c r="P161" s="794" t="str">
        <f>IF(P$48&gt;$C$7,"",Stoping!T14)</f>
        <v/>
      </c>
      <c r="Q161" s="794" t="str">
        <f>IF(Q$48&gt;$C$7,"",Stoping!U14)</f>
        <v/>
      </c>
      <c r="R161" s="794" t="str">
        <f>IF(R$48&gt;$C$7,"",Stoping!V14)</f>
        <v/>
      </c>
      <c r="S161" s="794" t="str">
        <f>IF(S$48&gt;$C$7,"",Stoping!W14)</f>
        <v/>
      </c>
      <c r="T161" s="794" t="str">
        <f>IF(T$48&gt;$C$7,"",Stoping!X14)</f>
        <v/>
      </c>
      <c r="U161" s="794" t="str">
        <f>IF(U$48&gt;$C$7,"",Stoping!Y14)</f>
        <v/>
      </c>
      <c r="V161" s="794" t="str">
        <f>IF(V$48&gt;$C$7,"",Stoping!Z14)</f>
        <v/>
      </c>
      <c r="W161" s="794" t="str">
        <f>IF(W$48&gt;$C$7,"",Stoping!AA14)</f>
        <v/>
      </c>
      <c r="X161" s="794" t="str">
        <f>IF(X$48&gt;$C$7,"",Stoping!AB14)</f>
        <v/>
      </c>
      <c r="Y161" s="794" t="str">
        <f>IF(Y$48&gt;$C$7,"",Stoping!AC14)</f>
        <v/>
      </c>
      <c r="Z161" s="794" t="str">
        <f>IF(Z$48&gt;$C$7,"",Stoping!AD14)</f>
        <v/>
      </c>
      <c r="AA161" s="794" t="str">
        <f>IF(AA$48&gt;$C$7,"",Stoping!AE14)</f>
        <v/>
      </c>
      <c r="AB161" s="794" t="str">
        <f>IF(AB$48&gt;$C$7,"",Stoping!AF14)</f>
        <v/>
      </c>
      <c r="AC161" s="794" t="str">
        <f>IF(AC$48&gt;$C$7,"",Stoping!AG14)</f>
        <v/>
      </c>
      <c r="AD161" s="794" t="str">
        <f>IF(AD$48&gt;$C$7,"",Stoping!AH14)</f>
        <v/>
      </c>
      <c r="AE161" s="794" t="str">
        <f>IF(AE$48&gt;$C$7,"",Stoping!AI14)</f>
        <v/>
      </c>
      <c r="AF161" s="794" t="str">
        <f>IF(AF$48&gt;$C$7,"",Stoping!AJ14)</f>
        <v/>
      </c>
      <c r="AG161" s="794" t="str">
        <f>IF(AG$48&gt;$C$7,"",Stoping!AK14)</f>
        <v/>
      </c>
      <c r="AH161" s="794" t="str">
        <f>IF(AH$48&gt;$C$7,"",Stoping!AL14)</f>
        <v/>
      </c>
    </row>
    <row r="162" spans="3:34" s="379" customFormat="1">
      <c r="C162" s="780" t="s">
        <v>73</v>
      </c>
      <c r="D162" s="794">
        <f>D161</f>
        <v>2.053306074766355</v>
      </c>
      <c r="E162" s="794">
        <f>IFERROR(E161+D162,"")</f>
        <v>4.1066121495327099</v>
      </c>
      <c r="F162" s="794">
        <f>IFERROR(F161+E162,"")</f>
        <v>6.1599182242990649</v>
      </c>
      <c r="G162" s="794">
        <f t="shared" ref="G162" si="664">IFERROR(G161+F162,"")</f>
        <v>8.2132242990654198</v>
      </c>
      <c r="H162" s="794">
        <f t="shared" ref="H162" si="665">IFERROR(H161+G162,"")</f>
        <v>10.266530373831774</v>
      </c>
      <c r="I162" s="794">
        <f t="shared" ref="I162" si="666">IFERROR(I161+H162,"")</f>
        <v>12.319836448598128</v>
      </c>
      <c r="J162" s="794" t="str">
        <f t="shared" ref="J162" si="667">IFERROR(J161+I162,"")</f>
        <v/>
      </c>
      <c r="K162" s="794" t="str">
        <f t="shared" ref="K162" si="668">IFERROR(K161+J162,"")</f>
        <v/>
      </c>
      <c r="L162" s="794" t="str">
        <f t="shared" ref="L162" si="669">IFERROR(L161+K162,"")</f>
        <v/>
      </c>
      <c r="M162" s="794" t="str">
        <f>IFERROR(M161+L162,"")</f>
        <v/>
      </c>
      <c r="N162" s="794" t="str">
        <f t="shared" ref="N162" si="670">IFERROR(N161+M162,"")</f>
        <v/>
      </c>
      <c r="O162" s="794" t="str">
        <f t="shared" ref="O162" si="671">IFERROR(O161+N162,"")</f>
        <v/>
      </c>
      <c r="P162" s="794" t="str">
        <f t="shared" ref="P162" si="672">IFERROR(P161+O162,"")</f>
        <v/>
      </c>
      <c r="Q162" s="794" t="str">
        <f t="shared" ref="Q162" si="673">IFERROR(Q161+P162,"")</f>
        <v/>
      </c>
      <c r="R162" s="794" t="str">
        <f t="shared" ref="R162" si="674">IFERROR(R161+Q162,"")</f>
        <v/>
      </c>
      <c r="S162" s="794" t="str">
        <f t="shared" ref="S162" si="675">IFERROR(S161+R162,"")</f>
        <v/>
      </c>
      <c r="T162" s="794" t="str">
        <f t="shared" ref="T162" si="676">IFERROR(T161+S162,"")</f>
        <v/>
      </c>
      <c r="U162" s="794" t="str">
        <f t="shared" ref="U162" si="677">IFERROR(U161+T162,"")</f>
        <v/>
      </c>
      <c r="V162" s="794" t="str">
        <f t="shared" ref="V162" si="678">IFERROR(V161+U162,"")</f>
        <v/>
      </c>
      <c r="W162" s="794" t="str">
        <f t="shared" ref="W162" si="679">IFERROR(W161+V162,"")</f>
        <v/>
      </c>
      <c r="X162" s="794" t="str">
        <f t="shared" ref="X162" si="680">IFERROR(X161+W162,"")</f>
        <v/>
      </c>
      <c r="Y162" s="794" t="str">
        <f t="shared" ref="Y162" si="681">IFERROR(Y161+X162,"")</f>
        <v/>
      </c>
      <c r="Z162" s="794" t="str">
        <f t="shared" ref="Z162" si="682">IFERROR(Z161+Y162,"")</f>
        <v/>
      </c>
      <c r="AA162" s="794" t="str">
        <f t="shared" ref="AA162" si="683">IFERROR(AA161+Z162,"")</f>
        <v/>
      </c>
      <c r="AB162" s="794" t="str">
        <f t="shared" ref="AB162" si="684">IFERROR(AB161+AA162,"")</f>
        <v/>
      </c>
      <c r="AC162" s="794" t="str">
        <f t="shared" ref="AC162" si="685">IFERROR(AC161+AB162,"")</f>
        <v/>
      </c>
      <c r="AD162" s="794" t="str">
        <f t="shared" ref="AD162" si="686">IFERROR(AD161+AC162,"")</f>
        <v/>
      </c>
      <c r="AE162" s="794" t="str">
        <f t="shared" ref="AE162" si="687">IFERROR(AE161+AD162,"")</f>
        <v/>
      </c>
      <c r="AF162" s="794" t="str">
        <f t="shared" ref="AF162" si="688">IFERROR(AF161+AE162,"")</f>
        <v/>
      </c>
      <c r="AG162" s="794" t="str">
        <f t="shared" ref="AG162" si="689">IFERROR(AG161+AF162,"")</f>
        <v/>
      </c>
      <c r="AH162" s="794" t="str">
        <f t="shared" ref="AH162" si="690">IFERROR(AH161+AG162,"")</f>
        <v/>
      </c>
    </row>
    <row r="163" spans="3:34" s="379" customFormat="1">
      <c r="C163" s="780"/>
      <c r="D163" s="794"/>
      <c r="E163" s="794"/>
      <c r="F163" s="794"/>
      <c r="G163" s="794"/>
      <c r="H163" s="794"/>
      <c r="I163" s="794"/>
      <c r="J163" s="794"/>
      <c r="K163" s="794"/>
      <c r="L163" s="794"/>
      <c r="M163" s="795"/>
      <c r="N163" s="795"/>
      <c r="O163" s="795"/>
      <c r="P163" s="795"/>
      <c r="Q163" s="795"/>
      <c r="R163" s="795"/>
      <c r="S163" s="795"/>
      <c r="T163" s="795"/>
      <c r="U163" s="795"/>
      <c r="V163" s="795"/>
      <c r="W163" s="795"/>
      <c r="X163" s="795"/>
      <c r="Y163" s="795"/>
      <c r="Z163" s="795"/>
      <c r="AA163" s="795"/>
      <c r="AB163" s="795"/>
      <c r="AC163" s="795"/>
      <c r="AD163" s="795"/>
      <c r="AE163" s="795"/>
      <c r="AF163" s="795"/>
      <c r="AG163" s="795"/>
      <c r="AH163" s="795"/>
    </row>
    <row r="164" spans="3:34" s="379" customFormat="1">
      <c r="C164" s="780" t="str">
        <f>_xlfn.CONCAT(C40," ",C38)</f>
        <v>Trammed Gold</v>
      </c>
      <c r="D164" s="794"/>
      <c r="E164" s="794"/>
      <c r="F164" s="794"/>
      <c r="G164" s="794"/>
      <c r="H164" s="794"/>
      <c r="I164" s="794"/>
      <c r="J164" s="794"/>
      <c r="K164" s="794"/>
      <c r="L164" s="794"/>
      <c r="M164" s="795"/>
      <c r="N164" s="795"/>
      <c r="O164" s="795"/>
      <c r="P164" s="795"/>
      <c r="Q164" s="795"/>
      <c r="R164" s="795"/>
      <c r="S164" s="795"/>
      <c r="T164" s="795"/>
      <c r="U164" s="795"/>
      <c r="V164" s="795"/>
      <c r="W164" s="795"/>
      <c r="X164" s="795"/>
      <c r="Y164" s="795"/>
      <c r="Z164" s="795"/>
      <c r="AA164" s="795"/>
      <c r="AB164" s="795"/>
      <c r="AC164" s="795"/>
      <c r="AD164" s="795"/>
      <c r="AE164" s="795"/>
      <c r="AF164" s="795"/>
      <c r="AG164" s="795"/>
      <c r="AH164" s="795"/>
    </row>
    <row r="165" spans="3:34" s="379" customFormat="1">
      <c r="C165" s="780" t="s">
        <v>16</v>
      </c>
      <c r="D165" s="794">
        <f>IF(D$48&gt;$C$7,"",Tramming!H15)</f>
        <v>1.7385799999999998</v>
      </c>
      <c r="E165" s="794">
        <f>IF(E$48&gt;$C$7,"",Tramming!I15)</f>
        <v>3.3718950000000003</v>
      </c>
      <c r="F165" s="794">
        <f>IF(F$48&gt;$C$7,"",Tramming!J15)</f>
        <v>2.9947299999999997</v>
      </c>
      <c r="G165" s="794">
        <f>IF(G$48&gt;$C$7,"",Tramming!K15)</f>
        <v>2.2661049999999996</v>
      </c>
      <c r="H165" s="794">
        <f>IF(H$48&gt;$C$7,"",Tramming!L15)</f>
        <v>2.6365200000000004</v>
      </c>
      <c r="I165" s="794">
        <f>IF(I$48&gt;$C$7,"",Tramming!M15)</f>
        <v>0</v>
      </c>
      <c r="J165" s="794" t="str">
        <f>IF(J$48&gt;$C$7,"",Tramming!N15)</f>
        <v/>
      </c>
      <c r="K165" s="794" t="str">
        <f>IF(K$48&gt;$C$7,"",Tramming!O15)</f>
        <v/>
      </c>
      <c r="L165" s="794" t="str">
        <f>IF(L$48&gt;$C$7,"",Tramming!P15)</f>
        <v/>
      </c>
      <c r="M165" s="794" t="str">
        <f>IF(M$48&gt;$C$7,"",Tramming!Q15)</f>
        <v/>
      </c>
      <c r="N165" s="794" t="str">
        <f>IF(N$48&gt;$C$7,"",Tramming!R15)</f>
        <v/>
      </c>
      <c r="O165" s="794" t="str">
        <f>IF(O$48&gt;$C$7,"",Tramming!S15)</f>
        <v/>
      </c>
      <c r="P165" s="794" t="str">
        <f>IF(P$48&gt;$C$7,"",Tramming!T15)</f>
        <v/>
      </c>
      <c r="Q165" s="794" t="str">
        <f>IF(Q$48&gt;$C$7,"",Tramming!U15)</f>
        <v/>
      </c>
      <c r="R165" s="794" t="str">
        <f>IF(R$48&gt;$C$7,"",Tramming!V15)</f>
        <v/>
      </c>
      <c r="S165" s="794" t="str">
        <f>IF(S$48&gt;$C$7,"",Tramming!W15)</f>
        <v/>
      </c>
      <c r="T165" s="794" t="str">
        <f>IF(T$48&gt;$C$7,"",Tramming!X15)</f>
        <v/>
      </c>
      <c r="U165" s="794" t="str">
        <f>IF(U$48&gt;$C$7,"",Tramming!Y15)</f>
        <v/>
      </c>
      <c r="V165" s="794" t="str">
        <f>IF(V$48&gt;$C$7,"",Tramming!Z15)</f>
        <v/>
      </c>
      <c r="W165" s="794" t="str">
        <f>IF(W$48&gt;$C$7,"",Tramming!AA15)</f>
        <v/>
      </c>
      <c r="X165" s="794" t="str">
        <f>IF(X$48&gt;$C$7,"",Tramming!AB15)</f>
        <v/>
      </c>
      <c r="Y165" s="794" t="str">
        <f>IF(Y$48&gt;$C$7,"",Tramming!AC15)</f>
        <v/>
      </c>
      <c r="Z165" s="794" t="str">
        <f>IF(Z$48&gt;$C$7,"",Tramming!AD15)</f>
        <v/>
      </c>
      <c r="AA165" s="794" t="str">
        <f>IF(AA$48&gt;$C$7,"",Tramming!AE15)</f>
        <v/>
      </c>
      <c r="AB165" s="794" t="str">
        <f>IF(AB$48&gt;$C$7,"",Tramming!AF15)</f>
        <v/>
      </c>
      <c r="AC165" s="794" t="str">
        <f>IF(AC$48&gt;$C$7,"",Tramming!AG15)</f>
        <v/>
      </c>
      <c r="AD165" s="794" t="str">
        <f>IF(AD$48&gt;$C$7,"",Tramming!AH15)</f>
        <v/>
      </c>
      <c r="AE165" s="794" t="str">
        <f>IF(AE$48&gt;$C$7,"",Tramming!AI15)</f>
        <v/>
      </c>
      <c r="AF165" s="794" t="str">
        <f>IF(AF$48&gt;$C$7,"",Tramming!AJ15)</f>
        <v/>
      </c>
      <c r="AG165" s="794" t="str">
        <f>IF(AG$48&gt;$C$7,"",Tramming!AK15)</f>
        <v/>
      </c>
      <c r="AH165" s="794" t="str">
        <f>IF(AH$48&gt;$C$7,"",Tramming!AL15)</f>
        <v/>
      </c>
    </row>
    <row r="166" spans="3:34" s="379" customFormat="1">
      <c r="C166" s="780" t="s">
        <v>72</v>
      </c>
      <c r="D166" s="794">
        <f>D165</f>
        <v>1.7385799999999998</v>
      </c>
      <c r="E166" s="794">
        <f>IFERROR(E165+D166,"")</f>
        <v>5.1104750000000001</v>
      </c>
      <c r="F166" s="794">
        <f>IFERROR(F165+E166,"")</f>
        <v>8.1052049999999998</v>
      </c>
      <c r="G166" s="794">
        <f t="shared" ref="G166" si="691">IFERROR(G165+F166,"")</f>
        <v>10.371309999999999</v>
      </c>
      <c r="H166" s="794">
        <f t="shared" ref="H166" si="692">IFERROR(H165+G166,"")</f>
        <v>13.00783</v>
      </c>
      <c r="I166" s="794">
        <f t="shared" ref="I166" si="693">IFERROR(I165+H166,"")</f>
        <v>13.00783</v>
      </c>
      <c r="J166" s="794" t="str">
        <f t="shared" ref="J166" si="694">IFERROR(J165+I166,"")</f>
        <v/>
      </c>
      <c r="K166" s="794" t="str">
        <f t="shared" ref="K166" si="695">IFERROR(K165+J166,"")</f>
        <v/>
      </c>
      <c r="L166" s="794" t="str">
        <f t="shared" ref="L166" si="696">IFERROR(L165+K166,"")</f>
        <v/>
      </c>
      <c r="M166" s="795" t="str">
        <f>IFERROR(M165+L166,"")</f>
        <v/>
      </c>
      <c r="N166" s="795" t="str">
        <f t="shared" ref="N166" si="697">IFERROR(N165+M166,"")</f>
        <v/>
      </c>
      <c r="O166" s="795" t="str">
        <f t="shared" ref="O166" si="698">IFERROR(O165+N166,"")</f>
        <v/>
      </c>
      <c r="P166" s="795" t="str">
        <f t="shared" ref="P166" si="699">IFERROR(P165+O166,"")</f>
        <v/>
      </c>
      <c r="Q166" s="795" t="str">
        <f t="shared" ref="Q166" si="700">IFERROR(Q165+P166,"")</f>
        <v/>
      </c>
      <c r="R166" s="795" t="str">
        <f t="shared" ref="R166" si="701">IFERROR(R165+Q166,"")</f>
        <v/>
      </c>
      <c r="S166" s="795" t="str">
        <f t="shared" ref="S166" si="702">IFERROR(S165+R166,"")</f>
        <v/>
      </c>
      <c r="T166" s="795" t="str">
        <f t="shared" ref="T166" si="703">IFERROR(T165+S166,"")</f>
        <v/>
      </c>
      <c r="U166" s="795" t="str">
        <f t="shared" ref="U166" si="704">IFERROR(U165+T166,"")</f>
        <v/>
      </c>
      <c r="V166" s="795" t="str">
        <f t="shared" ref="V166" si="705">IFERROR(V165+U166,"")</f>
        <v/>
      </c>
      <c r="W166" s="795" t="str">
        <f t="shared" ref="W166" si="706">IFERROR(W165+V166,"")</f>
        <v/>
      </c>
      <c r="X166" s="795" t="str">
        <f t="shared" ref="X166" si="707">IFERROR(X165+W166,"")</f>
        <v/>
      </c>
      <c r="Y166" s="795" t="str">
        <f t="shared" ref="Y166" si="708">IFERROR(Y165+X166,"")</f>
        <v/>
      </c>
      <c r="Z166" s="795" t="str">
        <f t="shared" ref="Z166" si="709">IFERROR(Z165+Y166,"")</f>
        <v/>
      </c>
      <c r="AA166" s="795" t="str">
        <f t="shared" ref="AA166" si="710">IFERROR(AA165+Z166,"")</f>
        <v/>
      </c>
      <c r="AB166" s="795" t="str">
        <f t="shared" ref="AB166" si="711">IFERROR(AB165+AA166,"")</f>
        <v/>
      </c>
      <c r="AC166" s="795" t="str">
        <f t="shared" ref="AC166" si="712">IFERROR(AC165+AB166,"")</f>
        <v/>
      </c>
      <c r="AD166" s="795" t="str">
        <f t="shared" ref="AD166" si="713">IFERROR(AD165+AC166,"")</f>
        <v/>
      </c>
      <c r="AE166" s="795" t="str">
        <f t="shared" ref="AE166" si="714">IFERROR(AE165+AD166,"")</f>
        <v/>
      </c>
      <c r="AF166" s="795" t="str">
        <f t="shared" ref="AF166" si="715">IFERROR(AF165+AE166,"")</f>
        <v/>
      </c>
      <c r="AG166" s="795" t="str">
        <f t="shared" ref="AG166" si="716">IFERROR(AG165+AF166,"")</f>
        <v/>
      </c>
      <c r="AH166" s="795" t="str">
        <f t="shared" ref="AH166" si="717">IFERROR(AH165+AG166,"")</f>
        <v/>
      </c>
    </row>
    <row r="167" spans="3:34" s="379" customFormat="1">
      <c r="C167" s="780" t="s">
        <v>17</v>
      </c>
      <c r="D167" s="794">
        <f>IF(D$48&gt;$C$7,"",Tramming!H14)</f>
        <v>1.7391238317757007</v>
      </c>
      <c r="E167" s="794">
        <f>IF(E$48&gt;$C$7,"",Tramming!I14)</f>
        <v>2.053306074766355</v>
      </c>
      <c r="F167" s="794">
        <f>IF(F$48&gt;$C$7,"",Tramming!J14)</f>
        <v>2.053306074766355</v>
      </c>
      <c r="G167" s="794">
        <f>IF(G$48&gt;$C$7,"",Tramming!K14)</f>
        <v>2.053306074766355</v>
      </c>
      <c r="H167" s="794">
        <f>IF(H$48&gt;$C$7,"",Tramming!L14)</f>
        <v>2.053306074766355</v>
      </c>
      <c r="I167" s="794">
        <f>IF(I$48&gt;$C$7,"",Tramming!M14)</f>
        <v>2.053306074766355</v>
      </c>
      <c r="J167" s="794" t="str">
        <f>IF(J$48&gt;$C$7,"",Tramming!N14)</f>
        <v/>
      </c>
      <c r="K167" s="794" t="str">
        <f>IF(K$48&gt;$C$7,"",Tramming!O14)</f>
        <v/>
      </c>
      <c r="L167" s="794" t="str">
        <f>IF(L$48&gt;$C$7,"",Tramming!P14)</f>
        <v/>
      </c>
      <c r="M167" s="794" t="str">
        <f>IF(M$48&gt;$C$7,"",Tramming!Q14)</f>
        <v/>
      </c>
      <c r="N167" s="794" t="str">
        <f>IF(N$48&gt;$C$7,"",Tramming!R14)</f>
        <v/>
      </c>
      <c r="O167" s="794" t="str">
        <f>IF(O$48&gt;$C$7,"",Tramming!S14)</f>
        <v/>
      </c>
      <c r="P167" s="794" t="str">
        <f>IF(P$48&gt;$C$7,"",Tramming!T14)</f>
        <v/>
      </c>
      <c r="Q167" s="794" t="str">
        <f>IF(Q$48&gt;$C$7,"",Tramming!U14)</f>
        <v/>
      </c>
      <c r="R167" s="794" t="str">
        <f>IF(R$48&gt;$C$7,"",Tramming!V14)</f>
        <v/>
      </c>
      <c r="S167" s="794" t="str">
        <f>IF(S$48&gt;$C$7,"",Tramming!W14)</f>
        <v/>
      </c>
      <c r="T167" s="794" t="str">
        <f>IF(T$48&gt;$C$7,"",Tramming!X14)</f>
        <v/>
      </c>
      <c r="U167" s="794" t="str">
        <f>IF(U$48&gt;$C$7,"",Tramming!Y14)</f>
        <v/>
      </c>
      <c r="V167" s="794" t="str">
        <f>IF(V$48&gt;$C$7,"",Tramming!Z14)</f>
        <v/>
      </c>
      <c r="W167" s="794" t="str">
        <f>IF(W$48&gt;$C$7,"",Tramming!AA14)</f>
        <v/>
      </c>
      <c r="X167" s="794" t="str">
        <f>IF(X$48&gt;$C$7,"",Tramming!AB14)</f>
        <v/>
      </c>
      <c r="Y167" s="794" t="str">
        <f>IF(Y$48&gt;$C$7,"",Tramming!AC14)</f>
        <v/>
      </c>
      <c r="Z167" s="794" t="str">
        <f>IF(Z$48&gt;$C$7,"",Tramming!AD14)</f>
        <v/>
      </c>
      <c r="AA167" s="794" t="str">
        <f>IF(AA$48&gt;$C$7,"",Tramming!AE14)</f>
        <v/>
      </c>
      <c r="AB167" s="794" t="str">
        <f>IF(AB$48&gt;$C$7,"",Tramming!AF14)</f>
        <v/>
      </c>
      <c r="AC167" s="794" t="str">
        <f>IF(AC$48&gt;$C$7,"",Tramming!AG14)</f>
        <v/>
      </c>
      <c r="AD167" s="794" t="str">
        <f>IF(AD$48&gt;$C$7,"",Tramming!AH14)</f>
        <v/>
      </c>
      <c r="AE167" s="794" t="str">
        <f>IF(AE$48&gt;$C$7,"",Tramming!AI14)</f>
        <v/>
      </c>
      <c r="AF167" s="794" t="str">
        <f>IF(AF$48&gt;$C$7,"",Tramming!AJ14)</f>
        <v/>
      </c>
      <c r="AG167" s="794" t="str">
        <f>IF(AG$48&gt;$C$7,"",Tramming!AK14)</f>
        <v/>
      </c>
      <c r="AH167" s="794" t="str">
        <f>IF(AH$48&gt;$C$7,"",Tramming!AL14)</f>
        <v/>
      </c>
    </row>
    <row r="168" spans="3:34" s="379" customFormat="1">
      <c r="C168" s="780" t="s">
        <v>73</v>
      </c>
      <c r="D168" s="794">
        <f>D167</f>
        <v>1.7391238317757007</v>
      </c>
      <c r="E168" s="794">
        <f>IFERROR(E167+D168,"")</f>
        <v>3.7924299065420559</v>
      </c>
      <c r="F168" s="794">
        <f>IFERROR(F167+E168,"")</f>
        <v>5.8457359813084109</v>
      </c>
      <c r="G168" s="794">
        <f t="shared" ref="G168" si="718">IFERROR(G167+F168,"")</f>
        <v>7.8990420560747658</v>
      </c>
      <c r="H168" s="794">
        <f t="shared" ref="H168" si="719">IFERROR(H167+G168,"")</f>
        <v>9.9523481308411199</v>
      </c>
      <c r="I168" s="794">
        <f t="shared" ref="I168" si="720">IFERROR(I167+H168,"")</f>
        <v>12.005654205607474</v>
      </c>
      <c r="J168" s="794" t="str">
        <f t="shared" ref="J168" si="721">IFERROR(J167+I168,"")</f>
        <v/>
      </c>
      <c r="K168" s="794" t="str">
        <f t="shared" ref="K168" si="722">IFERROR(K167+J168,"")</f>
        <v/>
      </c>
      <c r="L168" s="794" t="str">
        <f t="shared" ref="L168" si="723">IFERROR(L167+K168,"")</f>
        <v/>
      </c>
      <c r="M168" s="795" t="str">
        <f>IFERROR(M167+L168,"")</f>
        <v/>
      </c>
      <c r="N168" s="795" t="str">
        <f t="shared" ref="N168" si="724">IFERROR(N167+M168,"")</f>
        <v/>
      </c>
      <c r="O168" s="795" t="str">
        <f t="shared" ref="O168" si="725">IFERROR(O167+N168,"")</f>
        <v/>
      </c>
      <c r="P168" s="795" t="str">
        <f t="shared" ref="P168" si="726">IFERROR(P167+O168,"")</f>
        <v/>
      </c>
      <c r="Q168" s="795" t="str">
        <f t="shared" ref="Q168" si="727">IFERROR(Q167+P168,"")</f>
        <v/>
      </c>
      <c r="R168" s="795" t="str">
        <f t="shared" ref="R168" si="728">IFERROR(R167+Q168,"")</f>
        <v/>
      </c>
      <c r="S168" s="795" t="str">
        <f t="shared" ref="S168" si="729">IFERROR(S167+R168,"")</f>
        <v/>
      </c>
      <c r="T168" s="795" t="str">
        <f t="shared" ref="T168" si="730">IFERROR(T167+S168,"")</f>
        <v/>
      </c>
      <c r="U168" s="795" t="str">
        <f t="shared" ref="U168" si="731">IFERROR(U167+T168,"")</f>
        <v/>
      </c>
      <c r="V168" s="795" t="str">
        <f t="shared" ref="V168" si="732">IFERROR(V167+U168,"")</f>
        <v/>
      </c>
      <c r="W168" s="795" t="str">
        <f t="shared" ref="W168" si="733">IFERROR(W167+V168,"")</f>
        <v/>
      </c>
      <c r="X168" s="795" t="str">
        <f t="shared" ref="X168" si="734">IFERROR(X167+W168,"")</f>
        <v/>
      </c>
      <c r="Y168" s="795" t="str">
        <f t="shared" ref="Y168" si="735">IFERROR(Y167+X168,"")</f>
        <v/>
      </c>
      <c r="Z168" s="795" t="str">
        <f t="shared" ref="Z168" si="736">IFERROR(Z167+Y168,"")</f>
        <v/>
      </c>
      <c r="AA168" s="795" t="str">
        <f t="shared" ref="AA168" si="737">IFERROR(AA167+Z168,"")</f>
        <v/>
      </c>
      <c r="AB168" s="795" t="str">
        <f t="shared" ref="AB168" si="738">IFERROR(AB167+AA168,"")</f>
        <v/>
      </c>
      <c r="AC168" s="795" t="str">
        <f t="shared" ref="AC168" si="739">IFERROR(AC167+AB168,"")</f>
        <v/>
      </c>
      <c r="AD168" s="795" t="str">
        <f t="shared" ref="AD168" si="740">IFERROR(AD167+AC168,"")</f>
        <v/>
      </c>
      <c r="AE168" s="795" t="str">
        <f t="shared" ref="AE168" si="741">IFERROR(AE167+AD168,"")</f>
        <v/>
      </c>
      <c r="AF168" s="795" t="str">
        <f t="shared" ref="AF168" si="742">IFERROR(AF167+AE168,"")</f>
        <v/>
      </c>
      <c r="AG168" s="795" t="str">
        <f t="shared" ref="AG168" si="743">IFERROR(AG167+AF168,"")</f>
        <v/>
      </c>
      <c r="AH168" s="795" t="str">
        <f t="shared" ref="AH168" si="744">IFERROR(AH167+AG168,"")</f>
        <v/>
      </c>
    </row>
    <row r="169" spans="3:34" s="379" customFormat="1">
      <c r="C169" s="780"/>
      <c r="D169" s="794"/>
      <c r="E169" s="794"/>
      <c r="F169" s="794"/>
      <c r="G169" s="794"/>
      <c r="H169" s="794"/>
      <c r="I169" s="794"/>
      <c r="J169" s="794"/>
      <c r="K169" s="794"/>
      <c r="L169" s="794"/>
      <c r="M169" s="795"/>
      <c r="N169" s="795"/>
      <c r="O169" s="795"/>
      <c r="P169" s="795"/>
      <c r="Q169" s="795"/>
      <c r="R169" s="795"/>
      <c r="S169" s="795"/>
      <c r="T169" s="795"/>
      <c r="U169" s="795"/>
      <c r="V169" s="795"/>
      <c r="W169" s="795"/>
      <c r="X169" s="795"/>
      <c r="Y169" s="795"/>
      <c r="Z169" s="795"/>
      <c r="AA169" s="795"/>
      <c r="AB169" s="795"/>
      <c r="AC169" s="795"/>
      <c r="AD169" s="795"/>
      <c r="AE169" s="795"/>
      <c r="AF169" s="795"/>
      <c r="AG169" s="795"/>
      <c r="AH169" s="795"/>
    </row>
    <row r="170" spans="3:34" s="379" customFormat="1">
      <c r="C170" s="780" t="str">
        <f>_xlfn.CONCAT(C41," ",C38)</f>
        <v>Hoisted Gold</v>
      </c>
      <c r="D170" s="794"/>
      <c r="E170" s="794"/>
      <c r="F170" s="794"/>
      <c r="G170" s="794"/>
      <c r="H170" s="794"/>
      <c r="I170" s="794"/>
      <c r="J170" s="794"/>
      <c r="K170" s="794"/>
      <c r="L170" s="794"/>
      <c r="M170" s="795"/>
      <c r="N170" s="795"/>
      <c r="O170" s="795"/>
      <c r="P170" s="795"/>
      <c r="Q170" s="795"/>
      <c r="R170" s="795"/>
      <c r="S170" s="795"/>
      <c r="T170" s="795"/>
      <c r="U170" s="795"/>
      <c r="V170" s="795"/>
      <c r="W170" s="795"/>
      <c r="X170" s="795"/>
      <c r="Y170" s="795"/>
      <c r="Z170" s="795"/>
      <c r="AA170" s="795"/>
      <c r="AB170" s="795"/>
      <c r="AC170" s="795"/>
      <c r="AD170" s="795"/>
      <c r="AE170" s="795"/>
      <c r="AF170" s="795"/>
      <c r="AG170" s="795"/>
      <c r="AH170" s="795"/>
    </row>
    <row r="171" spans="3:34" s="379" customFormat="1">
      <c r="C171" s="780" t="s">
        <v>16</v>
      </c>
      <c r="D171" s="794">
        <f>IF(D$48&gt;$C$7,"",Hoisting!H15)</f>
        <v>1.5561800000000001</v>
      </c>
      <c r="E171" s="794">
        <f>IF(E$48&gt;$C$7,"",Hoisting!I15)</f>
        <v>2.0277599999999998</v>
      </c>
      <c r="F171" s="794">
        <f>IF(F$48&gt;$C$7,"",Hoisting!J15)</f>
        <v>1.5146899999999999</v>
      </c>
      <c r="G171" s="794">
        <f>IF(G$48&gt;$C$7,"",Hoisting!K15)</f>
        <v>1.47784</v>
      </c>
      <c r="H171" s="794">
        <f>IF(H$48&gt;$C$7,"",Hoisting!L15)</f>
        <v>2.9140299999999999</v>
      </c>
      <c r="I171" s="794">
        <f>IF(I$48&gt;$C$7,"",Hoisting!M15)</f>
        <v>0</v>
      </c>
      <c r="J171" s="794" t="str">
        <f>IF(J$48&gt;$C$7,"",Hoisting!N15)</f>
        <v/>
      </c>
      <c r="K171" s="794" t="str">
        <f>IF(K$48&gt;$C$7,"",Hoisting!O15)</f>
        <v/>
      </c>
      <c r="L171" s="794" t="str">
        <f>IF(L$48&gt;$C$7,"",Hoisting!P15)</f>
        <v/>
      </c>
      <c r="M171" s="794" t="str">
        <f>IF(M$48&gt;$C$7,"",Hoisting!Q15)</f>
        <v/>
      </c>
      <c r="N171" s="794" t="str">
        <f>IF(N$48&gt;$C$7,"",Hoisting!R15)</f>
        <v/>
      </c>
      <c r="O171" s="794" t="str">
        <f>IF(O$48&gt;$C$7,"",Hoisting!S15)</f>
        <v/>
      </c>
      <c r="P171" s="794" t="str">
        <f>IF(P$48&gt;$C$7,"",Hoisting!T15)</f>
        <v/>
      </c>
      <c r="Q171" s="794" t="str">
        <f>IF(Q$48&gt;$C$7,"",Hoisting!U15)</f>
        <v/>
      </c>
      <c r="R171" s="794" t="str">
        <f>IF(R$48&gt;$C$7,"",Hoisting!V15)</f>
        <v/>
      </c>
      <c r="S171" s="794" t="str">
        <f>IF(S$48&gt;$C$7,"",Hoisting!W15)</f>
        <v/>
      </c>
      <c r="T171" s="794" t="str">
        <f>IF(T$48&gt;$C$7,"",Hoisting!X15)</f>
        <v/>
      </c>
      <c r="U171" s="794" t="str">
        <f>IF(U$48&gt;$C$7,"",Hoisting!Y15)</f>
        <v/>
      </c>
      <c r="V171" s="794" t="str">
        <f>IF(V$48&gt;$C$7,"",Hoisting!Z15)</f>
        <v/>
      </c>
      <c r="W171" s="794" t="str">
        <f>IF(W$48&gt;$C$7,"",Hoisting!AA15)</f>
        <v/>
      </c>
      <c r="X171" s="794" t="str">
        <f>IF(X$48&gt;$C$7,"",Hoisting!AB15)</f>
        <v/>
      </c>
      <c r="Y171" s="794" t="str">
        <f>IF(Y$48&gt;$C$7,"",Hoisting!AC15)</f>
        <v/>
      </c>
      <c r="Z171" s="794" t="str">
        <f>IF(Z$48&gt;$C$7,"",Hoisting!AD15)</f>
        <v/>
      </c>
      <c r="AA171" s="794" t="str">
        <f>IF(AA$48&gt;$C$7,"",Hoisting!AE15)</f>
        <v/>
      </c>
      <c r="AB171" s="794" t="str">
        <f>IF(AB$48&gt;$C$7,"",Hoisting!AF15)</f>
        <v/>
      </c>
      <c r="AC171" s="794" t="str">
        <f>IF(AC$48&gt;$C$7,"",Hoisting!AG15)</f>
        <v/>
      </c>
      <c r="AD171" s="794" t="str">
        <f>IF(AD$48&gt;$C$7,"",Hoisting!AH15)</f>
        <v/>
      </c>
      <c r="AE171" s="794" t="str">
        <f>IF(AE$48&gt;$C$7,"",Hoisting!AI15)</f>
        <v/>
      </c>
      <c r="AF171" s="794" t="str">
        <f>IF(AF$48&gt;$C$7,"",Hoisting!AJ15)</f>
        <v/>
      </c>
      <c r="AG171" s="794" t="str">
        <f>IF(AG$48&gt;$C$7,"",Hoisting!AK15)</f>
        <v/>
      </c>
      <c r="AH171" s="794" t="str">
        <f>IF(AH$48&gt;$C$7,"",Hoisting!AL15)</f>
        <v/>
      </c>
    </row>
    <row r="172" spans="3:34" s="379" customFormat="1">
      <c r="C172" s="780" t="s">
        <v>72</v>
      </c>
      <c r="D172" s="796">
        <f>D171</f>
        <v>1.5561800000000001</v>
      </c>
      <c r="E172" s="796">
        <f>IFERROR(E171+D172,"")</f>
        <v>3.5839400000000001</v>
      </c>
      <c r="F172" s="796">
        <f>IFERROR(F171+E172,"")</f>
        <v>5.09863</v>
      </c>
      <c r="G172" s="796">
        <f t="shared" ref="G172" si="745">IFERROR(G171+F172,"")</f>
        <v>6.5764700000000005</v>
      </c>
      <c r="H172" s="796">
        <f t="shared" ref="H172" si="746">IFERROR(H171+G172,"")</f>
        <v>9.4905000000000008</v>
      </c>
      <c r="I172" s="796">
        <f t="shared" ref="I172" si="747">IFERROR(I171+H172,"")</f>
        <v>9.4905000000000008</v>
      </c>
      <c r="J172" s="796" t="str">
        <f t="shared" ref="J172" si="748">IFERROR(J171+I172,"")</f>
        <v/>
      </c>
      <c r="K172" s="796" t="str">
        <f t="shared" ref="K172" si="749">IFERROR(K171+J172,"")</f>
        <v/>
      </c>
      <c r="L172" s="796" t="str">
        <f t="shared" ref="L172" si="750">IFERROR(L171+K172,"")</f>
        <v/>
      </c>
      <c r="M172" s="797" t="str">
        <f>IFERROR(M171+L172,"")</f>
        <v/>
      </c>
      <c r="N172" s="797" t="str">
        <f t="shared" ref="N172" si="751">IFERROR(N171+M172,"")</f>
        <v/>
      </c>
      <c r="O172" s="797" t="str">
        <f t="shared" ref="O172" si="752">IFERROR(O171+N172,"")</f>
        <v/>
      </c>
      <c r="P172" s="797" t="str">
        <f t="shared" ref="P172" si="753">IFERROR(P171+O172,"")</f>
        <v/>
      </c>
      <c r="Q172" s="797" t="str">
        <f t="shared" ref="Q172" si="754">IFERROR(Q171+P172,"")</f>
        <v/>
      </c>
      <c r="R172" s="797" t="str">
        <f t="shared" ref="R172" si="755">IFERROR(R171+Q172,"")</f>
        <v/>
      </c>
      <c r="S172" s="797" t="str">
        <f t="shared" ref="S172" si="756">IFERROR(S171+R172,"")</f>
        <v/>
      </c>
      <c r="T172" s="797" t="str">
        <f t="shared" ref="T172" si="757">IFERROR(T171+S172,"")</f>
        <v/>
      </c>
      <c r="U172" s="797" t="str">
        <f t="shared" ref="U172" si="758">IFERROR(U171+T172,"")</f>
        <v/>
      </c>
      <c r="V172" s="797" t="str">
        <f t="shared" ref="V172" si="759">IFERROR(V171+U172,"")</f>
        <v/>
      </c>
      <c r="W172" s="797" t="str">
        <f t="shared" ref="W172" si="760">IFERROR(W171+V172,"")</f>
        <v/>
      </c>
      <c r="X172" s="797" t="str">
        <f t="shared" ref="X172" si="761">IFERROR(X171+W172,"")</f>
        <v/>
      </c>
      <c r="Y172" s="797" t="str">
        <f t="shared" ref="Y172" si="762">IFERROR(Y171+X172,"")</f>
        <v/>
      </c>
      <c r="Z172" s="797" t="str">
        <f t="shared" ref="Z172" si="763">IFERROR(Z171+Y172,"")</f>
        <v/>
      </c>
      <c r="AA172" s="797" t="str">
        <f t="shared" ref="AA172" si="764">IFERROR(AA171+Z172,"")</f>
        <v/>
      </c>
      <c r="AB172" s="797" t="str">
        <f t="shared" ref="AB172" si="765">IFERROR(AB171+AA172,"")</f>
        <v/>
      </c>
      <c r="AC172" s="797" t="str">
        <f t="shared" ref="AC172" si="766">IFERROR(AC171+AB172,"")</f>
        <v/>
      </c>
      <c r="AD172" s="797" t="str">
        <f t="shared" ref="AD172" si="767">IFERROR(AD171+AC172,"")</f>
        <v/>
      </c>
      <c r="AE172" s="797" t="str">
        <f t="shared" ref="AE172" si="768">IFERROR(AE171+AD172,"")</f>
        <v/>
      </c>
      <c r="AF172" s="797" t="str">
        <f t="shared" ref="AF172" si="769">IFERROR(AF171+AE172,"")</f>
        <v/>
      </c>
      <c r="AG172" s="797" t="str">
        <f t="shared" ref="AG172" si="770">IFERROR(AG171+AF172,"")</f>
        <v/>
      </c>
      <c r="AH172" s="797" t="str">
        <f t="shared" ref="AH172" si="771">IFERROR(AH171+AG172,"")</f>
        <v/>
      </c>
    </row>
    <row r="173" spans="3:34" s="379" customFormat="1">
      <c r="C173" s="780" t="s">
        <v>17</v>
      </c>
      <c r="D173" s="796">
        <f>IF(D$48&gt;$C$7,"",Hoisting!H14)</f>
        <v>1.6300189836448593</v>
      </c>
      <c r="E173" s="796">
        <f>IF(E$48&gt;$C$7,"",Hoisting!I14)</f>
        <v>1.9039106308411213</v>
      </c>
      <c r="F173" s="796">
        <f>IF(F$48&gt;$C$7,"",Hoisting!J14)</f>
        <v>1.9039106308411213</v>
      </c>
      <c r="G173" s="796">
        <f>IF(G$48&gt;$C$7,"",Hoisting!K14)</f>
        <v>1.9039106308411213</v>
      </c>
      <c r="H173" s="796">
        <f>IF(H$48&gt;$C$7,"",Hoisting!L14)</f>
        <v>1.9039106308411213</v>
      </c>
      <c r="I173" s="796">
        <f>IF(I$48&gt;$C$7,"",Hoisting!M14)</f>
        <v>1.9039106308411213</v>
      </c>
      <c r="J173" s="796" t="str">
        <f>IF(J$48&gt;$C$7,"",Hoisting!N14)</f>
        <v/>
      </c>
      <c r="K173" s="796" t="str">
        <f>IF(K$48&gt;$C$7,"",Hoisting!O14)</f>
        <v/>
      </c>
      <c r="L173" s="796" t="str">
        <f>IF(L$48&gt;$C$7,"",Hoisting!P14)</f>
        <v/>
      </c>
      <c r="M173" s="796" t="str">
        <f>IF(M$48&gt;$C$7,"",Hoisting!Q14)</f>
        <v/>
      </c>
      <c r="N173" s="796" t="str">
        <f>IF(N$48&gt;$C$7,"",Hoisting!R14)</f>
        <v/>
      </c>
      <c r="O173" s="796" t="str">
        <f>IF(O$48&gt;$C$7,"",Hoisting!S14)</f>
        <v/>
      </c>
      <c r="P173" s="796" t="str">
        <f>IF(P$48&gt;$C$7,"",Hoisting!T14)</f>
        <v/>
      </c>
      <c r="Q173" s="796" t="str">
        <f>IF(Q$48&gt;$C$7,"",Hoisting!U14)</f>
        <v/>
      </c>
      <c r="R173" s="796" t="str">
        <f>IF(R$48&gt;$C$7,"",Hoisting!V14)</f>
        <v/>
      </c>
      <c r="S173" s="796" t="str">
        <f>IF(S$48&gt;$C$7,"",Hoisting!W14)</f>
        <v/>
      </c>
      <c r="T173" s="796" t="str">
        <f>IF(T$48&gt;$C$7,"",Hoisting!X14)</f>
        <v/>
      </c>
      <c r="U173" s="796" t="str">
        <f>IF(U$48&gt;$C$7,"",Hoisting!Y14)</f>
        <v/>
      </c>
      <c r="V173" s="796" t="str">
        <f>IF(V$48&gt;$C$7,"",Hoisting!Z14)</f>
        <v/>
      </c>
      <c r="W173" s="796" t="str">
        <f>IF(W$48&gt;$C$7,"",Hoisting!AA14)</f>
        <v/>
      </c>
      <c r="X173" s="796" t="str">
        <f>IF(X$48&gt;$C$7,"",Hoisting!AB14)</f>
        <v/>
      </c>
      <c r="Y173" s="796" t="str">
        <f>IF(Y$48&gt;$C$7,"",Hoisting!AC14)</f>
        <v/>
      </c>
      <c r="Z173" s="796" t="str">
        <f>IF(Z$48&gt;$C$7,"",Hoisting!AD14)</f>
        <v/>
      </c>
      <c r="AA173" s="796" t="str">
        <f>IF(AA$48&gt;$C$7,"",Hoisting!AE14)</f>
        <v/>
      </c>
      <c r="AB173" s="796" t="str">
        <f>IF(AB$48&gt;$C$7,"",Hoisting!AF14)</f>
        <v/>
      </c>
      <c r="AC173" s="796" t="str">
        <f>IF(AC$48&gt;$C$7,"",Hoisting!AG14)</f>
        <v/>
      </c>
      <c r="AD173" s="796" t="str">
        <f>IF(AD$48&gt;$C$7,"",Hoisting!AH14)</f>
        <v/>
      </c>
      <c r="AE173" s="796" t="str">
        <f>IF(AE$48&gt;$C$7,"",Hoisting!AI14)</f>
        <v/>
      </c>
      <c r="AF173" s="796" t="str">
        <f>IF(AF$48&gt;$C$7,"",Hoisting!AJ14)</f>
        <v/>
      </c>
      <c r="AG173" s="796" t="str">
        <f>IF(AG$48&gt;$C$7,"",Hoisting!AK14)</f>
        <v/>
      </c>
      <c r="AH173" s="796" t="str">
        <f>IF(AH$48&gt;$C$7,"",Hoisting!AL14)</f>
        <v/>
      </c>
    </row>
    <row r="174" spans="3:34" s="379" customFormat="1">
      <c r="C174" s="780" t="s">
        <v>73</v>
      </c>
      <c r="D174" s="796">
        <f>D173</f>
        <v>1.6300189836448593</v>
      </c>
      <c r="E174" s="796">
        <f>IFERROR(E173+D174,"")</f>
        <v>3.5339296144859809</v>
      </c>
      <c r="F174" s="796">
        <f>IFERROR(F173+E174,"")</f>
        <v>5.4378402453271022</v>
      </c>
      <c r="G174" s="796">
        <f t="shared" ref="G174" si="772">IFERROR(G173+F174,"")</f>
        <v>7.3417508761682235</v>
      </c>
      <c r="H174" s="796">
        <f t="shared" ref="H174" si="773">IFERROR(H173+G174,"")</f>
        <v>9.2456615070093449</v>
      </c>
      <c r="I174" s="796">
        <f t="shared" ref="I174" si="774">IFERROR(I173+H174,"")</f>
        <v>11.149572137850466</v>
      </c>
      <c r="J174" s="796" t="str">
        <f t="shared" ref="J174" si="775">IFERROR(J173+I174,"")</f>
        <v/>
      </c>
      <c r="K174" s="796" t="str">
        <f t="shared" ref="K174" si="776">IFERROR(K173+J174,"")</f>
        <v/>
      </c>
      <c r="L174" s="796" t="str">
        <f t="shared" ref="L174" si="777">IFERROR(L173+K174,"")</f>
        <v/>
      </c>
      <c r="M174" s="797" t="str">
        <f>IFERROR(M173+L174,"")</f>
        <v/>
      </c>
      <c r="N174" s="797" t="str">
        <f t="shared" ref="N174" si="778">IFERROR(N173+M174,"")</f>
        <v/>
      </c>
      <c r="O174" s="797" t="str">
        <f t="shared" ref="O174" si="779">IFERROR(O173+N174,"")</f>
        <v/>
      </c>
      <c r="P174" s="797" t="str">
        <f t="shared" ref="P174" si="780">IFERROR(P173+O174,"")</f>
        <v/>
      </c>
      <c r="Q174" s="797" t="str">
        <f t="shared" ref="Q174" si="781">IFERROR(Q173+P174,"")</f>
        <v/>
      </c>
      <c r="R174" s="797" t="str">
        <f t="shared" ref="R174" si="782">IFERROR(R173+Q174,"")</f>
        <v/>
      </c>
      <c r="S174" s="797" t="str">
        <f t="shared" ref="S174" si="783">IFERROR(S173+R174,"")</f>
        <v/>
      </c>
      <c r="T174" s="797" t="str">
        <f t="shared" ref="T174" si="784">IFERROR(T173+S174,"")</f>
        <v/>
      </c>
      <c r="U174" s="797" t="str">
        <f t="shared" ref="U174" si="785">IFERROR(U173+T174,"")</f>
        <v/>
      </c>
      <c r="V174" s="797" t="str">
        <f t="shared" ref="V174" si="786">IFERROR(V173+U174,"")</f>
        <v/>
      </c>
      <c r="W174" s="797" t="str">
        <f t="shared" ref="W174" si="787">IFERROR(W173+V174,"")</f>
        <v/>
      </c>
      <c r="X174" s="797" t="str">
        <f t="shared" ref="X174" si="788">IFERROR(X173+W174,"")</f>
        <v/>
      </c>
      <c r="Y174" s="797" t="str">
        <f t="shared" ref="Y174" si="789">IFERROR(Y173+X174,"")</f>
        <v/>
      </c>
      <c r="Z174" s="797" t="str">
        <f t="shared" ref="Z174" si="790">IFERROR(Z173+Y174,"")</f>
        <v/>
      </c>
      <c r="AA174" s="797" t="str">
        <f t="shared" ref="AA174" si="791">IFERROR(AA173+Z174,"")</f>
        <v/>
      </c>
      <c r="AB174" s="797" t="str">
        <f t="shared" ref="AB174" si="792">IFERROR(AB173+AA174,"")</f>
        <v/>
      </c>
      <c r="AC174" s="797" t="str">
        <f t="shared" ref="AC174" si="793">IFERROR(AC173+AB174,"")</f>
        <v/>
      </c>
      <c r="AD174" s="797" t="str">
        <f t="shared" ref="AD174" si="794">IFERROR(AD173+AC174,"")</f>
        <v/>
      </c>
      <c r="AE174" s="797" t="str">
        <f t="shared" ref="AE174" si="795">IFERROR(AE173+AD174,"")</f>
        <v/>
      </c>
      <c r="AF174" s="797" t="str">
        <f t="shared" ref="AF174" si="796">IFERROR(AF173+AE174,"")</f>
        <v/>
      </c>
      <c r="AG174" s="797" t="str">
        <f t="shared" ref="AG174" si="797">IFERROR(AG173+AF174,"")</f>
        <v/>
      </c>
      <c r="AH174" s="797" t="str">
        <f t="shared" ref="AH174" si="798">IFERROR(AH173+AG174,"")</f>
        <v/>
      </c>
    </row>
    <row r="175" spans="3:34" s="379" customFormat="1">
      <c r="C175" s="780"/>
      <c r="D175" s="798"/>
      <c r="E175" s="798"/>
      <c r="F175" s="798"/>
      <c r="G175" s="798"/>
      <c r="H175" s="798"/>
      <c r="I175" s="798"/>
      <c r="J175" s="798"/>
      <c r="K175" s="798"/>
      <c r="L175" s="798"/>
      <c r="M175" s="799"/>
      <c r="N175" s="799"/>
      <c r="O175" s="799"/>
      <c r="P175" s="799"/>
      <c r="Q175" s="799"/>
      <c r="R175" s="799"/>
      <c r="S175" s="799"/>
      <c r="T175" s="799"/>
      <c r="U175" s="799"/>
      <c r="V175" s="799"/>
      <c r="W175" s="799"/>
      <c r="X175" s="799"/>
      <c r="Y175" s="799"/>
      <c r="Z175" s="799"/>
      <c r="AA175" s="799"/>
      <c r="AB175" s="799"/>
      <c r="AC175" s="799"/>
      <c r="AD175" s="799"/>
      <c r="AE175" s="799"/>
      <c r="AF175" s="799"/>
      <c r="AG175" s="799"/>
      <c r="AH175" s="799"/>
    </row>
    <row r="176" spans="3:34" s="379" customFormat="1">
      <c r="C176" s="780" t="str">
        <f>_xlfn.CONCAT(C42," ",C38)</f>
        <v>Crushed Gold</v>
      </c>
      <c r="D176" s="794"/>
      <c r="E176" s="794"/>
      <c r="F176" s="794"/>
      <c r="G176" s="794"/>
      <c r="H176" s="794"/>
      <c r="I176" s="794"/>
      <c r="J176" s="794"/>
      <c r="K176" s="794"/>
      <c r="L176" s="794"/>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row>
    <row r="177" spans="3:34" s="379" customFormat="1">
      <c r="C177" s="780" t="s">
        <v>16</v>
      </c>
      <c r="D177" s="794">
        <f>IF(D$48&gt;$C$7,"",PLANT!H15)</f>
        <v>1.6031917990399998</v>
      </c>
      <c r="E177" s="794">
        <f>IF(E$48&gt;$C$7,"",PLANT!I15)</f>
        <v>1.9739447899199998</v>
      </c>
      <c r="F177" s="794">
        <f>IF(F$48&gt;$C$7,"",PLANT!J15)</f>
        <v>1.81050294168</v>
      </c>
      <c r="G177" s="794">
        <f>IF(G$48&gt;$C$7,"",PLANT!K15)</f>
        <v>1.28156864927</v>
      </c>
      <c r="H177" s="794">
        <f>IF(H$48&gt;$C$7,"",PLANT!L15)</f>
        <v>1.9778230800000001</v>
      </c>
      <c r="I177" s="794">
        <f>IF(I$48&gt;$C$7,"",PLANT!M15)</f>
        <v>0</v>
      </c>
      <c r="J177" s="794" t="str">
        <f>IF(J$48&gt;$C$7,"",PLANT!N15)</f>
        <v/>
      </c>
      <c r="K177" s="794" t="str">
        <f>IF(K$48&gt;$C$7,"",PLANT!O15)</f>
        <v/>
      </c>
      <c r="L177" s="794" t="str">
        <f>IF(L$48&gt;$C$7,"",PLANT!P15)</f>
        <v/>
      </c>
      <c r="M177" s="794" t="str">
        <f>IF(M$48&gt;$C$7,"",PLANT!Q15)</f>
        <v/>
      </c>
      <c r="N177" s="794" t="str">
        <f>IF(N$48&gt;$C$7,"",PLANT!R15)</f>
        <v/>
      </c>
      <c r="O177" s="794" t="str">
        <f>IF(O$48&gt;$C$7,"",PLANT!S15)</f>
        <v/>
      </c>
      <c r="P177" s="794" t="str">
        <f>IF(P$48&gt;$C$7,"",PLANT!T15)</f>
        <v/>
      </c>
      <c r="Q177" s="794" t="str">
        <f>IF(Q$48&gt;$C$7,"",PLANT!U15)</f>
        <v/>
      </c>
      <c r="R177" s="794" t="str">
        <f>IF(R$48&gt;$C$7,"",PLANT!V15)</f>
        <v/>
      </c>
      <c r="S177" s="794" t="str">
        <f>IF(S$48&gt;$C$7,"",PLANT!W15)</f>
        <v/>
      </c>
      <c r="T177" s="794" t="str">
        <f>IF(T$48&gt;$C$7,"",PLANT!X15)</f>
        <v/>
      </c>
      <c r="U177" s="794" t="str">
        <f>IF(U$48&gt;$C$7,"",PLANT!Y15)</f>
        <v/>
      </c>
      <c r="V177" s="794" t="str">
        <f>IF(V$48&gt;$C$7,"",PLANT!Z15)</f>
        <v/>
      </c>
      <c r="W177" s="794" t="str">
        <f>IF(W$48&gt;$C$7,"",PLANT!AA15)</f>
        <v/>
      </c>
      <c r="X177" s="794" t="str">
        <f>IF(X$48&gt;$C$7,"",PLANT!AB15)</f>
        <v/>
      </c>
      <c r="Y177" s="794" t="str">
        <f>IF(Y$48&gt;$C$7,"",PLANT!AC15)</f>
        <v/>
      </c>
      <c r="Z177" s="794" t="str">
        <f>IF(Z$48&gt;$C$7,"",PLANT!AD15)</f>
        <v/>
      </c>
      <c r="AA177" s="794" t="str">
        <f>IF(AA$48&gt;$C$7,"",PLANT!AE15)</f>
        <v/>
      </c>
      <c r="AB177" s="794" t="str">
        <f>IF(AB$48&gt;$C$7,"",PLANT!AF15)</f>
        <v/>
      </c>
      <c r="AC177" s="794" t="str">
        <f>IF(AC$48&gt;$C$7,"",PLANT!AG15)</f>
        <v/>
      </c>
      <c r="AD177" s="794" t="str">
        <f>IF(AD$48&gt;$C$7,"",PLANT!AH15)</f>
        <v/>
      </c>
      <c r="AE177" s="794" t="str">
        <f>IF(AE$48&gt;$C$7,"",PLANT!AI15)</f>
        <v/>
      </c>
      <c r="AF177" s="794" t="str">
        <f>IF(AF$48&gt;$C$7,"",PLANT!AJ15)</f>
        <v/>
      </c>
      <c r="AG177" s="794" t="str">
        <f>IF(AG$48&gt;$C$7,"",PLANT!AK15)</f>
        <v/>
      </c>
      <c r="AH177" s="794" t="str">
        <f>IF(AH$48&gt;$C$7,"",PLANT!AL15)</f>
        <v/>
      </c>
    </row>
    <row r="178" spans="3:34" s="379" customFormat="1">
      <c r="C178" s="780" t="s">
        <v>72</v>
      </c>
      <c r="D178" s="796">
        <f>D177</f>
        <v>1.6031917990399998</v>
      </c>
      <c r="E178" s="796">
        <f>IFERROR(E177+D178,"")</f>
        <v>3.5771365889599993</v>
      </c>
      <c r="F178" s="796">
        <f>IFERROR(F177+E178,"")</f>
        <v>5.3876395306399996</v>
      </c>
      <c r="G178" s="796">
        <f t="shared" ref="G178" si="799">IFERROR(G177+F178,"")</f>
        <v>6.6692081799099991</v>
      </c>
      <c r="H178" s="796">
        <f t="shared" ref="H178" si="800">IFERROR(H177+G178,"")</f>
        <v>8.6470312599099994</v>
      </c>
      <c r="I178" s="796">
        <f t="shared" ref="I178" si="801">IFERROR(I177+H178,"")</f>
        <v>8.6470312599099994</v>
      </c>
      <c r="J178" s="796" t="str">
        <f t="shared" ref="J178" si="802">IFERROR(J177+I178,"")</f>
        <v/>
      </c>
      <c r="K178" s="796" t="str">
        <f t="shared" ref="K178" si="803">IFERROR(K177+J178,"")</f>
        <v/>
      </c>
      <c r="L178" s="796" t="str">
        <f t="shared" ref="L178" si="804">IFERROR(L177+K178,"")</f>
        <v/>
      </c>
      <c r="M178" s="797" t="str">
        <f>IFERROR(M177+L178,"")</f>
        <v/>
      </c>
      <c r="N178" s="797" t="str">
        <f t="shared" ref="N178" si="805">IFERROR(N177+M178,"")</f>
        <v/>
      </c>
      <c r="O178" s="797" t="str">
        <f t="shared" ref="O178" si="806">IFERROR(O177+N178,"")</f>
        <v/>
      </c>
      <c r="P178" s="797" t="str">
        <f t="shared" ref="P178" si="807">IFERROR(P177+O178,"")</f>
        <v/>
      </c>
      <c r="Q178" s="797" t="str">
        <f t="shared" ref="Q178" si="808">IFERROR(Q177+P178,"")</f>
        <v/>
      </c>
      <c r="R178" s="797" t="str">
        <f t="shared" ref="R178" si="809">IFERROR(R177+Q178,"")</f>
        <v/>
      </c>
      <c r="S178" s="797" t="str">
        <f t="shared" ref="S178" si="810">IFERROR(S177+R178,"")</f>
        <v/>
      </c>
      <c r="T178" s="797" t="str">
        <f t="shared" ref="T178" si="811">IFERROR(T177+S178,"")</f>
        <v/>
      </c>
      <c r="U178" s="797" t="str">
        <f t="shared" ref="U178" si="812">IFERROR(U177+T178,"")</f>
        <v/>
      </c>
      <c r="V178" s="797" t="str">
        <f t="shared" ref="V178" si="813">IFERROR(V177+U178,"")</f>
        <v/>
      </c>
      <c r="W178" s="797" t="str">
        <f t="shared" ref="W178" si="814">IFERROR(W177+V178,"")</f>
        <v/>
      </c>
      <c r="X178" s="797" t="str">
        <f t="shared" ref="X178" si="815">IFERROR(X177+W178,"")</f>
        <v/>
      </c>
      <c r="Y178" s="797" t="str">
        <f t="shared" ref="Y178" si="816">IFERROR(Y177+X178,"")</f>
        <v/>
      </c>
      <c r="Z178" s="797" t="str">
        <f t="shared" ref="Z178" si="817">IFERROR(Z177+Y178,"")</f>
        <v/>
      </c>
      <c r="AA178" s="797" t="str">
        <f t="shared" ref="AA178" si="818">IFERROR(AA177+Z178,"")</f>
        <v/>
      </c>
      <c r="AB178" s="797" t="str">
        <f t="shared" ref="AB178" si="819">IFERROR(AB177+AA178,"")</f>
        <v/>
      </c>
      <c r="AC178" s="797" t="str">
        <f t="shared" ref="AC178" si="820">IFERROR(AC177+AB178,"")</f>
        <v/>
      </c>
      <c r="AD178" s="797" t="str">
        <f t="shared" ref="AD178" si="821">IFERROR(AD177+AC178,"")</f>
        <v/>
      </c>
      <c r="AE178" s="797" t="str">
        <f t="shared" ref="AE178" si="822">IFERROR(AE177+AD178,"")</f>
        <v/>
      </c>
      <c r="AF178" s="797" t="str">
        <f t="shared" ref="AF178" si="823">IFERROR(AF177+AE178,"")</f>
        <v/>
      </c>
      <c r="AG178" s="797" t="str">
        <f t="shared" ref="AG178" si="824">IFERROR(AG177+AF178,"")</f>
        <v/>
      </c>
      <c r="AH178" s="797" t="str">
        <f t="shared" ref="AH178" si="825">IFERROR(AH177+AG178,"")</f>
        <v/>
      </c>
    </row>
    <row r="179" spans="3:34" s="379" customFormat="1">
      <c r="C179" s="780" t="s">
        <v>17</v>
      </c>
      <c r="D179" s="796">
        <f>IF(D$48&gt;$C$7,"",PLANT!H14)</f>
        <v>2.6999037599999989</v>
      </c>
      <c r="E179" s="796">
        <f>IF(E$48&gt;$C$7,"",PLANT!I14)</f>
        <v>2.6999037599999993</v>
      </c>
      <c r="F179" s="796">
        <f>IF(F$48&gt;$C$7,"",PLANT!J14)</f>
        <v>2.1505320383999993</v>
      </c>
      <c r="G179" s="796">
        <f>IF(G$48&gt;$C$7,"",PLANT!K14)</f>
        <v>2.6195349273886444</v>
      </c>
      <c r="H179" s="796">
        <f>IF(H$48&gt;$C$7,"",PLANT!L14)</f>
        <v>1.3111735335584958</v>
      </c>
      <c r="I179" s="796">
        <f>IF(I$48&gt;$C$7,"",PLANT!M14)</f>
        <v>2.6241898958052161</v>
      </c>
      <c r="J179" s="796" t="str">
        <f>IF(J$48&gt;$C$7,"",PLANT!N14)</f>
        <v/>
      </c>
      <c r="K179" s="796" t="str">
        <f>IF(K$48&gt;$C$7,"",PLANT!O14)</f>
        <v/>
      </c>
      <c r="L179" s="796" t="str">
        <f>IF(L$48&gt;$C$7,"",PLANT!P14)</f>
        <v/>
      </c>
      <c r="M179" s="796" t="str">
        <f>IF(M$48&gt;$C$7,"",PLANT!Q14)</f>
        <v/>
      </c>
      <c r="N179" s="796" t="str">
        <f>IF(N$48&gt;$C$7,"",PLANT!R14)</f>
        <v/>
      </c>
      <c r="O179" s="796" t="str">
        <f>IF(O$48&gt;$C$7,"",PLANT!S14)</f>
        <v/>
      </c>
      <c r="P179" s="796" t="str">
        <f>IF(P$48&gt;$C$7,"",PLANT!T14)</f>
        <v/>
      </c>
      <c r="Q179" s="796" t="str">
        <f>IF(Q$48&gt;$C$7,"",PLANT!U14)</f>
        <v/>
      </c>
      <c r="R179" s="796" t="str">
        <f>IF(R$48&gt;$C$7,"",PLANT!V14)</f>
        <v/>
      </c>
      <c r="S179" s="796" t="str">
        <f>IF(S$48&gt;$C$7,"",PLANT!W14)</f>
        <v/>
      </c>
      <c r="T179" s="796" t="str">
        <f>IF(T$48&gt;$C$7,"",PLANT!X14)</f>
        <v/>
      </c>
      <c r="U179" s="796" t="str">
        <f>IF(U$48&gt;$C$7,"",PLANT!Y14)</f>
        <v/>
      </c>
      <c r="V179" s="796" t="str">
        <f>IF(V$48&gt;$C$7,"",PLANT!Z14)</f>
        <v/>
      </c>
      <c r="W179" s="796" t="str">
        <f>IF(W$48&gt;$C$7,"",PLANT!AA14)</f>
        <v/>
      </c>
      <c r="X179" s="796" t="str">
        <f>IF(X$48&gt;$C$7,"",PLANT!AB14)</f>
        <v/>
      </c>
      <c r="Y179" s="796" t="str">
        <f>IF(Y$48&gt;$C$7,"",PLANT!AC14)</f>
        <v/>
      </c>
      <c r="Z179" s="796" t="str">
        <f>IF(Z$48&gt;$C$7,"",PLANT!AD14)</f>
        <v/>
      </c>
      <c r="AA179" s="796" t="str">
        <f>IF(AA$48&gt;$C$7,"",PLANT!AE14)</f>
        <v/>
      </c>
      <c r="AB179" s="796" t="str">
        <f>IF(AB$48&gt;$C$7,"",PLANT!AF14)</f>
        <v/>
      </c>
      <c r="AC179" s="796" t="str">
        <f>IF(AC$48&gt;$C$7,"",PLANT!AG14)</f>
        <v/>
      </c>
      <c r="AD179" s="796" t="str">
        <f>IF(AD$48&gt;$C$7,"",PLANT!AH14)</f>
        <v/>
      </c>
      <c r="AE179" s="796" t="str">
        <f>IF(AE$48&gt;$C$7,"",PLANT!AI14)</f>
        <v/>
      </c>
      <c r="AF179" s="796" t="str">
        <f>IF(AF$48&gt;$C$7,"",PLANT!AJ14)</f>
        <v/>
      </c>
      <c r="AG179" s="796" t="str">
        <f>IF(AG$48&gt;$C$7,"",PLANT!AK14)</f>
        <v/>
      </c>
      <c r="AH179" s="796" t="str">
        <f>IF(AH$48&gt;$C$7,"",PLANT!AL14)</f>
        <v/>
      </c>
    </row>
    <row r="180" spans="3:34" s="379" customFormat="1">
      <c r="C180" s="780" t="s">
        <v>73</v>
      </c>
      <c r="D180" s="796">
        <f>D179</f>
        <v>2.6999037599999989</v>
      </c>
      <c r="E180" s="796">
        <f>IFERROR(E179+D180,"")</f>
        <v>5.3998075199999978</v>
      </c>
      <c r="F180" s="796">
        <f>IFERROR(F179+E180,"")</f>
        <v>7.5503395583999975</v>
      </c>
      <c r="G180" s="796">
        <f t="shared" ref="G180" si="826">IFERROR(G179+F180,"")</f>
        <v>10.169874485788641</v>
      </c>
      <c r="H180" s="796">
        <f t="shared" ref="H180" si="827">IFERROR(H179+G180,"")</f>
        <v>11.481048019347137</v>
      </c>
      <c r="I180" s="796">
        <f t="shared" ref="I180" si="828">IFERROR(I179+H180,"")</f>
        <v>14.105237915152353</v>
      </c>
      <c r="J180" s="796" t="str">
        <f t="shared" ref="J180" si="829">IFERROR(J179+I180,"")</f>
        <v/>
      </c>
      <c r="K180" s="796" t="str">
        <f t="shared" ref="K180" si="830">IFERROR(K179+J180,"")</f>
        <v/>
      </c>
      <c r="L180" s="796" t="str">
        <f t="shared" ref="L180" si="831">IFERROR(L179+K180,"")</f>
        <v/>
      </c>
      <c r="M180" s="797" t="str">
        <f>IFERROR(M179+L180,"")</f>
        <v/>
      </c>
      <c r="N180" s="797" t="str">
        <f t="shared" ref="N180" si="832">IFERROR(N179+M180,"")</f>
        <v/>
      </c>
      <c r="O180" s="797" t="str">
        <f t="shared" ref="O180" si="833">IFERROR(O179+N180,"")</f>
        <v/>
      </c>
      <c r="P180" s="797" t="str">
        <f t="shared" ref="P180" si="834">IFERROR(P179+O180,"")</f>
        <v/>
      </c>
      <c r="Q180" s="797" t="str">
        <f t="shared" ref="Q180" si="835">IFERROR(Q179+P180,"")</f>
        <v/>
      </c>
      <c r="R180" s="797" t="str">
        <f t="shared" ref="R180" si="836">IFERROR(R179+Q180,"")</f>
        <v/>
      </c>
      <c r="S180" s="797" t="str">
        <f t="shared" ref="S180" si="837">IFERROR(S179+R180,"")</f>
        <v/>
      </c>
      <c r="T180" s="797" t="str">
        <f t="shared" ref="T180" si="838">IFERROR(T179+S180,"")</f>
        <v/>
      </c>
      <c r="U180" s="797" t="str">
        <f t="shared" ref="U180" si="839">IFERROR(U179+T180,"")</f>
        <v/>
      </c>
      <c r="V180" s="797" t="str">
        <f t="shared" ref="V180" si="840">IFERROR(V179+U180,"")</f>
        <v/>
      </c>
      <c r="W180" s="797" t="str">
        <f t="shared" ref="W180" si="841">IFERROR(W179+V180,"")</f>
        <v/>
      </c>
      <c r="X180" s="797" t="str">
        <f t="shared" ref="X180" si="842">IFERROR(X179+W180,"")</f>
        <v/>
      </c>
      <c r="Y180" s="797" t="str">
        <f t="shared" ref="Y180" si="843">IFERROR(Y179+X180,"")</f>
        <v/>
      </c>
      <c r="Z180" s="797" t="str">
        <f t="shared" ref="Z180" si="844">IFERROR(Z179+Y180,"")</f>
        <v/>
      </c>
      <c r="AA180" s="797" t="str">
        <f t="shared" ref="AA180" si="845">IFERROR(AA179+Z180,"")</f>
        <v/>
      </c>
      <c r="AB180" s="797" t="str">
        <f t="shared" ref="AB180" si="846">IFERROR(AB179+AA180,"")</f>
        <v/>
      </c>
      <c r="AC180" s="797" t="str">
        <f t="shared" ref="AC180" si="847">IFERROR(AC179+AB180,"")</f>
        <v/>
      </c>
      <c r="AD180" s="797" t="str">
        <f t="shared" ref="AD180" si="848">IFERROR(AD179+AC180,"")</f>
        <v/>
      </c>
      <c r="AE180" s="797" t="str">
        <f t="shared" ref="AE180" si="849">IFERROR(AE179+AD180,"")</f>
        <v/>
      </c>
      <c r="AF180" s="797" t="str">
        <f t="shared" ref="AF180" si="850">IFERROR(AF179+AE180,"")</f>
        <v/>
      </c>
      <c r="AG180" s="797" t="str">
        <f t="shared" ref="AG180" si="851">IFERROR(AG179+AF180,"")</f>
        <v/>
      </c>
      <c r="AH180" s="797" t="str">
        <f t="shared" ref="AH180" si="852">IFERROR(AH179+AG180,"")</f>
        <v/>
      </c>
    </row>
    <row r="181" spans="3:34" s="379" customFormat="1">
      <c r="C181" s="780"/>
      <c r="D181" s="798"/>
      <c r="E181" s="798"/>
      <c r="F181" s="798"/>
      <c r="G181" s="798"/>
      <c r="H181" s="798"/>
      <c r="I181" s="798"/>
      <c r="J181" s="798"/>
      <c r="K181" s="798"/>
      <c r="L181" s="798"/>
      <c r="M181" s="799"/>
      <c r="N181" s="799"/>
      <c r="O181" s="799"/>
      <c r="P181" s="799"/>
      <c r="Q181" s="799"/>
      <c r="R181" s="799"/>
      <c r="S181" s="799"/>
      <c r="T181" s="799"/>
      <c r="U181" s="799"/>
      <c r="V181" s="799"/>
      <c r="W181" s="799"/>
      <c r="X181" s="799"/>
      <c r="Y181" s="799"/>
      <c r="Z181" s="799"/>
      <c r="AA181" s="799"/>
      <c r="AB181" s="799"/>
      <c r="AC181" s="799"/>
      <c r="AD181" s="799"/>
      <c r="AE181" s="799"/>
      <c r="AF181" s="799"/>
      <c r="AG181" s="799"/>
      <c r="AH181" s="799"/>
    </row>
    <row r="182" spans="3:34" s="379" customFormat="1">
      <c r="C182" s="780" t="str">
        <f>_xlfn.CONCAT(C43," ",C38)</f>
        <v>Milled Gold</v>
      </c>
      <c r="D182" s="794"/>
      <c r="E182" s="794"/>
      <c r="F182" s="794"/>
      <c r="G182" s="794"/>
      <c r="H182" s="794"/>
      <c r="I182" s="794"/>
      <c r="J182" s="794"/>
      <c r="K182" s="794"/>
      <c r="L182" s="794"/>
      <c r="M182" s="795"/>
      <c r="N182" s="795"/>
      <c r="O182" s="795"/>
      <c r="P182" s="795"/>
      <c r="Q182" s="795"/>
      <c r="R182" s="795"/>
      <c r="S182" s="795"/>
      <c r="T182" s="795"/>
      <c r="U182" s="795"/>
      <c r="V182" s="795"/>
      <c r="W182" s="795"/>
      <c r="X182" s="795"/>
      <c r="Y182" s="795"/>
      <c r="Z182" s="795"/>
      <c r="AA182" s="795"/>
      <c r="AB182" s="795"/>
      <c r="AC182" s="795"/>
      <c r="AD182" s="795"/>
      <c r="AE182" s="795"/>
      <c r="AF182" s="795"/>
      <c r="AG182" s="795"/>
      <c r="AH182" s="795"/>
    </row>
    <row r="183" spans="3:34" s="379" customFormat="1">
      <c r="C183" s="780" t="s">
        <v>16</v>
      </c>
      <c r="D183" s="794">
        <f>IF(D$48&gt;$C$7,"",PLANT!H16)</f>
        <v>1.6458629898899999</v>
      </c>
      <c r="E183" s="794">
        <f>IF(E$48&gt;$C$7,"",PLANT!I16)</f>
        <v>2.2095338496000005</v>
      </c>
      <c r="F183" s="794">
        <f>IF(F$48&gt;$C$7,"",PLANT!J16)</f>
        <v>1.4322934864800001</v>
      </c>
      <c r="G183" s="794">
        <f>IF(G$48&gt;$C$7,"",PLANT!K16)</f>
        <v>2.0136904989</v>
      </c>
      <c r="H183" s="794">
        <f>IF(H$48&gt;$C$7,"",PLANT!L16)</f>
        <v>2.1524740011000003</v>
      </c>
      <c r="I183" s="794">
        <f>IF(I$48&gt;$C$7,"",PLANT!M16)</f>
        <v>0</v>
      </c>
      <c r="J183" s="794" t="str">
        <f>IF(J$48&gt;$C$7,"",PLANT!N16)</f>
        <v/>
      </c>
      <c r="K183" s="794" t="str">
        <f>IF(K$48&gt;$C$7,"",PLANT!O16)</f>
        <v/>
      </c>
      <c r="L183" s="794" t="str">
        <f>IF(L$48&gt;$C$7,"",PLANT!P16)</f>
        <v/>
      </c>
      <c r="M183" s="794" t="str">
        <f>IF(M$48&gt;$C$7,"",PLANT!Q16)</f>
        <v/>
      </c>
      <c r="N183" s="794" t="str">
        <f>IF(N$48&gt;$C$7,"",PLANT!R16)</f>
        <v/>
      </c>
      <c r="O183" s="794" t="str">
        <f>IF(O$48&gt;$C$7,"",PLANT!S16)</f>
        <v/>
      </c>
      <c r="P183" s="794" t="str">
        <f>IF(P$48&gt;$C$7,"",PLANT!T16)</f>
        <v/>
      </c>
      <c r="Q183" s="794" t="str">
        <f>IF(Q$48&gt;$C$7,"",PLANT!U16)</f>
        <v/>
      </c>
      <c r="R183" s="794" t="str">
        <f>IF(R$48&gt;$C$7,"",PLANT!V16)</f>
        <v/>
      </c>
      <c r="S183" s="794" t="str">
        <f>IF(S$48&gt;$C$7,"",PLANT!W16)</f>
        <v/>
      </c>
      <c r="T183" s="794" t="str">
        <f>IF(T$48&gt;$C$7,"",PLANT!X16)</f>
        <v/>
      </c>
      <c r="U183" s="794" t="str">
        <f>IF(U$48&gt;$C$7,"",PLANT!Y16)</f>
        <v/>
      </c>
      <c r="V183" s="794" t="str">
        <f>IF(V$48&gt;$C$7,"",PLANT!Z16)</f>
        <v/>
      </c>
      <c r="W183" s="794" t="str">
        <f>IF(W$48&gt;$C$7,"",PLANT!AA16)</f>
        <v/>
      </c>
      <c r="X183" s="794" t="str">
        <f>IF(X$48&gt;$C$7,"",PLANT!AB16)</f>
        <v/>
      </c>
      <c r="Y183" s="794" t="str">
        <f>IF(Y$48&gt;$C$7,"",PLANT!AC16)</f>
        <v/>
      </c>
      <c r="Z183" s="794" t="str">
        <f>IF(Z$48&gt;$C$7,"",PLANT!AD16)</f>
        <v/>
      </c>
      <c r="AA183" s="794" t="str">
        <f>IF(AA$48&gt;$C$7,"",PLANT!AE16)</f>
        <v/>
      </c>
      <c r="AB183" s="794" t="str">
        <f>IF(AB$48&gt;$C$7,"",PLANT!AF16)</f>
        <v/>
      </c>
      <c r="AC183" s="794" t="str">
        <f>IF(AC$48&gt;$C$7,"",PLANT!AG16)</f>
        <v/>
      </c>
      <c r="AD183" s="794" t="str">
        <f>IF(AD$48&gt;$C$7,"",PLANT!AH16)</f>
        <v/>
      </c>
      <c r="AE183" s="794" t="str">
        <f>IF(AE$48&gt;$C$7,"",PLANT!AI16)</f>
        <v/>
      </c>
      <c r="AF183" s="794" t="str">
        <f>IF(AF$48&gt;$C$7,"",PLANT!AJ16)</f>
        <v/>
      </c>
      <c r="AG183" s="794" t="str">
        <f>IF(AG$48&gt;$C$7,"",PLANT!AK16)</f>
        <v/>
      </c>
      <c r="AH183" s="794" t="str">
        <f>IF(AH$48&gt;$C$7,"",PLANT!AL16)</f>
        <v/>
      </c>
    </row>
    <row r="184" spans="3:34" s="379" customFormat="1">
      <c r="C184" s="780" t="s">
        <v>72</v>
      </c>
      <c r="D184" s="796">
        <f>D183</f>
        <v>1.6458629898899999</v>
      </c>
      <c r="E184" s="796">
        <f>IFERROR(E183+D184,"")</f>
        <v>3.8553968394900004</v>
      </c>
      <c r="F184" s="796">
        <f>IFERROR(F183+E184,"")</f>
        <v>5.2876903259700008</v>
      </c>
      <c r="G184" s="796">
        <f t="shared" ref="G184" si="853">IFERROR(G183+F184,"")</f>
        <v>7.3013808248700007</v>
      </c>
      <c r="H184" s="796">
        <f t="shared" ref="H184" si="854">IFERROR(H183+G184,"")</f>
        <v>9.4538548259700015</v>
      </c>
      <c r="I184" s="796">
        <f t="shared" ref="I184" si="855">IFERROR(I183+H184,"")</f>
        <v>9.4538548259700015</v>
      </c>
      <c r="J184" s="796" t="str">
        <f t="shared" ref="J184" si="856">IFERROR(J183+I184,"")</f>
        <v/>
      </c>
      <c r="K184" s="796" t="str">
        <f t="shared" ref="K184" si="857">IFERROR(K183+J184,"")</f>
        <v/>
      </c>
      <c r="L184" s="796" t="str">
        <f t="shared" ref="L184" si="858">IFERROR(L183+K184,"")</f>
        <v/>
      </c>
      <c r="M184" s="797" t="str">
        <f>IFERROR(M183+L184,"")</f>
        <v/>
      </c>
      <c r="N184" s="797" t="str">
        <f t="shared" ref="N184" si="859">IFERROR(N183+M184,"")</f>
        <v/>
      </c>
      <c r="O184" s="797" t="str">
        <f t="shared" ref="O184" si="860">IFERROR(O183+N184,"")</f>
        <v/>
      </c>
      <c r="P184" s="797" t="str">
        <f t="shared" ref="P184" si="861">IFERROR(P183+O184,"")</f>
        <v/>
      </c>
      <c r="Q184" s="797" t="str">
        <f t="shared" ref="Q184" si="862">IFERROR(Q183+P184,"")</f>
        <v/>
      </c>
      <c r="R184" s="797" t="str">
        <f t="shared" ref="R184" si="863">IFERROR(R183+Q184,"")</f>
        <v/>
      </c>
      <c r="S184" s="797" t="str">
        <f t="shared" ref="S184" si="864">IFERROR(S183+R184,"")</f>
        <v/>
      </c>
      <c r="T184" s="797" t="str">
        <f t="shared" ref="T184" si="865">IFERROR(T183+S184,"")</f>
        <v/>
      </c>
      <c r="U184" s="797" t="str">
        <f t="shared" ref="U184" si="866">IFERROR(U183+T184,"")</f>
        <v/>
      </c>
      <c r="V184" s="797" t="str">
        <f t="shared" ref="V184" si="867">IFERROR(V183+U184,"")</f>
        <v/>
      </c>
      <c r="W184" s="797" t="str">
        <f t="shared" ref="W184" si="868">IFERROR(W183+V184,"")</f>
        <v/>
      </c>
      <c r="X184" s="797" t="str">
        <f t="shared" ref="X184" si="869">IFERROR(X183+W184,"")</f>
        <v/>
      </c>
      <c r="Y184" s="797" t="str">
        <f t="shared" ref="Y184" si="870">IFERROR(Y183+X184,"")</f>
        <v/>
      </c>
      <c r="Z184" s="797" t="str">
        <f t="shared" ref="Z184" si="871">IFERROR(Z183+Y184,"")</f>
        <v/>
      </c>
      <c r="AA184" s="797" t="str">
        <f t="shared" ref="AA184" si="872">IFERROR(AA183+Z184,"")</f>
        <v/>
      </c>
      <c r="AB184" s="797" t="str">
        <f t="shared" ref="AB184" si="873">IFERROR(AB183+AA184,"")</f>
        <v/>
      </c>
      <c r="AC184" s="797" t="str">
        <f t="shared" ref="AC184" si="874">IFERROR(AC183+AB184,"")</f>
        <v/>
      </c>
      <c r="AD184" s="797" t="str">
        <f t="shared" ref="AD184" si="875">IFERROR(AD183+AC184,"")</f>
        <v/>
      </c>
      <c r="AE184" s="797" t="str">
        <f t="shared" ref="AE184" si="876">IFERROR(AE183+AD184,"")</f>
        <v/>
      </c>
      <c r="AF184" s="797" t="str">
        <f t="shared" ref="AF184" si="877">IFERROR(AF183+AE184,"")</f>
        <v/>
      </c>
      <c r="AG184" s="797" t="str">
        <f t="shared" ref="AG184" si="878">IFERROR(AG183+AF184,"")</f>
        <v/>
      </c>
      <c r="AH184" s="797" t="str">
        <f t="shared" ref="AH184" si="879">IFERROR(AH183+AG184,"")</f>
        <v/>
      </c>
    </row>
    <row r="185" spans="3:34" s="379" customFormat="1">
      <c r="C185" s="780" t="s">
        <v>17</v>
      </c>
      <c r="D185" s="796">
        <f>IF(D$48&gt;$C$7,"",PLANT!H14)</f>
        <v>2.6999037599999989</v>
      </c>
      <c r="E185" s="796">
        <f>IF(E$48&gt;$C$7,"",PLANT!I14)</f>
        <v>2.6999037599999993</v>
      </c>
      <c r="F185" s="796">
        <f>IF(F$48&gt;$C$7,"",PLANT!J14)</f>
        <v>2.1505320383999993</v>
      </c>
      <c r="G185" s="796">
        <f>IF(G$48&gt;$C$7,"",PLANT!K14)</f>
        <v>2.6195349273886444</v>
      </c>
      <c r="H185" s="796">
        <f>IF(H$48&gt;$C$7,"",PLANT!L14)</f>
        <v>1.3111735335584958</v>
      </c>
      <c r="I185" s="796">
        <f>IF(I$48&gt;$C$7,"",PLANT!M14)</f>
        <v>2.6241898958052161</v>
      </c>
      <c r="J185" s="796" t="str">
        <f>IF(J$48&gt;$C$7,"",PLANT!N14)</f>
        <v/>
      </c>
      <c r="K185" s="796" t="str">
        <f>IF(K$48&gt;$C$7,"",PLANT!O14)</f>
        <v/>
      </c>
      <c r="L185" s="796" t="str">
        <f>IF(L$48&gt;$C$7,"",PLANT!P14)</f>
        <v/>
      </c>
      <c r="M185" s="796" t="str">
        <f>IF(M$48&gt;$C$7,"",PLANT!Q14)</f>
        <v/>
      </c>
      <c r="N185" s="796" t="str">
        <f>IF(N$48&gt;$C$7,"",PLANT!R14)</f>
        <v/>
      </c>
      <c r="O185" s="796" t="str">
        <f>IF(O$48&gt;$C$7,"",PLANT!S14)</f>
        <v/>
      </c>
      <c r="P185" s="796" t="str">
        <f>IF(P$48&gt;$C$7,"",PLANT!T14)</f>
        <v/>
      </c>
      <c r="Q185" s="796" t="str">
        <f>IF(Q$48&gt;$C$7,"",PLANT!U14)</f>
        <v/>
      </c>
      <c r="R185" s="796" t="str">
        <f>IF(R$48&gt;$C$7,"",PLANT!V14)</f>
        <v/>
      </c>
      <c r="S185" s="796" t="str">
        <f>IF(S$48&gt;$C$7,"",PLANT!W14)</f>
        <v/>
      </c>
      <c r="T185" s="796" t="str">
        <f>IF(T$48&gt;$C$7,"",PLANT!X14)</f>
        <v/>
      </c>
      <c r="U185" s="796" t="str">
        <f>IF(U$48&gt;$C$7,"",PLANT!Y14)</f>
        <v/>
      </c>
      <c r="V185" s="796" t="str">
        <f>IF(V$48&gt;$C$7,"",PLANT!Z14)</f>
        <v/>
      </c>
      <c r="W185" s="796" t="str">
        <f>IF(W$48&gt;$C$7,"",PLANT!AA14)</f>
        <v/>
      </c>
      <c r="X185" s="796" t="str">
        <f>IF(X$48&gt;$C$7,"",PLANT!AB14)</f>
        <v/>
      </c>
      <c r="Y185" s="796" t="str">
        <f>IF(Y$48&gt;$C$7,"",PLANT!AC14)</f>
        <v/>
      </c>
      <c r="Z185" s="796" t="str">
        <f>IF(Z$48&gt;$C$7,"",PLANT!AD14)</f>
        <v/>
      </c>
      <c r="AA185" s="796" t="str">
        <f>IF(AA$48&gt;$C$7,"",PLANT!AE14)</f>
        <v/>
      </c>
      <c r="AB185" s="796" t="str">
        <f>IF(AB$48&gt;$C$7,"",PLANT!AF14)</f>
        <v/>
      </c>
      <c r="AC185" s="796" t="str">
        <f>IF(AC$48&gt;$C$7,"",PLANT!AG14)</f>
        <v/>
      </c>
      <c r="AD185" s="796" t="str">
        <f>IF(AD$48&gt;$C$7,"",PLANT!AH14)</f>
        <v/>
      </c>
      <c r="AE185" s="796" t="str">
        <f>IF(AE$48&gt;$C$7,"",PLANT!AI14)</f>
        <v/>
      </c>
      <c r="AF185" s="796" t="str">
        <f>IF(AF$48&gt;$C$7,"",PLANT!AJ14)</f>
        <v/>
      </c>
      <c r="AG185" s="796" t="str">
        <f>IF(AG$48&gt;$C$7,"",PLANT!AK14)</f>
        <v/>
      </c>
      <c r="AH185" s="796" t="str">
        <f>IF(AH$48&gt;$C$7,"",PLANT!AL14)</f>
        <v/>
      </c>
    </row>
    <row r="186" spans="3:34" s="379" customFormat="1">
      <c r="C186" s="780" t="s">
        <v>73</v>
      </c>
      <c r="D186" s="796">
        <f>D185</f>
        <v>2.6999037599999989</v>
      </c>
      <c r="E186" s="796">
        <f>IFERROR(E185+D186,"")</f>
        <v>5.3998075199999978</v>
      </c>
      <c r="F186" s="796">
        <f>IFERROR(F185+E186,"")</f>
        <v>7.5503395583999975</v>
      </c>
      <c r="G186" s="796">
        <f t="shared" ref="G186" si="880">IFERROR(G185+F186,"")</f>
        <v>10.169874485788641</v>
      </c>
      <c r="H186" s="796">
        <f t="shared" ref="H186" si="881">IFERROR(H185+G186,"")</f>
        <v>11.481048019347137</v>
      </c>
      <c r="I186" s="796">
        <f t="shared" ref="I186" si="882">IFERROR(I185+H186,"")</f>
        <v>14.105237915152353</v>
      </c>
      <c r="J186" s="796" t="str">
        <f t="shared" ref="J186" si="883">IFERROR(J185+I186,"")</f>
        <v/>
      </c>
      <c r="K186" s="796" t="str">
        <f t="shared" ref="K186" si="884">IFERROR(K185+J186,"")</f>
        <v/>
      </c>
      <c r="L186" s="796" t="str">
        <f t="shared" ref="L186" si="885">IFERROR(L185+K186,"")</f>
        <v/>
      </c>
      <c r="M186" s="797" t="str">
        <f>IFERROR(M185+L186,"")</f>
        <v/>
      </c>
      <c r="N186" s="797" t="str">
        <f t="shared" ref="N186" si="886">IFERROR(N185+M186,"")</f>
        <v/>
      </c>
      <c r="O186" s="797" t="str">
        <f t="shared" ref="O186" si="887">IFERROR(O185+N186,"")</f>
        <v/>
      </c>
      <c r="P186" s="797" t="str">
        <f t="shared" ref="P186" si="888">IFERROR(P185+O186,"")</f>
        <v/>
      </c>
      <c r="Q186" s="797" t="str">
        <f t="shared" ref="Q186" si="889">IFERROR(Q185+P186,"")</f>
        <v/>
      </c>
      <c r="R186" s="797" t="str">
        <f t="shared" ref="R186" si="890">IFERROR(R185+Q186,"")</f>
        <v/>
      </c>
      <c r="S186" s="797" t="str">
        <f t="shared" ref="S186" si="891">IFERROR(S185+R186,"")</f>
        <v/>
      </c>
      <c r="T186" s="797" t="str">
        <f t="shared" ref="T186" si="892">IFERROR(T185+S186,"")</f>
        <v/>
      </c>
      <c r="U186" s="797" t="str">
        <f t="shared" ref="U186" si="893">IFERROR(U185+T186,"")</f>
        <v/>
      </c>
      <c r="V186" s="797" t="str">
        <f t="shared" ref="V186" si="894">IFERROR(V185+U186,"")</f>
        <v/>
      </c>
      <c r="W186" s="797" t="str">
        <f t="shared" ref="W186" si="895">IFERROR(W185+V186,"")</f>
        <v/>
      </c>
      <c r="X186" s="797" t="str">
        <f t="shared" ref="X186" si="896">IFERROR(X185+W186,"")</f>
        <v/>
      </c>
      <c r="Y186" s="797" t="str">
        <f t="shared" ref="Y186" si="897">IFERROR(Y185+X186,"")</f>
        <v/>
      </c>
      <c r="Z186" s="797" t="str">
        <f t="shared" ref="Z186" si="898">IFERROR(Z185+Y186,"")</f>
        <v/>
      </c>
      <c r="AA186" s="797" t="str">
        <f t="shared" ref="AA186" si="899">IFERROR(AA185+Z186,"")</f>
        <v/>
      </c>
      <c r="AB186" s="797" t="str">
        <f t="shared" ref="AB186" si="900">IFERROR(AB185+AA186,"")</f>
        <v/>
      </c>
      <c r="AC186" s="797" t="str">
        <f t="shared" ref="AC186" si="901">IFERROR(AC185+AB186,"")</f>
        <v/>
      </c>
      <c r="AD186" s="797" t="str">
        <f t="shared" ref="AD186" si="902">IFERROR(AD185+AC186,"")</f>
        <v/>
      </c>
      <c r="AE186" s="797" t="str">
        <f t="shared" ref="AE186" si="903">IFERROR(AE185+AD186,"")</f>
        <v/>
      </c>
      <c r="AF186" s="797" t="str">
        <f t="shared" ref="AF186" si="904">IFERROR(AF185+AE186,"")</f>
        <v/>
      </c>
      <c r="AG186" s="797" t="str">
        <f t="shared" ref="AG186" si="905">IFERROR(AG185+AF186,"")</f>
        <v/>
      </c>
      <c r="AH186" s="797" t="str">
        <f t="shared" ref="AH186" si="906">IFERROR(AH185+AG186,"")</f>
        <v/>
      </c>
    </row>
    <row r="187" spans="3:34" s="379" customFormat="1">
      <c r="C187" s="780"/>
      <c r="D187" s="798"/>
      <c r="E187" s="798"/>
      <c r="F187" s="798"/>
      <c r="G187" s="798"/>
      <c r="H187" s="798"/>
      <c r="I187" s="798"/>
      <c r="J187" s="798"/>
      <c r="K187" s="798"/>
      <c r="L187" s="798"/>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row>
    <row r="188" spans="3:34" s="379" customFormat="1">
      <c r="C188" s="780" t="str">
        <f>_xlfn.CONCAT(C44," ",C38)</f>
        <v>CIL Feed Gold</v>
      </c>
      <c r="D188" s="794"/>
      <c r="E188" s="794"/>
      <c r="F188" s="794"/>
      <c r="G188" s="794"/>
      <c r="H188" s="794"/>
      <c r="I188" s="794"/>
      <c r="J188" s="794"/>
      <c r="K188" s="794"/>
      <c r="L188" s="794"/>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5"/>
    </row>
    <row r="189" spans="3:34" s="379" customFormat="1">
      <c r="C189" s="780" t="s">
        <v>16</v>
      </c>
      <c r="D189" s="794">
        <f>IF(D$48&gt;$C$7,"",PLANT!H17)</f>
        <v>2.2974965688543398</v>
      </c>
      <c r="E189" s="794">
        <f>IF(E$48&gt;$C$7,"",PLANT!I17)</f>
        <v>2.3454835199487998</v>
      </c>
      <c r="F189" s="794">
        <f>IF(F$48&gt;$C$7,"",PLANT!J17)</f>
        <v>1.8113219027181</v>
      </c>
      <c r="G189" s="794">
        <f>IF(G$48&gt;$C$7,"",PLANT!K17)</f>
        <v>2.5818764327981998</v>
      </c>
      <c r="H189" s="794">
        <f>IF(H$48&gt;$C$7,"",PLANT!L17)</f>
        <v>2.3064445677212997</v>
      </c>
      <c r="I189" s="794">
        <f>IF(I$48&gt;$C$7,"",PLANT!M17)</f>
        <v>0</v>
      </c>
      <c r="J189" s="794" t="str">
        <f>IF(J$48&gt;$C$7,"",PLANT!N17)</f>
        <v/>
      </c>
      <c r="K189" s="794" t="str">
        <f>IF(K$48&gt;$C$7,"",PLANT!O17)</f>
        <v/>
      </c>
      <c r="L189" s="794" t="str">
        <f>IF(L$48&gt;$C$7,"",PLANT!P17)</f>
        <v/>
      </c>
      <c r="M189" s="794" t="str">
        <f>IF(M$48&gt;$C$7,"",PLANT!Q17)</f>
        <v/>
      </c>
      <c r="N189" s="794" t="str">
        <f>IF(N$48&gt;$C$7,"",PLANT!R17)</f>
        <v/>
      </c>
      <c r="O189" s="794" t="str">
        <f>IF(O$48&gt;$C$7,"",PLANT!S17)</f>
        <v/>
      </c>
      <c r="P189" s="794" t="str">
        <f>IF(P$48&gt;$C$7,"",PLANT!T17)</f>
        <v/>
      </c>
      <c r="Q189" s="794" t="str">
        <f>IF(Q$48&gt;$C$7,"",PLANT!U17)</f>
        <v/>
      </c>
      <c r="R189" s="794" t="str">
        <f>IF(R$48&gt;$C$7,"",PLANT!V17)</f>
        <v/>
      </c>
      <c r="S189" s="794" t="str">
        <f>IF(S$48&gt;$C$7,"",PLANT!W17)</f>
        <v/>
      </c>
      <c r="T189" s="794" t="str">
        <f>IF(T$48&gt;$C$7,"",PLANT!X17)</f>
        <v/>
      </c>
      <c r="U189" s="794" t="str">
        <f>IF(U$48&gt;$C$7,"",PLANT!Y17)</f>
        <v/>
      </c>
      <c r="V189" s="794" t="str">
        <f>IF(V$48&gt;$C$7,"",PLANT!Z17)</f>
        <v/>
      </c>
      <c r="W189" s="794" t="str">
        <f>IF(W$48&gt;$C$7,"",PLANT!AA17)</f>
        <v/>
      </c>
      <c r="X189" s="794" t="str">
        <f>IF(X$48&gt;$C$7,"",PLANT!AB17)</f>
        <v/>
      </c>
      <c r="Y189" s="794" t="str">
        <f>IF(Y$48&gt;$C$7,"",PLANT!AC17)</f>
        <v/>
      </c>
      <c r="Z189" s="794" t="str">
        <f>IF(Z$48&gt;$C$7,"",PLANT!AD17)</f>
        <v/>
      </c>
      <c r="AA189" s="794" t="str">
        <f>IF(AA$48&gt;$C$7,"",PLANT!AE17)</f>
        <v/>
      </c>
      <c r="AB189" s="794" t="str">
        <f>IF(AB$48&gt;$C$7,"",PLANT!AF17)</f>
        <v/>
      </c>
      <c r="AC189" s="794" t="str">
        <f>IF(AC$48&gt;$C$7,"",PLANT!AG17)</f>
        <v/>
      </c>
      <c r="AD189" s="794" t="str">
        <f>IF(AD$48&gt;$C$7,"",PLANT!AH17)</f>
        <v/>
      </c>
      <c r="AE189" s="794" t="str">
        <f>IF(AE$48&gt;$C$7,"",PLANT!AI17)</f>
        <v/>
      </c>
      <c r="AF189" s="794" t="str">
        <f>IF(AF$48&gt;$C$7,"",PLANT!AJ17)</f>
        <v/>
      </c>
      <c r="AG189" s="794" t="str">
        <f>IF(AG$48&gt;$C$7,"",PLANT!AK17)</f>
        <v/>
      </c>
      <c r="AH189" s="794" t="str">
        <f>IF(AH$48&gt;$C$7,"",PLANT!AL17)</f>
        <v/>
      </c>
    </row>
    <row r="190" spans="3:34" s="379" customFormat="1">
      <c r="C190" s="780" t="s">
        <v>72</v>
      </c>
      <c r="D190" s="796">
        <f>D189</f>
        <v>2.2974965688543398</v>
      </c>
      <c r="E190" s="796">
        <f>IFERROR(E189+D190,"")</f>
        <v>4.6429800888031396</v>
      </c>
      <c r="F190" s="796">
        <f>IFERROR(F189+E190,"")</f>
        <v>6.4543019915212394</v>
      </c>
      <c r="G190" s="796">
        <f t="shared" ref="G190" si="907">IFERROR(G189+F190,"")</f>
        <v>9.0361784243194396</v>
      </c>
      <c r="H190" s="796">
        <f t="shared" ref="H190" si="908">IFERROR(H189+G190,"")</f>
        <v>11.34262299204074</v>
      </c>
      <c r="I190" s="796">
        <f t="shared" ref="I190" si="909">IFERROR(I189+H190,"")</f>
        <v>11.34262299204074</v>
      </c>
      <c r="J190" s="796" t="str">
        <f t="shared" ref="J190" si="910">IFERROR(J189+I190,"")</f>
        <v/>
      </c>
      <c r="K190" s="796" t="str">
        <f t="shared" ref="K190" si="911">IFERROR(K189+J190,"")</f>
        <v/>
      </c>
      <c r="L190" s="796" t="str">
        <f t="shared" ref="L190" si="912">IFERROR(L189+K190,"")</f>
        <v/>
      </c>
      <c r="M190" s="797" t="str">
        <f>IFERROR(M189+L190,"")</f>
        <v/>
      </c>
      <c r="N190" s="797" t="str">
        <f t="shared" ref="N190" si="913">IFERROR(N189+M190,"")</f>
        <v/>
      </c>
      <c r="O190" s="797" t="str">
        <f t="shared" ref="O190" si="914">IFERROR(O189+N190,"")</f>
        <v/>
      </c>
      <c r="P190" s="797" t="str">
        <f t="shared" ref="P190" si="915">IFERROR(P189+O190,"")</f>
        <v/>
      </c>
      <c r="Q190" s="797" t="str">
        <f t="shared" ref="Q190" si="916">IFERROR(Q189+P190,"")</f>
        <v/>
      </c>
      <c r="R190" s="797" t="str">
        <f t="shared" ref="R190" si="917">IFERROR(R189+Q190,"")</f>
        <v/>
      </c>
      <c r="S190" s="797" t="str">
        <f t="shared" ref="S190" si="918">IFERROR(S189+R190,"")</f>
        <v/>
      </c>
      <c r="T190" s="797" t="str">
        <f t="shared" ref="T190" si="919">IFERROR(T189+S190,"")</f>
        <v/>
      </c>
      <c r="U190" s="797" t="str">
        <f t="shared" ref="U190" si="920">IFERROR(U189+T190,"")</f>
        <v/>
      </c>
      <c r="V190" s="797" t="str">
        <f t="shared" ref="V190" si="921">IFERROR(V189+U190,"")</f>
        <v/>
      </c>
      <c r="W190" s="797" t="str">
        <f t="shared" ref="W190" si="922">IFERROR(W189+V190,"")</f>
        <v/>
      </c>
      <c r="X190" s="797" t="str">
        <f t="shared" ref="X190" si="923">IFERROR(X189+W190,"")</f>
        <v/>
      </c>
      <c r="Y190" s="797" t="str">
        <f t="shared" ref="Y190" si="924">IFERROR(Y189+X190,"")</f>
        <v/>
      </c>
      <c r="Z190" s="797" t="str">
        <f t="shared" ref="Z190" si="925">IFERROR(Z189+Y190,"")</f>
        <v/>
      </c>
      <c r="AA190" s="797" t="str">
        <f t="shared" ref="AA190" si="926">IFERROR(AA189+Z190,"")</f>
        <v/>
      </c>
      <c r="AB190" s="797" t="str">
        <f t="shared" ref="AB190" si="927">IFERROR(AB189+AA190,"")</f>
        <v/>
      </c>
      <c r="AC190" s="797" t="str">
        <f t="shared" ref="AC190" si="928">IFERROR(AC189+AB190,"")</f>
        <v/>
      </c>
      <c r="AD190" s="797" t="str">
        <f t="shared" ref="AD190" si="929">IFERROR(AD189+AC190,"")</f>
        <v/>
      </c>
      <c r="AE190" s="797" t="str">
        <f t="shared" ref="AE190" si="930">IFERROR(AE189+AD190,"")</f>
        <v/>
      </c>
      <c r="AF190" s="797" t="str">
        <f t="shared" ref="AF190" si="931">IFERROR(AF189+AE190,"")</f>
        <v/>
      </c>
      <c r="AG190" s="797" t="str">
        <f t="shared" ref="AG190" si="932">IFERROR(AG189+AF190,"")</f>
        <v/>
      </c>
      <c r="AH190" s="797" t="str">
        <f t="shared" ref="AH190" si="933">IFERROR(AH189+AG190,"")</f>
        <v/>
      </c>
    </row>
    <row r="191" spans="3:34" s="379" customFormat="1">
      <c r="C191" s="780" t="s">
        <v>17</v>
      </c>
      <c r="D191" s="796">
        <f>IF(D$48&gt;$C$7,"",PLANT!H14)</f>
        <v>2.6999037599999989</v>
      </c>
      <c r="E191" s="796">
        <f>IF(E$48&gt;$C$7,"",PLANT!I14)</f>
        <v>2.6999037599999993</v>
      </c>
      <c r="F191" s="796">
        <f>IF(F$48&gt;$C$7,"",PLANT!J14)</f>
        <v>2.1505320383999993</v>
      </c>
      <c r="G191" s="796">
        <f>IF(G$48&gt;$C$7,"",PLANT!K14)</f>
        <v>2.6195349273886444</v>
      </c>
      <c r="H191" s="796">
        <f>IF(H$48&gt;$C$7,"",PLANT!L14)</f>
        <v>1.3111735335584958</v>
      </c>
      <c r="I191" s="796">
        <f>IF(I$48&gt;$C$7,"",PLANT!M14)</f>
        <v>2.6241898958052161</v>
      </c>
      <c r="J191" s="796" t="str">
        <f>IF(J$48&gt;$C$7,"",PLANT!N14)</f>
        <v/>
      </c>
      <c r="K191" s="796" t="str">
        <f>IF(K$48&gt;$C$7,"",PLANT!O14)</f>
        <v/>
      </c>
      <c r="L191" s="796" t="str">
        <f>IF(L$48&gt;$C$7,"",PLANT!P14)</f>
        <v/>
      </c>
      <c r="M191" s="796" t="str">
        <f>IF(M$48&gt;$C$7,"",PLANT!Q14)</f>
        <v/>
      </c>
      <c r="N191" s="796" t="str">
        <f>IF(N$48&gt;$C$7,"",PLANT!R14)</f>
        <v/>
      </c>
      <c r="O191" s="796" t="str">
        <f>IF(O$48&gt;$C$7,"",PLANT!S14)</f>
        <v/>
      </c>
      <c r="P191" s="796" t="str">
        <f>IF(P$48&gt;$C$7,"",PLANT!T14)</f>
        <v/>
      </c>
      <c r="Q191" s="796" t="str">
        <f>IF(Q$48&gt;$C$7,"",PLANT!U14)</f>
        <v/>
      </c>
      <c r="R191" s="796" t="str">
        <f>IF(R$48&gt;$C$7,"",PLANT!V14)</f>
        <v/>
      </c>
      <c r="S191" s="796" t="str">
        <f>IF(S$48&gt;$C$7,"",PLANT!W14)</f>
        <v/>
      </c>
      <c r="T191" s="796" t="str">
        <f>IF(T$48&gt;$C$7,"",PLANT!X14)</f>
        <v/>
      </c>
      <c r="U191" s="796" t="str">
        <f>IF(U$48&gt;$C$7,"",PLANT!Y14)</f>
        <v/>
      </c>
      <c r="V191" s="796" t="str">
        <f>IF(V$48&gt;$C$7,"",PLANT!Z14)</f>
        <v/>
      </c>
      <c r="W191" s="796" t="str">
        <f>IF(W$48&gt;$C$7,"",PLANT!AA14)</f>
        <v/>
      </c>
      <c r="X191" s="796" t="str">
        <f>IF(X$48&gt;$C$7,"",PLANT!AB14)</f>
        <v/>
      </c>
      <c r="Y191" s="796" t="str">
        <f>IF(Y$48&gt;$C$7,"",PLANT!AC14)</f>
        <v/>
      </c>
      <c r="Z191" s="796" t="str">
        <f>IF(Z$48&gt;$C$7,"",PLANT!AD14)</f>
        <v/>
      </c>
      <c r="AA191" s="796" t="str">
        <f>IF(AA$48&gt;$C$7,"",PLANT!AE14)</f>
        <v/>
      </c>
      <c r="AB191" s="796" t="str">
        <f>IF(AB$48&gt;$C$7,"",PLANT!AF14)</f>
        <v/>
      </c>
      <c r="AC191" s="796" t="str">
        <f>IF(AC$48&gt;$C$7,"",PLANT!AG14)</f>
        <v/>
      </c>
      <c r="AD191" s="796" t="str">
        <f>IF(AD$48&gt;$C$7,"",PLANT!AH14)</f>
        <v/>
      </c>
      <c r="AE191" s="796" t="str">
        <f>IF(AE$48&gt;$C$7,"",PLANT!AI14)</f>
        <v/>
      </c>
      <c r="AF191" s="796" t="str">
        <f>IF(AF$48&gt;$C$7,"",PLANT!AJ14)</f>
        <v/>
      </c>
      <c r="AG191" s="796" t="str">
        <f>IF(AG$48&gt;$C$7,"",PLANT!AK14)</f>
        <v/>
      </c>
      <c r="AH191" s="796" t="str">
        <f>IF(AH$48&gt;$C$7,"",PLANT!AL14)</f>
        <v/>
      </c>
    </row>
    <row r="192" spans="3:34" s="379" customFormat="1">
      <c r="C192" s="780" t="s">
        <v>73</v>
      </c>
      <c r="D192" s="796">
        <f>D191</f>
        <v>2.6999037599999989</v>
      </c>
      <c r="E192" s="796">
        <f>IFERROR(E191+D192,"")</f>
        <v>5.3998075199999978</v>
      </c>
      <c r="F192" s="796">
        <f>IFERROR(F191+E192,"")</f>
        <v>7.5503395583999975</v>
      </c>
      <c r="G192" s="796">
        <f t="shared" ref="G192" si="934">IFERROR(G191+F192,"")</f>
        <v>10.169874485788641</v>
      </c>
      <c r="H192" s="796">
        <f t="shared" ref="H192" si="935">IFERROR(H191+G192,"")</f>
        <v>11.481048019347137</v>
      </c>
      <c r="I192" s="796">
        <f t="shared" ref="I192" si="936">IFERROR(I191+H192,"")</f>
        <v>14.105237915152353</v>
      </c>
      <c r="J192" s="796" t="str">
        <f t="shared" ref="J192" si="937">IFERROR(J191+I192,"")</f>
        <v/>
      </c>
      <c r="K192" s="796" t="str">
        <f t="shared" ref="K192" si="938">IFERROR(K191+J192,"")</f>
        <v/>
      </c>
      <c r="L192" s="796" t="str">
        <f t="shared" ref="L192" si="939">IFERROR(L191+K192,"")</f>
        <v/>
      </c>
      <c r="M192" s="797" t="str">
        <f>IFERROR(M191+L192,"")</f>
        <v/>
      </c>
      <c r="N192" s="797" t="str">
        <f t="shared" ref="N192" si="940">IFERROR(N191+M192,"")</f>
        <v/>
      </c>
      <c r="O192" s="797" t="str">
        <f t="shared" ref="O192" si="941">IFERROR(O191+N192,"")</f>
        <v/>
      </c>
      <c r="P192" s="797" t="str">
        <f t="shared" ref="P192" si="942">IFERROR(P191+O192,"")</f>
        <v/>
      </c>
      <c r="Q192" s="797" t="str">
        <f t="shared" ref="Q192" si="943">IFERROR(Q191+P192,"")</f>
        <v/>
      </c>
      <c r="R192" s="797" t="str">
        <f t="shared" ref="R192" si="944">IFERROR(R191+Q192,"")</f>
        <v/>
      </c>
      <c r="S192" s="797" t="str">
        <f t="shared" ref="S192" si="945">IFERROR(S191+R192,"")</f>
        <v/>
      </c>
      <c r="T192" s="797" t="str">
        <f t="shared" ref="T192" si="946">IFERROR(T191+S192,"")</f>
        <v/>
      </c>
      <c r="U192" s="797" t="str">
        <f t="shared" ref="U192" si="947">IFERROR(U191+T192,"")</f>
        <v/>
      </c>
      <c r="V192" s="797" t="str">
        <f t="shared" ref="V192" si="948">IFERROR(V191+U192,"")</f>
        <v/>
      </c>
      <c r="W192" s="797" t="str">
        <f t="shared" ref="W192" si="949">IFERROR(W191+V192,"")</f>
        <v/>
      </c>
      <c r="X192" s="797" t="str">
        <f t="shared" ref="X192" si="950">IFERROR(X191+W192,"")</f>
        <v/>
      </c>
      <c r="Y192" s="797" t="str">
        <f t="shared" ref="Y192" si="951">IFERROR(Y191+X192,"")</f>
        <v/>
      </c>
      <c r="Z192" s="797" t="str">
        <f t="shared" ref="Z192" si="952">IFERROR(Z191+Y192,"")</f>
        <v/>
      </c>
      <c r="AA192" s="797" t="str">
        <f t="shared" ref="AA192" si="953">IFERROR(AA191+Z192,"")</f>
        <v/>
      </c>
      <c r="AB192" s="797" t="str">
        <f t="shared" ref="AB192" si="954">IFERROR(AB191+AA192,"")</f>
        <v/>
      </c>
      <c r="AC192" s="797" t="str">
        <f t="shared" ref="AC192" si="955">IFERROR(AC191+AB192,"")</f>
        <v/>
      </c>
      <c r="AD192" s="797" t="str">
        <f t="shared" ref="AD192" si="956">IFERROR(AD191+AC192,"")</f>
        <v/>
      </c>
      <c r="AE192" s="797" t="str">
        <f t="shared" ref="AE192" si="957">IFERROR(AE191+AD192,"")</f>
        <v/>
      </c>
      <c r="AF192" s="797" t="str">
        <f t="shared" ref="AF192" si="958">IFERROR(AF191+AE192,"")</f>
        <v/>
      </c>
      <c r="AG192" s="797" t="str">
        <f t="shared" ref="AG192" si="959">IFERROR(AG191+AF192,"")</f>
        <v/>
      </c>
      <c r="AH192" s="797" t="str">
        <f t="shared" ref="AH192" si="960">IFERROR(AH191+AG192,"")</f>
        <v/>
      </c>
    </row>
  </sheetData>
  <mergeCells count="2">
    <mergeCell ref="E9:H9"/>
    <mergeCell ref="I9:L9"/>
  </mergeCells>
  <conditionalFormatting sqref="G11:H11">
    <cfRule type="cellIs" dxfId="1234" priority="3" operator="lessThan">
      <formula>0</formula>
    </cfRule>
    <cfRule type="cellIs" dxfId="1233" priority="4" operator="greaterThan">
      <formula>0</formula>
    </cfRule>
  </conditionalFormatting>
  <conditionalFormatting sqref="G14:H16">
    <cfRule type="cellIs" dxfId="1232" priority="5" operator="lessThan">
      <formula>0</formula>
    </cfRule>
    <cfRule type="cellIs" dxfId="1231" priority="6" operator="greaterThan">
      <formula>0</formula>
    </cfRule>
  </conditionalFormatting>
  <conditionalFormatting sqref="G19:H21">
    <cfRule type="cellIs" dxfId="1230" priority="9" operator="lessThan">
      <formula>0</formula>
    </cfRule>
    <cfRule type="cellIs" dxfId="1229" priority="10" operator="greaterThan">
      <formula>0</formula>
    </cfRule>
  </conditionalFormatting>
  <conditionalFormatting sqref="G24:H28">
    <cfRule type="cellIs" dxfId="1228" priority="23" operator="lessThan">
      <formula>0</formula>
    </cfRule>
    <cfRule type="cellIs" dxfId="1227" priority="24" operator="greaterThan">
      <formula>0</formula>
    </cfRule>
  </conditionalFormatting>
  <conditionalFormatting sqref="G31:H36">
    <cfRule type="cellIs" dxfId="1226" priority="21" operator="lessThan">
      <formula>0</formula>
    </cfRule>
    <cfRule type="cellIs" dxfId="1225" priority="22" operator="greaterThan">
      <formula>0</formula>
    </cfRule>
  </conditionalFormatting>
  <conditionalFormatting sqref="G39:H44">
    <cfRule type="cellIs" dxfId="1224" priority="19" operator="lessThan">
      <formula>0</formula>
    </cfRule>
    <cfRule type="cellIs" dxfId="1223" priority="20" operator="greaterThan">
      <formula>0</formula>
    </cfRule>
  </conditionalFormatting>
  <conditionalFormatting sqref="K11:L11">
    <cfRule type="cellIs" dxfId="1222" priority="1" operator="lessThan">
      <formula>0</formula>
    </cfRule>
    <cfRule type="cellIs" dxfId="1221" priority="2" operator="greaterThan">
      <formula>0</formula>
    </cfRule>
  </conditionalFormatting>
  <conditionalFormatting sqref="K14:L16">
    <cfRule type="cellIs" dxfId="1220" priority="7" operator="lessThan">
      <formula>0</formula>
    </cfRule>
    <cfRule type="cellIs" dxfId="1219" priority="8" operator="greaterThan">
      <formula>0</formula>
    </cfRule>
  </conditionalFormatting>
  <conditionalFormatting sqref="K19:L21">
    <cfRule type="cellIs" dxfId="1218" priority="17" operator="lessThan">
      <formula>0</formula>
    </cfRule>
    <cfRule type="cellIs" dxfId="1217" priority="18" operator="greaterThan">
      <formula>0</formula>
    </cfRule>
  </conditionalFormatting>
  <conditionalFormatting sqref="K24:L28">
    <cfRule type="cellIs" dxfId="1216" priority="15" operator="lessThan">
      <formula>0</formula>
    </cfRule>
    <cfRule type="cellIs" dxfId="1215" priority="16" operator="greaterThan">
      <formula>0</formula>
    </cfRule>
  </conditionalFormatting>
  <conditionalFormatting sqref="K31:L36">
    <cfRule type="cellIs" dxfId="1214" priority="13" operator="lessThan">
      <formula>0</formula>
    </cfRule>
    <cfRule type="cellIs" dxfId="1213" priority="14" operator="greaterThan">
      <formula>0</formula>
    </cfRule>
  </conditionalFormatting>
  <conditionalFormatting sqref="K39:L44">
    <cfRule type="cellIs" dxfId="1212" priority="11" operator="lessThan">
      <formula>0</formula>
    </cfRule>
    <cfRule type="cellIs" dxfId="1211" priority="12" operator="greaterThan">
      <formula>0</formula>
    </cfRule>
  </conditionalFormatting>
  <pageMargins left="0.7" right="0.7" top="0.75" bottom="0.75" header="0.3" footer="0.3"/>
  <ignoredErrors>
    <ignoredError xmlns:x16r3="http://schemas.microsoft.com/office/spreadsheetml/2018/08/main" sqref="D74:L74 D79:L80 D76 D82:L82 D78 F78:L78 F76:L76 D49:L49 M49:AH49 M76:AH76 M82:AH82 M78:AH80 M74:AH74" x16r3:misleadingFormat="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625E-EBF9-41A4-8A79-5B8BCE7E715B}">
  <sheetPr filterMode="1">
    <tabColor rgb="FFFF0000"/>
  </sheetPr>
  <dimension ref="B2:WVT15"/>
  <sheetViews>
    <sheetView showGridLines="0" topLeftCell="C1" zoomScale="95" zoomScaleNormal="95" workbookViewId="0">
      <pane xSplit="1" topLeftCell="I1" activePane="topRight" state="frozen"/>
      <selection activeCell="C1" sqref="C1"/>
      <selection pane="topRight" activeCell="C10" sqref="C10"/>
    </sheetView>
  </sheetViews>
  <sheetFormatPr defaultColWidth="9" defaultRowHeight="13.8"/>
  <cols>
    <col min="1" max="1" width="2.21875" style="672" customWidth="1"/>
    <col min="2" max="2" width="8.88671875" style="673" customWidth="1"/>
    <col min="3" max="3" width="81.77734375" style="678" customWidth="1"/>
    <col min="4" max="4" width="18.77734375" style="1376" customWidth="1"/>
    <col min="5" max="5" width="11.21875" style="674" bestFit="1" customWidth="1"/>
    <col min="6" max="6" width="12.21875" style="675" customWidth="1"/>
    <col min="7" max="7" width="11.88671875" style="675" customWidth="1"/>
    <col min="8" max="8" width="11.88671875" style="676" customWidth="1"/>
    <col min="9" max="9" width="12.109375" style="676" bestFit="1" customWidth="1"/>
    <col min="10" max="10" width="10" style="676" customWidth="1"/>
    <col min="11" max="11" width="87.21875" style="672" customWidth="1"/>
    <col min="12" max="12" width="4.21875" style="672" customWidth="1"/>
    <col min="13" max="13" width="11.21875" style="672" customWidth="1"/>
    <col min="14" max="15" width="7.21875" style="672" customWidth="1"/>
    <col min="16" max="253" width="9" style="672"/>
    <col min="254" max="254" width="7.21875" style="672" customWidth="1"/>
    <col min="255" max="255" width="20.21875" style="672" customWidth="1"/>
    <col min="256" max="256" width="39" style="672" customWidth="1"/>
    <col min="257" max="257" width="24.21875" style="672" customWidth="1"/>
    <col min="258" max="258" width="13.21875" style="672" customWidth="1"/>
    <col min="259" max="263" width="9" style="672" hidden="1" customWidth="1"/>
    <col min="264" max="265" width="14" style="672" customWidth="1"/>
    <col min="266" max="266" width="15.21875" style="672" customWidth="1"/>
    <col min="267" max="267" width="46.21875" style="672" customWidth="1"/>
    <col min="268" max="268" width="9" style="672" hidden="1" customWidth="1"/>
    <col min="269" max="509" width="9" style="672"/>
    <col min="510" max="510" width="7.21875" style="672" customWidth="1"/>
    <col min="511" max="511" width="20.21875" style="672" customWidth="1"/>
    <col min="512" max="512" width="39" style="672" customWidth="1"/>
    <col min="513" max="513" width="24.21875" style="672" customWidth="1"/>
    <col min="514" max="514" width="13.21875" style="672" customWidth="1"/>
    <col min="515" max="519" width="9" style="672" hidden="1" customWidth="1"/>
    <col min="520" max="521" width="14" style="672" customWidth="1"/>
    <col min="522" max="522" width="15.21875" style="672" customWidth="1"/>
    <col min="523" max="523" width="46.21875" style="672" customWidth="1"/>
    <col min="524" max="524" width="9" style="672" hidden="1" customWidth="1"/>
    <col min="525" max="765" width="9" style="672"/>
    <col min="766" max="766" width="7.21875" style="672" customWidth="1"/>
    <col min="767" max="767" width="20.21875" style="672" customWidth="1"/>
    <col min="768" max="768" width="39" style="672" customWidth="1"/>
    <col min="769" max="769" width="24.21875" style="672" customWidth="1"/>
    <col min="770" max="770" width="13.21875" style="672" customWidth="1"/>
    <col min="771" max="775" width="9" style="672" hidden="1" customWidth="1"/>
    <col min="776" max="777" width="14" style="672" customWidth="1"/>
    <col min="778" max="778" width="15.21875" style="672" customWidth="1"/>
    <col min="779" max="779" width="46.21875" style="672" customWidth="1"/>
    <col min="780" max="780" width="9" style="672" hidden="1" customWidth="1"/>
    <col min="781" max="1021" width="9" style="672"/>
    <col min="1022" max="1022" width="7.21875" style="672" customWidth="1"/>
    <col min="1023" max="1023" width="20.21875" style="672" customWidth="1"/>
    <col min="1024" max="1024" width="39" style="672" customWidth="1"/>
    <col min="1025" max="1025" width="24.21875" style="672" customWidth="1"/>
    <col min="1026" max="1026" width="13.21875" style="672" customWidth="1"/>
    <col min="1027" max="1031" width="9" style="672" hidden="1" customWidth="1"/>
    <col min="1032" max="1033" width="14" style="672" customWidth="1"/>
    <col min="1034" max="1034" width="15.21875" style="672" customWidth="1"/>
    <col min="1035" max="1035" width="46.21875" style="672" customWidth="1"/>
    <col min="1036" max="1036" width="9" style="672" hidden="1" customWidth="1"/>
    <col min="1037" max="1277" width="9" style="672"/>
    <col min="1278" max="1278" width="7.21875" style="672" customWidth="1"/>
    <col min="1279" max="1279" width="20.21875" style="672" customWidth="1"/>
    <col min="1280" max="1280" width="39" style="672" customWidth="1"/>
    <col min="1281" max="1281" width="24.21875" style="672" customWidth="1"/>
    <col min="1282" max="1282" width="13.21875" style="672" customWidth="1"/>
    <col min="1283" max="1287" width="9" style="672" hidden="1" customWidth="1"/>
    <col min="1288" max="1289" width="14" style="672" customWidth="1"/>
    <col min="1290" max="1290" width="15.21875" style="672" customWidth="1"/>
    <col min="1291" max="1291" width="46.21875" style="672" customWidth="1"/>
    <col min="1292" max="1292" width="9" style="672" hidden="1" customWidth="1"/>
    <col min="1293" max="1533" width="9" style="672"/>
    <col min="1534" max="1534" width="7.21875" style="672" customWidth="1"/>
    <col min="1535" max="1535" width="20.21875" style="672" customWidth="1"/>
    <col min="1536" max="1536" width="39" style="672" customWidth="1"/>
    <col min="1537" max="1537" width="24.21875" style="672" customWidth="1"/>
    <col min="1538" max="1538" width="13.21875" style="672" customWidth="1"/>
    <col min="1539" max="1543" width="9" style="672" hidden="1" customWidth="1"/>
    <col min="1544" max="1545" width="14" style="672" customWidth="1"/>
    <col min="1546" max="1546" width="15.21875" style="672" customWidth="1"/>
    <col min="1547" max="1547" width="46.21875" style="672" customWidth="1"/>
    <col min="1548" max="1548" width="9" style="672" hidden="1" customWidth="1"/>
    <col min="1549" max="1789" width="9" style="672"/>
    <col min="1790" max="1790" width="7.21875" style="672" customWidth="1"/>
    <col min="1791" max="1791" width="20.21875" style="672" customWidth="1"/>
    <col min="1792" max="1792" width="39" style="672" customWidth="1"/>
    <col min="1793" max="1793" width="24.21875" style="672" customWidth="1"/>
    <col min="1794" max="1794" width="13.21875" style="672" customWidth="1"/>
    <col min="1795" max="1799" width="9" style="672" hidden="1" customWidth="1"/>
    <col min="1800" max="1801" width="14" style="672" customWidth="1"/>
    <col min="1802" max="1802" width="15.21875" style="672" customWidth="1"/>
    <col min="1803" max="1803" width="46.21875" style="672" customWidth="1"/>
    <col min="1804" max="1804" width="9" style="672" hidden="1" customWidth="1"/>
    <col min="1805" max="2045" width="9" style="672"/>
    <col min="2046" max="2046" width="7.21875" style="672" customWidth="1"/>
    <col min="2047" max="2047" width="20.21875" style="672" customWidth="1"/>
    <col min="2048" max="2048" width="39" style="672" customWidth="1"/>
    <col min="2049" max="2049" width="24.21875" style="672" customWidth="1"/>
    <col min="2050" max="2050" width="13.21875" style="672" customWidth="1"/>
    <col min="2051" max="2055" width="9" style="672" hidden="1" customWidth="1"/>
    <col min="2056" max="2057" width="14" style="672" customWidth="1"/>
    <col min="2058" max="2058" width="15.21875" style="672" customWidth="1"/>
    <col min="2059" max="2059" width="46.21875" style="672" customWidth="1"/>
    <col min="2060" max="2060" width="9" style="672" hidden="1" customWidth="1"/>
    <col min="2061" max="2301" width="9" style="672"/>
    <col min="2302" max="2302" width="7.21875" style="672" customWidth="1"/>
    <col min="2303" max="2303" width="20.21875" style="672" customWidth="1"/>
    <col min="2304" max="2304" width="39" style="672" customWidth="1"/>
    <col min="2305" max="2305" width="24.21875" style="672" customWidth="1"/>
    <col min="2306" max="2306" width="13.21875" style="672" customWidth="1"/>
    <col min="2307" max="2311" width="9" style="672" hidden="1" customWidth="1"/>
    <col min="2312" max="2313" width="14" style="672" customWidth="1"/>
    <col min="2314" max="2314" width="15.21875" style="672" customWidth="1"/>
    <col min="2315" max="2315" width="46.21875" style="672" customWidth="1"/>
    <col min="2316" max="2316" width="9" style="672" hidden="1" customWidth="1"/>
    <col min="2317" max="2557" width="9" style="672"/>
    <col min="2558" max="2558" width="7.21875" style="672" customWidth="1"/>
    <col min="2559" max="2559" width="20.21875" style="672" customWidth="1"/>
    <col min="2560" max="2560" width="39" style="672" customWidth="1"/>
    <col min="2561" max="2561" width="24.21875" style="672" customWidth="1"/>
    <col min="2562" max="2562" width="13.21875" style="672" customWidth="1"/>
    <col min="2563" max="2567" width="9" style="672" hidden="1" customWidth="1"/>
    <col min="2568" max="2569" width="14" style="672" customWidth="1"/>
    <col min="2570" max="2570" width="15.21875" style="672" customWidth="1"/>
    <col min="2571" max="2571" width="46.21875" style="672" customWidth="1"/>
    <col min="2572" max="2572" width="9" style="672" hidden="1" customWidth="1"/>
    <col min="2573" max="2813" width="9" style="672"/>
    <col min="2814" max="2814" width="7.21875" style="672" customWidth="1"/>
    <col min="2815" max="2815" width="20.21875" style="672" customWidth="1"/>
    <col min="2816" max="2816" width="39" style="672" customWidth="1"/>
    <col min="2817" max="2817" width="24.21875" style="672" customWidth="1"/>
    <col min="2818" max="2818" width="13.21875" style="672" customWidth="1"/>
    <col min="2819" max="2823" width="9" style="672" hidden="1" customWidth="1"/>
    <col min="2824" max="2825" width="14" style="672" customWidth="1"/>
    <col min="2826" max="2826" width="15.21875" style="672" customWidth="1"/>
    <col min="2827" max="2827" width="46.21875" style="672" customWidth="1"/>
    <col min="2828" max="2828" width="9" style="672" hidden="1" customWidth="1"/>
    <col min="2829" max="3069" width="9" style="672"/>
    <col min="3070" max="3070" width="7.21875" style="672" customWidth="1"/>
    <col min="3071" max="3071" width="20.21875" style="672" customWidth="1"/>
    <col min="3072" max="3072" width="39" style="672" customWidth="1"/>
    <col min="3073" max="3073" width="24.21875" style="672" customWidth="1"/>
    <col min="3074" max="3074" width="13.21875" style="672" customWidth="1"/>
    <col min="3075" max="3079" width="9" style="672" hidden="1" customWidth="1"/>
    <col min="3080" max="3081" width="14" style="672" customWidth="1"/>
    <col min="3082" max="3082" width="15.21875" style="672" customWidth="1"/>
    <col min="3083" max="3083" width="46.21875" style="672" customWidth="1"/>
    <col min="3084" max="3084" width="9" style="672" hidden="1" customWidth="1"/>
    <col min="3085" max="3325" width="9" style="672"/>
    <col min="3326" max="3326" width="7.21875" style="672" customWidth="1"/>
    <col min="3327" max="3327" width="20.21875" style="672" customWidth="1"/>
    <col min="3328" max="3328" width="39" style="672" customWidth="1"/>
    <col min="3329" max="3329" width="24.21875" style="672" customWidth="1"/>
    <col min="3330" max="3330" width="13.21875" style="672" customWidth="1"/>
    <col min="3331" max="3335" width="9" style="672" hidden="1" customWidth="1"/>
    <col min="3336" max="3337" width="14" style="672" customWidth="1"/>
    <col min="3338" max="3338" width="15.21875" style="672" customWidth="1"/>
    <col min="3339" max="3339" width="46.21875" style="672" customWidth="1"/>
    <col min="3340" max="3340" width="9" style="672" hidden="1" customWidth="1"/>
    <col min="3341" max="3581" width="9" style="672"/>
    <col min="3582" max="3582" width="7.21875" style="672" customWidth="1"/>
    <col min="3583" max="3583" width="20.21875" style="672" customWidth="1"/>
    <col min="3584" max="3584" width="39" style="672" customWidth="1"/>
    <col min="3585" max="3585" width="24.21875" style="672" customWidth="1"/>
    <col min="3586" max="3586" width="13.21875" style="672" customWidth="1"/>
    <col min="3587" max="3591" width="9" style="672" hidden="1" customWidth="1"/>
    <col min="3592" max="3593" width="14" style="672" customWidth="1"/>
    <col min="3594" max="3594" width="15.21875" style="672" customWidth="1"/>
    <col min="3595" max="3595" width="46.21875" style="672" customWidth="1"/>
    <col min="3596" max="3596" width="9" style="672" hidden="1" customWidth="1"/>
    <col min="3597" max="3837" width="9" style="672"/>
    <col min="3838" max="3838" width="7.21875" style="672" customWidth="1"/>
    <col min="3839" max="3839" width="20.21875" style="672" customWidth="1"/>
    <col min="3840" max="3840" width="39" style="672" customWidth="1"/>
    <col min="3841" max="3841" width="24.21875" style="672" customWidth="1"/>
    <col min="3842" max="3842" width="13.21875" style="672" customWidth="1"/>
    <col min="3843" max="3847" width="9" style="672" hidden="1" customWidth="1"/>
    <col min="3848" max="3849" width="14" style="672" customWidth="1"/>
    <col min="3850" max="3850" width="15.21875" style="672" customWidth="1"/>
    <col min="3851" max="3851" width="46.21875" style="672" customWidth="1"/>
    <col min="3852" max="3852" width="9" style="672" hidden="1" customWidth="1"/>
    <col min="3853" max="4093" width="9" style="672"/>
    <col min="4094" max="4094" width="7.21875" style="672" customWidth="1"/>
    <col min="4095" max="4095" width="20.21875" style="672" customWidth="1"/>
    <col min="4096" max="4096" width="39" style="672" customWidth="1"/>
    <col min="4097" max="4097" width="24.21875" style="672" customWidth="1"/>
    <col min="4098" max="4098" width="13.21875" style="672" customWidth="1"/>
    <col min="4099" max="4103" width="9" style="672" hidden="1" customWidth="1"/>
    <col min="4104" max="4105" width="14" style="672" customWidth="1"/>
    <col min="4106" max="4106" width="15.21875" style="672" customWidth="1"/>
    <col min="4107" max="4107" width="46.21875" style="672" customWidth="1"/>
    <col min="4108" max="4108" width="9" style="672" hidden="1" customWidth="1"/>
    <col min="4109" max="4349" width="9" style="672"/>
    <col min="4350" max="4350" width="7.21875" style="672" customWidth="1"/>
    <col min="4351" max="4351" width="20.21875" style="672" customWidth="1"/>
    <col min="4352" max="4352" width="39" style="672" customWidth="1"/>
    <col min="4353" max="4353" width="24.21875" style="672" customWidth="1"/>
    <col min="4354" max="4354" width="13.21875" style="672" customWidth="1"/>
    <col min="4355" max="4359" width="9" style="672" hidden="1" customWidth="1"/>
    <col min="4360" max="4361" width="14" style="672" customWidth="1"/>
    <col min="4362" max="4362" width="15.21875" style="672" customWidth="1"/>
    <col min="4363" max="4363" width="46.21875" style="672" customWidth="1"/>
    <col min="4364" max="4364" width="9" style="672" hidden="1" customWidth="1"/>
    <col min="4365" max="4605" width="9" style="672"/>
    <col min="4606" max="4606" width="7.21875" style="672" customWidth="1"/>
    <col min="4607" max="4607" width="20.21875" style="672" customWidth="1"/>
    <col min="4608" max="4608" width="39" style="672" customWidth="1"/>
    <col min="4609" max="4609" width="24.21875" style="672" customWidth="1"/>
    <col min="4610" max="4610" width="13.21875" style="672" customWidth="1"/>
    <col min="4611" max="4615" width="9" style="672" hidden="1" customWidth="1"/>
    <col min="4616" max="4617" width="14" style="672" customWidth="1"/>
    <col min="4618" max="4618" width="15.21875" style="672" customWidth="1"/>
    <col min="4619" max="4619" width="46.21875" style="672" customWidth="1"/>
    <col min="4620" max="4620" width="9" style="672" hidden="1" customWidth="1"/>
    <col min="4621" max="4861" width="9" style="672"/>
    <col min="4862" max="4862" width="7.21875" style="672" customWidth="1"/>
    <col min="4863" max="4863" width="20.21875" style="672" customWidth="1"/>
    <col min="4864" max="4864" width="39" style="672" customWidth="1"/>
    <col min="4865" max="4865" width="24.21875" style="672" customWidth="1"/>
    <col min="4866" max="4866" width="13.21875" style="672" customWidth="1"/>
    <col min="4867" max="4871" width="9" style="672" hidden="1" customWidth="1"/>
    <col min="4872" max="4873" width="14" style="672" customWidth="1"/>
    <col min="4874" max="4874" width="15.21875" style="672" customWidth="1"/>
    <col min="4875" max="4875" width="46.21875" style="672" customWidth="1"/>
    <col min="4876" max="4876" width="9" style="672" hidden="1" customWidth="1"/>
    <col min="4877" max="5117" width="9" style="672"/>
    <col min="5118" max="5118" width="7.21875" style="672" customWidth="1"/>
    <col min="5119" max="5119" width="20.21875" style="672" customWidth="1"/>
    <col min="5120" max="5120" width="39" style="672" customWidth="1"/>
    <col min="5121" max="5121" width="24.21875" style="672" customWidth="1"/>
    <col min="5122" max="5122" width="13.21875" style="672" customWidth="1"/>
    <col min="5123" max="5127" width="9" style="672" hidden="1" customWidth="1"/>
    <col min="5128" max="5129" width="14" style="672" customWidth="1"/>
    <col min="5130" max="5130" width="15.21875" style="672" customWidth="1"/>
    <col min="5131" max="5131" width="46.21875" style="672" customWidth="1"/>
    <col min="5132" max="5132" width="9" style="672" hidden="1" customWidth="1"/>
    <col min="5133" max="5373" width="9" style="672"/>
    <col min="5374" max="5374" width="7.21875" style="672" customWidth="1"/>
    <col min="5375" max="5375" width="20.21875" style="672" customWidth="1"/>
    <col min="5376" max="5376" width="39" style="672" customWidth="1"/>
    <col min="5377" max="5377" width="24.21875" style="672" customWidth="1"/>
    <col min="5378" max="5378" width="13.21875" style="672" customWidth="1"/>
    <col min="5379" max="5383" width="9" style="672" hidden="1" customWidth="1"/>
    <col min="5384" max="5385" width="14" style="672" customWidth="1"/>
    <col min="5386" max="5386" width="15.21875" style="672" customWidth="1"/>
    <col min="5387" max="5387" width="46.21875" style="672" customWidth="1"/>
    <col min="5388" max="5388" width="9" style="672" hidden="1" customWidth="1"/>
    <col min="5389" max="5629" width="9" style="672"/>
    <col min="5630" max="5630" width="7.21875" style="672" customWidth="1"/>
    <col min="5631" max="5631" width="20.21875" style="672" customWidth="1"/>
    <col min="5632" max="5632" width="39" style="672" customWidth="1"/>
    <col min="5633" max="5633" width="24.21875" style="672" customWidth="1"/>
    <col min="5634" max="5634" width="13.21875" style="672" customWidth="1"/>
    <col min="5635" max="5639" width="9" style="672" hidden="1" customWidth="1"/>
    <col min="5640" max="5641" width="14" style="672" customWidth="1"/>
    <col min="5642" max="5642" width="15.21875" style="672" customWidth="1"/>
    <col min="5643" max="5643" width="46.21875" style="672" customWidth="1"/>
    <col min="5644" max="5644" width="9" style="672" hidden="1" customWidth="1"/>
    <col min="5645" max="5885" width="9" style="672"/>
    <col min="5886" max="5886" width="7.21875" style="672" customWidth="1"/>
    <col min="5887" max="5887" width="20.21875" style="672" customWidth="1"/>
    <col min="5888" max="5888" width="39" style="672" customWidth="1"/>
    <col min="5889" max="5889" width="24.21875" style="672" customWidth="1"/>
    <col min="5890" max="5890" width="13.21875" style="672" customWidth="1"/>
    <col min="5891" max="5895" width="9" style="672" hidden="1" customWidth="1"/>
    <col min="5896" max="5897" width="14" style="672" customWidth="1"/>
    <col min="5898" max="5898" width="15.21875" style="672" customWidth="1"/>
    <col min="5899" max="5899" width="46.21875" style="672" customWidth="1"/>
    <col min="5900" max="5900" width="9" style="672" hidden="1" customWidth="1"/>
    <col min="5901" max="6141" width="9" style="672"/>
    <col min="6142" max="6142" width="7.21875" style="672" customWidth="1"/>
    <col min="6143" max="6143" width="20.21875" style="672" customWidth="1"/>
    <col min="6144" max="6144" width="39" style="672" customWidth="1"/>
    <col min="6145" max="6145" width="24.21875" style="672" customWidth="1"/>
    <col min="6146" max="6146" width="13.21875" style="672" customWidth="1"/>
    <col min="6147" max="6151" width="9" style="672" hidden="1" customWidth="1"/>
    <col min="6152" max="6153" width="14" style="672" customWidth="1"/>
    <col min="6154" max="6154" width="15.21875" style="672" customWidth="1"/>
    <col min="6155" max="6155" width="46.21875" style="672" customWidth="1"/>
    <col min="6156" max="6156" width="9" style="672" hidden="1" customWidth="1"/>
    <col min="6157" max="6397" width="9" style="672"/>
    <col min="6398" max="6398" width="7.21875" style="672" customWidth="1"/>
    <col min="6399" max="6399" width="20.21875" style="672" customWidth="1"/>
    <col min="6400" max="6400" width="39" style="672" customWidth="1"/>
    <col min="6401" max="6401" width="24.21875" style="672" customWidth="1"/>
    <col min="6402" max="6402" width="13.21875" style="672" customWidth="1"/>
    <col min="6403" max="6407" width="9" style="672" hidden="1" customWidth="1"/>
    <col min="6408" max="6409" width="14" style="672" customWidth="1"/>
    <col min="6410" max="6410" width="15.21875" style="672" customWidth="1"/>
    <col min="6411" max="6411" width="46.21875" style="672" customWidth="1"/>
    <col min="6412" max="6412" width="9" style="672" hidden="1" customWidth="1"/>
    <col min="6413" max="6653" width="9" style="672"/>
    <col min="6654" max="6654" width="7.21875" style="672" customWidth="1"/>
    <col min="6655" max="6655" width="20.21875" style="672" customWidth="1"/>
    <col min="6656" max="6656" width="39" style="672" customWidth="1"/>
    <col min="6657" max="6657" width="24.21875" style="672" customWidth="1"/>
    <col min="6658" max="6658" width="13.21875" style="672" customWidth="1"/>
    <col min="6659" max="6663" width="9" style="672" hidden="1" customWidth="1"/>
    <col min="6664" max="6665" width="14" style="672" customWidth="1"/>
    <col min="6666" max="6666" width="15.21875" style="672" customWidth="1"/>
    <col min="6667" max="6667" width="46.21875" style="672" customWidth="1"/>
    <col min="6668" max="6668" width="9" style="672" hidden="1" customWidth="1"/>
    <col min="6669" max="6909" width="9" style="672"/>
    <col min="6910" max="6910" width="7.21875" style="672" customWidth="1"/>
    <col min="6911" max="6911" width="20.21875" style="672" customWidth="1"/>
    <col min="6912" max="6912" width="39" style="672" customWidth="1"/>
    <col min="6913" max="6913" width="24.21875" style="672" customWidth="1"/>
    <col min="6914" max="6914" width="13.21875" style="672" customWidth="1"/>
    <col min="6915" max="6919" width="9" style="672" hidden="1" customWidth="1"/>
    <col min="6920" max="6921" width="14" style="672" customWidth="1"/>
    <col min="6922" max="6922" width="15.21875" style="672" customWidth="1"/>
    <col min="6923" max="6923" width="46.21875" style="672" customWidth="1"/>
    <col min="6924" max="6924" width="9" style="672" hidden="1" customWidth="1"/>
    <col min="6925" max="7165" width="9" style="672"/>
    <col min="7166" max="7166" width="7.21875" style="672" customWidth="1"/>
    <col min="7167" max="7167" width="20.21875" style="672" customWidth="1"/>
    <col min="7168" max="7168" width="39" style="672" customWidth="1"/>
    <col min="7169" max="7169" width="24.21875" style="672" customWidth="1"/>
    <col min="7170" max="7170" width="13.21875" style="672" customWidth="1"/>
    <col min="7171" max="7175" width="9" style="672" hidden="1" customWidth="1"/>
    <col min="7176" max="7177" width="14" style="672" customWidth="1"/>
    <col min="7178" max="7178" width="15.21875" style="672" customWidth="1"/>
    <col min="7179" max="7179" width="46.21875" style="672" customWidth="1"/>
    <col min="7180" max="7180" width="9" style="672" hidden="1" customWidth="1"/>
    <col min="7181" max="7421" width="9" style="672"/>
    <col min="7422" max="7422" width="7.21875" style="672" customWidth="1"/>
    <col min="7423" max="7423" width="20.21875" style="672" customWidth="1"/>
    <col min="7424" max="7424" width="39" style="672" customWidth="1"/>
    <col min="7425" max="7425" width="24.21875" style="672" customWidth="1"/>
    <col min="7426" max="7426" width="13.21875" style="672" customWidth="1"/>
    <col min="7427" max="7431" width="9" style="672" hidden="1" customWidth="1"/>
    <col min="7432" max="7433" width="14" style="672" customWidth="1"/>
    <col min="7434" max="7434" width="15.21875" style="672" customWidth="1"/>
    <col min="7435" max="7435" width="46.21875" style="672" customWidth="1"/>
    <col min="7436" max="7436" width="9" style="672" hidden="1" customWidth="1"/>
    <col min="7437" max="7677" width="9" style="672"/>
    <col min="7678" max="7678" width="7.21875" style="672" customWidth="1"/>
    <col min="7679" max="7679" width="20.21875" style="672" customWidth="1"/>
    <col min="7680" max="7680" width="39" style="672" customWidth="1"/>
    <col min="7681" max="7681" width="24.21875" style="672" customWidth="1"/>
    <col min="7682" max="7682" width="13.21875" style="672" customWidth="1"/>
    <col min="7683" max="7687" width="9" style="672" hidden="1" customWidth="1"/>
    <col min="7688" max="7689" width="14" style="672" customWidth="1"/>
    <col min="7690" max="7690" width="15.21875" style="672" customWidth="1"/>
    <col min="7691" max="7691" width="46.21875" style="672" customWidth="1"/>
    <col min="7692" max="7692" width="9" style="672" hidden="1" customWidth="1"/>
    <col min="7693" max="7933" width="9" style="672"/>
    <col min="7934" max="7934" width="7.21875" style="672" customWidth="1"/>
    <col min="7935" max="7935" width="20.21875" style="672" customWidth="1"/>
    <col min="7936" max="7936" width="39" style="672" customWidth="1"/>
    <col min="7937" max="7937" width="24.21875" style="672" customWidth="1"/>
    <col min="7938" max="7938" width="13.21875" style="672" customWidth="1"/>
    <col min="7939" max="7943" width="9" style="672" hidden="1" customWidth="1"/>
    <col min="7944" max="7945" width="14" style="672" customWidth="1"/>
    <col min="7946" max="7946" width="15.21875" style="672" customWidth="1"/>
    <col min="7947" max="7947" width="46.21875" style="672" customWidth="1"/>
    <col min="7948" max="7948" width="9" style="672" hidden="1" customWidth="1"/>
    <col min="7949" max="8189" width="9" style="672"/>
    <col min="8190" max="8190" width="7.21875" style="672" customWidth="1"/>
    <col min="8191" max="8191" width="20.21875" style="672" customWidth="1"/>
    <col min="8192" max="8192" width="39" style="672" customWidth="1"/>
    <col min="8193" max="8193" width="24.21875" style="672" customWidth="1"/>
    <col min="8194" max="8194" width="13.21875" style="672" customWidth="1"/>
    <col min="8195" max="8199" width="9" style="672" hidden="1" customWidth="1"/>
    <col min="8200" max="8201" width="14" style="672" customWidth="1"/>
    <col min="8202" max="8202" width="15.21875" style="672" customWidth="1"/>
    <col min="8203" max="8203" width="46.21875" style="672" customWidth="1"/>
    <col min="8204" max="8204" width="9" style="672" hidden="1" customWidth="1"/>
    <col min="8205" max="8445" width="9" style="672"/>
    <col min="8446" max="8446" width="7.21875" style="672" customWidth="1"/>
    <col min="8447" max="8447" width="20.21875" style="672" customWidth="1"/>
    <col min="8448" max="8448" width="39" style="672" customWidth="1"/>
    <col min="8449" max="8449" width="24.21875" style="672" customWidth="1"/>
    <col min="8450" max="8450" width="13.21875" style="672" customWidth="1"/>
    <col min="8451" max="8455" width="9" style="672" hidden="1" customWidth="1"/>
    <col min="8456" max="8457" width="14" style="672" customWidth="1"/>
    <col min="8458" max="8458" width="15.21875" style="672" customWidth="1"/>
    <col min="8459" max="8459" width="46.21875" style="672" customWidth="1"/>
    <col min="8460" max="8460" width="9" style="672" hidden="1" customWidth="1"/>
    <col min="8461" max="8701" width="9" style="672"/>
    <col min="8702" max="8702" width="7.21875" style="672" customWidth="1"/>
    <col min="8703" max="8703" width="20.21875" style="672" customWidth="1"/>
    <col min="8704" max="8704" width="39" style="672" customWidth="1"/>
    <col min="8705" max="8705" width="24.21875" style="672" customWidth="1"/>
    <col min="8706" max="8706" width="13.21875" style="672" customWidth="1"/>
    <col min="8707" max="8711" width="9" style="672" hidden="1" customWidth="1"/>
    <col min="8712" max="8713" width="14" style="672" customWidth="1"/>
    <col min="8714" max="8714" width="15.21875" style="672" customWidth="1"/>
    <col min="8715" max="8715" width="46.21875" style="672" customWidth="1"/>
    <col min="8716" max="8716" width="9" style="672" hidden="1" customWidth="1"/>
    <col min="8717" max="8957" width="9" style="672"/>
    <col min="8958" max="8958" width="7.21875" style="672" customWidth="1"/>
    <col min="8959" max="8959" width="20.21875" style="672" customWidth="1"/>
    <col min="8960" max="8960" width="39" style="672" customWidth="1"/>
    <col min="8961" max="8961" width="24.21875" style="672" customWidth="1"/>
    <col min="8962" max="8962" width="13.21875" style="672" customWidth="1"/>
    <col min="8963" max="8967" width="9" style="672" hidden="1" customWidth="1"/>
    <col min="8968" max="8969" width="14" style="672" customWidth="1"/>
    <col min="8970" max="8970" width="15.21875" style="672" customWidth="1"/>
    <col min="8971" max="8971" width="46.21875" style="672" customWidth="1"/>
    <col min="8972" max="8972" width="9" style="672" hidden="1" customWidth="1"/>
    <col min="8973" max="9213" width="9" style="672"/>
    <col min="9214" max="9214" width="7.21875" style="672" customWidth="1"/>
    <col min="9215" max="9215" width="20.21875" style="672" customWidth="1"/>
    <col min="9216" max="9216" width="39" style="672" customWidth="1"/>
    <col min="9217" max="9217" width="24.21875" style="672" customWidth="1"/>
    <col min="9218" max="9218" width="13.21875" style="672" customWidth="1"/>
    <col min="9219" max="9223" width="9" style="672" hidden="1" customWidth="1"/>
    <col min="9224" max="9225" width="14" style="672" customWidth="1"/>
    <col min="9226" max="9226" width="15.21875" style="672" customWidth="1"/>
    <col min="9227" max="9227" width="46.21875" style="672" customWidth="1"/>
    <col min="9228" max="9228" width="9" style="672" hidden="1" customWidth="1"/>
    <col min="9229" max="9469" width="9" style="672"/>
    <col min="9470" max="9470" width="7.21875" style="672" customWidth="1"/>
    <col min="9471" max="9471" width="20.21875" style="672" customWidth="1"/>
    <col min="9472" max="9472" width="39" style="672" customWidth="1"/>
    <col min="9473" max="9473" width="24.21875" style="672" customWidth="1"/>
    <col min="9474" max="9474" width="13.21875" style="672" customWidth="1"/>
    <col min="9475" max="9479" width="9" style="672" hidden="1" customWidth="1"/>
    <col min="9480" max="9481" width="14" style="672" customWidth="1"/>
    <col min="9482" max="9482" width="15.21875" style="672" customWidth="1"/>
    <col min="9483" max="9483" width="46.21875" style="672" customWidth="1"/>
    <col min="9484" max="9484" width="9" style="672" hidden="1" customWidth="1"/>
    <col min="9485" max="9725" width="9" style="672"/>
    <col min="9726" max="9726" width="7.21875" style="672" customWidth="1"/>
    <col min="9727" max="9727" width="20.21875" style="672" customWidth="1"/>
    <col min="9728" max="9728" width="39" style="672" customWidth="1"/>
    <col min="9729" max="9729" width="24.21875" style="672" customWidth="1"/>
    <col min="9730" max="9730" width="13.21875" style="672" customWidth="1"/>
    <col min="9731" max="9735" width="9" style="672" hidden="1" customWidth="1"/>
    <col min="9736" max="9737" width="14" style="672" customWidth="1"/>
    <col min="9738" max="9738" width="15.21875" style="672" customWidth="1"/>
    <col min="9739" max="9739" width="46.21875" style="672" customWidth="1"/>
    <col min="9740" max="9740" width="9" style="672" hidden="1" customWidth="1"/>
    <col min="9741" max="9981" width="9" style="672"/>
    <col min="9982" max="9982" width="7.21875" style="672" customWidth="1"/>
    <col min="9983" max="9983" width="20.21875" style="672" customWidth="1"/>
    <col min="9984" max="9984" width="39" style="672" customWidth="1"/>
    <col min="9985" max="9985" width="24.21875" style="672" customWidth="1"/>
    <col min="9986" max="9986" width="13.21875" style="672" customWidth="1"/>
    <col min="9987" max="9991" width="9" style="672" hidden="1" customWidth="1"/>
    <col min="9992" max="9993" width="14" style="672" customWidth="1"/>
    <col min="9994" max="9994" width="15.21875" style="672" customWidth="1"/>
    <col min="9995" max="9995" width="46.21875" style="672" customWidth="1"/>
    <col min="9996" max="9996" width="9" style="672" hidden="1" customWidth="1"/>
    <col min="9997" max="10237" width="9" style="672"/>
    <col min="10238" max="10238" width="7.21875" style="672" customWidth="1"/>
    <col min="10239" max="10239" width="20.21875" style="672" customWidth="1"/>
    <col min="10240" max="10240" width="39" style="672" customWidth="1"/>
    <col min="10241" max="10241" width="24.21875" style="672" customWidth="1"/>
    <col min="10242" max="10242" width="13.21875" style="672" customWidth="1"/>
    <col min="10243" max="10247" width="9" style="672" hidden="1" customWidth="1"/>
    <col min="10248" max="10249" width="14" style="672" customWidth="1"/>
    <col min="10250" max="10250" width="15.21875" style="672" customWidth="1"/>
    <col min="10251" max="10251" width="46.21875" style="672" customWidth="1"/>
    <col min="10252" max="10252" width="9" style="672" hidden="1" customWidth="1"/>
    <col min="10253" max="10493" width="9" style="672"/>
    <col min="10494" max="10494" width="7.21875" style="672" customWidth="1"/>
    <col min="10495" max="10495" width="20.21875" style="672" customWidth="1"/>
    <col min="10496" max="10496" width="39" style="672" customWidth="1"/>
    <col min="10497" max="10497" width="24.21875" style="672" customWidth="1"/>
    <col min="10498" max="10498" width="13.21875" style="672" customWidth="1"/>
    <col min="10499" max="10503" width="9" style="672" hidden="1" customWidth="1"/>
    <col min="10504" max="10505" width="14" style="672" customWidth="1"/>
    <col min="10506" max="10506" width="15.21875" style="672" customWidth="1"/>
    <col min="10507" max="10507" width="46.21875" style="672" customWidth="1"/>
    <col min="10508" max="10508" width="9" style="672" hidden="1" customWidth="1"/>
    <col min="10509" max="10749" width="9" style="672"/>
    <col min="10750" max="10750" width="7.21875" style="672" customWidth="1"/>
    <col min="10751" max="10751" width="20.21875" style="672" customWidth="1"/>
    <col min="10752" max="10752" width="39" style="672" customWidth="1"/>
    <col min="10753" max="10753" width="24.21875" style="672" customWidth="1"/>
    <col min="10754" max="10754" width="13.21875" style="672" customWidth="1"/>
    <col min="10755" max="10759" width="9" style="672" hidden="1" customWidth="1"/>
    <col min="10760" max="10761" width="14" style="672" customWidth="1"/>
    <col min="10762" max="10762" width="15.21875" style="672" customWidth="1"/>
    <col min="10763" max="10763" width="46.21875" style="672" customWidth="1"/>
    <col min="10764" max="10764" width="9" style="672" hidden="1" customWidth="1"/>
    <col min="10765" max="11005" width="9" style="672"/>
    <col min="11006" max="11006" width="7.21875" style="672" customWidth="1"/>
    <col min="11007" max="11007" width="20.21875" style="672" customWidth="1"/>
    <col min="11008" max="11008" width="39" style="672" customWidth="1"/>
    <col min="11009" max="11009" width="24.21875" style="672" customWidth="1"/>
    <col min="11010" max="11010" width="13.21875" style="672" customWidth="1"/>
    <col min="11011" max="11015" width="9" style="672" hidden="1" customWidth="1"/>
    <col min="11016" max="11017" width="14" style="672" customWidth="1"/>
    <col min="11018" max="11018" width="15.21875" style="672" customWidth="1"/>
    <col min="11019" max="11019" width="46.21875" style="672" customWidth="1"/>
    <col min="11020" max="11020" width="9" style="672" hidden="1" customWidth="1"/>
    <col min="11021" max="11261" width="9" style="672"/>
    <col min="11262" max="11262" width="7.21875" style="672" customWidth="1"/>
    <col min="11263" max="11263" width="20.21875" style="672" customWidth="1"/>
    <col min="11264" max="11264" width="39" style="672" customWidth="1"/>
    <col min="11265" max="11265" width="24.21875" style="672" customWidth="1"/>
    <col min="11266" max="11266" width="13.21875" style="672" customWidth="1"/>
    <col min="11267" max="11271" width="9" style="672" hidden="1" customWidth="1"/>
    <col min="11272" max="11273" width="14" style="672" customWidth="1"/>
    <col min="11274" max="11274" width="15.21875" style="672" customWidth="1"/>
    <col min="11275" max="11275" width="46.21875" style="672" customWidth="1"/>
    <col min="11276" max="11276" width="9" style="672" hidden="1" customWidth="1"/>
    <col min="11277" max="11517" width="9" style="672"/>
    <col min="11518" max="11518" width="7.21875" style="672" customWidth="1"/>
    <col min="11519" max="11519" width="20.21875" style="672" customWidth="1"/>
    <col min="11520" max="11520" width="39" style="672" customWidth="1"/>
    <col min="11521" max="11521" width="24.21875" style="672" customWidth="1"/>
    <col min="11522" max="11522" width="13.21875" style="672" customWidth="1"/>
    <col min="11523" max="11527" width="9" style="672" hidden="1" customWidth="1"/>
    <col min="11528" max="11529" width="14" style="672" customWidth="1"/>
    <col min="11530" max="11530" width="15.21875" style="672" customWidth="1"/>
    <col min="11531" max="11531" width="46.21875" style="672" customWidth="1"/>
    <col min="11532" max="11532" width="9" style="672" hidden="1" customWidth="1"/>
    <col min="11533" max="11773" width="9" style="672"/>
    <col min="11774" max="11774" width="7.21875" style="672" customWidth="1"/>
    <col min="11775" max="11775" width="20.21875" style="672" customWidth="1"/>
    <col min="11776" max="11776" width="39" style="672" customWidth="1"/>
    <col min="11777" max="11777" width="24.21875" style="672" customWidth="1"/>
    <col min="11778" max="11778" width="13.21875" style="672" customWidth="1"/>
    <col min="11779" max="11783" width="9" style="672" hidden="1" customWidth="1"/>
    <col min="11784" max="11785" width="14" style="672" customWidth="1"/>
    <col min="11786" max="11786" width="15.21875" style="672" customWidth="1"/>
    <col min="11787" max="11787" width="46.21875" style="672" customWidth="1"/>
    <col min="11788" max="11788" width="9" style="672" hidden="1" customWidth="1"/>
    <col min="11789" max="12029" width="9" style="672"/>
    <col min="12030" max="12030" width="7.21875" style="672" customWidth="1"/>
    <col min="12031" max="12031" width="20.21875" style="672" customWidth="1"/>
    <col min="12032" max="12032" width="39" style="672" customWidth="1"/>
    <col min="12033" max="12033" width="24.21875" style="672" customWidth="1"/>
    <col min="12034" max="12034" width="13.21875" style="672" customWidth="1"/>
    <col min="12035" max="12039" width="9" style="672" hidden="1" customWidth="1"/>
    <col min="12040" max="12041" width="14" style="672" customWidth="1"/>
    <col min="12042" max="12042" width="15.21875" style="672" customWidth="1"/>
    <col min="12043" max="12043" width="46.21875" style="672" customWidth="1"/>
    <col min="12044" max="12044" width="9" style="672" hidden="1" customWidth="1"/>
    <col min="12045" max="12285" width="9" style="672"/>
    <col min="12286" max="12286" width="7.21875" style="672" customWidth="1"/>
    <col min="12287" max="12287" width="20.21875" style="672" customWidth="1"/>
    <col min="12288" max="12288" width="39" style="672" customWidth="1"/>
    <col min="12289" max="12289" width="24.21875" style="672" customWidth="1"/>
    <col min="12290" max="12290" width="13.21875" style="672" customWidth="1"/>
    <col min="12291" max="12295" width="9" style="672" hidden="1" customWidth="1"/>
    <col min="12296" max="12297" width="14" style="672" customWidth="1"/>
    <col min="12298" max="12298" width="15.21875" style="672" customWidth="1"/>
    <col min="12299" max="12299" width="46.21875" style="672" customWidth="1"/>
    <col min="12300" max="12300" width="9" style="672" hidden="1" customWidth="1"/>
    <col min="12301" max="12541" width="9" style="672"/>
    <col min="12542" max="12542" width="7.21875" style="672" customWidth="1"/>
    <col min="12543" max="12543" width="20.21875" style="672" customWidth="1"/>
    <col min="12544" max="12544" width="39" style="672" customWidth="1"/>
    <col min="12545" max="12545" width="24.21875" style="672" customWidth="1"/>
    <col min="12546" max="12546" width="13.21875" style="672" customWidth="1"/>
    <col min="12547" max="12551" width="9" style="672" hidden="1" customWidth="1"/>
    <col min="12552" max="12553" width="14" style="672" customWidth="1"/>
    <col min="12554" max="12554" width="15.21875" style="672" customWidth="1"/>
    <col min="12555" max="12555" width="46.21875" style="672" customWidth="1"/>
    <col min="12556" max="12556" width="9" style="672" hidden="1" customWidth="1"/>
    <col min="12557" max="12797" width="9" style="672"/>
    <col min="12798" max="12798" width="7.21875" style="672" customWidth="1"/>
    <col min="12799" max="12799" width="20.21875" style="672" customWidth="1"/>
    <col min="12800" max="12800" width="39" style="672" customWidth="1"/>
    <col min="12801" max="12801" width="24.21875" style="672" customWidth="1"/>
    <col min="12802" max="12802" width="13.21875" style="672" customWidth="1"/>
    <col min="12803" max="12807" width="9" style="672" hidden="1" customWidth="1"/>
    <col min="12808" max="12809" width="14" style="672" customWidth="1"/>
    <col min="12810" max="12810" width="15.21875" style="672" customWidth="1"/>
    <col min="12811" max="12811" width="46.21875" style="672" customWidth="1"/>
    <col min="12812" max="12812" width="9" style="672" hidden="1" customWidth="1"/>
    <col min="12813" max="13053" width="9" style="672"/>
    <col min="13054" max="13054" width="7.21875" style="672" customWidth="1"/>
    <col min="13055" max="13055" width="20.21875" style="672" customWidth="1"/>
    <col min="13056" max="13056" width="39" style="672" customWidth="1"/>
    <col min="13057" max="13057" width="24.21875" style="672" customWidth="1"/>
    <col min="13058" max="13058" width="13.21875" style="672" customWidth="1"/>
    <col min="13059" max="13063" width="9" style="672" hidden="1" customWidth="1"/>
    <col min="13064" max="13065" width="14" style="672" customWidth="1"/>
    <col min="13066" max="13066" width="15.21875" style="672" customWidth="1"/>
    <col min="13067" max="13067" width="46.21875" style="672" customWidth="1"/>
    <col min="13068" max="13068" width="9" style="672" hidden="1" customWidth="1"/>
    <col min="13069" max="13309" width="9" style="672"/>
    <col min="13310" max="13310" width="7.21875" style="672" customWidth="1"/>
    <col min="13311" max="13311" width="20.21875" style="672" customWidth="1"/>
    <col min="13312" max="13312" width="39" style="672" customWidth="1"/>
    <col min="13313" max="13313" width="24.21875" style="672" customWidth="1"/>
    <col min="13314" max="13314" width="13.21875" style="672" customWidth="1"/>
    <col min="13315" max="13319" width="9" style="672" hidden="1" customWidth="1"/>
    <col min="13320" max="13321" width="14" style="672" customWidth="1"/>
    <col min="13322" max="13322" width="15.21875" style="672" customWidth="1"/>
    <col min="13323" max="13323" width="46.21875" style="672" customWidth="1"/>
    <col min="13324" max="13324" width="9" style="672" hidden="1" customWidth="1"/>
    <col min="13325" max="13565" width="9" style="672"/>
    <col min="13566" max="13566" width="7.21875" style="672" customWidth="1"/>
    <col min="13567" max="13567" width="20.21875" style="672" customWidth="1"/>
    <col min="13568" max="13568" width="39" style="672" customWidth="1"/>
    <col min="13569" max="13569" width="24.21875" style="672" customWidth="1"/>
    <col min="13570" max="13570" width="13.21875" style="672" customWidth="1"/>
    <col min="13571" max="13575" width="9" style="672" hidden="1" customWidth="1"/>
    <col min="13576" max="13577" width="14" style="672" customWidth="1"/>
    <col min="13578" max="13578" width="15.21875" style="672" customWidth="1"/>
    <col min="13579" max="13579" width="46.21875" style="672" customWidth="1"/>
    <col min="13580" max="13580" width="9" style="672" hidden="1" customWidth="1"/>
    <col min="13581" max="13821" width="9" style="672"/>
    <col min="13822" max="13822" width="7.21875" style="672" customWidth="1"/>
    <col min="13823" max="13823" width="20.21875" style="672" customWidth="1"/>
    <col min="13824" max="13824" width="39" style="672" customWidth="1"/>
    <col min="13825" max="13825" width="24.21875" style="672" customWidth="1"/>
    <col min="13826" max="13826" width="13.21875" style="672" customWidth="1"/>
    <col min="13827" max="13831" width="9" style="672" hidden="1" customWidth="1"/>
    <col min="13832" max="13833" width="14" style="672" customWidth="1"/>
    <col min="13834" max="13834" width="15.21875" style="672" customWidth="1"/>
    <col min="13835" max="13835" width="46.21875" style="672" customWidth="1"/>
    <col min="13836" max="13836" width="9" style="672" hidden="1" customWidth="1"/>
    <col min="13837" max="14077" width="9" style="672"/>
    <col min="14078" max="14078" width="7.21875" style="672" customWidth="1"/>
    <col min="14079" max="14079" width="20.21875" style="672" customWidth="1"/>
    <col min="14080" max="14080" width="39" style="672" customWidth="1"/>
    <col min="14081" max="14081" width="24.21875" style="672" customWidth="1"/>
    <col min="14082" max="14082" width="13.21875" style="672" customWidth="1"/>
    <col min="14083" max="14087" width="9" style="672" hidden="1" customWidth="1"/>
    <col min="14088" max="14089" width="14" style="672" customWidth="1"/>
    <col min="14090" max="14090" width="15.21875" style="672" customWidth="1"/>
    <col min="14091" max="14091" width="46.21875" style="672" customWidth="1"/>
    <col min="14092" max="14092" width="9" style="672" hidden="1" customWidth="1"/>
    <col min="14093" max="14333" width="9" style="672"/>
    <col min="14334" max="14334" width="7.21875" style="672" customWidth="1"/>
    <col min="14335" max="14335" width="20.21875" style="672" customWidth="1"/>
    <col min="14336" max="14336" width="39" style="672" customWidth="1"/>
    <col min="14337" max="14337" width="24.21875" style="672" customWidth="1"/>
    <col min="14338" max="14338" width="13.21875" style="672" customWidth="1"/>
    <col min="14339" max="14343" width="9" style="672" hidden="1" customWidth="1"/>
    <col min="14344" max="14345" width="14" style="672" customWidth="1"/>
    <col min="14346" max="14346" width="15.21875" style="672" customWidth="1"/>
    <col min="14347" max="14347" width="46.21875" style="672" customWidth="1"/>
    <col min="14348" max="14348" width="9" style="672" hidden="1" customWidth="1"/>
    <col min="14349" max="14589" width="9" style="672"/>
    <col min="14590" max="14590" width="7.21875" style="672" customWidth="1"/>
    <col min="14591" max="14591" width="20.21875" style="672" customWidth="1"/>
    <col min="14592" max="14592" width="39" style="672" customWidth="1"/>
    <col min="14593" max="14593" width="24.21875" style="672" customWidth="1"/>
    <col min="14594" max="14594" width="13.21875" style="672" customWidth="1"/>
    <col min="14595" max="14599" width="9" style="672" hidden="1" customWidth="1"/>
    <col min="14600" max="14601" width="14" style="672" customWidth="1"/>
    <col min="14602" max="14602" width="15.21875" style="672" customWidth="1"/>
    <col min="14603" max="14603" width="46.21875" style="672" customWidth="1"/>
    <col min="14604" max="14604" width="9" style="672" hidden="1" customWidth="1"/>
    <col min="14605" max="14845" width="9" style="672"/>
    <col min="14846" max="14846" width="7.21875" style="672" customWidth="1"/>
    <col min="14847" max="14847" width="20.21875" style="672" customWidth="1"/>
    <col min="14848" max="14848" width="39" style="672" customWidth="1"/>
    <col min="14849" max="14849" width="24.21875" style="672" customWidth="1"/>
    <col min="14850" max="14850" width="13.21875" style="672" customWidth="1"/>
    <col min="14851" max="14855" width="9" style="672" hidden="1" customWidth="1"/>
    <col min="14856" max="14857" width="14" style="672" customWidth="1"/>
    <col min="14858" max="14858" width="15.21875" style="672" customWidth="1"/>
    <col min="14859" max="14859" width="46.21875" style="672" customWidth="1"/>
    <col min="14860" max="14860" width="9" style="672" hidden="1" customWidth="1"/>
    <col min="14861" max="15101" width="9" style="672"/>
    <col min="15102" max="15102" width="7.21875" style="672" customWidth="1"/>
    <col min="15103" max="15103" width="20.21875" style="672" customWidth="1"/>
    <col min="15104" max="15104" width="39" style="672" customWidth="1"/>
    <col min="15105" max="15105" width="24.21875" style="672" customWidth="1"/>
    <col min="15106" max="15106" width="13.21875" style="672" customWidth="1"/>
    <col min="15107" max="15111" width="9" style="672" hidden="1" customWidth="1"/>
    <col min="15112" max="15113" width="14" style="672" customWidth="1"/>
    <col min="15114" max="15114" width="15.21875" style="672" customWidth="1"/>
    <col min="15115" max="15115" width="46.21875" style="672" customWidth="1"/>
    <col min="15116" max="15116" width="9" style="672" hidden="1" customWidth="1"/>
    <col min="15117" max="15357" width="9" style="672"/>
    <col min="15358" max="15358" width="7.21875" style="672" customWidth="1"/>
    <col min="15359" max="15359" width="20.21875" style="672" customWidth="1"/>
    <col min="15360" max="15360" width="39" style="672" customWidth="1"/>
    <col min="15361" max="15361" width="24.21875" style="672" customWidth="1"/>
    <col min="15362" max="15362" width="13.21875" style="672" customWidth="1"/>
    <col min="15363" max="15367" width="9" style="672" hidden="1" customWidth="1"/>
    <col min="15368" max="15369" width="14" style="672" customWidth="1"/>
    <col min="15370" max="15370" width="15.21875" style="672" customWidth="1"/>
    <col min="15371" max="15371" width="46.21875" style="672" customWidth="1"/>
    <col min="15372" max="15372" width="9" style="672" hidden="1" customWidth="1"/>
    <col min="15373" max="15613" width="9" style="672"/>
    <col min="15614" max="15614" width="7.21875" style="672" customWidth="1"/>
    <col min="15615" max="15615" width="20.21875" style="672" customWidth="1"/>
    <col min="15616" max="15616" width="39" style="672" customWidth="1"/>
    <col min="15617" max="15617" width="24.21875" style="672" customWidth="1"/>
    <col min="15618" max="15618" width="13.21875" style="672" customWidth="1"/>
    <col min="15619" max="15623" width="9" style="672" hidden="1" customWidth="1"/>
    <col min="15624" max="15625" width="14" style="672" customWidth="1"/>
    <col min="15626" max="15626" width="15.21875" style="672" customWidth="1"/>
    <col min="15627" max="15627" width="46.21875" style="672" customWidth="1"/>
    <col min="15628" max="15628" width="9" style="672" hidden="1" customWidth="1"/>
    <col min="15629" max="15869" width="9" style="672"/>
    <col min="15870" max="15870" width="7.21875" style="672" customWidth="1"/>
    <col min="15871" max="15871" width="20.21875" style="672" customWidth="1"/>
    <col min="15872" max="15872" width="39" style="672" customWidth="1"/>
    <col min="15873" max="15873" width="24.21875" style="672" customWidth="1"/>
    <col min="15874" max="15874" width="13.21875" style="672" customWidth="1"/>
    <col min="15875" max="15879" width="9" style="672" hidden="1" customWidth="1"/>
    <col min="15880" max="15881" width="14" style="672" customWidth="1"/>
    <col min="15882" max="15882" width="15.21875" style="672" customWidth="1"/>
    <col min="15883" max="15883" width="46.21875" style="672" customWidth="1"/>
    <col min="15884" max="15884" width="9" style="672" hidden="1" customWidth="1"/>
    <col min="15885" max="16125" width="9" style="672"/>
    <col min="16126" max="16126" width="7.21875" style="672" customWidth="1"/>
    <col min="16127" max="16127" width="20.21875" style="672" customWidth="1"/>
    <col min="16128" max="16128" width="39" style="672" customWidth="1"/>
    <col min="16129" max="16129" width="24.21875" style="672" customWidth="1"/>
    <col min="16130" max="16130" width="13.21875" style="672" customWidth="1"/>
    <col min="16131" max="16135" width="9" style="672" hidden="1" customWidth="1"/>
    <col min="16136" max="16137" width="14" style="672" customWidth="1"/>
    <col min="16138" max="16138" width="15.21875" style="672" customWidth="1"/>
    <col min="16139" max="16139" width="46.21875" style="672" customWidth="1"/>
    <col min="16140" max="16140" width="9" style="672" hidden="1" customWidth="1"/>
    <col min="16141" max="16384" width="9" style="672"/>
  </cols>
  <sheetData>
    <row r="2" spans="2:11" ht="15" thickBot="1">
      <c r="B2" s="295" t="s">
        <v>0</v>
      </c>
      <c r="D2" s="1375"/>
      <c r="E2" s="672"/>
      <c r="F2" s="2712" t="s">
        <v>74</v>
      </c>
      <c r="G2" s="2713"/>
      <c r="H2" s="2714"/>
    </row>
    <row r="3" spans="2:11" ht="14.4">
      <c r="B3" s="64" t="s">
        <v>1</v>
      </c>
      <c r="E3" s="672"/>
      <c r="F3" s="710" t="s">
        <v>75</v>
      </c>
      <c r="G3" s="711">
        <f>COUNTA(C9:C9)</f>
        <v>1</v>
      </c>
      <c r="H3" s="684"/>
      <c r="J3" s="679"/>
      <c r="K3" s="679"/>
    </row>
    <row r="4" spans="2:11">
      <c r="B4" s="297" t="s">
        <v>76</v>
      </c>
      <c r="D4" s="1375"/>
      <c r="E4" s="672"/>
      <c r="F4" s="685" t="s">
        <v>77</v>
      </c>
      <c r="G4" s="686">
        <f>COUNTIF(J9:J9,"=J")</f>
        <v>0</v>
      </c>
      <c r="H4" s="687">
        <f>G4/$G$3</f>
        <v>0</v>
      </c>
      <c r="J4" s="679"/>
      <c r="K4" s="679"/>
    </row>
    <row r="5" spans="2:11">
      <c r="B5" s="298">
        <f>SUMMARY!C6</f>
        <v>45870</v>
      </c>
      <c r="C5" s="65"/>
      <c r="D5" s="1375"/>
      <c r="E5" s="672"/>
      <c r="F5" s="685" t="s">
        <v>78</v>
      </c>
      <c r="G5" s="686">
        <f>COUNTIF(J9:J9,"=K")</f>
        <v>1</v>
      </c>
      <c r="H5" s="688">
        <f>G5/$G$3</f>
        <v>1</v>
      </c>
      <c r="J5" s="679"/>
      <c r="K5" s="679"/>
    </row>
    <row r="6" spans="2:11" ht="14.4" thickBot="1">
      <c r="B6" s="298"/>
      <c r="C6" s="65"/>
      <c r="D6" s="1375"/>
      <c r="E6" s="672"/>
      <c r="F6" s="689" t="s">
        <v>79</v>
      </c>
      <c r="G6" s="690">
        <f>COUNTIF(J9:J9,"=L")</f>
        <v>0</v>
      </c>
      <c r="H6" s="692">
        <f>G6/$G$3</f>
        <v>0</v>
      </c>
      <c r="J6" s="679"/>
      <c r="K6" s="679"/>
    </row>
    <row r="7" spans="2:11" ht="14.4" thickBot="1">
      <c r="B7" s="294"/>
      <c r="C7" s="675"/>
      <c r="D7" s="1375"/>
      <c r="E7" s="675"/>
    </row>
    <row r="8" spans="2:11" s="680" customFormat="1" ht="28.2" thickBot="1">
      <c r="B8" s="677" t="s">
        <v>80</v>
      </c>
      <c r="C8" s="681" t="s">
        <v>81</v>
      </c>
      <c r="D8" s="1377" t="s">
        <v>82</v>
      </c>
      <c r="E8" s="682" t="s">
        <v>83</v>
      </c>
      <c r="F8" s="682" t="s">
        <v>84</v>
      </c>
      <c r="G8" s="682" t="s">
        <v>85</v>
      </c>
      <c r="H8" s="682" t="s">
        <v>86</v>
      </c>
      <c r="I8" s="682" t="s">
        <v>87</v>
      </c>
      <c r="J8" s="682" t="s">
        <v>88</v>
      </c>
      <c r="K8" s="683" t="s">
        <v>89</v>
      </c>
    </row>
    <row r="9" spans="2:11" s="691" customFormat="1" hidden="1">
      <c r="B9" s="719">
        <v>24</v>
      </c>
      <c r="C9" s="1430" t="s">
        <v>90</v>
      </c>
      <c r="D9" s="1431" t="s">
        <v>91</v>
      </c>
      <c r="E9" s="2167">
        <v>45742</v>
      </c>
      <c r="F9" s="2166">
        <v>45761</v>
      </c>
      <c r="G9" s="2166">
        <v>45818</v>
      </c>
      <c r="H9" s="2170"/>
      <c r="I9" s="2170"/>
      <c r="J9" s="2173" t="s">
        <v>92</v>
      </c>
      <c r="K9" s="1432" t="s">
        <v>93</v>
      </c>
    </row>
    <row r="10" spans="2:11" ht="26.25" customHeight="1">
      <c r="C10" s="2181" t="s">
        <v>94</v>
      </c>
      <c r="D10" s="2179" t="s">
        <v>95</v>
      </c>
      <c r="E10" s="2168">
        <v>45754</v>
      </c>
      <c r="F10" s="2263">
        <v>45777</v>
      </c>
      <c r="G10" s="2166">
        <v>45900</v>
      </c>
      <c r="H10" s="2170"/>
      <c r="I10" s="2172"/>
      <c r="J10" s="2175" t="s">
        <v>92</v>
      </c>
      <c r="K10" s="1429" t="s">
        <v>96</v>
      </c>
    </row>
    <row r="11" spans="2:11" ht="27.6">
      <c r="C11" s="1427" t="s">
        <v>97</v>
      </c>
      <c r="D11" s="1428" t="s">
        <v>98</v>
      </c>
      <c r="E11" s="2180">
        <v>45784</v>
      </c>
      <c r="F11" s="2264">
        <v>45797</v>
      </c>
      <c r="G11" s="2171">
        <v>45900</v>
      </c>
      <c r="H11" s="2169"/>
      <c r="I11" s="2169"/>
      <c r="J11" s="2174" t="s">
        <v>92</v>
      </c>
      <c r="K11" s="2407" t="s">
        <v>99</v>
      </c>
    </row>
    <row r="12" spans="2:11">
      <c r="C12" s="2177" t="s">
        <v>100</v>
      </c>
      <c r="D12" s="1378" t="s">
        <v>101</v>
      </c>
      <c r="E12" s="2180">
        <v>45867</v>
      </c>
      <c r="F12" s="2265">
        <v>45868</v>
      </c>
      <c r="G12" s="1326"/>
      <c r="H12" s="1327"/>
      <c r="I12" s="1327"/>
      <c r="J12" s="2591" t="s">
        <v>92</v>
      </c>
      <c r="K12" s="1328" t="s">
        <v>102</v>
      </c>
    </row>
    <row r="13" spans="2:11" ht="14.25" customHeight="1">
      <c r="C13" s="2181" t="s">
        <v>103</v>
      </c>
      <c r="D13" s="2179" t="s">
        <v>104</v>
      </c>
      <c r="E13" s="2180">
        <v>45867</v>
      </c>
      <c r="F13" s="2263">
        <v>45884</v>
      </c>
      <c r="G13" s="2166"/>
      <c r="H13" s="2170"/>
      <c r="I13" s="2172"/>
      <c r="J13" s="2176" t="s">
        <v>92</v>
      </c>
      <c r="K13" s="1429"/>
    </row>
    <row r="14" spans="2:11">
      <c r="C14" s="1427" t="s">
        <v>105</v>
      </c>
      <c r="D14" s="1428" t="s">
        <v>91</v>
      </c>
      <c r="E14" s="2168">
        <v>45867</v>
      </c>
      <c r="F14" s="2264"/>
      <c r="G14" s="2171"/>
      <c r="H14" s="2169"/>
      <c r="I14" s="2169"/>
      <c r="J14" s="2176" t="s">
        <v>92</v>
      </c>
      <c r="K14" s="2178"/>
    </row>
    <row r="15" spans="2:11">
      <c r="C15" s="2177"/>
      <c r="D15" s="1378"/>
      <c r="E15" s="2168"/>
      <c r="F15" s="1328"/>
      <c r="G15" s="1326"/>
      <c r="H15" s="1327"/>
      <c r="I15" s="1327"/>
      <c r="J15" s="2257"/>
      <c r="K15" s="1328"/>
    </row>
  </sheetData>
  <autoFilter ref="B8:K9" xr:uid="{D479625E-EBF9-41A4-8A79-5B8BCE7E715B}">
    <filterColumn colId="8">
      <filters>
        <filter val="K"/>
      </filters>
    </filterColumn>
  </autoFilter>
  <mergeCells count="1">
    <mergeCell ref="F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D4D1D-00CC-4C6C-82AF-28A228DD7648}">
  <sheetPr>
    <tabColor theme="4"/>
  </sheetPr>
  <dimension ref="A1"/>
  <sheetViews>
    <sheetView showGridLines="0" showRowColHeaders="0" view="pageBreakPreview" topLeftCell="A79" zoomScale="60" zoomScaleNormal="100" workbookViewId="0">
      <selection activeCell="Y98" sqref="Y98"/>
    </sheetView>
  </sheetViews>
  <sheetFormatPr defaultRowHeight="14.4"/>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F0585-BE6F-4273-B772-B2CD12A198A4}">
  <sheetPr>
    <tabColor theme="4" tint="0.59999389629810485"/>
  </sheetPr>
  <dimension ref="A1:AI167"/>
  <sheetViews>
    <sheetView showGridLines="0" zoomScale="70" zoomScaleNormal="70" workbookViewId="0">
      <pane xSplit="4" ySplit="12" topLeftCell="E105" activePane="bottomRight" state="frozen"/>
      <selection pane="topRight" activeCell="E1" sqref="E1"/>
      <selection pane="bottomLeft" activeCell="A13" sqref="A13"/>
      <selection pane="bottomRight" activeCell="I126" sqref="I126"/>
    </sheetView>
  </sheetViews>
  <sheetFormatPr defaultColWidth="10.21875" defaultRowHeight="13.8"/>
  <cols>
    <col min="1" max="1" width="2.21875" style="158" customWidth="1"/>
    <col min="2" max="2" width="10.21875" style="159"/>
    <col min="3" max="3" width="21.21875" style="158" customWidth="1"/>
    <col min="4" max="4" width="21" style="158" customWidth="1"/>
    <col min="5" max="9" width="10.21875" style="188"/>
    <col min="10" max="10" width="10.21875" style="1884"/>
    <col min="11" max="16" width="10.21875" style="188"/>
    <col min="17" max="17" width="10.21875" style="1984"/>
    <col min="18" max="35" width="10.21875" style="188"/>
    <col min="36" max="16384" width="10.21875" style="158"/>
  </cols>
  <sheetData>
    <row r="1" spans="2:35">
      <c r="J1" s="1886"/>
      <c r="Q1" s="2001"/>
    </row>
    <row r="2" spans="2:35" s="320" customFormat="1" ht="14.4">
      <c r="B2" s="323" t="s">
        <v>0</v>
      </c>
      <c r="C2" s="324"/>
      <c r="E2" s="322"/>
      <c r="F2" s="322"/>
      <c r="G2" s="322"/>
      <c r="H2" s="322"/>
      <c r="I2" s="325"/>
      <c r="J2" s="1887"/>
      <c r="K2" s="322"/>
      <c r="L2" s="322"/>
      <c r="M2" s="322"/>
      <c r="N2" s="322"/>
      <c r="O2" s="322"/>
      <c r="P2" s="322"/>
      <c r="Q2" s="2002"/>
      <c r="R2" s="322"/>
      <c r="S2" s="322"/>
      <c r="T2" s="322"/>
      <c r="U2" s="322"/>
      <c r="V2" s="322"/>
      <c r="W2" s="322"/>
      <c r="X2" s="322"/>
      <c r="Y2" s="322"/>
      <c r="Z2" s="322"/>
      <c r="AA2" s="322"/>
      <c r="AB2" s="322"/>
      <c r="AC2" s="322"/>
      <c r="AD2" s="322"/>
      <c r="AE2" s="322"/>
      <c r="AF2" s="322"/>
      <c r="AG2" s="322"/>
      <c r="AH2" s="322"/>
      <c r="AI2" s="322"/>
    </row>
    <row r="3" spans="2:35" s="320" customFormat="1" ht="14.4">
      <c r="B3" s="326" t="s">
        <v>52</v>
      </c>
      <c r="C3" s="327"/>
      <c r="E3" s="322"/>
      <c r="F3" s="322"/>
      <c r="G3" s="322"/>
      <c r="H3" s="322"/>
      <c r="I3" s="322"/>
      <c r="J3" s="1887"/>
      <c r="K3" s="322"/>
      <c r="L3" s="322"/>
      <c r="M3" s="322"/>
      <c r="N3" s="322"/>
      <c r="O3" s="322"/>
      <c r="P3" s="322"/>
      <c r="Q3" s="2002"/>
      <c r="R3" s="322"/>
      <c r="S3" s="322"/>
      <c r="T3" s="322"/>
      <c r="U3" s="322"/>
      <c r="V3" s="322"/>
      <c r="W3" s="322"/>
      <c r="X3" s="322"/>
      <c r="Y3" s="322"/>
      <c r="Z3" s="322"/>
      <c r="AA3" s="322"/>
      <c r="AB3" s="322"/>
      <c r="AC3" s="322"/>
      <c r="AD3" s="322"/>
      <c r="AE3" s="322"/>
      <c r="AF3" s="322"/>
      <c r="AG3" s="322"/>
      <c r="AH3" s="322"/>
      <c r="AI3" s="322"/>
    </row>
    <row r="4" spans="2:35" s="320" customFormat="1">
      <c r="B4" s="328" t="s">
        <v>106</v>
      </c>
      <c r="C4" s="327"/>
      <c r="E4" s="322"/>
      <c r="F4" s="322"/>
      <c r="G4" s="322"/>
      <c r="H4" s="322"/>
      <c r="I4" s="322"/>
      <c r="J4" s="1887"/>
      <c r="K4" s="322"/>
      <c r="L4" s="322"/>
      <c r="M4" s="322"/>
      <c r="N4" s="322"/>
      <c r="O4" s="322"/>
      <c r="P4" s="322"/>
      <c r="Q4" s="2002"/>
      <c r="R4" s="322"/>
      <c r="S4" s="322"/>
      <c r="T4" s="322"/>
      <c r="U4" s="322"/>
      <c r="V4" s="322"/>
      <c r="W4" s="322"/>
      <c r="X4" s="322"/>
      <c r="Y4" s="322"/>
      <c r="Z4" s="322"/>
      <c r="AA4" s="322"/>
      <c r="AB4" s="322"/>
      <c r="AC4" s="322"/>
      <c r="AD4" s="322"/>
      <c r="AE4" s="322"/>
      <c r="AF4" s="322"/>
      <c r="AG4" s="322"/>
      <c r="AH4" s="322"/>
      <c r="AI4" s="322"/>
    </row>
    <row r="5" spans="2:35" s="320" customFormat="1" ht="6.75" customHeight="1">
      <c r="B5" s="327"/>
      <c r="C5" s="327"/>
      <c r="E5" s="322"/>
      <c r="F5" s="322"/>
      <c r="G5" s="322"/>
      <c r="H5" s="322"/>
      <c r="I5" s="322"/>
      <c r="J5" s="1887"/>
      <c r="K5" s="322"/>
      <c r="L5" s="322"/>
      <c r="M5" s="322"/>
      <c r="N5" s="322"/>
      <c r="O5" s="322"/>
      <c r="P5" s="322"/>
      <c r="Q5" s="2002"/>
      <c r="R5" s="322"/>
      <c r="S5" s="322"/>
      <c r="T5" s="322"/>
      <c r="U5" s="322"/>
      <c r="V5" s="322"/>
      <c r="W5" s="322"/>
      <c r="X5" s="322"/>
      <c r="Y5" s="322"/>
      <c r="Z5" s="322"/>
      <c r="AA5" s="322"/>
      <c r="AB5" s="322"/>
      <c r="AC5" s="322"/>
      <c r="AD5" s="322"/>
      <c r="AE5" s="322"/>
      <c r="AF5" s="322"/>
      <c r="AG5" s="322"/>
      <c r="AH5" s="322"/>
      <c r="AI5" s="322"/>
    </row>
    <row r="6" spans="2:35" s="320" customFormat="1">
      <c r="B6" s="329" t="s">
        <v>3</v>
      </c>
      <c r="C6" s="298">
        <f>SUMMARY!$C$6</f>
        <v>45870</v>
      </c>
      <c r="E6" s="322"/>
      <c r="F6" s="322"/>
      <c r="G6" s="322"/>
      <c r="H6" s="322"/>
      <c r="I6" s="322"/>
      <c r="J6" s="1887"/>
      <c r="K6" s="322"/>
      <c r="L6" s="322"/>
      <c r="M6" s="322"/>
      <c r="N6" s="322"/>
      <c r="O6" s="322"/>
      <c r="P6" s="322"/>
      <c r="Q6" s="2002"/>
      <c r="R6" s="322"/>
      <c r="S6" s="322"/>
      <c r="T6" s="322"/>
      <c r="U6" s="322"/>
      <c r="V6" s="322"/>
      <c r="W6" s="322"/>
      <c r="X6" s="322"/>
      <c r="Y6" s="322"/>
      <c r="Z6" s="322"/>
      <c r="AA6" s="322"/>
      <c r="AB6" s="322"/>
      <c r="AC6" s="322"/>
      <c r="AD6" s="322"/>
      <c r="AE6" s="322"/>
      <c r="AF6" s="322"/>
      <c r="AG6" s="322"/>
      <c r="AH6" s="322"/>
      <c r="AI6" s="322"/>
    </row>
    <row r="7" spans="2:35" s="320" customFormat="1">
      <c r="B7" s="329" t="s">
        <v>4</v>
      </c>
      <c r="C7" s="303">
        <f>+SUMMARY!C7</f>
        <v>6</v>
      </c>
      <c r="E7" s="322"/>
      <c r="F7" s="322"/>
      <c r="G7" s="322"/>
      <c r="H7" s="322"/>
      <c r="I7" s="322"/>
      <c r="J7" s="1887"/>
      <c r="K7" s="322"/>
      <c r="L7" s="322"/>
      <c r="M7" s="322"/>
      <c r="N7" s="322"/>
      <c r="O7" s="322"/>
      <c r="P7" s="322"/>
      <c r="Q7" s="2002"/>
      <c r="R7" s="322"/>
      <c r="S7" s="322"/>
      <c r="T7" s="322"/>
      <c r="U7" s="322"/>
      <c r="V7" s="322"/>
      <c r="W7" s="322"/>
      <c r="X7" s="322"/>
      <c r="Y7" s="322"/>
      <c r="Z7" s="322"/>
      <c r="AA7" s="322"/>
      <c r="AB7" s="322"/>
      <c r="AC7" s="322"/>
      <c r="AD7" s="322"/>
      <c r="AE7" s="322"/>
      <c r="AF7" s="322"/>
      <c r="AG7" s="322"/>
      <c r="AH7" s="322"/>
      <c r="AI7" s="322"/>
    </row>
    <row r="8" spans="2:35" s="320" customFormat="1" ht="14.4" thickBot="1">
      <c r="E8" s="322"/>
      <c r="F8" s="322"/>
      <c r="G8" s="322"/>
      <c r="H8" s="322"/>
      <c r="I8" s="322"/>
      <c r="J8" s="1887"/>
      <c r="K8" s="322"/>
      <c r="L8" s="322"/>
      <c r="M8" s="322"/>
      <c r="N8" s="322"/>
      <c r="O8" s="322"/>
      <c r="P8" s="322"/>
      <c r="Q8" s="2002"/>
      <c r="R8" s="322"/>
      <c r="S8" s="322"/>
      <c r="T8" s="322"/>
      <c r="U8" s="322"/>
      <c r="V8" s="322"/>
      <c r="W8" s="322"/>
      <c r="X8" s="322"/>
      <c r="Y8" s="322"/>
      <c r="Z8" s="322"/>
      <c r="AA8" s="322"/>
      <c r="AB8" s="322"/>
      <c r="AC8" s="322"/>
      <c r="AD8" s="322"/>
      <c r="AE8" s="322"/>
      <c r="AF8" s="322"/>
      <c r="AG8" s="322"/>
      <c r="AH8" s="322"/>
      <c r="AI8" s="322"/>
    </row>
    <row r="9" spans="2:35" s="333" customFormat="1" ht="14.85" customHeight="1" thickBot="1">
      <c r="B9" s="330"/>
      <c r="C9" s="2727" t="s">
        <v>107</v>
      </c>
      <c r="D9" s="2728"/>
      <c r="E9" s="331">
        <v>1</v>
      </c>
      <c r="F9" s="331">
        <v>2</v>
      </c>
      <c r="G9" s="331">
        <v>3</v>
      </c>
      <c r="H9" s="331">
        <v>4</v>
      </c>
      <c r="I9" s="331">
        <v>5</v>
      </c>
      <c r="J9" s="2384">
        <v>6</v>
      </c>
      <c r="K9" s="331">
        <v>7</v>
      </c>
      <c r="L9" s="331">
        <v>8</v>
      </c>
      <c r="M9" s="331">
        <v>9</v>
      </c>
      <c r="N9" s="331">
        <v>10</v>
      </c>
      <c r="O9" s="331">
        <v>11</v>
      </c>
      <c r="P9" s="331">
        <v>12</v>
      </c>
      <c r="Q9" s="1985">
        <v>13</v>
      </c>
      <c r="R9" s="331">
        <v>14</v>
      </c>
      <c r="S9" s="331">
        <v>15</v>
      </c>
      <c r="T9" s="331">
        <v>16</v>
      </c>
      <c r="U9" s="331">
        <v>17</v>
      </c>
      <c r="V9" s="331">
        <v>18</v>
      </c>
      <c r="W9" s="331">
        <v>19</v>
      </c>
      <c r="X9" s="331">
        <v>20</v>
      </c>
      <c r="Y9" s="331">
        <v>21</v>
      </c>
      <c r="Z9" s="331">
        <v>22</v>
      </c>
      <c r="AA9" s="331">
        <v>23</v>
      </c>
      <c r="AB9" s="331">
        <v>24</v>
      </c>
      <c r="AC9" s="331">
        <v>25</v>
      </c>
      <c r="AD9" s="331">
        <v>26</v>
      </c>
      <c r="AE9" s="331">
        <v>27</v>
      </c>
      <c r="AF9" s="331">
        <v>28</v>
      </c>
      <c r="AG9" s="331">
        <v>29</v>
      </c>
      <c r="AH9" s="331">
        <v>30</v>
      </c>
      <c r="AI9" s="331">
        <v>31</v>
      </c>
    </row>
    <row r="10" spans="2:35" s="333" customFormat="1" ht="15" customHeight="1">
      <c r="B10" s="330"/>
      <c r="C10" s="2729" t="s">
        <v>108</v>
      </c>
      <c r="D10" s="460" t="s">
        <v>17</v>
      </c>
      <c r="E10" s="334">
        <f>IF(E9&gt;DAY($C$7),0,SUMIF($D$28:$D$118,"# of Machines - Plan",E$28:E$118))</f>
        <v>0</v>
      </c>
      <c r="F10" s="335">
        <f t="shared" ref="F10:AI10" si="0">IF(F9&gt;DAY($C$7),"",SUMIF($D$28:$D$118,"# of Machines - Plan",F$28:F$118))</f>
        <v>0</v>
      </c>
      <c r="G10" s="335">
        <f t="shared" si="0"/>
        <v>0</v>
      </c>
      <c r="H10" s="335">
        <f t="shared" si="0"/>
        <v>0</v>
      </c>
      <c r="I10" s="335">
        <f t="shared" si="0"/>
        <v>0</v>
      </c>
      <c r="J10" s="2385">
        <f t="shared" si="0"/>
        <v>0</v>
      </c>
      <c r="K10" s="335" t="str">
        <f t="shared" si="0"/>
        <v/>
      </c>
      <c r="L10" s="335" t="str">
        <f t="shared" si="0"/>
        <v/>
      </c>
      <c r="M10" s="335" t="str">
        <f t="shared" si="0"/>
        <v/>
      </c>
      <c r="N10" s="335" t="str">
        <f t="shared" si="0"/>
        <v/>
      </c>
      <c r="O10" s="335" t="str">
        <f t="shared" si="0"/>
        <v/>
      </c>
      <c r="P10" s="335" t="str">
        <f t="shared" si="0"/>
        <v/>
      </c>
      <c r="Q10" s="1986" t="str">
        <f t="shared" si="0"/>
        <v/>
      </c>
      <c r="R10" s="335" t="str">
        <f t="shared" si="0"/>
        <v/>
      </c>
      <c r="S10" s="335" t="str">
        <f t="shared" si="0"/>
        <v/>
      </c>
      <c r="T10" s="335" t="str">
        <f t="shared" si="0"/>
        <v/>
      </c>
      <c r="U10" s="335" t="str">
        <f t="shared" si="0"/>
        <v/>
      </c>
      <c r="V10" s="335" t="str">
        <f t="shared" si="0"/>
        <v/>
      </c>
      <c r="W10" s="335" t="str">
        <f t="shared" si="0"/>
        <v/>
      </c>
      <c r="X10" s="335" t="str">
        <f t="shared" si="0"/>
        <v/>
      </c>
      <c r="Y10" s="335" t="str">
        <f t="shared" si="0"/>
        <v/>
      </c>
      <c r="Z10" s="335" t="str">
        <f t="shared" si="0"/>
        <v/>
      </c>
      <c r="AA10" s="335" t="str">
        <f t="shared" si="0"/>
        <v/>
      </c>
      <c r="AB10" s="335" t="str">
        <f t="shared" si="0"/>
        <v/>
      </c>
      <c r="AC10" s="335" t="str">
        <f t="shared" si="0"/>
        <v/>
      </c>
      <c r="AD10" s="335" t="str">
        <f t="shared" si="0"/>
        <v/>
      </c>
      <c r="AE10" s="335" t="str">
        <f t="shared" si="0"/>
        <v/>
      </c>
      <c r="AF10" s="335" t="str">
        <f t="shared" si="0"/>
        <v/>
      </c>
      <c r="AG10" s="335" t="str">
        <f t="shared" si="0"/>
        <v/>
      </c>
      <c r="AH10" s="335" t="str">
        <f t="shared" si="0"/>
        <v/>
      </c>
      <c r="AI10" s="336" t="str">
        <f t="shared" si="0"/>
        <v/>
      </c>
    </row>
    <row r="11" spans="2:35" s="333" customFormat="1" ht="14.85" customHeight="1" thickBot="1">
      <c r="B11" s="330"/>
      <c r="C11" s="2730"/>
      <c r="D11" s="1032" t="s">
        <v>16</v>
      </c>
      <c r="E11" s="337">
        <f t="shared" ref="E11:M11" si="1">IF(E9&gt;$C$7,"",SUMIF($D$14:$D$251,"# of Machines - Actual",E$14:E$251))</f>
        <v>26</v>
      </c>
      <c r="F11" s="337">
        <f t="shared" si="1"/>
        <v>25</v>
      </c>
      <c r="G11" s="337">
        <f t="shared" si="1"/>
        <v>3</v>
      </c>
      <c r="H11" s="337">
        <f t="shared" si="1"/>
        <v>22</v>
      </c>
      <c r="I11" s="337">
        <f t="shared" si="1"/>
        <v>27</v>
      </c>
      <c r="J11" s="1883">
        <f t="shared" si="1"/>
        <v>26</v>
      </c>
      <c r="K11" s="337" t="str">
        <f t="shared" si="1"/>
        <v/>
      </c>
      <c r="L11" s="337" t="str">
        <f t="shared" si="1"/>
        <v/>
      </c>
      <c r="M11" s="337" t="str">
        <f t="shared" si="1"/>
        <v/>
      </c>
      <c r="N11" s="338" t="str">
        <f t="shared" ref="N11:AI11" si="2">IF(N9&gt;$C$7,"",SUMIF($D$28:$D$251,"# of Machines - Actual",N$28:N$251))</f>
        <v/>
      </c>
      <c r="O11" s="338" t="str">
        <f t="shared" si="2"/>
        <v/>
      </c>
      <c r="P11" s="338" t="str">
        <f t="shared" si="2"/>
        <v/>
      </c>
      <c r="Q11" s="1987" t="str">
        <f t="shared" si="2"/>
        <v/>
      </c>
      <c r="R11" s="338" t="str">
        <f t="shared" si="2"/>
        <v/>
      </c>
      <c r="S11" s="338" t="str">
        <f t="shared" si="2"/>
        <v/>
      </c>
      <c r="T11" s="338" t="str">
        <f t="shared" si="2"/>
        <v/>
      </c>
      <c r="U11" s="338" t="str">
        <f t="shared" si="2"/>
        <v/>
      </c>
      <c r="V11" s="338" t="str">
        <f t="shared" si="2"/>
        <v/>
      </c>
      <c r="W11" s="338" t="str">
        <f t="shared" si="2"/>
        <v/>
      </c>
      <c r="X11" s="338" t="str">
        <f t="shared" si="2"/>
        <v/>
      </c>
      <c r="Y11" s="338" t="str">
        <f t="shared" si="2"/>
        <v/>
      </c>
      <c r="Z11" s="338" t="str">
        <f t="shared" si="2"/>
        <v/>
      </c>
      <c r="AA11" s="338" t="str">
        <f t="shared" si="2"/>
        <v/>
      </c>
      <c r="AB11" s="338" t="str">
        <f t="shared" si="2"/>
        <v/>
      </c>
      <c r="AC11" s="338" t="str">
        <f t="shared" si="2"/>
        <v/>
      </c>
      <c r="AD11" s="338" t="str">
        <f t="shared" si="2"/>
        <v/>
      </c>
      <c r="AE11" s="338" t="str">
        <f t="shared" si="2"/>
        <v/>
      </c>
      <c r="AF11" s="338" t="str">
        <f t="shared" si="2"/>
        <v/>
      </c>
      <c r="AG11" s="338" t="str">
        <f t="shared" si="2"/>
        <v/>
      </c>
      <c r="AH11" s="338" t="str">
        <f t="shared" si="2"/>
        <v/>
      </c>
      <c r="AI11" s="339" t="str">
        <f t="shared" si="2"/>
        <v/>
      </c>
    </row>
    <row r="12" spans="2:35" s="320" customFormat="1" ht="14.4" thickBot="1">
      <c r="E12" s="322"/>
      <c r="F12" s="322"/>
      <c r="G12" s="322"/>
      <c r="H12" s="322"/>
      <c r="I12" s="322"/>
      <c r="J12" s="1887"/>
      <c r="K12" s="322"/>
      <c r="L12" s="322"/>
      <c r="M12" s="322"/>
      <c r="N12" s="322"/>
      <c r="O12" s="322"/>
      <c r="P12" s="322"/>
      <c r="Q12" s="2002"/>
      <c r="R12" s="322"/>
      <c r="S12" s="322"/>
      <c r="T12" s="322"/>
      <c r="U12" s="322"/>
      <c r="V12" s="322"/>
      <c r="W12" s="322"/>
      <c r="X12" s="322"/>
      <c r="Y12" s="322"/>
      <c r="Z12" s="322"/>
      <c r="AA12" s="322"/>
      <c r="AB12" s="322"/>
      <c r="AC12" s="322"/>
      <c r="AD12" s="322"/>
      <c r="AE12" s="322"/>
      <c r="AF12" s="322"/>
      <c r="AG12" s="322"/>
      <c r="AH12" s="322"/>
      <c r="AI12" s="322"/>
    </row>
    <row r="13" spans="2:35" s="333" customFormat="1">
      <c r="B13" s="205" t="s">
        <v>109</v>
      </c>
      <c r="C13" s="206" t="s">
        <v>110</v>
      </c>
      <c r="D13" s="205" t="s">
        <v>111</v>
      </c>
      <c r="E13" s="340">
        <f>SUMMARY!I16</f>
        <v>45870</v>
      </c>
      <c r="F13" s="341">
        <f>SUMMARY!J16</f>
        <v>45871</v>
      </c>
      <c r="G13" s="341">
        <f>SUMMARY!K16</f>
        <v>45872</v>
      </c>
      <c r="H13" s="341">
        <f>SUMMARY!L16</f>
        <v>45873</v>
      </c>
      <c r="I13" s="341">
        <f>SUMMARY!M16</f>
        <v>45874</v>
      </c>
      <c r="J13" s="341">
        <f>SUMMARY!N16</f>
        <v>45875</v>
      </c>
      <c r="K13" s="341">
        <f>SUMMARY!O16</f>
        <v>45876</v>
      </c>
      <c r="L13" s="341">
        <f>SUMMARY!P16</f>
        <v>45877</v>
      </c>
      <c r="M13" s="341">
        <f>SUMMARY!Q16</f>
        <v>45878</v>
      </c>
      <c r="N13" s="341">
        <f>SUMMARY!R16</f>
        <v>45879</v>
      </c>
      <c r="O13" s="341">
        <f>SUMMARY!S16</f>
        <v>45880</v>
      </c>
      <c r="P13" s="341">
        <f>SUMMARY!T16</f>
        <v>45881</v>
      </c>
      <c r="Q13" s="341">
        <f>SUMMARY!U16</f>
        <v>45882</v>
      </c>
      <c r="R13" s="341">
        <f>SUMMARY!V16</f>
        <v>45883</v>
      </c>
      <c r="S13" s="341">
        <f>SUMMARY!W16</f>
        <v>45884</v>
      </c>
      <c r="T13" s="341">
        <f>SUMMARY!X16</f>
        <v>45885</v>
      </c>
      <c r="U13" s="341">
        <f>SUMMARY!Y16</f>
        <v>45886</v>
      </c>
      <c r="V13" s="341">
        <f>SUMMARY!Z16</f>
        <v>45887</v>
      </c>
      <c r="W13" s="341">
        <f>SUMMARY!AA16</f>
        <v>45888</v>
      </c>
      <c r="X13" s="341">
        <f>SUMMARY!AB16</f>
        <v>45889</v>
      </c>
      <c r="Y13" s="341">
        <f>SUMMARY!AC16</f>
        <v>45890</v>
      </c>
      <c r="Z13" s="341">
        <f>SUMMARY!AD16</f>
        <v>45891</v>
      </c>
      <c r="AA13" s="341">
        <f>SUMMARY!AE16</f>
        <v>45892</v>
      </c>
      <c r="AB13" s="341">
        <f>SUMMARY!AF16</f>
        <v>45893</v>
      </c>
      <c r="AC13" s="341">
        <f>SUMMARY!AG16</f>
        <v>45894</v>
      </c>
      <c r="AD13" s="341">
        <f>SUMMARY!AH16</f>
        <v>45895</v>
      </c>
      <c r="AE13" s="341">
        <f>SUMMARY!AI16</f>
        <v>45896</v>
      </c>
      <c r="AF13" s="341">
        <f>SUMMARY!AJ16</f>
        <v>45897</v>
      </c>
      <c r="AG13" s="341">
        <f>SUMMARY!AK16</f>
        <v>45898</v>
      </c>
      <c r="AH13" s="341">
        <f>SUMMARY!AL16</f>
        <v>45899</v>
      </c>
      <c r="AI13" s="341">
        <f>SUMMARY!AM16</f>
        <v>45900</v>
      </c>
    </row>
    <row r="14" spans="2:35">
      <c r="B14" s="2721"/>
      <c r="C14" s="2715" t="s">
        <v>112</v>
      </c>
      <c r="D14" s="435" t="s">
        <v>113</v>
      </c>
      <c r="E14" s="160"/>
      <c r="F14" s="160"/>
      <c r="G14" s="160"/>
      <c r="H14" s="160"/>
      <c r="I14" s="160"/>
      <c r="J14" s="2386"/>
      <c r="K14" s="160"/>
      <c r="L14" s="160"/>
      <c r="M14" s="160"/>
      <c r="N14" s="160"/>
      <c r="O14" s="160"/>
      <c r="P14" s="160"/>
      <c r="Q14" s="1988"/>
      <c r="R14" s="160"/>
      <c r="S14" s="160"/>
      <c r="T14" s="160"/>
      <c r="U14" s="160"/>
      <c r="V14" s="160"/>
      <c r="W14" s="160"/>
      <c r="X14" s="160"/>
      <c r="Y14" s="160"/>
      <c r="Z14" s="160"/>
      <c r="AA14" s="160"/>
      <c r="AB14" s="160"/>
      <c r="AC14" s="160"/>
      <c r="AD14" s="160"/>
      <c r="AE14" s="160"/>
      <c r="AF14" s="160"/>
      <c r="AG14" s="160"/>
      <c r="AH14" s="160"/>
      <c r="AI14" s="161"/>
    </row>
    <row r="15" spans="2:35">
      <c r="B15" s="2722"/>
      <c r="C15" s="2716"/>
      <c r="D15" s="1086" t="s">
        <v>114</v>
      </c>
      <c r="E15" s="1087"/>
      <c r="F15" s="1087"/>
      <c r="G15" s="1087"/>
      <c r="H15" s="1087"/>
      <c r="I15" s="1087"/>
      <c r="J15" s="2387"/>
      <c r="K15" s="1087"/>
      <c r="L15" s="1087"/>
      <c r="M15" s="1087"/>
      <c r="N15" s="1087"/>
      <c r="O15" s="1087"/>
      <c r="P15" s="1087"/>
      <c r="Q15" s="1989"/>
      <c r="R15" s="1087"/>
      <c r="S15" s="1087"/>
      <c r="T15" s="1087"/>
      <c r="U15" s="1087"/>
      <c r="V15" s="1087"/>
      <c r="W15" s="1087"/>
      <c r="X15" s="1087"/>
      <c r="Y15" s="1087"/>
      <c r="Z15" s="1087"/>
      <c r="AA15" s="1087"/>
      <c r="AB15" s="1087"/>
      <c r="AC15" s="1087"/>
      <c r="AD15" s="1087"/>
      <c r="AE15" s="1087"/>
      <c r="AF15" s="1087"/>
      <c r="AG15" s="1087"/>
      <c r="AH15" s="1087"/>
      <c r="AI15" s="1088"/>
    </row>
    <row r="16" spans="2:35">
      <c r="B16" s="2722"/>
      <c r="C16" s="2716"/>
      <c r="D16" s="1086" t="s">
        <v>115</v>
      </c>
      <c r="E16" s="1087"/>
      <c r="F16" s="1087"/>
      <c r="G16" s="1087"/>
      <c r="H16" s="1087"/>
      <c r="I16" s="1087"/>
      <c r="J16" s="2387"/>
      <c r="K16" s="1087"/>
      <c r="L16" s="1087"/>
      <c r="M16" s="1087"/>
      <c r="N16" s="1087"/>
      <c r="O16" s="1087"/>
      <c r="P16" s="1087"/>
      <c r="Q16" s="1989"/>
      <c r="R16" s="1087"/>
      <c r="S16" s="1087"/>
      <c r="T16" s="1087"/>
      <c r="U16" s="1087"/>
      <c r="V16" s="1087"/>
      <c r="W16" s="1087"/>
      <c r="X16" s="1087"/>
      <c r="Y16" s="1087"/>
      <c r="Z16" s="1087"/>
      <c r="AA16" s="1087"/>
      <c r="AB16" s="1087"/>
      <c r="AC16" s="1087"/>
      <c r="AD16" s="1087"/>
      <c r="AE16" s="1087"/>
      <c r="AF16" s="1087"/>
      <c r="AG16" s="1087"/>
      <c r="AH16" s="1087"/>
      <c r="AI16" s="1088"/>
    </row>
    <row r="17" spans="2:35">
      <c r="B17" s="2722"/>
      <c r="C17" s="2716"/>
      <c r="D17" s="1086" t="s">
        <v>116</v>
      </c>
      <c r="E17" s="1089"/>
      <c r="F17" s="1089"/>
      <c r="G17" s="1089"/>
      <c r="H17" s="1089"/>
      <c r="I17" s="1089"/>
      <c r="J17" s="2388"/>
      <c r="K17" s="1089"/>
      <c r="L17" s="1089"/>
      <c r="M17" s="1089"/>
      <c r="N17" s="1089"/>
      <c r="O17" s="1089"/>
      <c r="P17" s="1089"/>
      <c r="Q17" s="1990"/>
      <c r="R17" s="1089"/>
      <c r="S17" s="1089"/>
      <c r="T17" s="1089"/>
      <c r="U17" s="1089"/>
      <c r="V17" s="1089"/>
      <c r="W17" s="1089"/>
      <c r="X17" s="1089"/>
      <c r="Y17" s="1089"/>
      <c r="Z17" s="1087"/>
      <c r="AA17" s="1087"/>
      <c r="AB17" s="1087"/>
      <c r="AC17" s="1087"/>
      <c r="AD17" s="1087"/>
      <c r="AE17" s="1087"/>
      <c r="AF17" s="1087"/>
      <c r="AG17" s="1087"/>
      <c r="AH17" s="1087"/>
      <c r="AI17" s="1088"/>
    </row>
    <row r="18" spans="2:35">
      <c r="B18" s="2722"/>
      <c r="C18" s="2716"/>
      <c r="D18" s="1086" t="s">
        <v>117</v>
      </c>
      <c r="E18" s="162"/>
      <c r="F18" s="162"/>
      <c r="G18" s="162"/>
      <c r="H18" s="162"/>
      <c r="I18" s="162"/>
      <c r="J18" s="2389"/>
      <c r="K18" s="162"/>
      <c r="L18" s="162"/>
      <c r="M18" s="162"/>
      <c r="N18" s="163"/>
      <c r="O18" s="163"/>
      <c r="P18" s="163"/>
      <c r="Q18" s="1991"/>
      <c r="R18" s="163"/>
      <c r="S18" s="163"/>
      <c r="T18" s="163"/>
      <c r="U18" s="163"/>
      <c r="V18" s="163"/>
      <c r="W18" s="163"/>
      <c r="X18" s="163"/>
      <c r="Y18" s="163"/>
      <c r="Z18" s="163"/>
      <c r="AA18" s="163"/>
      <c r="AB18" s="163"/>
      <c r="AC18" s="163"/>
      <c r="AD18" s="163"/>
      <c r="AE18" s="163"/>
      <c r="AF18" s="163"/>
      <c r="AG18" s="163"/>
      <c r="AH18" s="163"/>
      <c r="AI18" s="164"/>
    </row>
    <row r="19" spans="2:35" s="168" customFormat="1">
      <c r="B19" s="2723"/>
      <c r="C19" s="2717"/>
      <c r="D19" s="1033" t="s">
        <v>118</v>
      </c>
      <c r="E19" s="986"/>
      <c r="F19" s="986"/>
      <c r="G19" s="986"/>
      <c r="H19" s="986"/>
      <c r="I19" s="986"/>
      <c r="J19" s="2390"/>
      <c r="K19" s="986"/>
      <c r="L19" s="986"/>
      <c r="M19" s="986"/>
      <c r="N19" s="986"/>
      <c r="O19" s="986"/>
      <c r="P19" s="986"/>
      <c r="Q19" s="1992"/>
      <c r="R19" s="986"/>
      <c r="S19" s="986"/>
      <c r="T19" s="986"/>
      <c r="U19" s="986"/>
      <c r="V19" s="986"/>
      <c r="W19" s="986"/>
      <c r="X19" s="986"/>
      <c r="Y19" s="986"/>
      <c r="Z19" s="986"/>
      <c r="AA19" s="986"/>
      <c r="AB19" s="986"/>
      <c r="AC19" s="986"/>
      <c r="AD19" s="986"/>
      <c r="AE19" s="986"/>
      <c r="AF19" s="986"/>
      <c r="AG19" s="986"/>
      <c r="AH19" s="986"/>
      <c r="AI19" s="987"/>
    </row>
    <row r="20" spans="2:35" ht="14.4" thickBot="1">
      <c r="B20" s="433"/>
      <c r="C20" s="165"/>
      <c r="D20" s="436"/>
      <c r="E20" s="166"/>
      <c r="F20" s="166"/>
      <c r="G20" s="166"/>
      <c r="H20" s="166"/>
      <c r="I20" s="166"/>
      <c r="J20" s="2041"/>
      <c r="K20" s="166"/>
      <c r="L20" s="166"/>
      <c r="M20" s="166"/>
      <c r="N20" s="166"/>
      <c r="O20" s="166"/>
      <c r="P20" s="166"/>
      <c r="Q20" s="2045"/>
      <c r="R20" s="318"/>
      <c r="S20" s="318"/>
      <c r="T20" s="318"/>
      <c r="U20" s="166"/>
      <c r="V20" s="166"/>
      <c r="W20" s="166"/>
      <c r="X20" s="166"/>
      <c r="Y20" s="166"/>
      <c r="Z20" s="166"/>
      <c r="AA20" s="166"/>
      <c r="AB20" s="166"/>
      <c r="AC20" s="166"/>
      <c r="AD20" s="166"/>
      <c r="AE20" s="166"/>
      <c r="AF20" s="166"/>
      <c r="AG20" s="166"/>
      <c r="AH20" s="166"/>
      <c r="AI20" s="167"/>
    </row>
    <row r="21" spans="2:35">
      <c r="B21" s="2721"/>
      <c r="C21" s="2715" t="s">
        <v>119</v>
      </c>
      <c r="D21" s="435" t="s">
        <v>113</v>
      </c>
      <c r="E21" s="160" t="s">
        <v>120</v>
      </c>
      <c r="F21" s="160" t="s">
        <v>120</v>
      </c>
      <c r="G21" s="160"/>
      <c r="H21" s="160" t="s">
        <v>120</v>
      </c>
      <c r="I21" s="160" t="s">
        <v>120</v>
      </c>
      <c r="J21" s="160" t="s">
        <v>120</v>
      </c>
      <c r="K21" s="160"/>
      <c r="L21" s="160"/>
      <c r="M21" s="160"/>
      <c r="N21" s="160"/>
      <c r="O21" s="160"/>
      <c r="P21" s="160"/>
      <c r="Q21" s="1988"/>
      <c r="R21" s="160"/>
      <c r="S21" s="160"/>
      <c r="T21" s="160"/>
      <c r="U21" s="160"/>
      <c r="V21" s="160"/>
      <c r="W21" s="160"/>
      <c r="X21" s="160"/>
      <c r="Y21" s="160"/>
      <c r="Z21" s="160"/>
      <c r="AA21" s="160"/>
      <c r="AB21" s="160"/>
      <c r="AC21" s="160"/>
      <c r="AD21" s="160"/>
      <c r="AE21" s="160"/>
      <c r="AF21" s="160"/>
      <c r="AG21" s="160"/>
      <c r="AH21" s="1087"/>
      <c r="AI21" s="161"/>
    </row>
    <row r="22" spans="2:35">
      <c r="B22" s="2722"/>
      <c r="C22" s="2716"/>
      <c r="D22" s="1086" t="s">
        <v>114</v>
      </c>
      <c r="E22" s="1087" t="s">
        <v>120</v>
      </c>
      <c r="F22" s="1087" t="s">
        <v>120</v>
      </c>
      <c r="G22" s="1087"/>
      <c r="H22" s="1087" t="s">
        <v>120</v>
      </c>
      <c r="I22" s="1087" t="s">
        <v>120</v>
      </c>
      <c r="J22" s="1087" t="s">
        <v>120</v>
      </c>
      <c r="K22" s="1087"/>
      <c r="L22" s="1087"/>
      <c r="M22" s="1087"/>
      <c r="N22" s="1087"/>
      <c r="O22" s="1087"/>
      <c r="P22" s="1087"/>
      <c r="Q22" s="1989"/>
      <c r="R22" s="1087"/>
      <c r="S22" s="1087"/>
      <c r="T22" s="1087"/>
      <c r="U22" s="1087"/>
      <c r="V22" s="1087"/>
      <c r="W22" s="1087"/>
      <c r="X22" s="1087"/>
      <c r="Y22" s="1087"/>
      <c r="Z22" s="1087"/>
      <c r="AA22" s="1087"/>
      <c r="AB22" s="1087"/>
      <c r="AC22" s="1087"/>
      <c r="AD22" s="1087"/>
      <c r="AE22" s="1087"/>
      <c r="AF22" s="1087"/>
      <c r="AG22" s="1087"/>
      <c r="AI22" s="1088"/>
    </row>
    <row r="23" spans="2:35">
      <c r="B23" s="2722"/>
      <c r="C23" s="2716"/>
      <c r="D23" s="1086" t="s">
        <v>115</v>
      </c>
      <c r="E23" s="1087" t="s">
        <v>120</v>
      </c>
      <c r="F23" s="1087" t="s">
        <v>120</v>
      </c>
      <c r="G23" s="1087"/>
      <c r="H23" s="1087" t="s">
        <v>120</v>
      </c>
      <c r="I23" s="1087" t="s">
        <v>120</v>
      </c>
      <c r="J23" s="1087" t="s">
        <v>120</v>
      </c>
      <c r="K23" s="1087"/>
      <c r="L23" s="1087"/>
      <c r="M23" s="1087"/>
      <c r="N23" s="1087"/>
      <c r="O23" s="1087"/>
      <c r="P23" s="1087"/>
      <c r="Q23" s="1989"/>
      <c r="R23" s="1087"/>
      <c r="S23" s="1087"/>
      <c r="T23" s="1087"/>
      <c r="U23" s="1087"/>
      <c r="V23" s="1087"/>
      <c r="W23" s="1087"/>
      <c r="X23" s="1087"/>
      <c r="Y23" s="1087"/>
      <c r="Z23" s="1087"/>
      <c r="AA23" s="1087"/>
      <c r="AB23" s="1087"/>
      <c r="AC23" s="1087"/>
      <c r="AD23" s="1087"/>
      <c r="AE23" s="1087"/>
      <c r="AF23" s="1087"/>
      <c r="AG23" s="1087"/>
      <c r="AH23" s="1087"/>
      <c r="AI23" s="1088"/>
    </row>
    <row r="24" spans="2:35">
      <c r="B24" s="2722"/>
      <c r="C24" s="2716"/>
      <c r="D24" s="1086" t="s">
        <v>116</v>
      </c>
      <c r="E24" s="1089">
        <v>3</v>
      </c>
      <c r="F24" s="1089">
        <v>2</v>
      </c>
      <c r="G24" s="1089"/>
      <c r="H24" s="1089">
        <v>2</v>
      </c>
      <c r="I24" s="1089">
        <v>2</v>
      </c>
      <c r="J24" s="1089">
        <v>2</v>
      </c>
      <c r="K24" s="1089"/>
      <c r="L24" s="1089"/>
      <c r="M24" s="1089"/>
      <c r="N24" s="1089"/>
      <c r="O24" s="1089"/>
      <c r="P24" s="1089"/>
      <c r="Q24" s="1990"/>
      <c r="R24" s="1089"/>
      <c r="S24" s="1089"/>
      <c r="T24" s="1089"/>
      <c r="U24" s="1089"/>
      <c r="V24" s="1089"/>
      <c r="W24" s="1089"/>
      <c r="X24" s="1089"/>
      <c r="Y24" s="1089"/>
      <c r="Z24" s="1089"/>
      <c r="AA24" s="1089"/>
      <c r="AB24" s="1089"/>
      <c r="AC24" s="1089"/>
      <c r="AD24" s="1089"/>
      <c r="AE24" s="1087"/>
      <c r="AF24" s="1087"/>
      <c r="AG24" s="1087"/>
      <c r="AH24" s="1087"/>
      <c r="AI24" s="1088"/>
    </row>
    <row r="25" spans="2:35">
      <c r="B25" s="2722"/>
      <c r="C25" s="2716"/>
      <c r="D25" s="1086" t="s">
        <v>117</v>
      </c>
      <c r="E25" s="162"/>
      <c r="F25" s="162"/>
      <c r="G25" s="162"/>
      <c r="H25" s="162"/>
      <c r="I25" s="162"/>
      <c r="J25" s="162"/>
      <c r="K25" s="162"/>
      <c r="L25" s="162"/>
      <c r="M25" s="162"/>
      <c r="N25" s="162"/>
      <c r="O25" s="162"/>
      <c r="P25" s="162"/>
      <c r="Q25" s="1993"/>
      <c r="R25" s="162"/>
      <c r="S25" s="162"/>
      <c r="T25" s="162"/>
      <c r="U25" s="162"/>
      <c r="V25" s="162"/>
      <c r="W25" s="162"/>
      <c r="X25" s="162"/>
      <c r="Y25" s="162"/>
      <c r="Z25" s="162"/>
      <c r="AA25" s="162"/>
      <c r="AB25" s="162"/>
      <c r="AC25" s="162"/>
      <c r="AD25" s="162"/>
      <c r="AE25" s="163"/>
      <c r="AF25" s="163"/>
      <c r="AG25" s="163"/>
      <c r="AH25" s="163"/>
      <c r="AI25" s="164"/>
    </row>
    <row r="26" spans="2:35" s="168" customFormat="1">
      <c r="B26" s="2723"/>
      <c r="C26" s="2717"/>
      <c r="D26" s="1033" t="s">
        <v>118</v>
      </c>
      <c r="E26" s="986" t="s">
        <v>121</v>
      </c>
      <c r="F26" s="986" t="s">
        <v>121</v>
      </c>
      <c r="G26" s="986"/>
      <c r="H26" s="986" t="s">
        <v>121</v>
      </c>
      <c r="I26" s="986" t="s">
        <v>121</v>
      </c>
      <c r="J26" s="986" t="s">
        <v>121</v>
      </c>
      <c r="K26" s="986"/>
      <c r="L26" s="986"/>
      <c r="M26" s="986"/>
      <c r="N26" s="986"/>
      <c r="O26" s="986"/>
      <c r="P26" s="986"/>
      <c r="Q26" s="1992"/>
      <c r="R26" s="986"/>
      <c r="S26" s="986"/>
      <c r="T26" s="986"/>
      <c r="U26" s="986"/>
      <c r="V26" s="986"/>
      <c r="W26" s="986"/>
      <c r="X26" s="986"/>
      <c r="Y26" s="986"/>
      <c r="Z26" s="986"/>
      <c r="AA26" s="986"/>
      <c r="AB26" s="986"/>
      <c r="AC26" s="986"/>
      <c r="AD26" s="986"/>
      <c r="AE26" s="986"/>
      <c r="AF26" s="986"/>
      <c r="AG26" s="986"/>
      <c r="AH26" s="986"/>
      <c r="AI26" s="987"/>
    </row>
    <row r="27" spans="2:35">
      <c r="B27" s="433"/>
      <c r="C27" s="165"/>
      <c r="D27" s="436"/>
      <c r="E27" s="166"/>
      <c r="F27" s="166"/>
      <c r="G27" s="166"/>
      <c r="H27" s="166"/>
      <c r="I27" s="166"/>
      <c r="J27" s="2041"/>
      <c r="K27" s="166"/>
      <c r="L27" s="166"/>
      <c r="M27" s="166"/>
      <c r="N27" s="166"/>
      <c r="O27" s="166"/>
      <c r="P27" s="166"/>
      <c r="Q27" s="2045"/>
      <c r="R27" s="318"/>
      <c r="S27" s="318"/>
      <c r="T27" s="318"/>
      <c r="U27" s="166"/>
      <c r="V27" s="166"/>
      <c r="W27" s="166"/>
      <c r="X27" s="166"/>
      <c r="Y27" s="166"/>
      <c r="Z27" s="166"/>
      <c r="AA27" s="166"/>
      <c r="AB27" s="166"/>
      <c r="AC27" s="166"/>
      <c r="AD27" s="166"/>
      <c r="AE27" s="166"/>
      <c r="AF27" s="166"/>
      <c r="AG27" s="166"/>
      <c r="AH27" s="166"/>
      <c r="AI27" s="167"/>
    </row>
    <row r="28" spans="2:35">
      <c r="B28" s="2718"/>
      <c r="C28" s="2715" t="s">
        <v>122</v>
      </c>
      <c r="D28" s="435" t="s">
        <v>113</v>
      </c>
      <c r="E28" s="160" t="s">
        <v>120</v>
      </c>
      <c r="F28" s="160" t="s">
        <v>120</v>
      </c>
      <c r="G28" s="160"/>
      <c r="H28" s="160" t="s">
        <v>120</v>
      </c>
      <c r="I28" s="160" t="s">
        <v>120</v>
      </c>
      <c r="J28" s="467" t="s">
        <v>123</v>
      </c>
      <c r="K28" s="160"/>
      <c r="L28" s="160"/>
      <c r="M28" s="160"/>
      <c r="N28" s="160"/>
      <c r="O28" s="160"/>
      <c r="P28" s="160"/>
      <c r="Q28" s="1988"/>
      <c r="R28" s="160"/>
      <c r="S28" s="160"/>
      <c r="T28" s="160"/>
      <c r="U28" s="160"/>
      <c r="V28" s="160"/>
      <c r="W28" s="160"/>
      <c r="X28" s="160"/>
      <c r="Y28" s="160"/>
      <c r="Z28" s="160"/>
      <c r="AA28" s="160"/>
      <c r="AB28" s="160"/>
      <c r="AC28" s="160"/>
      <c r="AD28" s="160"/>
      <c r="AE28" s="160"/>
      <c r="AF28" s="160"/>
      <c r="AG28" s="160"/>
      <c r="AH28" s="160"/>
      <c r="AI28" s="160"/>
    </row>
    <row r="29" spans="2:35" ht="14.85" customHeight="1">
      <c r="B29" s="2719"/>
      <c r="C29" s="2716"/>
      <c r="D29" s="1086" t="s">
        <v>114</v>
      </c>
      <c r="E29" s="1087" t="s">
        <v>120</v>
      </c>
      <c r="F29" s="1087" t="s">
        <v>120</v>
      </c>
      <c r="G29" s="1087"/>
      <c r="H29" s="1087" t="s">
        <v>120</v>
      </c>
      <c r="I29" s="1091" t="s">
        <v>120</v>
      </c>
      <c r="J29" s="1087" t="s">
        <v>123</v>
      </c>
      <c r="K29" s="1090"/>
      <c r="L29" s="1087"/>
      <c r="M29" s="1087"/>
      <c r="N29" s="1087"/>
      <c r="O29" s="1087"/>
      <c r="P29" s="1087"/>
      <c r="Q29" s="1989"/>
      <c r="R29" s="1087"/>
      <c r="S29" s="1087"/>
      <c r="T29" s="1087"/>
      <c r="U29" s="1087"/>
      <c r="V29" s="1087"/>
      <c r="W29" s="1087"/>
      <c r="X29" s="1087"/>
      <c r="Y29" s="1087"/>
      <c r="Z29" s="1087"/>
      <c r="AA29" s="1087"/>
      <c r="AB29" s="1087"/>
      <c r="AC29" s="1087"/>
      <c r="AD29" s="1087"/>
      <c r="AE29" s="1087"/>
      <c r="AF29" s="1087"/>
      <c r="AG29" s="1087"/>
      <c r="AH29" s="1087"/>
      <c r="AI29" s="1087"/>
    </row>
    <row r="30" spans="2:35" ht="14.85" customHeight="1">
      <c r="B30" s="2719"/>
      <c r="C30" s="2716"/>
      <c r="D30" s="1086" t="s">
        <v>115</v>
      </c>
      <c r="E30" s="1087" t="s">
        <v>120</v>
      </c>
      <c r="F30" s="1087" t="s">
        <v>120</v>
      </c>
      <c r="G30" s="1087"/>
      <c r="H30" s="1087" t="s">
        <v>120</v>
      </c>
      <c r="I30" s="1091" t="s">
        <v>120</v>
      </c>
      <c r="J30" s="1087" t="s">
        <v>123</v>
      </c>
      <c r="K30" s="1090"/>
      <c r="L30" s="1087"/>
      <c r="M30" s="1087"/>
      <c r="N30" s="1087"/>
      <c r="O30" s="1087"/>
      <c r="P30" s="1087"/>
      <c r="Q30" s="1989"/>
      <c r="R30" s="1087"/>
      <c r="S30" s="1087"/>
      <c r="T30" s="1087"/>
      <c r="U30" s="1087"/>
      <c r="V30" s="1087"/>
      <c r="W30" s="1087"/>
      <c r="X30" s="1087"/>
      <c r="Y30" s="1087"/>
      <c r="Z30" s="1087"/>
      <c r="AA30" s="1087"/>
      <c r="AB30" s="1087"/>
      <c r="AC30" s="1087"/>
      <c r="AD30" s="1087"/>
      <c r="AE30" s="1087"/>
      <c r="AF30" s="1087"/>
      <c r="AG30" s="1087"/>
      <c r="AH30" s="1087"/>
      <c r="AI30" s="1087"/>
    </row>
    <row r="31" spans="2:35" ht="13.5" customHeight="1">
      <c r="B31" s="2719"/>
      <c r="C31" s="2716"/>
      <c r="D31" s="1086" t="s">
        <v>116</v>
      </c>
      <c r="E31" s="1087">
        <v>1</v>
      </c>
      <c r="F31" s="1087">
        <v>1</v>
      </c>
      <c r="G31" s="1087"/>
      <c r="H31" s="1087">
        <v>1</v>
      </c>
      <c r="I31" s="1087">
        <v>1</v>
      </c>
      <c r="J31" s="163">
        <v>0</v>
      </c>
      <c r="K31" s="1087"/>
      <c r="L31" s="1087"/>
      <c r="M31" s="1087"/>
      <c r="N31" s="1087"/>
      <c r="O31" s="1087"/>
      <c r="P31" s="1087"/>
      <c r="Q31" s="1989"/>
      <c r="R31" s="1087"/>
      <c r="S31" s="1087"/>
      <c r="T31" s="1087"/>
      <c r="U31" s="1087"/>
      <c r="V31" s="1087"/>
      <c r="W31" s="1087"/>
      <c r="X31" s="1087"/>
      <c r="Y31" s="1087"/>
      <c r="Z31" s="1087"/>
      <c r="AA31" s="1087"/>
      <c r="AB31" s="1087"/>
      <c r="AC31" s="1087"/>
      <c r="AD31" s="1087"/>
      <c r="AE31" s="1087"/>
      <c r="AF31" s="1087"/>
      <c r="AG31" s="1087"/>
      <c r="AH31" s="1087"/>
      <c r="AI31" s="1087"/>
    </row>
    <row r="32" spans="2:35" ht="16.350000000000001" customHeight="1">
      <c r="B32" s="2719"/>
      <c r="C32" s="2716"/>
      <c r="D32" s="1086" t="s">
        <v>117</v>
      </c>
      <c r="E32" s="163"/>
      <c r="F32" s="163"/>
      <c r="G32" s="163"/>
      <c r="H32" s="163"/>
      <c r="I32" s="163"/>
      <c r="J32" s="163"/>
      <c r="K32" s="163"/>
      <c r="L32" s="163"/>
      <c r="M32" s="163"/>
      <c r="N32" s="163"/>
      <c r="O32" s="163"/>
      <c r="P32" s="163"/>
      <c r="Q32" s="1991"/>
      <c r="R32" s="163"/>
      <c r="S32" s="163"/>
      <c r="T32" s="163"/>
      <c r="U32" s="163"/>
      <c r="V32" s="163"/>
      <c r="W32" s="163"/>
      <c r="X32" s="163"/>
      <c r="Y32" s="163"/>
      <c r="Z32" s="163"/>
      <c r="AA32" s="163"/>
      <c r="AB32" s="163"/>
      <c r="AC32" s="163"/>
      <c r="AD32" s="163"/>
      <c r="AE32" s="163"/>
      <c r="AF32" s="163"/>
      <c r="AG32" s="163"/>
      <c r="AH32" s="163"/>
      <c r="AI32" s="163"/>
    </row>
    <row r="33" spans="2:35" ht="42" customHeight="1">
      <c r="B33" s="2720"/>
      <c r="C33" s="2717"/>
      <c r="D33" s="1033" t="s">
        <v>118</v>
      </c>
      <c r="E33" s="986" t="s">
        <v>124</v>
      </c>
      <c r="F33" s="986" t="s">
        <v>124</v>
      </c>
      <c r="G33" s="986"/>
      <c r="H33" s="986" t="s">
        <v>121</v>
      </c>
      <c r="I33" s="986" t="s">
        <v>121</v>
      </c>
      <c r="J33" s="986" t="s">
        <v>125</v>
      </c>
      <c r="K33" s="986"/>
      <c r="L33" s="986"/>
      <c r="M33" s="986"/>
      <c r="N33" s="986"/>
      <c r="O33" s="986"/>
      <c r="P33" s="986"/>
      <c r="Q33" s="1992"/>
      <c r="R33" s="986"/>
      <c r="S33" s="986"/>
      <c r="T33" s="986"/>
      <c r="U33" s="986"/>
      <c r="V33" s="986"/>
      <c r="W33" s="986"/>
      <c r="X33" s="986"/>
      <c r="Y33" s="986"/>
      <c r="Z33" s="986"/>
      <c r="AA33" s="986"/>
      <c r="AB33" s="986"/>
      <c r="AC33" s="986"/>
      <c r="AD33" s="986"/>
      <c r="AE33" s="986"/>
      <c r="AF33" s="986"/>
      <c r="AG33" s="986"/>
      <c r="AH33" s="986"/>
      <c r="AI33" s="986"/>
    </row>
    <row r="34" spans="2:35" ht="17.850000000000001" customHeight="1" thickBot="1">
      <c r="B34" s="433"/>
      <c r="C34" s="434"/>
      <c r="D34" s="461"/>
      <c r="E34" s="437"/>
      <c r="F34" s="437"/>
      <c r="G34" s="437"/>
      <c r="H34" s="437"/>
      <c r="I34" s="437"/>
      <c r="J34" s="2043"/>
      <c r="K34" s="437"/>
      <c r="L34" s="437"/>
      <c r="M34" s="437"/>
      <c r="N34" s="437"/>
      <c r="O34" s="437"/>
      <c r="P34" s="437"/>
      <c r="Q34" s="2044"/>
      <c r="R34" s="437"/>
      <c r="S34" s="437"/>
      <c r="T34" s="437"/>
      <c r="U34" s="437"/>
      <c r="V34" s="437"/>
      <c r="W34" s="437"/>
      <c r="X34" s="437"/>
      <c r="Y34" s="437"/>
      <c r="Z34" s="437"/>
      <c r="AA34" s="437"/>
      <c r="AB34" s="437"/>
      <c r="AC34" s="437"/>
      <c r="AD34" s="437"/>
      <c r="AE34" s="437"/>
      <c r="AF34" s="437"/>
      <c r="AG34" s="437"/>
      <c r="AH34" s="437"/>
      <c r="AI34" s="437"/>
    </row>
    <row r="35" spans="2:35">
      <c r="B35" s="2718"/>
      <c r="C35" s="2715" t="s">
        <v>126</v>
      </c>
      <c r="D35" s="435" t="s">
        <v>113</v>
      </c>
      <c r="E35" s="160"/>
      <c r="F35" s="160"/>
      <c r="G35" s="160"/>
      <c r="H35" s="160"/>
      <c r="I35" s="160"/>
      <c r="J35" s="2391"/>
      <c r="K35" s="160"/>
      <c r="L35" s="160"/>
      <c r="M35" s="160"/>
      <c r="N35" s="160"/>
      <c r="O35" s="160"/>
      <c r="P35" s="160"/>
      <c r="Q35" s="1988"/>
      <c r="R35" s="160"/>
      <c r="S35" s="160"/>
      <c r="T35" s="160"/>
      <c r="U35" s="160"/>
      <c r="V35" s="160"/>
      <c r="W35" s="160"/>
      <c r="X35" s="160"/>
      <c r="Y35" s="160"/>
      <c r="Z35" s="160"/>
      <c r="AA35" s="160"/>
      <c r="AB35" s="160"/>
      <c r="AC35" s="160"/>
      <c r="AD35" s="160"/>
      <c r="AE35" s="160"/>
      <c r="AF35" s="160"/>
      <c r="AG35" s="160"/>
      <c r="AH35" s="160"/>
      <c r="AI35" s="160"/>
    </row>
    <row r="36" spans="2:35">
      <c r="B36" s="2719"/>
      <c r="C36" s="2716"/>
      <c r="D36" s="1086" t="s">
        <v>114</v>
      </c>
      <c r="E36" s="1087"/>
      <c r="F36" s="1087"/>
      <c r="G36" s="1087"/>
      <c r="H36" s="1087"/>
      <c r="I36" s="1087"/>
      <c r="J36" s="2392"/>
      <c r="K36" s="1087"/>
      <c r="L36" s="1087"/>
      <c r="M36" s="1087"/>
      <c r="N36" s="1087"/>
      <c r="O36" s="1087"/>
      <c r="P36" s="1087"/>
      <c r="Q36" s="1989"/>
      <c r="R36" s="1091"/>
      <c r="S36" s="1091"/>
      <c r="T36" s="1091"/>
      <c r="U36" s="160"/>
      <c r="V36" s="160"/>
      <c r="W36" s="160"/>
      <c r="X36" s="1091"/>
      <c r="Y36" s="1091"/>
      <c r="Z36" s="1091"/>
      <c r="AA36" s="1091"/>
      <c r="AB36" s="1091"/>
      <c r="AC36" s="1091"/>
      <c r="AD36" s="1091"/>
      <c r="AE36" s="1091"/>
      <c r="AF36" s="1091"/>
      <c r="AG36" s="1091"/>
      <c r="AH36" s="1091"/>
      <c r="AI36" s="1091"/>
    </row>
    <row r="37" spans="2:35">
      <c r="B37" s="2719"/>
      <c r="C37" s="2716"/>
      <c r="D37" s="1086" t="s">
        <v>115</v>
      </c>
      <c r="E37" s="1087"/>
      <c r="F37" s="1087"/>
      <c r="G37" s="1087"/>
      <c r="H37" s="1087"/>
      <c r="I37" s="1087"/>
      <c r="J37" s="2392"/>
      <c r="K37" s="1087"/>
      <c r="L37" s="1087"/>
      <c r="M37" s="1087"/>
      <c r="N37" s="1087"/>
      <c r="O37" s="1087"/>
      <c r="P37" s="1087"/>
      <c r="Q37" s="1989"/>
      <c r="R37" s="1091"/>
      <c r="S37" s="1091"/>
      <c r="T37" s="1091"/>
      <c r="U37" s="160"/>
      <c r="V37" s="160"/>
      <c r="W37" s="160"/>
      <c r="X37" s="1091"/>
      <c r="Y37" s="1091"/>
      <c r="Z37" s="1091"/>
      <c r="AA37" s="1091"/>
      <c r="AB37" s="1091"/>
      <c r="AC37" s="1091"/>
      <c r="AD37" s="1091"/>
      <c r="AE37" s="1091"/>
      <c r="AF37" s="1091"/>
      <c r="AG37" s="1091"/>
      <c r="AH37" s="1091"/>
      <c r="AI37" s="1091"/>
    </row>
    <row r="38" spans="2:35">
      <c r="B38" s="2719"/>
      <c r="C38" s="2716"/>
      <c r="D38" s="1086" t="s">
        <v>116</v>
      </c>
      <c r="E38" s="1089"/>
      <c r="F38" s="1089"/>
      <c r="G38" s="1089"/>
      <c r="H38" s="1089"/>
      <c r="I38" s="1089"/>
      <c r="J38" s="2393"/>
      <c r="K38" s="1089"/>
      <c r="L38" s="1089"/>
      <c r="M38" s="1089"/>
      <c r="N38" s="1089"/>
      <c r="O38" s="1089"/>
      <c r="P38" s="1089"/>
      <c r="Q38" s="1990"/>
      <c r="R38" s="1087"/>
      <c r="S38" s="1087"/>
      <c r="T38" s="1087"/>
      <c r="U38" s="1087"/>
      <c r="V38" s="1087"/>
      <c r="W38" s="1087"/>
      <c r="X38" s="1087"/>
      <c r="Y38" s="1087"/>
      <c r="Z38" s="1087"/>
      <c r="AA38" s="1087"/>
      <c r="AB38" s="1087"/>
      <c r="AC38" s="1087"/>
      <c r="AD38" s="1087"/>
      <c r="AE38" s="1087"/>
      <c r="AF38" s="1087"/>
      <c r="AG38" s="1087"/>
      <c r="AH38" s="1087"/>
      <c r="AI38" s="1087"/>
    </row>
    <row r="39" spans="2:35">
      <c r="B39" s="2719"/>
      <c r="C39" s="2716"/>
      <c r="D39" s="1086" t="s">
        <v>117</v>
      </c>
      <c r="E39" s="162"/>
      <c r="F39" s="162"/>
      <c r="G39" s="162"/>
      <c r="H39" s="162"/>
      <c r="I39" s="162"/>
      <c r="J39" s="2394"/>
      <c r="K39" s="162"/>
      <c r="L39" s="162"/>
      <c r="M39" s="162"/>
      <c r="N39" s="162"/>
      <c r="O39" s="162"/>
      <c r="P39" s="162"/>
      <c r="Q39" s="1993"/>
      <c r="R39" s="163"/>
      <c r="S39" s="163"/>
      <c r="T39" s="163"/>
      <c r="U39" s="163"/>
      <c r="V39" s="163"/>
      <c r="W39" s="163"/>
      <c r="X39" s="163"/>
      <c r="Y39" s="163"/>
      <c r="Z39" s="163"/>
      <c r="AA39" s="163"/>
      <c r="AB39" s="163"/>
      <c r="AC39" s="163"/>
      <c r="AD39" s="163"/>
      <c r="AE39" s="163"/>
      <c r="AF39" s="163"/>
      <c r="AG39" s="163"/>
      <c r="AH39" s="163"/>
      <c r="AI39" s="163"/>
    </row>
    <row r="40" spans="2:35" s="168" customFormat="1" ht="29.25" customHeight="1" thickBot="1">
      <c r="B40" s="2720"/>
      <c r="C40" s="2717"/>
      <c r="D40" s="1033" t="s">
        <v>118</v>
      </c>
      <c r="E40" s="986"/>
      <c r="F40" s="986"/>
      <c r="G40" s="986"/>
      <c r="H40" s="986"/>
      <c r="I40" s="986"/>
      <c r="J40" s="2395"/>
      <c r="K40" s="986"/>
      <c r="L40" s="986"/>
      <c r="M40" s="986"/>
      <c r="N40" s="986"/>
      <c r="O40" s="986"/>
      <c r="P40" s="986"/>
      <c r="Q40" s="1992"/>
      <c r="R40" s="986"/>
      <c r="S40" s="986"/>
      <c r="T40" s="986"/>
      <c r="U40" s="986"/>
      <c r="V40" s="986"/>
      <c r="W40" s="986"/>
      <c r="X40" s="986"/>
      <c r="Y40" s="986"/>
      <c r="Z40" s="986"/>
      <c r="AA40" s="986"/>
      <c r="AB40" s="986"/>
      <c r="AC40" s="986"/>
      <c r="AD40" s="986"/>
      <c r="AE40" s="986"/>
      <c r="AF40" s="986"/>
      <c r="AG40" s="986"/>
      <c r="AH40" s="986"/>
      <c r="AI40" s="986"/>
    </row>
    <row r="41" spans="2:35" ht="17.25" customHeight="1">
      <c r="B41" s="433"/>
      <c r="C41" s="165"/>
      <c r="D41" s="436"/>
      <c r="E41" s="166"/>
      <c r="F41" s="166"/>
      <c r="G41" s="166"/>
      <c r="H41" s="166"/>
      <c r="I41" s="166"/>
      <c r="J41" s="2041"/>
      <c r="K41" s="166"/>
      <c r="L41" s="166"/>
      <c r="M41" s="166"/>
      <c r="Q41" s="2001"/>
    </row>
    <row r="42" spans="2:35" ht="14.4" thickBot="1">
      <c r="J42" s="1886"/>
      <c r="Q42" s="2001"/>
    </row>
    <row r="43" spans="2:35" ht="15.75" customHeight="1">
      <c r="B43" s="2718"/>
      <c r="C43" s="2715" t="s">
        <v>127</v>
      </c>
      <c r="D43" s="435" t="s">
        <v>113</v>
      </c>
      <c r="E43" s="160" t="s">
        <v>120</v>
      </c>
      <c r="F43" s="160" t="s">
        <v>120</v>
      </c>
      <c r="G43" s="160"/>
      <c r="H43" s="160" t="s">
        <v>120</v>
      </c>
      <c r="I43" s="160" t="s">
        <v>120</v>
      </c>
      <c r="J43" s="160" t="s">
        <v>120</v>
      </c>
      <c r="K43" s="160"/>
      <c r="L43" s="160"/>
      <c r="M43" s="160"/>
      <c r="N43" s="160"/>
      <c r="O43" s="160"/>
      <c r="P43" s="160"/>
      <c r="Q43" s="1988"/>
      <c r="R43" s="160"/>
      <c r="S43" s="160"/>
      <c r="T43" s="160"/>
      <c r="U43" s="160"/>
      <c r="V43" s="160"/>
      <c r="W43" s="160"/>
      <c r="X43" s="160"/>
      <c r="Y43" s="160"/>
      <c r="Z43" s="160"/>
      <c r="AA43" s="160"/>
      <c r="AB43" s="160"/>
      <c r="AC43" s="160"/>
      <c r="AD43" s="160"/>
      <c r="AE43" s="160"/>
      <c r="AF43" s="160"/>
      <c r="AG43" s="160"/>
      <c r="AH43" s="160"/>
      <c r="AI43" s="160"/>
    </row>
    <row r="44" spans="2:35" ht="17.25" customHeight="1">
      <c r="B44" s="2719"/>
      <c r="C44" s="2716"/>
      <c r="D44" s="1086" t="s">
        <v>114</v>
      </c>
      <c r="E44" s="1087" t="s">
        <v>120</v>
      </c>
      <c r="F44" s="1087" t="s">
        <v>120</v>
      </c>
      <c r="G44" s="1087"/>
      <c r="H44" s="1087" t="s">
        <v>120</v>
      </c>
      <c r="I44" s="1087" t="s">
        <v>120</v>
      </c>
      <c r="J44" s="1087" t="s">
        <v>120</v>
      </c>
      <c r="K44" s="1087"/>
      <c r="L44" s="1087"/>
      <c r="M44" s="1087"/>
      <c r="N44" s="1087"/>
      <c r="O44" s="1087"/>
      <c r="P44" s="1087"/>
      <c r="Q44" s="1989"/>
      <c r="R44" s="1087"/>
      <c r="S44" s="1087"/>
      <c r="T44" s="1087"/>
      <c r="U44" s="1087"/>
      <c r="V44" s="1087"/>
      <c r="W44" s="1087"/>
      <c r="X44" s="1087"/>
      <c r="Y44" s="1087"/>
      <c r="Z44" s="1087"/>
      <c r="AA44" s="1087"/>
      <c r="AB44" s="1087"/>
      <c r="AC44" s="1087"/>
      <c r="AD44" s="1087"/>
      <c r="AE44" s="1087"/>
      <c r="AF44" s="1087"/>
      <c r="AG44" s="1087"/>
      <c r="AH44" s="1087"/>
      <c r="AI44" s="1087"/>
    </row>
    <row r="45" spans="2:35" ht="16.5" customHeight="1">
      <c r="B45" s="2719"/>
      <c r="C45" s="2716"/>
      <c r="D45" s="1086" t="s">
        <v>115</v>
      </c>
      <c r="E45" s="1087" t="s">
        <v>120</v>
      </c>
      <c r="F45" s="1087" t="s">
        <v>120</v>
      </c>
      <c r="G45" s="1087"/>
      <c r="H45" s="1087" t="s">
        <v>120</v>
      </c>
      <c r="I45" s="1087" t="s">
        <v>120</v>
      </c>
      <c r="J45" s="1087" t="s">
        <v>120</v>
      </c>
      <c r="K45" s="1087"/>
      <c r="L45" s="1087"/>
      <c r="M45" s="1087"/>
      <c r="N45" s="1087"/>
      <c r="O45" s="1087"/>
      <c r="P45" s="1087"/>
      <c r="Q45" s="1989"/>
      <c r="R45" s="1087"/>
      <c r="S45" s="1087"/>
      <c r="T45" s="1087"/>
      <c r="U45" s="1087"/>
      <c r="V45" s="1087"/>
      <c r="W45" s="1087"/>
      <c r="X45" s="1087"/>
      <c r="Y45" s="1087"/>
      <c r="Z45" s="1087"/>
      <c r="AA45" s="1087"/>
      <c r="AB45" s="1087"/>
      <c r="AC45" s="1087"/>
      <c r="AD45" s="1087"/>
      <c r="AE45" s="1087"/>
      <c r="AF45" s="1087"/>
      <c r="AG45" s="1087"/>
      <c r="AH45" s="1087"/>
      <c r="AI45" s="1087"/>
    </row>
    <row r="46" spans="2:35">
      <c r="B46" s="2719"/>
      <c r="C46" s="2716"/>
      <c r="D46" s="1086" t="s">
        <v>116</v>
      </c>
      <c r="E46" s="1089">
        <v>1</v>
      </c>
      <c r="F46" s="1089">
        <v>1</v>
      </c>
      <c r="G46" s="1089"/>
      <c r="H46" s="1089">
        <v>2</v>
      </c>
      <c r="I46" s="1089">
        <v>2</v>
      </c>
      <c r="J46" s="1089">
        <v>2</v>
      </c>
      <c r="K46" s="1089"/>
      <c r="L46" s="1089"/>
      <c r="M46" s="1089"/>
      <c r="N46" s="1089"/>
      <c r="O46" s="1089"/>
      <c r="P46" s="1089"/>
      <c r="Q46" s="1990"/>
      <c r="R46" s="1087"/>
      <c r="S46" s="1087"/>
      <c r="T46" s="1087"/>
      <c r="U46" s="1087"/>
      <c r="V46" s="1087"/>
      <c r="W46" s="1087"/>
      <c r="X46" s="1087"/>
      <c r="Y46" s="1087"/>
      <c r="Z46" s="1087"/>
      <c r="AA46" s="1087"/>
      <c r="AB46" s="1087"/>
      <c r="AC46" s="1087"/>
      <c r="AD46" s="1087"/>
      <c r="AE46" s="1087"/>
      <c r="AF46" s="1087"/>
      <c r="AG46" s="1087"/>
      <c r="AH46" s="1087"/>
      <c r="AI46" s="1087"/>
    </row>
    <row r="47" spans="2:35">
      <c r="B47" s="2719"/>
      <c r="C47" s="2716"/>
      <c r="D47" s="1086" t="s">
        <v>117</v>
      </c>
      <c r="E47" s="162"/>
      <c r="F47" s="162"/>
      <c r="G47" s="162"/>
      <c r="H47" s="162"/>
      <c r="I47" s="162"/>
      <c r="J47" s="162"/>
      <c r="K47" s="162"/>
      <c r="L47" s="162"/>
      <c r="M47" s="162"/>
      <c r="N47" s="162"/>
      <c r="O47" s="162"/>
      <c r="P47" s="162"/>
      <c r="Q47" s="1993"/>
      <c r="R47" s="163"/>
      <c r="S47" s="163"/>
      <c r="T47" s="163"/>
      <c r="U47" s="163"/>
      <c r="V47" s="163"/>
      <c r="W47" s="163"/>
      <c r="X47" s="163"/>
      <c r="Y47" s="163"/>
      <c r="Z47" s="163"/>
      <c r="AA47" s="163"/>
      <c r="AB47" s="163"/>
      <c r="AC47" s="163"/>
      <c r="AD47" s="163"/>
      <c r="AE47" s="163"/>
      <c r="AF47" s="163"/>
      <c r="AG47" s="163"/>
      <c r="AH47" s="163"/>
      <c r="AI47" s="163"/>
    </row>
    <row r="48" spans="2:35" s="168" customFormat="1" ht="29.25" customHeight="1">
      <c r="B48" s="2720"/>
      <c r="C48" s="2717"/>
      <c r="D48" s="1033" t="s">
        <v>118</v>
      </c>
      <c r="E48" s="986" t="s">
        <v>121</v>
      </c>
      <c r="F48" s="986" t="s">
        <v>121</v>
      </c>
      <c r="G48" s="986"/>
      <c r="H48" s="986" t="s">
        <v>121</v>
      </c>
      <c r="I48" s="986" t="s">
        <v>121</v>
      </c>
      <c r="J48" s="986" t="s">
        <v>121</v>
      </c>
      <c r="K48" s="986"/>
      <c r="L48" s="986"/>
      <c r="M48" s="986"/>
      <c r="N48" s="986"/>
      <c r="O48" s="986"/>
      <c r="P48" s="986"/>
      <c r="Q48" s="1992"/>
      <c r="R48" s="986"/>
      <c r="S48" s="986"/>
      <c r="T48" s="986"/>
      <c r="U48" s="986"/>
      <c r="V48" s="986"/>
      <c r="W48" s="986"/>
      <c r="X48" s="986"/>
      <c r="Y48" s="986"/>
      <c r="Z48" s="986"/>
      <c r="AA48" s="986"/>
      <c r="AB48" s="986"/>
      <c r="AC48" s="986"/>
      <c r="AD48" s="986"/>
      <c r="AE48" s="986"/>
      <c r="AF48" s="986"/>
      <c r="AG48" s="986"/>
      <c r="AH48" s="986"/>
      <c r="AI48" s="986"/>
    </row>
    <row r="49" spans="1:35" ht="17.25" customHeight="1">
      <c r="B49" s="433"/>
      <c r="C49" s="165"/>
      <c r="D49" s="436"/>
      <c r="E49" s="166"/>
      <c r="F49" s="166"/>
      <c r="G49" s="166"/>
      <c r="H49" s="166"/>
      <c r="I49" s="166"/>
      <c r="J49" s="2041"/>
      <c r="K49" s="166"/>
      <c r="L49" s="166"/>
      <c r="M49" s="166"/>
      <c r="Q49" s="2001"/>
    </row>
    <row r="50" spans="1:35">
      <c r="B50" s="2718"/>
      <c r="C50" s="2715" t="s">
        <v>128</v>
      </c>
      <c r="D50" s="435" t="s">
        <v>113</v>
      </c>
      <c r="E50" s="160" t="s">
        <v>120</v>
      </c>
      <c r="F50" s="160" t="s">
        <v>120</v>
      </c>
      <c r="G50" s="160"/>
      <c r="H50" s="160" t="s">
        <v>120</v>
      </c>
      <c r="I50" s="160" t="s">
        <v>120</v>
      </c>
      <c r="J50" s="160" t="s">
        <v>120</v>
      </c>
      <c r="K50" s="160"/>
      <c r="L50" s="160"/>
      <c r="M50" s="160"/>
      <c r="N50" s="160"/>
      <c r="O50" s="160"/>
      <c r="P50" s="160"/>
      <c r="Q50" s="1988"/>
      <c r="R50" s="160"/>
      <c r="S50" s="160"/>
      <c r="T50" s="160"/>
      <c r="U50" s="160"/>
      <c r="V50" s="160"/>
      <c r="W50" s="160"/>
      <c r="X50" s="160"/>
      <c r="Y50" s="160"/>
      <c r="Z50" s="160"/>
      <c r="AA50" s="160"/>
      <c r="AB50" s="160"/>
      <c r="AC50" s="160"/>
      <c r="AD50" s="160"/>
      <c r="AE50" s="160"/>
      <c r="AF50" s="160"/>
      <c r="AG50" s="160"/>
      <c r="AH50" s="160"/>
      <c r="AI50" s="160"/>
    </row>
    <row r="51" spans="1:35">
      <c r="B51" s="2719"/>
      <c r="C51" s="2716"/>
      <c r="D51" s="1086" t="s">
        <v>114</v>
      </c>
      <c r="E51" s="1087" t="s">
        <v>120</v>
      </c>
      <c r="F51" s="1087" t="s">
        <v>120</v>
      </c>
      <c r="G51" s="1087"/>
      <c r="H51" s="1087" t="s">
        <v>120</v>
      </c>
      <c r="I51" s="1087" t="s">
        <v>120</v>
      </c>
      <c r="J51" s="1087" t="s">
        <v>120</v>
      </c>
      <c r="K51" s="1087"/>
      <c r="L51" s="1087"/>
      <c r="M51" s="1087"/>
      <c r="N51" s="1087"/>
      <c r="O51" s="1087"/>
      <c r="P51" s="1087"/>
      <c r="Q51" s="1989"/>
      <c r="R51" s="1087"/>
      <c r="S51" s="1087"/>
      <c r="T51" s="1087"/>
      <c r="U51" s="1087"/>
      <c r="V51" s="1087"/>
      <c r="W51" s="1087"/>
      <c r="X51" s="1087"/>
      <c r="Y51" s="1087"/>
      <c r="Z51" s="1087"/>
      <c r="AA51" s="1087"/>
      <c r="AB51" s="1087"/>
      <c r="AC51" s="1087"/>
      <c r="AD51" s="1087"/>
      <c r="AE51" s="1087"/>
      <c r="AF51" s="1087"/>
      <c r="AG51" s="1087"/>
      <c r="AH51" s="1087"/>
      <c r="AI51" s="1087"/>
    </row>
    <row r="52" spans="1:35">
      <c r="B52" s="2719"/>
      <c r="C52" s="2716"/>
      <c r="D52" s="1086" t="s">
        <v>115</v>
      </c>
      <c r="E52" s="1087" t="s">
        <v>120</v>
      </c>
      <c r="F52" s="1087" t="s">
        <v>120</v>
      </c>
      <c r="G52" s="1916"/>
      <c r="H52" s="1916" t="s">
        <v>120</v>
      </c>
      <c r="I52" s="1916" t="s">
        <v>120</v>
      </c>
      <c r="J52" s="1916" t="s">
        <v>120</v>
      </c>
      <c r="K52" s="1916"/>
      <c r="L52" s="1916"/>
      <c r="M52" s="1916"/>
      <c r="N52" s="1916"/>
      <c r="O52" s="1916"/>
      <c r="P52" s="1087"/>
      <c r="Q52" s="1989"/>
      <c r="R52" s="1087"/>
      <c r="S52" s="1916"/>
      <c r="T52" s="1916"/>
      <c r="U52" s="1087"/>
      <c r="V52" s="1087"/>
      <c r="W52" s="1087"/>
      <c r="X52" s="1087"/>
      <c r="Y52" s="1087"/>
      <c r="Z52" s="1087"/>
      <c r="AA52" s="1087"/>
      <c r="AB52" s="1087"/>
      <c r="AC52" s="1087"/>
      <c r="AD52" s="1087"/>
      <c r="AE52" s="1087"/>
      <c r="AF52" s="1087"/>
      <c r="AG52" s="1087"/>
      <c r="AH52" s="1087"/>
      <c r="AI52" s="1087"/>
    </row>
    <row r="53" spans="1:35">
      <c r="B53" s="2719"/>
      <c r="C53" s="2716"/>
      <c r="D53" s="1086" t="s">
        <v>116</v>
      </c>
      <c r="E53" s="1089">
        <v>3</v>
      </c>
      <c r="F53" s="1089">
        <v>3</v>
      </c>
      <c r="G53" s="1919"/>
      <c r="H53" s="1919">
        <v>3</v>
      </c>
      <c r="I53" s="1919">
        <v>3</v>
      </c>
      <c r="J53" s="1919">
        <v>3</v>
      </c>
      <c r="K53" s="1919"/>
      <c r="L53" s="1090"/>
      <c r="M53" s="1090"/>
      <c r="N53" s="1090"/>
      <c r="O53" s="1090"/>
      <c r="P53" s="1087"/>
      <c r="Q53" s="1989"/>
      <c r="R53" s="1087"/>
      <c r="S53" s="1090"/>
      <c r="T53" s="1090"/>
      <c r="U53" s="1087"/>
      <c r="V53" s="1087"/>
      <c r="W53" s="1087"/>
      <c r="X53" s="1087"/>
      <c r="Y53" s="1087"/>
      <c r="Z53" s="1087"/>
      <c r="AA53" s="1087"/>
      <c r="AB53" s="1087"/>
      <c r="AC53" s="1087"/>
      <c r="AD53" s="1087"/>
      <c r="AE53" s="1087"/>
      <c r="AF53" s="1087"/>
      <c r="AG53" s="1087"/>
      <c r="AH53" s="1087"/>
      <c r="AI53" s="1087"/>
    </row>
    <row r="54" spans="1:35">
      <c r="B54" s="2719"/>
      <c r="C54" s="2716"/>
      <c r="D54" s="1086" t="s">
        <v>117</v>
      </c>
      <c r="E54" s="1917"/>
      <c r="F54" s="1917"/>
      <c r="G54" s="1087"/>
      <c r="H54" s="1087"/>
      <c r="I54" s="1087"/>
      <c r="J54" s="1087"/>
      <c r="K54" s="1087"/>
      <c r="L54" s="1918"/>
      <c r="M54" s="1918"/>
      <c r="N54" s="1918"/>
      <c r="O54" s="1918"/>
      <c r="P54" s="163"/>
      <c r="Q54" s="1991"/>
      <c r="R54" s="163"/>
      <c r="S54" s="1918"/>
      <c r="T54" s="1918"/>
      <c r="U54" s="163"/>
      <c r="V54" s="163"/>
      <c r="W54" s="163"/>
      <c r="X54" s="163"/>
      <c r="Y54" s="163"/>
      <c r="Z54" s="163"/>
      <c r="AA54" s="163"/>
      <c r="AB54" s="163"/>
      <c r="AC54" s="163"/>
      <c r="AD54" s="163"/>
      <c r="AE54" s="163"/>
      <c r="AF54" s="163"/>
      <c r="AG54" s="163"/>
      <c r="AH54" s="163"/>
      <c r="AI54" s="163"/>
    </row>
    <row r="55" spans="1:35" s="168" customFormat="1" ht="29.25" customHeight="1">
      <c r="B55" s="2720"/>
      <c r="C55" s="2717"/>
      <c r="D55" s="1033" t="s">
        <v>118</v>
      </c>
      <c r="E55" s="986" t="s">
        <v>121</v>
      </c>
      <c r="F55" s="986" t="s">
        <v>121</v>
      </c>
      <c r="G55" s="986"/>
      <c r="H55" s="986" t="s">
        <v>121</v>
      </c>
      <c r="I55" s="986" t="s">
        <v>121</v>
      </c>
      <c r="J55" s="986" t="s">
        <v>121</v>
      </c>
      <c r="K55" s="986"/>
      <c r="L55" s="986"/>
      <c r="M55" s="986"/>
      <c r="N55" s="986"/>
      <c r="O55" s="986"/>
      <c r="P55" s="986"/>
      <c r="Q55" s="1992"/>
      <c r="R55" s="986"/>
      <c r="S55" s="986"/>
      <c r="T55" s="986"/>
      <c r="U55" s="986"/>
      <c r="V55" s="986"/>
      <c r="W55" s="986"/>
      <c r="X55" s="986"/>
      <c r="Y55" s="986"/>
      <c r="Z55" s="986"/>
      <c r="AA55" s="986"/>
      <c r="AB55" s="986"/>
      <c r="AC55" s="986"/>
      <c r="AD55" s="986"/>
      <c r="AE55" s="986"/>
      <c r="AF55" s="986"/>
      <c r="AG55" s="986"/>
      <c r="AH55" s="986"/>
      <c r="AI55" s="986"/>
    </row>
    <row r="56" spans="1:35" s="168" customFormat="1" ht="14.4" thickBot="1">
      <c r="A56" s="158"/>
      <c r="B56" s="433"/>
      <c r="C56" s="165"/>
      <c r="D56" s="436"/>
      <c r="E56" s="166"/>
      <c r="F56" s="166"/>
      <c r="G56" s="166"/>
      <c r="H56" s="166"/>
      <c r="I56" s="166"/>
      <c r="J56" s="2041"/>
      <c r="K56" s="166"/>
      <c r="L56" s="166"/>
      <c r="M56" s="166"/>
      <c r="N56" s="166"/>
      <c r="O56" s="166"/>
      <c r="P56" s="166"/>
      <c r="Q56" s="2042"/>
      <c r="R56" s="166"/>
      <c r="S56" s="166"/>
      <c r="T56" s="166"/>
      <c r="U56" s="166"/>
      <c r="V56" s="166"/>
      <c r="W56" s="166"/>
      <c r="X56" s="166"/>
      <c r="Y56" s="166"/>
      <c r="Z56" s="166"/>
      <c r="AA56" s="166"/>
      <c r="AB56" s="166"/>
      <c r="AC56" s="166"/>
      <c r="AD56" s="166"/>
      <c r="AE56" s="166"/>
      <c r="AF56" s="166"/>
      <c r="AG56" s="166"/>
      <c r="AH56" s="166"/>
      <c r="AI56" s="166"/>
    </row>
    <row r="57" spans="1:35" s="168" customFormat="1">
      <c r="A57" s="158"/>
      <c r="B57" s="2721"/>
      <c r="C57" s="2715" t="s">
        <v>129</v>
      </c>
      <c r="D57" s="435" t="s">
        <v>113</v>
      </c>
      <c r="E57" s="160" t="s">
        <v>120</v>
      </c>
      <c r="F57" s="160" t="s">
        <v>120</v>
      </c>
      <c r="G57" s="160"/>
      <c r="H57" s="160" t="s">
        <v>120</v>
      </c>
      <c r="I57" s="160" t="s">
        <v>120</v>
      </c>
      <c r="J57" s="160" t="s">
        <v>120</v>
      </c>
      <c r="K57" s="160"/>
      <c r="L57" s="160"/>
      <c r="M57" s="160"/>
      <c r="N57" s="160"/>
      <c r="O57" s="160"/>
      <c r="P57" s="160"/>
      <c r="Q57" s="1988"/>
      <c r="R57" s="160"/>
      <c r="S57" s="160"/>
      <c r="T57" s="160"/>
      <c r="U57" s="160"/>
      <c r="V57" s="160"/>
      <c r="W57" s="160"/>
      <c r="X57" s="160"/>
      <c r="Y57" s="160"/>
      <c r="Z57" s="160"/>
      <c r="AA57" s="160"/>
      <c r="AB57" s="160"/>
      <c r="AC57" s="160"/>
      <c r="AD57" s="160"/>
      <c r="AE57" s="160"/>
      <c r="AF57" s="160"/>
      <c r="AG57" s="160"/>
      <c r="AH57" s="160"/>
      <c r="AI57" s="160"/>
    </row>
    <row r="58" spans="1:35" s="168" customFormat="1">
      <c r="A58" s="158"/>
      <c r="B58" s="2722"/>
      <c r="C58" s="2716"/>
      <c r="D58" s="1086" t="s">
        <v>114</v>
      </c>
      <c r="E58" s="1087" t="s">
        <v>120</v>
      </c>
      <c r="F58" s="1087" t="s">
        <v>120</v>
      </c>
      <c r="G58" s="1087"/>
      <c r="H58" s="1087" t="s">
        <v>120</v>
      </c>
      <c r="I58" s="1087" t="s">
        <v>120</v>
      </c>
      <c r="J58" s="1087" t="s">
        <v>120</v>
      </c>
      <c r="K58" s="1087"/>
      <c r="L58" s="1087"/>
      <c r="M58" s="1087"/>
      <c r="N58" s="1087"/>
      <c r="O58" s="1087"/>
      <c r="P58" s="1087"/>
      <c r="Q58" s="1989"/>
      <c r="R58" s="1087"/>
      <c r="S58" s="1087"/>
      <c r="T58" s="1087"/>
      <c r="U58" s="1087"/>
      <c r="V58" s="1087"/>
      <c r="W58" s="1087"/>
      <c r="X58" s="1087"/>
      <c r="Y58" s="1087"/>
      <c r="Z58" s="1087"/>
      <c r="AA58" s="1087"/>
      <c r="AB58" s="1087"/>
      <c r="AC58" s="1087"/>
      <c r="AD58" s="1087"/>
      <c r="AE58" s="1087"/>
      <c r="AF58" s="1087"/>
      <c r="AG58" s="1087"/>
      <c r="AH58" s="1087"/>
      <c r="AI58" s="1087"/>
    </row>
    <row r="59" spans="1:35" s="168" customFormat="1">
      <c r="A59" s="158"/>
      <c r="B59" s="2722"/>
      <c r="C59" s="2716"/>
      <c r="D59" s="1086" t="s">
        <v>115</v>
      </c>
      <c r="E59" s="1087" t="s">
        <v>120</v>
      </c>
      <c r="F59" s="1087" t="s">
        <v>120</v>
      </c>
      <c r="G59" s="1087"/>
      <c r="H59" s="1087" t="s">
        <v>120</v>
      </c>
      <c r="I59" s="1087" t="s">
        <v>120</v>
      </c>
      <c r="J59" s="1087" t="s">
        <v>120</v>
      </c>
      <c r="K59" s="1087"/>
      <c r="L59" s="1087"/>
      <c r="M59" s="1087"/>
      <c r="N59" s="1087"/>
      <c r="O59" s="1087"/>
      <c r="P59" s="1087"/>
      <c r="Q59" s="1989"/>
      <c r="R59" s="1087"/>
      <c r="S59" s="1087"/>
      <c r="T59" s="1087"/>
      <c r="U59" s="1087"/>
      <c r="V59" s="1087"/>
      <c r="W59" s="1087"/>
      <c r="X59" s="1087"/>
      <c r="Y59" s="1087"/>
      <c r="Z59" s="1087"/>
      <c r="AA59" s="1087"/>
      <c r="AB59" s="1087"/>
      <c r="AC59" s="1087"/>
      <c r="AD59" s="1087"/>
      <c r="AE59" s="1087"/>
      <c r="AF59" s="1087"/>
      <c r="AG59" s="1087"/>
      <c r="AH59" s="1087"/>
      <c r="AI59" s="1087"/>
    </row>
    <row r="60" spans="1:35" s="168" customFormat="1">
      <c r="A60" s="158"/>
      <c r="B60" s="2722"/>
      <c r="C60" s="2716"/>
      <c r="D60" s="1086" t="s">
        <v>116</v>
      </c>
      <c r="E60" s="1089">
        <v>2</v>
      </c>
      <c r="F60" s="1089">
        <v>2</v>
      </c>
      <c r="G60" s="1089"/>
      <c r="H60" s="1089">
        <v>2</v>
      </c>
      <c r="I60" s="1089">
        <v>2</v>
      </c>
      <c r="J60" s="1089">
        <v>2</v>
      </c>
      <c r="K60" s="1087"/>
      <c r="L60" s="1087"/>
      <c r="M60" s="1087"/>
      <c r="N60" s="1087"/>
      <c r="O60" s="1087"/>
      <c r="P60" s="1087"/>
      <c r="Q60" s="1989"/>
      <c r="R60" s="1087"/>
      <c r="S60" s="1087"/>
      <c r="T60" s="1087"/>
      <c r="U60" s="1087"/>
      <c r="V60" s="1087"/>
      <c r="W60" s="1087"/>
      <c r="X60" s="1087"/>
      <c r="Y60" s="1087"/>
      <c r="Z60" s="1087"/>
      <c r="AA60" s="1087"/>
      <c r="AB60" s="1087"/>
      <c r="AC60" s="1087"/>
      <c r="AD60" s="1087"/>
      <c r="AE60" s="1087"/>
      <c r="AF60" s="1087"/>
      <c r="AG60" s="1087"/>
      <c r="AH60" s="1087"/>
      <c r="AI60" s="1087"/>
    </row>
    <row r="61" spans="1:35" s="168" customFormat="1">
      <c r="A61" s="158"/>
      <c r="B61" s="2722"/>
      <c r="C61" s="2716"/>
      <c r="D61" s="1086" t="s">
        <v>117</v>
      </c>
      <c r="E61" s="162"/>
      <c r="F61" s="162"/>
      <c r="G61" s="162"/>
      <c r="H61" s="162"/>
      <c r="I61" s="162"/>
      <c r="J61" s="162"/>
      <c r="K61" s="163"/>
      <c r="L61" s="163"/>
      <c r="M61" s="163"/>
      <c r="N61" s="163"/>
      <c r="O61" s="163"/>
      <c r="P61" s="163"/>
      <c r="Q61" s="1991"/>
      <c r="R61" s="163"/>
      <c r="S61" s="163"/>
      <c r="T61" s="163"/>
      <c r="U61" s="163"/>
      <c r="V61" s="163"/>
      <c r="W61" s="163"/>
      <c r="X61" s="163"/>
      <c r="Y61" s="163"/>
      <c r="Z61" s="163"/>
      <c r="AA61" s="163"/>
      <c r="AB61" s="163"/>
      <c r="AC61" s="163"/>
      <c r="AD61" s="163"/>
      <c r="AE61" s="163"/>
      <c r="AF61" s="163"/>
      <c r="AG61" s="163"/>
      <c r="AH61" s="163"/>
      <c r="AI61" s="163"/>
    </row>
    <row r="62" spans="1:35" s="168" customFormat="1">
      <c r="B62" s="2723"/>
      <c r="C62" s="2717"/>
      <c r="D62" s="1033" t="s">
        <v>118</v>
      </c>
      <c r="E62" s="986" t="s">
        <v>124</v>
      </c>
      <c r="F62" s="986" t="s">
        <v>124</v>
      </c>
      <c r="G62" s="986"/>
      <c r="H62" s="986" t="s">
        <v>124</v>
      </c>
      <c r="I62" s="986" t="s">
        <v>130</v>
      </c>
      <c r="J62" s="986" t="s">
        <v>130</v>
      </c>
      <c r="K62" s="986"/>
      <c r="L62" s="986"/>
      <c r="M62" s="986"/>
      <c r="N62" s="986"/>
      <c r="O62" s="986"/>
      <c r="P62" s="986"/>
      <c r="Q62" s="1992"/>
      <c r="R62" s="986"/>
      <c r="S62" s="986"/>
      <c r="T62" s="986"/>
      <c r="U62" s="986"/>
      <c r="V62" s="986"/>
      <c r="W62" s="986"/>
      <c r="X62" s="986"/>
      <c r="Y62" s="986"/>
      <c r="Z62" s="986"/>
      <c r="AA62" s="986"/>
      <c r="AB62" s="986"/>
      <c r="AC62" s="986"/>
      <c r="AD62" s="986"/>
      <c r="AE62" s="986"/>
      <c r="AF62" s="986"/>
      <c r="AG62" s="986"/>
      <c r="AH62" s="986"/>
      <c r="AI62" s="986"/>
    </row>
    <row r="63" spans="1:35" ht="17.25" customHeight="1" thickBot="1">
      <c r="B63" s="433"/>
      <c r="C63" s="165"/>
      <c r="D63" s="436"/>
      <c r="E63" s="166"/>
      <c r="F63" s="166"/>
      <c r="G63" s="166"/>
      <c r="H63" s="166"/>
      <c r="I63" s="166"/>
      <c r="J63" s="2041"/>
      <c r="K63" s="166"/>
      <c r="L63" s="166"/>
      <c r="M63" s="166"/>
      <c r="N63" s="166"/>
      <c r="O63" s="166"/>
      <c r="P63" s="166"/>
      <c r="Q63" s="2042"/>
      <c r="R63" s="166"/>
      <c r="S63" s="166"/>
      <c r="T63" s="166"/>
      <c r="U63" s="166"/>
      <c r="V63" s="166"/>
      <c r="W63" s="166"/>
      <c r="X63" s="166"/>
      <c r="Y63" s="166"/>
      <c r="Z63" s="166"/>
      <c r="AA63" s="166"/>
      <c r="AB63" s="166"/>
      <c r="AC63" s="166"/>
      <c r="AD63" s="166"/>
      <c r="AE63" s="166"/>
      <c r="AF63" s="166"/>
      <c r="AG63" s="166"/>
      <c r="AH63" s="166"/>
      <c r="AI63" s="166"/>
    </row>
    <row r="64" spans="1:35">
      <c r="B64" s="2718"/>
      <c r="C64" s="2715" t="s">
        <v>131</v>
      </c>
      <c r="D64" s="435" t="s">
        <v>113</v>
      </c>
      <c r="E64" s="160" t="s">
        <v>120</v>
      </c>
      <c r="F64" s="160" t="s">
        <v>120</v>
      </c>
      <c r="G64" s="160"/>
      <c r="H64" s="160" t="s">
        <v>120</v>
      </c>
      <c r="I64" s="160" t="s">
        <v>120</v>
      </c>
      <c r="J64" s="160" t="s">
        <v>120</v>
      </c>
      <c r="K64" s="160"/>
      <c r="L64" s="160"/>
      <c r="M64" s="160"/>
      <c r="N64" s="160"/>
      <c r="O64" s="160"/>
      <c r="P64" s="160"/>
      <c r="Q64" s="1988"/>
      <c r="R64" s="160"/>
      <c r="S64" s="160"/>
      <c r="T64" s="160"/>
      <c r="U64" s="160"/>
      <c r="V64" s="160"/>
      <c r="W64" s="160"/>
      <c r="X64" s="160"/>
      <c r="Y64" s="160"/>
      <c r="Z64" s="160"/>
      <c r="AA64" s="160"/>
      <c r="AB64" s="160"/>
      <c r="AC64" s="160"/>
      <c r="AD64" s="160"/>
      <c r="AE64" s="160"/>
      <c r="AF64" s="160"/>
      <c r="AG64" s="160"/>
      <c r="AH64" s="160"/>
      <c r="AI64" s="160"/>
    </row>
    <row r="65" spans="2:35">
      <c r="B65" s="2719"/>
      <c r="C65" s="2716"/>
      <c r="D65" s="1086" t="s">
        <v>114</v>
      </c>
      <c r="E65" s="1087" t="s">
        <v>120</v>
      </c>
      <c r="F65" s="1087" t="s">
        <v>120</v>
      </c>
      <c r="G65" s="1087"/>
      <c r="H65" s="1087" t="s">
        <v>120</v>
      </c>
      <c r="I65" s="1087" t="s">
        <v>120</v>
      </c>
      <c r="J65" s="1087" t="s">
        <v>120</v>
      </c>
      <c r="K65" s="1087"/>
      <c r="L65" s="1087"/>
      <c r="M65" s="1087"/>
      <c r="N65" s="1087"/>
      <c r="O65" s="1087"/>
      <c r="P65" s="1087"/>
      <c r="Q65" s="1989"/>
      <c r="R65" s="1087"/>
      <c r="S65" s="1087"/>
      <c r="T65" s="1087"/>
      <c r="U65" s="1087"/>
      <c r="V65" s="1087"/>
      <c r="W65" s="1087"/>
      <c r="X65" s="1087"/>
      <c r="Y65" s="1087"/>
      <c r="Z65" s="1087"/>
      <c r="AA65" s="1087"/>
      <c r="AB65" s="1087"/>
      <c r="AC65" s="1087"/>
      <c r="AD65" s="1087"/>
      <c r="AE65" s="1087"/>
      <c r="AF65" s="1087"/>
      <c r="AG65" s="1087"/>
      <c r="AH65" s="1087"/>
      <c r="AI65" s="1087"/>
    </row>
    <row r="66" spans="2:35">
      <c r="B66" s="2719"/>
      <c r="C66" s="2716"/>
      <c r="D66" s="1086" t="s">
        <v>115</v>
      </c>
      <c r="E66" s="1087" t="s">
        <v>120</v>
      </c>
      <c r="F66" s="1087" t="s">
        <v>120</v>
      </c>
      <c r="G66" s="1087"/>
      <c r="H66" s="1087" t="s">
        <v>120</v>
      </c>
      <c r="I66" s="1087" t="s">
        <v>120</v>
      </c>
      <c r="J66" s="1087" t="s">
        <v>120</v>
      </c>
      <c r="K66" s="1087"/>
      <c r="L66" s="1087"/>
      <c r="M66" s="1087"/>
      <c r="N66" s="1087"/>
      <c r="O66" s="1087"/>
      <c r="P66" s="1087"/>
      <c r="Q66" s="1989"/>
      <c r="R66" s="1087"/>
      <c r="S66" s="1087"/>
      <c r="T66" s="1087"/>
      <c r="U66" s="1087"/>
      <c r="V66" s="1087"/>
      <c r="W66" s="1087"/>
      <c r="X66" s="1087"/>
      <c r="Y66" s="1087"/>
      <c r="Z66" s="1087"/>
      <c r="AA66" s="1087"/>
      <c r="AB66" s="1087"/>
      <c r="AC66" s="1087"/>
      <c r="AD66" s="1087"/>
      <c r="AE66" s="1087"/>
      <c r="AF66" s="1087"/>
      <c r="AG66" s="1087"/>
      <c r="AH66" s="1087"/>
      <c r="AI66" s="1087"/>
    </row>
    <row r="67" spans="2:35">
      <c r="B67" s="2719"/>
      <c r="C67" s="2716"/>
      <c r="D67" s="1086" t="s">
        <v>116</v>
      </c>
      <c r="E67" s="1089">
        <v>1</v>
      </c>
      <c r="F67" s="1089">
        <v>1</v>
      </c>
      <c r="G67" s="1089"/>
      <c r="H67" s="1089">
        <v>1</v>
      </c>
      <c r="I67" s="1089">
        <v>1</v>
      </c>
      <c r="J67" s="1089">
        <v>1</v>
      </c>
      <c r="K67" s="1087"/>
      <c r="L67" s="1087"/>
      <c r="M67" s="1087"/>
      <c r="N67" s="1087"/>
      <c r="O67" s="1087"/>
      <c r="P67" s="1087"/>
      <c r="Q67" s="1989"/>
      <c r="R67" s="1087"/>
      <c r="S67" s="1087"/>
      <c r="T67" s="1087"/>
      <c r="U67" s="1087"/>
      <c r="V67" s="1087"/>
      <c r="W67" s="1087"/>
      <c r="X67" s="1087"/>
      <c r="Y67" s="1087"/>
      <c r="Z67" s="1087"/>
      <c r="AA67" s="1087"/>
      <c r="AB67" s="1087"/>
      <c r="AC67" s="1087"/>
      <c r="AD67" s="1087"/>
      <c r="AE67" s="1087"/>
      <c r="AF67" s="1087"/>
      <c r="AG67" s="1087"/>
      <c r="AH67" s="1087"/>
      <c r="AI67" s="1087"/>
    </row>
    <row r="68" spans="2:35">
      <c r="B68" s="2719"/>
      <c r="C68" s="2716"/>
      <c r="D68" s="1086" t="s">
        <v>117</v>
      </c>
      <c r="E68" s="162"/>
      <c r="F68" s="162"/>
      <c r="G68" s="162"/>
      <c r="H68" s="162"/>
      <c r="I68" s="162"/>
      <c r="J68" s="162"/>
      <c r="K68" s="163"/>
      <c r="L68" s="163"/>
      <c r="M68" s="163"/>
      <c r="N68" s="163"/>
      <c r="O68" s="163"/>
      <c r="P68" s="163"/>
      <c r="Q68" s="1991"/>
      <c r="R68" s="163"/>
      <c r="S68" s="163"/>
      <c r="T68" s="163"/>
      <c r="U68" s="163"/>
      <c r="V68" s="163"/>
      <c r="W68" s="163"/>
      <c r="X68" s="163"/>
      <c r="Y68" s="163"/>
      <c r="Z68" s="163"/>
      <c r="AA68" s="163"/>
      <c r="AB68" s="163"/>
      <c r="AC68" s="163"/>
      <c r="AD68" s="163"/>
      <c r="AE68" s="163"/>
      <c r="AF68" s="163"/>
      <c r="AG68" s="163"/>
      <c r="AH68" s="163"/>
      <c r="AI68" s="163"/>
    </row>
    <row r="69" spans="2:35" s="168" customFormat="1" ht="29.25" customHeight="1">
      <c r="B69" s="2720"/>
      <c r="C69" s="2717"/>
      <c r="D69" s="1033" t="s">
        <v>118</v>
      </c>
      <c r="E69" s="986" t="s">
        <v>121</v>
      </c>
      <c r="F69" s="986" t="s">
        <v>121</v>
      </c>
      <c r="G69" s="986"/>
      <c r="H69" s="986" t="s">
        <v>121</v>
      </c>
      <c r="I69" s="986" t="s">
        <v>121</v>
      </c>
      <c r="J69" s="986" t="s">
        <v>121</v>
      </c>
      <c r="K69" s="986"/>
      <c r="L69" s="986"/>
      <c r="M69" s="986"/>
      <c r="N69" s="986"/>
      <c r="O69" s="986"/>
      <c r="P69" s="986"/>
      <c r="Q69" s="1992"/>
      <c r="R69" s="986"/>
      <c r="S69" s="986"/>
      <c r="T69" s="986"/>
      <c r="U69" s="986"/>
      <c r="V69" s="986"/>
      <c r="W69" s="986"/>
      <c r="X69" s="986"/>
      <c r="Y69" s="986"/>
      <c r="Z69" s="986"/>
      <c r="AA69" s="986"/>
      <c r="AB69" s="986"/>
      <c r="AC69" s="986"/>
      <c r="AD69" s="986"/>
      <c r="AE69" s="986"/>
      <c r="AF69" s="986"/>
      <c r="AG69" s="986"/>
      <c r="AH69" s="986"/>
      <c r="AI69" s="986"/>
    </row>
    <row r="70" spans="2:35" ht="17.25" customHeight="1">
      <c r="B70" s="433"/>
      <c r="C70" s="165"/>
      <c r="D70" s="436"/>
      <c r="E70" s="166"/>
      <c r="F70" s="166"/>
      <c r="G70" s="166"/>
      <c r="H70" s="166"/>
      <c r="I70" s="166"/>
      <c r="J70" s="2041"/>
      <c r="K70" s="166"/>
      <c r="L70" s="166"/>
      <c r="M70" s="166"/>
      <c r="N70" s="166"/>
      <c r="O70" s="166"/>
      <c r="P70" s="166"/>
      <c r="Q70" s="2042"/>
      <c r="R70" s="166"/>
      <c r="S70" s="166"/>
      <c r="T70" s="166"/>
      <c r="U70" s="166"/>
      <c r="V70" s="1627"/>
      <c r="W70" s="166"/>
      <c r="X70" s="166"/>
      <c r="Y70" s="166"/>
      <c r="Z70" s="166"/>
      <c r="AA70" s="166"/>
      <c r="AB70" s="166"/>
      <c r="AC70" s="166"/>
      <c r="AD70" s="166"/>
      <c r="AE70" s="166"/>
      <c r="AF70" s="166"/>
      <c r="AG70" s="166"/>
      <c r="AH70" s="166"/>
      <c r="AI70" s="166"/>
    </row>
    <row r="71" spans="2:35">
      <c r="B71" s="2718"/>
      <c r="C71" s="2715" t="s">
        <v>132</v>
      </c>
      <c r="D71" s="435" t="s">
        <v>113</v>
      </c>
      <c r="E71" s="160"/>
      <c r="F71" s="160"/>
      <c r="G71" s="160"/>
      <c r="H71" s="160"/>
      <c r="I71" s="160"/>
      <c r="J71" s="2391"/>
      <c r="K71" s="160"/>
      <c r="L71" s="160"/>
      <c r="M71" s="160"/>
      <c r="N71" s="160"/>
      <c r="O71" s="160"/>
      <c r="P71" s="160"/>
      <c r="Q71" s="1988"/>
      <c r="R71" s="160"/>
      <c r="S71" s="160"/>
      <c r="T71" s="160"/>
      <c r="U71" s="160"/>
      <c r="V71" s="160"/>
      <c r="W71" s="160"/>
      <c r="X71" s="160"/>
      <c r="Y71" s="160"/>
      <c r="Z71" s="160"/>
      <c r="AA71" s="160"/>
      <c r="AB71" s="160"/>
      <c r="AC71" s="160"/>
      <c r="AD71" s="160"/>
      <c r="AE71" s="160"/>
      <c r="AF71" s="160"/>
      <c r="AG71" s="160"/>
      <c r="AH71" s="160"/>
      <c r="AI71" s="160"/>
    </row>
    <row r="72" spans="2:35">
      <c r="B72" s="2719"/>
      <c r="C72" s="2716"/>
      <c r="D72" s="1086" t="s">
        <v>114</v>
      </c>
      <c r="E72" s="1087"/>
      <c r="F72" s="1087"/>
      <c r="G72" s="1087"/>
      <c r="H72" s="1087"/>
      <c r="I72" s="1087"/>
      <c r="J72" s="2392"/>
      <c r="K72" s="1087"/>
      <c r="L72" s="1087"/>
      <c r="M72" s="1087"/>
      <c r="N72" s="1087"/>
      <c r="O72" s="1087"/>
      <c r="P72" s="1087"/>
      <c r="Q72" s="1989"/>
      <c r="R72" s="1087"/>
      <c r="S72" s="1087"/>
      <c r="T72" s="1087"/>
      <c r="U72" s="1087"/>
      <c r="V72" s="1087"/>
      <c r="W72" s="1087"/>
      <c r="X72" s="1087"/>
      <c r="Y72" s="1087"/>
      <c r="Z72" s="1087"/>
      <c r="AA72" s="1087"/>
      <c r="AB72" s="1087"/>
      <c r="AC72" s="1087"/>
      <c r="AD72" s="1087"/>
      <c r="AE72" s="1087"/>
      <c r="AF72" s="1087"/>
      <c r="AG72" s="1087"/>
      <c r="AH72" s="1087"/>
      <c r="AI72" s="1087"/>
    </row>
    <row r="73" spans="2:35">
      <c r="B73" s="2719"/>
      <c r="C73" s="2716"/>
      <c r="D73" s="1086" t="s">
        <v>115</v>
      </c>
      <c r="E73" s="1087"/>
      <c r="F73" s="1087"/>
      <c r="G73" s="1087"/>
      <c r="H73" s="1087"/>
      <c r="I73" s="1087"/>
      <c r="J73" s="2392"/>
      <c r="K73" s="1087"/>
      <c r="L73" s="1087"/>
      <c r="M73" s="1087"/>
      <c r="N73" s="1087"/>
      <c r="O73" s="1087"/>
      <c r="P73" s="1087"/>
      <c r="Q73" s="1989"/>
      <c r="R73" s="1087"/>
      <c r="S73" s="1087"/>
      <c r="T73" s="1087"/>
      <c r="U73" s="1087"/>
      <c r="V73" s="1087"/>
      <c r="W73" s="1087"/>
      <c r="X73" s="1087"/>
      <c r="Y73" s="1087"/>
      <c r="Z73" s="1087"/>
      <c r="AA73" s="1087"/>
      <c r="AB73" s="1087"/>
      <c r="AC73" s="1087"/>
      <c r="AD73" s="1087"/>
      <c r="AE73" s="1087"/>
      <c r="AF73" s="1087"/>
      <c r="AG73" s="1087"/>
      <c r="AH73" s="1087"/>
      <c r="AI73" s="1087"/>
    </row>
    <row r="74" spans="2:35">
      <c r="B74" s="2719"/>
      <c r="C74" s="2716"/>
      <c r="D74" s="1086" t="s">
        <v>116</v>
      </c>
      <c r="E74" s="1087"/>
      <c r="F74" s="1087"/>
      <c r="G74" s="1087"/>
      <c r="H74" s="1087"/>
      <c r="I74" s="1087"/>
      <c r="J74" s="2392"/>
      <c r="K74" s="1087"/>
      <c r="L74" s="1087"/>
      <c r="M74" s="1087"/>
      <c r="N74" s="1087"/>
      <c r="O74" s="1087"/>
      <c r="P74" s="1087"/>
      <c r="Q74" s="1989"/>
      <c r="R74" s="1087"/>
      <c r="S74" s="1087"/>
      <c r="T74" s="1087"/>
      <c r="U74" s="1087"/>
      <c r="V74" s="1087"/>
      <c r="W74" s="1087"/>
      <c r="X74" s="1087"/>
      <c r="Y74" s="1087"/>
      <c r="Z74" s="1087"/>
      <c r="AA74" s="1087"/>
      <c r="AB74" s="1087"/>
      <c r="AC74" s="1087"/>
      <c r="AD74" s="1087"/>
      <c r="AE74" s="1087"/>
      <c r="AF74" s="1087"/>
      <c r="AG74" s="1087"/>
      <c r="AH74" s="1087"/>
      <c r="AI74" s="1087"/>
    </row>
    <row r="75" spans="2:35">
      <c r="B75" s="2719"/>
      <c r="C75" s="2716"/>
      <c r="D75" s="1086" t="s">
        <v>117</v>
      </c>
      <c r="E75" s="163"/>
      <c r="F75" s="163"/>
      <c r="G75" s="163"/>
      <c r="H75" s="163"/>
      <c r="I75" s="163"/>
      <c r="J75" s="2396"/>
      <c r="K75" s="163"/>
      <c r="L75" s="163"/>
      <c r="M75" s="163"/>
      <c r="N75" s="163"/>
      <c r="O75" s="163"/>
      <c r="P75" s="163"/>
      <c r="Q75" s="1991"/>
      <c r="R75" s="163"/>
      <c r="S75" s="163"/>
      <c r="T75" s="163"/>
      <c r="U75" s="163"/>
      <c r="V75" s="163"/>
      <c r="W75" s="163"/>
      <c r="X75" s="163"/>
      <c r="Y75" s="163"/>
      <c r="Z75" s="163"/>
      <c r="AA75" s="163"/>
      <c r="AB75" s="163"/>
      <c r="AC75" s="163"/>
      <c r="AD75" s="163"/>
      <c r="AE75" s="163"/>
      <c r="AF75" s="163"/>
      <c r="AG75" s="163"/>
      <c r="AH75" s="163"/>
      <c r="AI75" s="163"/>
    </row>
    <row r="76" spans="2:35" s="168" customFormat="1" ht="29.25" customHeight="1">
      <c r="B76" s="2720"/>
      <c r="C76" s="2717"/>
      <c r="D76" s="1033" t="s">
        <v>118</v>
      </c>
      <c r="E76" s="986"/>
      <c r="F76" s="986"/>
      <c r="G76" s="986"/>
      <c r="H76" s="986"/>
      <c r="I76" s="986"/>
      <c r="J76" s="2395"/>
      <c r="K76" s="986"/>
      <c r="L76" s="986"/>
      <c r="M76" s="986"/>
      <c r="N76" s="986"/>
      <c r="O76" s="986"/>
      <c r="P76" s="986"/>
      <c r="Q76" s="1992"/>
      <c r="R76" s="986"/>
      <c r="S76" s="986"/>
      <c r="T76" s="986"/>
      <c r="U76" s="986"/>
      <c r="V76" s="986"/>
      <c r="W76" s="986"/>
      <c r="X76" s="986"/>
      <c r="Y76" s="986"/>
      <c r="Z76" s="986"/>
      <c r="AA76" s="986"/>
      <c r="AB76" s="986"/>
      <c r="AC76" s="986"/>
      <c r="AD76" s="986"/>
      <c r="AE76" s="986"/>
      <c r="AF76" s="986"/>
      <c r="AG76" s="986"/>
      <c r="AH76" s="986"/>
      <c r="AI76" s="986"/>
    </row>
    <row r="77" spans="2:35" ht="17.25" customHeight="1">
      <c r="B77" s="433"/>
      <c r="C77" s="165"/>
      <c r="D77" s="436"/>
      <c r="E77" s="166"/>
      <c r="F77" s="166"/>
      <c r="G77" s="166"/>
      <c r="H77" s="166"/>
      <c r="I77" s="166"/>
      <c r="J77" s="2041"/>
      <c r="K77" s="166"/>
      <c r="L77" s="166"/>
      <c r="M77" s="166"/>
      <c r="N77" s="166"/>
      <c r="O77" s="166"/>
      <c r="P77" s="166"/>
      <c r="Q77" s="1994"/>
      <c r="R77" s="166"/>
      <c r="S77" s="166"/>
      <c r="T77" s="166"/>
      <c r="U77" s="166"/>
      <c r="V77" s="166"/>
      <c r="W77" s="166"/>
      <c r="X77" s="166"/>
      <c r="Y77" s="166"/>
      <c r="Z77" s="166"/>
      <c r="AA77" s="166"/>
      <c r="AB77" s="166"/>
      <c r="AC77" s="166"/>
      <c r="AD77" s="166"/>
      <c r="AE77" s="166"/>
      <c r="AF77" s="166"/>
      <c r="AG77" s="166"/>
      <c r="AH77" s="166"/>
      <c r="AI77" s="166"/>
    </row>
    <row r="78" spans="2:35">
      <c r="B78" s="2718"/>
      <c r="C78" s="2715" t="s">
        <v>133</v>
      </c>
      <c r="D78" s="435" t="s">
        <v>113</v>
      </c>
      <c r="E78" s="160" t="s">
        <v>120</v>
      </c>
      <c r="F78" s="160" t="s">
        <v>120</v>
      </c>
      <c r="G78" s="160"/>
      <c r="H78" s="160" t="s">
        <v>120</v>
      </c>
      <c r="I78" s="160" t="s">
        <v>120</v>
      </c>
      <c r="J78" s="160" t="s">
        <v>120</v>
      </c>
      <c r="K78" s="160"/>
      <c r="L78" s="160"/>
      <c r="M78" s="160"/>
      <c r="N78" s="160"/>
      <c r="O78" s="160"/>
      <c r="P78" s="160"/>
      <c r="Q78" s="1988"/>
      <c r="R78" s="160"/>
      <c r="S78" s="160"/>
      <c r="T78" s="160"/>
      <c r="U78" s="160"/>
      <c r="V78" s="160"/>
      <c r="W78" s="160"/>
      <c r="X78" s="160"/>
      <c r="Y78" s="160"/>
      <c r="Z78" s="160"/>
      <c r="AA78" s="160"/>
      <c r="AB78" s="160"/>
      <c r="AC78" s="160"/>
      <c r="AD78" s="160"/>
      <c r="AE78" s="160"/>
      <c r="AF78" s="160"/>
      <c r="AG78" s="160"/>
      <c r="AH78" s="160"/>
      <c r="AI78" s="160"/>
    </row>
    <row r="79" spans="2:35">
      <c r="B79" s="2719"/>
      <c r="C79" s="2716"/>
      <c r="D79" s="1086" t="s">
        <v>114</v>
      </c>
      <c r="E79" s="1087" t="s">
        <v>120</v>
      </c>
      <c r="F79" s="1087" t="s">
        <v>120</v>
      </c>
      <c r="G79" s="1087"/>
      <c r="H79" s="1087" t="s">
        <v>120</v>
      </c>
      <c r="I79" s="1087" t="s">
        <v>120</v>
      </c>
      <c r="J79" s="1087" t="s">
        <v>120</v>
      </c>
      <c r="K79" s="1087"/>
      <c r="L79" s="1087"/>
      <c r="M79" s="1087"/>
      <c r="N79" s="1087"/>
      <c r="O79" s="1087"/>
      <c r="P79" s="1087"/>
      <c r="Q79" s="1989"/>
      <c r="R79" s="1087"/>
      <c r="S79" s="1087"/>
      <c r="T79" s="1087"/>
      <c r="U79" s="1087"/>
      <c r="V79" s="1087"/>
      <c r="W79" s="1087"/>
      <c r="X79" s="1087"/>
      <c r="Y79" s="1087"/>
      <c r="Z79" s="1087"/>
      <c r="AA79" s="1087"/>
      <c r="AB79" s="1087"/>
      <c r="AC79" s="1087"/>
      <c r="AD79" s="1087"/>
      <c r="AE79" s="1087"/>
      <c r="AF79" s="1087"/>
      <c r="AG79" s="1087"/>
      <c r="AH79" s="1087"/>
      <c r="AI79" s="1087"/>
    </row>
    <row r="80" spans="2:35">
      <c r="B80" s="2719"/>
      <c r="C80" s="2716"/>
      <c r="D80" s="1086" t="s">
        <v>115</v>
      </c>
      <c r="E80" s="1087" t="s">
        <v>120</v>
      </c>
      <c r="F80" s="1087" t="s">
        <v>120</v>
      </c>
      <c r="G80" s="1087"/>
      <c r="H80" s="1087" t="s">
        <v>120</v>
      </c>
      <c r="I80" s="1087" t="s">
        <v>120</v>
      </c>
      <c r="J80" s="1087" t="s">
        <v>120</v>
      </c>
      <c r="K80" s="1087"/>
      <c r="L80" s="1087"/>
      <c r="M80" s="1087"/>
      <c r="N80" s="1087"/>
      <c r="O80" s="1087"/>
      <c r="P80" s="1087"/>
      <c r="Q80" s="1989"/>
      <c r="R80" s="1087"/>
      <c r="S80" s="1087"/>
      <c r="T80" s="1087"/>
      <c r="U80" s="1087"/>
      <c r="V80" s="1087"/>
      <c r="W80" s="1087"/>
      <c r="X80" s="1087"/>
      <c r="Y80" s="1087"/>
      <c r="Z80" s="1087"/>
      <c r="AA80" s="1087"/>
      <c r="AB80" s="1087"/>
      <c r="AC80" s="1087"/>
      <c r="AD80" s="1087"/>
      <c r="AE80" s="1087"/>
      <c r="AF80" s="1087"/>
      <c r="AG80" s="1087"/>
      <c r="AH80" s="1087"/>
      <c r="AI80" s="1087"/>
    </row>
    <row r="81" spans="2:35">
      <c r="B81" s="2719"/>
      <c r="C81" s="2716"/>
      <c r="D81" s="1086" t="s">
        <v>116</v>
      </c>
      <c r="E81" s="1087">
        <v>5</v>
      </c>
      <c r="F81" s="1087">
        <v>5</v>
      </c>
      <c r="G81" s="1087"/>
      <c r="H81" s="1087">
        <v>5</v>
      </c>
      <c r="I81" s="1087">
        <v>5</v>
      </c>
      <c r="J81" s="1087">
        <v>5</v>
      </c>
      <c r="K81" s="1087"/>
      <c r="L81" s="1087"/>
      <c r="M81" s="1087"/>
      <c r="N81" s="1087"/>
      <c r="O81" s="1087"/>
      <c r="P81" s="1087"/>
      <c r="Q81" s="1989"/>
      <c r="R81" s="1087"/>
      <c r="S81" s="1087"/>
      <c r="T81" s="1087"/>
      <c r="U81" s="1087"/>
      <c r="V81" s="1087"/>
      <c r="W81" s="1087"/>
      <c r="X81" s="1087"/>
      <c r="Y81" s="1087"/>
      <c r="Z81" s="1087"/>
      <c r="AA81" s="1087"/>
      <c r="AB81" s="1087"/>
      <c r="AC81" s="1087"/>
      <c r="AD81" s="1087"/>
      <c r="AE81" s="1087"/>
      <c r="AF81" s="1087"/>
      <c r="AH81" s="1087"/>
    </row>
    <row r="82" spans="2:35">
      <c r="B82" s="2719"/>
      <c r="C82" s="2716"/>
      <c r="D82" s="1086" t="s">
        <v>117</v>
      </c>
      <c r="E82" s="163"/>
      <c r="F82" s="163"/>
      <c r="G82" s="163"/>
      <c r="H82" s="163"/>
      <c r="I82" s="163"/>
      <c r="J82" s="163"/>
      <c r="K82" s="163"/>
      <c r="L82" s="163"/>
      <c r="M82" s="163"/>
      <c r="N82" s="1087"/>
      <c r="O82" s="1087"/>
      <c r="P82" s="1087"/>
      <c r="Q82" s="1989"/>
      <c r="R82" s="1087"/>
      <c r="S82" s="1087"/>
      <c r="T82" s="1087"/>
      <c r="U82" s="1087"/>
      <c r="V82" s="1087"/>
      <c r="W82" s="1087"/>
      <c r="X82" s="1087"/>
      <c r="Y82" s="1087"/>
      <c r="Z82" s="1087"/>
      <c r="AA82" s="1087"/>
      <c r="AB82" s="1087"/>
      <c r="AC82" s="1087"/>
      <c r="AD82" s="1087"/>
      <c r="AE82" s="163"/>
      <c r="AF82" s="1087"/>
      <c r="AG82" s="1087"/>
      <c r="AH82" s="1087"/>
      <c r="AI82" s="1087"/>
    </row>
    <row r="83" spans="2:35" s="168" customFormat="1" ht="29.25" customHeight="1">
      <c r="B83" s="2720"/>
      <c r="C83" s="2717"/>
      <c r="D83" s="1033" t="s">
        <v>118</v>
      </c>
      <c r="E83" s="986" t="s">
        <v>121</v>
      </c>
      <c r="F83" s="986" t="s">
        <v>121</v>
      </c>
      <c r="G83" s="986"/>
      <c r="H83" s="986" t="s">
        <v>134</v>
      </c>
      <c r="I83" s="986" t="s">
        <v>121</v>
      </c>
      <c r="J83" s="986" t="s">
        <v>121</v>
      </c>
      <c r="K83" s="986"/>
      <c r="L83" s="986"/>
      <c r="M83" s="986"/>
      <c r="N83" s="986"/>
      <c r="O83" s="986"/>
      <c r="P83" s="986"/>
      <c r="Q83" s="1992"/>
      <c r="R83" s="986"/>
      <c r="S83" s="986"/>
      <c r="T83" s="986"/>
      <c r="U83" s="986"/>
      <c r="V83" s="986"/>
      <c r="W83" s="986"/>
      <c r="X83" s="986"/>
      <c r="Y83" s="986"/>
      <c r="Z83" s="986"/>
      <c r="AA83" s="986"/>
      <c r="AB83" s="986"/>
      <c r="AC83" s="986"/>
      <c r="AD83" s="986"/>
      <c r="AE83" s="986"/>
      <c r="AF83" s="986"/>
      <c r="AG83" s="986"/>
      <c r="AH83" s="986"/>
      <c r="AI83" s="986"/>
    </row>
    <row r="84" spans="2:35" ht="17.25" customHeight="1">
      <c r="B84" s="433"/>
      <c r="C84" s="165"/>
      <c r="D84" s="436"/>
      <c r="E84" s="166"/>
      <c r="F84" s="166"/>
      <c r="G84" s="166"/>
      <c r="H84" s="166"/>
      <c r="I84" s="166"/>
      <c r="J84" s="2041"/>
      <c r="K84" s="166"/>
      <c r="L84" s="986"/>
      <c r="M84" s="166"/>
    </row>
    <row r="85" spans="2:35">
      <c r="B85" s="2718"/>
      <c r="C85" s="2715" t="s">
        <v>135</v>
      </c>
      <c r="D85" s="435" t="s">
        <v>113</v>
      </c>
      <c r="E85" s="160"/>
      <c r="F85" s="160"/>
      <c r="G85" s="160"/>
      <c r="H85" s="160"/>
      <c r="I85" s="160"/>
      <c r="J85" s="2391"/>
      <c r="K85" s="160"/>
      <c r="L85" s="160"/>
      <c r="M85" s="160"/>
      <c r="N85" s="160"/>
      <c r="O85" s="467"/>
      <c r="P85" s="467"/>
      <c r="Q85" s="1995"/>
      <c r="R85" s="467"/>
      <c r="S85" s="467"/>
      <c r="T85" s="467"/>
      <c r="U85" s="467"/>
      <c r="V85" s="467"/>
      <c r="W85" s="467"/>
      <c r="X85" s="467"/>
      <c r="Y85" s="467"/>
      <c r="Z85" s="467"/>
      <c r="AA85" s="467"/>
      <c r="AB85" s="467"/>
      <c r="AC85" s="467"/>
      <c r="AD85" s="467"/>
      <c r="AE85" s="467"/>
      <c r="AF85" s="467"/>
      <c r="AG85" s="467"/>
      <c r="AH85" s="467"/>
      <c r="AI85" s="467"/>
    </row>
    <row r="86" spans="2:35" ht="14.85" customHeight="1">
      <c r="B86" s="2719"/>
      <c r="C86" s="2716"/>
      <c r="D86" s="1086" t="s">
        <v>114</v>
      </c>
      <c r="E86" s="1087"/>
      <c r="F86" s="1087"/>
      <c r="G86" s="1087"/>
      <c r="H86" s="1087"/>
      <c r="I86" s="1087"/>
      <c r="J86" s="2392"/>
      <c r="K86" s="1087"/>
      <c r="L86" s="1087"/>
      <c r="M86" s="1087"/>
      <c r="N86" s="1087"/>
      <c r="O86" s="1087"/>
      <c r="P86" s="1087"/>
      <c r="Q86" s="1989"/>
      <c r="R86" s="1087"/>
      <c r="S86" s="1087"/>
      <c r="T86" s="1087"/>
      <c r="U86" s="1087"/>
      <c r="V86" s="1087"/>
      <c r="W86" s="1087"/>
      <c r="X86" s="1087"/>
      <c r="Y86" s="1087"/>
      <c r="Z86" s="1087"/>
      <c r="AA86" s="1087"/>
      <c r="AB86" s="1087"/>
      <c r="AC86" s="1087"/>
      <c r="AD86" s="1087"/>
      <c r="AE86" s="1087"/>
      <c r="AF86" s="1087"/>
      <c r="AG86" s="1087"/>
      <c r="AH86" s="1087"/>
      <c r="AI86" s="1087"/>
    </row>
    <row r="87" spans="2:35" ht="14.85" customHeight="1">
      <c r="B87" s="2719"/>
      <c r="C87" s="2716"/>
      <c r="D87" s="1086" t="s">
        <v>115</v>
      </c>
      <c r="E87" s="1087"/>
      <c r="F87" s="1087"/>
      <c r="G87" s="1087"/>
      <c r="H87" s="1087"/>
      <c r="I87" s="1087"/>
      <c r="J87" s="2392"/>
      <c r="K87" s="1087"/>
      <c r="L87" s="1087"/>
      <c r="M87" s="1087"/>
      <c r="N87" s="1087"/>
      <c r="O87" s="163"/>
      <c r="P87" s="163"/>
      <c r="Q87" s="1991"/>
      <c r="R87" s="163"/>
      <c r="S87" s="163"/>
      <c r="T87" s="163"/>
      <c r="U87" s="163"/>
      <c r="V87" s="163"/>
      <c r="W87" s="163"/>
      <c r="X87" s="163"/>
      <c r="Y87" s="163"/>
      <c r="Z87" s="163"/>
      <c r="AA87" s="163"/>
      <c r="AB87" s="163"/>
      <c r="AC87" s="163"/>
      <c r="AD87" s="163"/>
      <c r="AE87" s="163"/>
      <c r="AF87" s="163"/>
      <c r="AG87" s="163"/>
      <c r="AH87" s="163"/>
      <c r="AI87" s="163"/>
    </row>
    <row r="88" spans="2:35" ht="14.85" customHeight="1">
      <c r="B88" s="2719"/>
      <c r="C88" s="2716"/>
      <c r="D88" s="1086" t="s">
        <v>116</v>
      </c>
      <c r="E88" s="1089"/>
      <c r="F88" s="1089"/>
      <c r="G88" s="1089"/>
      <c r="H88" s="1089"/>
      <c r="I88" s="1089"/>
      <c r="J88" s="2393"/>
      <c r="K88" s="1089"/>
      <c r="L88" s="1087"/>
      <c r="M88" s="1087"/>
      <c r="N88" s="1087"/>
      <c r="O88" s="1087"/>
      <c r="P88" s="1087"/>
      <c r="Q88" s="1989"/>
      <c r="R88" s="1087"/>
      <c r="S88" s="1087"/>
      <c r="T88" s="1087"/>
      <c r="U88" s="1087"/>
      <c r="V88" s="1087"/>
      <c r="W88" s="1087"/>
      <c r="X88" s="1087"/>
      <c r="Y88" s="1087"/>
      <c r="Z88" s="1087"/>
      <c r="AA88" s="1087"/>
      <c r="AB88" s="1087"/>
      <c r="AC88" s="1087"/>
      <c r="AD88" s="1087"/>
      <c r="AE88" s="1087"/>
      <c r="AF88" s="1087"/>
      <c r="AG88" s="1087"/>
      <c r="AH88" s="1087"/>
      <c r="AI88" s="1087"/>
    </row>
    <row r="89" spans="2:35" ht="14.85" customHeight="1">
      <c r="B89" s="2719"/>
      <c r="C89" s="2716"/>
      <c r="D89" s="1086" t="s">
        <v>117</v>
      </c>
      <c r="E89" s="162"/>
      <c r="F89" s="162"/>
      <c r="G89" s="162"/>
      <c r="H89" s="162"/>
      <c r="I89" s="162"/>
      <c r="J89" s="2394"/>
      <c r="K89" s="162"/>
      <c r="L89" s="163"/>
      <c r="M89" s="163"/>
      <c r="N89" s="163"/>
      <c r="O89" s="163"/>
      <c r="P89" s="163"/>
      <c r="Q89" s="1991"/>
      <c r="R89" s="163"/>
      <c r="S89" s="163"/>
      <c r="T89" s="163"/>
      <c r="U89" s="163"/>
      <c r="V89" s="163"/>
      <c r="W89" s="163"/>
      <c r="X89" s="163"/>
      <c r="Y89" s="163"/>
      <c r="Z89" s="163"/>
      <c r="AA89" s="163"/>
      <c r="AB89" s="163"/>
      <c r="AC89" s="163"/>
      <c r="AD89" s="163"/>
      <c r="AE89" s="163"/>
      <c r="AF89" s="163"/>
      <c r="AG89" s="163"/>
      <c r="AH89" s="163"/>
      <c r="AI89" s="163"/>
    </row>
    <row r="90" spans="2:35" s="168" customFormat="1" ht="29.25" customHeight="1">
      <c r="B90" s="2720"/>
      <c r="C90" s="2717"/>
      <c r="D90" s="1033" t="s">
        <v>118</v>
      </c>
      <c r="E90" s="986"/>
      <c r="F90" s="986"/>
      <c r="G90" s="986"/>
      <c r="H90" s="986"/>
      <c r="I90" s="986"/>
      <c r="J90" s="2395"/>
      <c r="K90" s="986"/>
      <c r="L90" s="986"/>
      <c r="M90" s="986"/>
      <c r="N90" s="986"/>
      <c r="O90" s="986"/>
      <c r="P90" s="986"/>
      <c r="Q90" s="1992"/>
      <c r="R90" s="986"/>
      <c r="S90" s="986"/>
      <c r="T90" s="986"/>
      <c r="U90" s="986"/>
      <c r="V90" s="986"/>
      <c r="W90" s="986"/>
      <c r="X90" s="986"/>
      <c r="Y90" s="986"/>
      <c r="Z90" s="986"/>
      <c r="AA90" s="986"/>
      <c r="AB90" s="986"/>
      <c r="AC90" s="986"/>
      <c r="AD90" s="986"/>
      <c r="AE90" s="986"/>
      <c r="AF90" s="986"/>
      <c r="AG90" s="986"/>
      <c r="AH90" s="986"/>
      <c r="AI90" s="986"/>
    </row>
    <row r="91" spans="2:35" ht="17.25" customHeight="1" thickBot="1">
      <c r="B91" s="433"/>
      <c r="C91" s="165"/>
      <c r="D91" s="436"/>
      <c r="E91" s="166"/>
      <c r="F91" s="166"/>
      <c r="G91" s="166"/>
      <c r="H91" s="166"/>
      <c r="I91" s="166"/>
      <c r="J91" s="2041"/>
      <c r="K91" s="166"/>
      <c r="L91" s="166"/>
      <c r="M91" s="166"/>
    </row>
    <row r="92" spans="2:35">
      <c r="B92" s="2718"/>
      <c r="C92" s="2715" t="s">
        <v>136</v>
      </c>
      <c r="D92" s="435" t="s">
        <v>113</v>
      </c>
      <c r="E92" s="160" t="s">
        <v>120</v>
      </c>
      <c r="F92" s="160" t="s">
        <v>120</v>
      </c>
      <c r="G92" s="160"/>
      <c r="H92" s="160" t="s">
        <v>120</v>
      </c>
      <c r="I92" s="160" t="s">
        <v>120</v>
      </c>
      <c r="J92" s="160" t="s">
        <v>120</v>
      </c>
      <c r="K92" s="467"/>
      <c r="L92" s="467"/>
      <c r="M92" s="467"/>
      <c r="N92" s="467"/>
      <c r="O92" s="467"/>
      <c r="P92" s="467"/>
      <c r="Q92" s="1988"/>
      <c r="R92" s="467"/>
      <c r="S92" s="467"/>
      <c r="T92" s="467"/>
      <c r="U92" s="467"/>
      <c r="V92" s="467"/>
      <c r="W92" s="467"/>
      <c r="X92" s="467"/>
      <c r="Y92" s="467"/>
      <c r="Z92" s="467"/>
      <c r="AA92" s="467"/>
      <c r="AB92" s="467"/>
      <c r="AC92" s="467"/>
      <c r="AD92" s="467"/>
      <c r="AE92" s="160"/>
      <c r="AF92" s="467"/>
      <c r="AG92" s="467"/>
      <c r="AH92" s="467"/>
      <c r="AI92" s="467"/>
    </row>
    <row r="93" spans="2:35" ht="14.85" customHeight="1">
      <c r="B93" s="2719"/>
      <c r="C93" s="2716"/>
      <c r="D93" s="1086" t="s">
        <v>114</v>
      </c>
      <c r="E93" s="1087" t="s">
        <v>120</v>
      </c>
      <c r="F93" s="1087" t="s">
        <v>120</v>
      </c>
      <c r="G93" s="1087"/>
      <c r="H93" s="1087" t="s">
        <v>120</v>
      </c>
      <c r="I93" s="1087" t="s">
        <v>120</v>
      </c>
      <c r="J93" s="1087" t="s">
        <v>120</v>
      </c>
      <c r="K93" s="1087"/>
      <c r="L93" s="1087"/>
      <c r="M93" s="1087"/>
      <c r="N93" s="1087"/>
      <c r="O93" s="1087"/>
      <c r="P93" s="1087"/>
      <c r="Q93" s="1996"/>
      <c r="R93" s="1087"/>
      <c r="S93" s="1087"/>
      <c r="T93" s="1087"/>
      <c r="U93" s="1087"/>
      <c r="V93" s="1087"/>
      <c r="W93" s="1087"/>
      <c r="X93" s="1087"/>
      <c r="Y93" s="1087"/>
      <c r="Z93" s="1087"/>
      <c r="AA93" s="1087"/>
      <c r="AB93" s="1087"/>
      <c r="AC93" s="1087"/>
      <c r="AD93" s="1087"/>
      <c r="AE93" s="1087"/>
      <c r="AF93" s="1087"/>
      <c r="AG93" s="1087"/>
      <c r="AH93" s="1087"/>
      <c r="AI93" s="1087"/>
    </row>
    <row r="94" spans="2:35" ht="14.85" customHeight="1">
      <c r="B94" s="2719"/>
      <c r="C94" s="2716"/>
      <c r="D94" s="1086" t="s">
        <v>115</v>
      </c>
      <c r="E94" s="1087" t="s">
        <v>120</v>
      </c>
      <c r="F94" s="1087" t="s">
        <v>120</v>
      </c>
      <c r="G94" s="1087"/>
      <c r="H94" s="1087" t="s">
        <v>120</v>
      </c>
      <c r="I94" s="1087" t="s">
        <v>120</v>
      </c>
      <c r="J94" s="1087" t="s">
        <v>120</v>
      </c>
      <c r="K94" s="163"/>
      <c r="L94" s="163"/>
      <c r="M94" s="163"/>
      <c r="N94" s="163"/>
      <c r="O94" s="163"/>
      <c r="P94" s="163"/>
      <c r="Q94" s="1989"/>
      <c r="R94" s="163"/>
      <c r="S94" s="163"/>
      <c r="T94" s="163"/>
      <c r="U94" s="163"/>
      <c r="V94" s="163"/>
      <c r="W94" s="163"/>
      <c r="X94" s="163"/>
      <c r="Y94" s="163"/>
      <c r="Z94" s="163"/>
      <c r="AA94" s="163"/>
      <c r="AB94" s="163"/>
      <c r="AC94" s="163"/>
      <c r="AD94" s="163"/>
      <c r="AE94" s="1087"/>
      <c r="AF94" s="163"/>
      <c r="AG94" s="163"/>
      <c r="AH94" s="163"/>
      <c r="AI94" s="163"/>
    </row>
    <row r="95" spans="2:35" ht="14.85" customHeight="1">
      <c r="B95" s="2719"/>
      <c r="C95" s="2716"/>
      <c r="D95" s="1086" t="s">
        <v>116</v>
      </c>
      <c r="E95" s="1089">
        <v>4</v>
      </c>
      <c r="F95" s="1089">
        <v>4</v>
      </c>
      <c r="G95" s="1089"/>
      <c r="H95" s="1089">
        <v>2</v>
      </c>
      <c r="I95" s="1089">
        <v>3</v>
      </c>
      <c r="J95" s="1089">
        <v>3</v>
      </c>
      <c r="K95" s="1087"/>
      <c r="L95" s="1087"/>
      <c r="M95" s="1087"/>
      <c r="N95" s="1087"/>
      <c r="O95" s="1087"/>
      <c r="P95" s="1087"/>
      <c r="Q95" s="1989"/>
      <c r="R95" s="1087"/>
      <c r="S95" s="1087"/>
      <c r="T95" s="1087"/>
      <c r="U95" s="1087"/>
      <c r="V95" s="1087"/>
      <c r="W95" s="1087"/>
      <c r="X95" s="1087"/>
      <c r="Y95" s="1087"/>
      <c r="Z95" s="1087"/>
      <c r="AA95" s="1087"/>
      <c r="AB95" s="1087"/>
      <c r="AC95" s="1087"/>
      <c r="AD95" s="1087"/>
      <c r="AE95" s="1087"/>
      <c r="AF95" s="1087"/>
      <c r="AG95" s="1087"/>
      <c r="AH95" s="1087"/>
      <c r="AI95" s="1087"/>
    </row>
    <row r="96" spans="2:35" ht="14.85" customHeight="1">
      <c r="B96" s="2719"/>
      <c r="C96" s="2716"/>
      <c r="D96" s="1086" t="s">
        <v>117</v>
      </c>
      <c r="E96" s="162"/>
      <c r="F96" s="162"/>
      <c r="G96" s="162"/>
      <c r="H96" s="162"/>
      <c r="I96" s="162"/>
      <c r="J96" s="162"/>
      <c r="K96" s="163"/>
      <c r="L96" s="163"/>
      <c r="M96" s="163"/>
      <c r="N96" s="163"/>
      <c r="O96" s="163"/>
      <c r="P96" s="163"/>
      <c r="Q96" s="1991"/>
      <c r="R96" s="163"/>
      <c r="S96" s="163"/>
      <c r="T96" s="163"/>
      <c r="U96" s="163"/>
      <c r="V96" s="163"/>
      <c r="W96" s="163"/>
      <c r="X96" s="163"/>
      <c r="Y96" s="163"/>
      <c r="Z96" s="163"/>
      <c r="AA96" s="163"/>
      <c r="AB96" s="163"/>
      <c r="AC96" s="163"/>
      <c r="AD96" s="163"/>
      <c r="AE96" s="163"/>
      <c r="AF96" s="163"/>
      <c r="AG96" s="163"/>
      <c r="AH96" s="163"/>
      <c r="AI96" s="163"/>
    </row>
    <row r="97" spans="2:35" s="168" customFormat="1" ht="29.25" customHeight="1">
      <c r="B97" s="2720"/>
      <c r="C97" s="2717"/>
      <c r="D97" s="1033" t="s">
        <v>118</v>
      </c>
      <c r="E97" s="986" t="s">
        <v>121</v>
      </c>
      <c r="F97" s="986" t="s">
        <v>121</v>
      </c>
      <c r="G97" s="986"/>
      <c r="H97" s="986" t="s">
        <v>121</v>
      </c>
      <c r="I97" s="986" t="s">
        <v>121</v>
      </c>
      <c r="J97" s="986" t="s">
        <v>121</v>
      </c>
      <c r="K97" s="986"/>
      <c r="L97" s="986"/>
      <c r="M97" s="986"/>
      <c r="N97" s="986"/>
      <c r="O97" s="986"/>
      <c r="P97" s="986"/>
      <c r="Q97" s="1992"/>
      <c r="R97" s="986"/>
      <c r="S97" s="986"/>
      <c r="T97" s="986"/>
      <c r="U97" s="986"/>
      <c r="V97" s="986"/>
      <c r="W97" s="986"/>
      <c r="X97" s="986"/>
      <c r="Y97" s="986"/>
      <c r="Z97" s="986"/>
      <c r="AA97" s="986"/>
      <c r="AB97" s="986"/>
      <c r="AC97" s="986"/>
      <c r="AD97" s="986"/>
      <c r="AE97" s="986"/>
      <c r="AF97" s="986"/>
      <c r="AG97" s="986"/>
      <c r="AH97" s="986"/>
      <c r="AI97" s="986"/>
    </row>
    <row r="98" spans="2:35" ht="14.4" thickBot="1">
      <c r="J98" s="1886"/>
    </row>
    <row r="99" spans="2:35">
      <c r="B99" s="2718"/>
      <c r="C99" s="2715" t="s">
        <v>137</v>
      </c>
      <c r="D99" s="435" t="s">
        <v>113</v>
      </c>
      <c r="E99" s="160" t="s">
        <v>120</v>
      </c>
      <c r="F99" s="160" t="s">
        <v>120</v>
      </c>
      <c r="G99" s="160"/>
      <c r="H99" s="160" t="s">
        <v>120</v>
      </c>
      <c r="I99" s="160" t="s">
        <v>120</v>
      </c>
      <c r="J99" s="160" t="s">
        <v>120</v>
      </c>
      <c r="K99" s="160"/>
      <c r="L99" s="160"/>
      <c r="M99" s="160"/>
      <c r="N99" s="160"/>
      <c r="O99" s="160"/>
      <c r="P99" s="467"/>
      <c r="Q99" s="1995"/>
      <c r="R99" s="467"/>
      <c r="S99" s="467"/>
      <c r="T99" s="467"/>
      <c r="U99" s="467"/>
      <c r="V99" s="467"/>
      <c r="W99" s="467"/>
      <c r="X99" s="467"/>
      <c r="Y99" s="467"/>
      <c r="Z99" s="467"/>
      <c r="AA99" s="467"/>
      <c r="AB99" s="467"/>
      <c r="AC99" s="467"/>
      <c r="AD99" s="467"/>
      <c r="AE99" s="467"/>
      <c r="AF99" s="467"/>
      <c r="AG99" s="467"/>
      <c r="AH99" s="467"/>
      <c r="AI99" s="467"/>
    </row>
    <row r="100" spans="2:35">
      <c r="B100" s="2719"/>
      <c r="C100" s="2716"/>
      <c r="D100" s="1086" t="s">
        <v>114</v>
      </c>
      <c r="E100" s="1087" t="s">
        <v>120</v>
      </c>
      <c r="F100" s="1087" t="s">
        <v>120</v>
      </c>
      <c r="G100" s="1087"/>
      <c r="H100" s="1087" t="s">
        <v>120</v>
      </c>
      <c r="I100" s="1087" t="s">
        <v>120</v>
      </c>
      <c r="J100" s="1087" t="s">
        <v>120</v>
      </c>
      <c r="K100" s="1087"/>
      <c r="L100" s="1087"/>
      <c r="M100" s="1087"/>
      <c r="N100" s="1087"/>
      <c r="O100" s="1087"/>
      <c r="P100" s="1087"/>
      <c r="Q100" s="1989"/>
      <c r="R100" s="1087"/>
      <c r="S100" s="1087"/>
      <c r="T100" s="1087"/>
      <c r="U100" s="1087"/>
      <c r="V100" s="1087"/>
      <c r="W100" s="1087"/>
      <c r="X100" s="1087"/>
      <c r="Y100" s="1087"/>
      <c r="Z100" s="1087"/>
      <c r="AA100" s="1087"/>
      <c r="AB100" s="1087"/>
      <c r="AC100" s="1087"/>
      <c r="AD100" s="1087"/>
      <c r="AE100" s="1087"/>
      <c r="AF100" s="1087"/>
      <c r="AG100" s="1087"/>
      <c r="AH100" s="1087"/>
      <c r="AI100" s="1087"/>
    </row>
    <row r="101" spans="2:35">
      <c r="B101" s="2719"/>
      <c r="C101" s="2716"/>
      <c r="D101" s="1086" t="s">
        <v>115</v>
      </c>
      <c r="E101" s="1087" t="s">
        <v>120</v>
      </c>
      <c r="F101" s="1087" t="s">
        <v>120</v>
      </c>
      <c r="G101" s="1087"/>
      <c r="H101" s="1087" t="s">
        <v>120</v>
      </c>
      <c r="I101" s="1087" t="s">
        <v>120</v>
      </c>
      <c r="J101" s="1087" t="s">
        <v>120</v>
      </c>
      <c r="K101" s="1087"/>
      <c r="L101" s="1087"/>
      <c r="M101" s="1087"/>
      <c r="N101" s="1087"/>
      <c r="O101" s="1087"/>
      <c r="P101" s="163"/>
      <c r="Q101" s="1991"/>
      <c r="R101" s="163"/>
      <c r="S101" s="163"/>
      <c r="T101" s="163"/>
      <c r="U101" s="163"/>
      <c r="V101" s="163"/>
      <c r="W101" s="163"/>
      <c r="X101" s="163"/>
      <c r="Y101" s="163"/>
      <c r="Z101" s="163"/>
      <c r="AA101" s="163"/>
      <c r="AB101" s="163"/>
      <c r="AC101" s="163"/>
      <c r="AD101" s="163"/>
      <c r="AE101" s="163"/>
      <c r="AF101" s="163"/>
      <c r="AG101" s="163"/>
      <c r="AH101" s="163"/>
      <c r="AI101" s="163"/>
    </row>
    <row r="102" spans="2:35">
      <c r="B102" s="2719"/>
      <c r="C102" s="2716"/>
      <c r="D102" s="1086" t="s">
        <v>116</v>
      </c>
      <c r="E102" s="1089">
        <v>3</v>
      </c>
      <c r="F102" s="1089">
        <v>3</v>
      </c>
      <c r="G102" s="1089"/>
      <c r="H102" s="1089">
        <v>0</v>
      </c>
      <c r="I102" s="1089">
        <v>3</v>
      </c>
      <c r="J102" s="1089">
        <v>3</v>
      </c>
      <c r="K102" s="1089"/>
      <c r="L102" s="1087"/>
      <c r="M102" s="1087"/>
      <c r="N102" s="1087"/>
      <c r="O102" s="1087"/>
      <c r="P102" s="1087"/>
      <c r="Q102" s="1989"/>
      <c r="R102" s="1087"/>
      <c r="S102" s="1087"/>
      <c r="T102" s="1087"/>
      <c r="U102" s="1087"/>
      <c r="V102" s="1087"/>
      <c r="W102" s="1087"/>
      <c r="X102" s="1087"/>
      <c r="Y102" s="1087"/>
      <c r="Z102" s="1087"/>
      <c r="AA102" s="1087"/>
      <c r="AB102" s="1087"/>
      <c r="AC102" s="1087"/>
      <c r="AD102" s="1087"/>
      <c r="AE102" s="1087"/>
      <c r="AF102" s="1087"/>
      <c r="AG102" s="1087"/>
      <c r="AH102" s="1087"/>
      <c r="AI102" s="1087"/>
    </row>
    <row r="103" spans="2:35">
      <c r="B103" s="2719"/>
      <c r="C103" s="2716"/>
      <c r="D103" s="1086" t="s">
        <v>117</v>
      </c>
      <c r="E103" s="162"/>
      <c r="F103" s="162"/>
      <c r="G103" s="162"/>
      <c r="H103" s="162"/>
      <c r="I103" s="162"/>
      <c r="J103" s="162"/>
      <c r="K103" s="162"/>
      <c r="L103" s="163"/>
      <c r="M103" s="163"/>
      <c r="N103" s="163"/>
      <c r="O103" s="163"/>
      <c r="P103" s="163"/>
      <c r="Q103" s="1991"/>
      <c r="R103" s="163"/>
      <c r="S103" s="163"/>
      <c r="T103" s="163"/>
      <c r="U103" s="163"/>
      <c r="V103" s="163"/>
      <c r="W103" s="163"/>
      <c r="X103" s="163"/>
      <c r="Y103" s="163"/>
      <c r="Z103" s="163"/>
      <c r="AA103" s="163"/>
      <c r="AB103" s="163"/>
      <c r="AC103" s="163"/>
      <c r="AD103" s="163"/>
      <c r="AE103" s="163"/>
      <c r="AF103" s="163"/>
      <c r="AG103" s="163"/>
      <c r="AH103" s="163"/>
      <c r="AI103" s="163"/>
    </row>
    <row r="104" spans="2:35" s="168" customFormat="1" ht="29.25" customHeight="1">
      <c r="B104" s="2720"/>
      <c r="C104" s="2717"/>
      <c r="D104" s="1033" t="s">
        <v>118</v>
      </c>
      <c r="E104" s="986" t="s">
        <v>121</v>
      </c>
      <c r="F104" s="986" t="s">
        <v>121</v>
      </c>
      <c r="G104" s="986"/>
      <c r="H104" s="986" t="s">
        <v>138</v>
      </c>
      <c r="I104" s="986" t="s">
        <v>121</v>
      </c>
      <c r="J104" s="986" t="s">
        <v>121</v>
      </c>
      <c r="K104" s="986"/>
      <c r="L104" s="986"/>
      <c r="M104" s="986"/>
      <c r="N104" s="986"/>
      <c r="O104" s="986"/>
      <c r="P104" s="986"/>
      <c r="Q104" s="1992"/>
      <c r="R104" s="986"/>
      <c r="S104" s="986"/>
      <c r="T104" s="986"/>
      <c r="U104" s="986"/>
      <c r="V104" s="986"/>
      <c r="W104" s="986"/>
      <c r="X104" s="986"/>
      <c r="Y104" s="986"/>
      <c r="Z104" s="986"/>
      <c r="AA104" s="986"/>
      <c r="AB104" s="986"/>
      <c r="AC104" s="986"/>
      <c r="AD104" s="986"/>
      <c r="AE104" s="986"/>
      <c r="AF104" s="986"/>
      <c r="AG104" s="986"/>
      <c r="AH104" s="986"/>
      <c r="AI104" s="986"/>
    </row>
    <row r="105" spans="2:35" ht="17.25" customHeight="1" thickBot="1">
      <c r="B105" s="433"/>
      <c r="C105" s="165"/>
      <c r="D105" s="436"/>
      <c r="E105" s="166"/>
      <c r="F105" s="166"/>
      <c r="G105" s="166"/>
      <c r="H105" s="166"/>
      <c r="I105" s="166"/>
      <c r="J105" s="2041"/>
      <c r="K105" s="166"/>
      <c r="L105" s="166"/>
      <c r="M105" s="166"/>
      <c r="N105" s="166"/>
      <c r="O105" s="166"/>
      <c r="P105" s="166"/>
      <c r="Q105" s="1994"/>
      <c r="R105" s="166"/>
      <c r="S105" s="166"/>
      <c r="T105" s="166"/>
      <c r="U105" s="166"/>
      <c r="V105" s="166"/>
      <c r="W105" s="166"/>
      <c r="X105" s="166"/>
      <c r="Y105" s="166"/>
      <c r="Z105" s="166"/>
      <c r="AA105" s="166"/>
      <c r="AB105" s="166"/>
      <c r="AC105" s="166"/>
      <c r="AD105" s="166"/>
      <c r="AE105" s="166"/>
      <c r="AF105" s="166"/>
      <c r="AG105" s="166"/>
      <c r="AH105" s="166"/>
      <c r="AI105" s="166"/>
    </row>
    <row r="106" spans="2:35">
      <c r="B106" s="2718"/>
      <c r="C106" s="2715" t="s">
        <v>139</v>
      </c>
      <c r="D106" s="435" t="s">
        <v>113</v>
      </c>
      <c r="E106" s="160"/>
      <c r="F106" s="160"/>
      <c r="G106" s="160"/>
      <c r="H106" s="160" t="s">
        <v>120</v>
      </c>
      <c r="I106" s="160" t="s">
        <v>120</v>
      </c>
      <c r="J106" s="160" t="s">
        <v>120</v>
      </c>
      <c r="K106" s="160"/>
      <c r="L106" s="160"/>
      <c r="M106" s="160"/>
      <c r="N106" s="160"/>
      <c r="O106" s="160"/>
      <c r="P106" s="160"/>
      <c r="Q106" s="1988"/>
      <c r="R106" s="160"/>
      <c r="S106" s="160"/>
      <c r="T106" s="160"/>
      <c r="U106" s="160"/>
      <c r="V106" s="160"/>
      <c r="W106" s="160"/>
      <c r="X106" s="160"/>
      <c r="Y106" s="467"/>
      <c r="Z106" s="160"/>
      <c r="AA106" s="160"/>
      <c r="AB106" s="160"/>
      <c r="AC106" s="160"/>
      <c r="AD106" s="160"/>
      <c r="AE106" s="160"/>
      <c r="AF106" s="160"/>
      <c r="AG106" s="160"/>
      <c r="AH106" s="160"/>
      <c r="AI106" s="160"/>
    </row>
    <row r="107" spans="2:35">
      <c r="B107" s="2719"/>
      <c r="C107" s="2716"/>
      <c r="D107" s="1086" t="s">
        <v>114</v>
      </c>
      <c r="E107" s="1087"/>
      <c r="F107" s="1087"/>
      <c r="G107" s="1087"/>
      <c r="H107" s="1087" t="s">
        <v>120</v>
      </c>
      <c r="I107" s="1087" t="s">
        <v>120</v>
      </c>
      <c r="J107" s="1087" t="s">
        <v>120</v>
      </c>
      <c r="K107" s="1087"/>
      <c r="L107" s="1087"/>
      <c r="M107" s="1087"/>
      <c r="N107" s="1087"/>
      <c r="O107" s="1087"/>
      <c r="P107" s="1087"/>
      <c r="Q107" s="1989"/>
      <c r="R107" s="1087"/>
      <c r="S107" s="1087"/>
      <c r="T107" s="1087"/>
      <c r="U107" s="1087"/>
      <c r="V107" s="1087"/>
      <c r="W107" s="1087"/>
      <c r="X107" s="1087"/>
      <c r="Y107" s="1087"/>
      <c r="Z107" s="1087"/>
      <c r="AA107" s="1087"/>
      <c r="AB107" s="1087"/>
      <c r="AC107" s="1087"/>
      <c r="AD107" s="1087"/>
      <c r="AE107" s="1087"/>
      <c r="AF107" s="1087"/>
      <c r="AG107" s="1087"/>
      <c r="AH107" s="1087"/>
      <c r="AI107" s="1087"/>
    </row>
    <row r="108" spans="2:35">
      <c r="B108" s="2719"/>
      <c r="C108" s="2716"/>
      <c r="D108" s="1086" t="s">
        <v>115</v>
      </c>
      <c r="E108" s="1087"/>
      <c r="F108" s="1087"/>
      <c r="G108" s="1087"/>
      <c r="H108" s="1087" t="s">
        <v>120</v>
      </c>
      <c r="I108" s="1087" t="s">
        <v>120</v>
      </c>
      <c r="J108" s="1087" t="s">
        <v>120</v>
      </c>
      <c r="K108" s="1087"/>
      <c r="L108" s="1087"/>
      <c r="M108" s="1087"/>
      <c r="N108" s="1087"/>
      <c r="O108" s="1087"/>
      <c r="P108" s="1087"/>
      <c r="Q108" s="1989"/>
      <c r="R108" s="1087"/>
      <c r="S108" s="1087"/>
      <c r="T108" s="1087"/>
      <c r="U108" s="1087"/>
      <c r="V108" s="1087"/>
      <c r="W108" s="1087"/>
      <c r="X108" s="1087"/>
      <c r="Y108" s="163"/>
      <c r="Z108" s="1087"/>
      <c r="AA108" s="1087"/>
      <c r="AB108" s="1087"/>
      <c r="AC108" s="1087"/>
      <c r="AD108" s="1087"/>
      <c r="AE108" s="1087"/>
      <c r="AF108" s="1087"/>
      <c r="AG108" s="1087"/>
      <c r="AH108" s="1087"/>
      <c r="AI108" s="1087"/>
    </row>
    <row r="109" spans="2:35">
      <c r="B109" s="2719"/>
      <c r="C109" s="2716"/>
      <c r="D109" s="1086" t="s">
        <v>116</v>
      </c>
      <c r="E109" s="1087"/>
      <c r="F109" s="1087"/>
      <c r="G109" s="1087"/>
      <c r="H109" s="1087">
        <v>1</v>
      </c>
      <c r="I109" s="1087">
        <v>1</v>
      </c>
      <c r="J109" s="1087">
        <v>1</v>
      </c>
      <c r="K109" s="1087"/>
      <c r="L109" s="1087"/>
      <c r="M109" s="1087"/>
      <c r="N109" s="1087"/>
      <c r="O109" s="1087"/>
      <c r="P109" s="1087"/>
      <c r="Q109" s="1989"/>
      <c r="R109" s="1087"/>
      <c r="S109" s="1087"/>
      <c r="T109" s="1087"/>
      <c r="U109" s="1087"/>
      <c r="V109" s="1087"/>
      <c r="W109" s="1087"/>
      <c r="X109" s="1087"/>
      <c r="Y109" s="1087"/>
      <c r="Z109" s="1087"/>
      <c r="AA109" s="1087"/>
      <c r="AB109" s="1087"/>
      <c r="AC109" s="1087"/>
      <c r="AD109" s="1087"/>
      <c r="AE109" s="1087"/>
      <c r="AF109" s="1087"/>
      <c r="AG109" s="1087"/>
      <c r="AH109" s="1087"/>
      <c r="AI109" s="1087"/>
    </row>
    <row r="110" spans="2:35">
      <c r="B110" s="2719"/>
      <c r="C110" s="2716"/>
      <c r="D110" s="1086" t="s">
        <v>117</v>
      </c>
      <c r="E110" s="163"/>
      <c r="F110" s="163"/>
      <c r="G110" s="163"/>
      <c r="H110" s="163"/>
      <c r="I110" s="163"/>
      <c r="J110" s="163"/>
      <c r="K110" s="163"/>
      <c r="L110" s="163"/>
      <c r="M110" s="163"/>
      <c r="N110" s="163"/>
      <c r="O110" s="163"/>
      <c r="P110" s="163"/>
      <c r="Q110" s="1991"/>
      <c r="R110" s="163"/>
      <c r="S110" s="163"/>
      <c r="T110" s="163"/>
      <c r="U110" s="163"/>
      <c r="V110" s="163"/>
      <c r="W110" s="163"/>
      <c r="X110" s="163"/>
      <c r="Y110" s="163"/>
      <c r="Z110" s="163"/>
      <c r="AA110" s="163"/>
      <c r="AB110" s="163"/>
      <c r="AC110" s="163"/>
      <c r="AD110" s="163"/>
      <c r="AE110" s="163"/>
      <c r="AF110" s="163"/>
      <c r="AG110" s="163"/>
      <c r="AH110" s="163"/>
      <c r="AI110" s="163"/>
    </row>
    <row r="111" spans="2:35" s="168" customFormat="1" ht="29.25" customHeight="1">
      <c r="B111" s="2720"/>
      <c r="C111" s="2717"/>
      <c r="D111" s="1033" t="s">
        <v>118</v>
      </c>
      <c r="E111" s="986"/>
      <c r="F111" s="986"/>
      <c r="G111" s="986"/>
      <c r="H111" s="986" t="s">
        <v>124</v>
      </c>
      <c r="I111" s="986" t="s">
        <v>124</v>
      </c>
      <c r="J111" s="986" t="s">
        <v>124</v>
      </c>
      <c r="K111" s="986"/>
      <c r="L111" s="986"/>
      <c r="M111" s="986"/>
      <c r="N111" s="986"/>
      <c r="O111" s="986"/>
      <c r="P111" s="986"/>
      <c r="Q111" s="1992"/>
      <c r="R111" s="986"/>
      <c r="S111" s="986"/>
      <c r="T111" s="986"/>
      <c r="U111" s="986"/>
      <c r="V111" s="986"/>
      <c r="W111" s="986"/>
      <c r="X111" s="986"/>
      <c r="Y111" s="986"/>
      <c r="Z111" s="986"/>
      <c r="AA111" s="986"/>
      <c r="AB111" s="986"/>
      <c r="AC111" s="986"/>
      <c r="AD111" s="986"/>
      <c r="AE111" s="986"/>
      <c r="AF111" s="986"/>
      <c r="AG111" s="986"/>
      <c r="AH111" s="986"/>
      <c r="AI111" s="986"/>
    </row>
    <row r="112" spans="2:35" ht="17.25" customHeight="1" thickBot="1">
      <c r="B112" s="433"/>
      <c r="C112" s="1435"/>
      <c r="D112" s="1434"/>
      <c r="E112" s="1433"/>
      <c r="F112" s="1433"/>
      <c r="G112" s="1433"/>
      <c r="H112" s="1433"/>
      <c r="I112" s="1433"/>
      <c r="J112" s="2397"/>
      <c r="K112" s="1433"/>
      <c r="L112" s="1433"/>
      <c r="M112" s="1433"/>
      <c r="N112" s="1433"/>
      <c r="O112" s="1433"/>
      <c r="P112" s="1433"/>
      <c r="Q112" s="1997"/>
      <c r="R112" s="1433"/>
      <c r="S112" s="1433"/>
      <c r="T112" s="1433"/>
      <c r="U112" s="1433"/>
      <c r="V112" s="1433"/>
      <c r="W112" s="1433"/>
      <c r="X112" s="1433"/>
      <c r="Y112" s="1433"/>
      <c r="Z112" s="1433"/>
      <c r="AA112" s="1433"/>
      <c r="AB112" s="1433"/>
      <c r="AC112" s="1433"/>
      <c r="AD112" s="1433"/>
      <c r="AE112" s="1433"/>
      <c r="AF112" s="1433"/>
      <c r="AG112" s="1433"/>
      <c r="AH112" s="1433"/>
      <c r="AI112" s="1433"/>
    </row>
    <row r="113" spans="2:35">
      <c r="B113" s="2718"/>
      <c r="C113" s="2724" t="s">
        <v>140</v>
      </c>
      <c r="D113" s="435" t="s">
        <v>113</v>
      </c>
      <c r="E113" s="160" t="s">
        <v>120</v>
      </c>
      <c r="F113" s="160" t="s">
        <v>120</v>
      </c>
      <c r="G113" s="160" t="s">
        <v>120</v>
      </c>
      <c r="H113" s="160" t="s">
        <v>120</v>
      </c>
      <c r="I113" s="160" t="s">
        <v>120</v>
      </c>
      <c r="J113" s="160" t="s">
        <v>120</v>
      </c>
      <c r="K113" s="160"/>
      <c r="L113" s="160"/>
      <c r="M113" s="160"/>
      <c r="N113" s="160"/>
      <c r="O113" s="160"/>
      <c r="P113" s="160"/>
      <c r="Q113" s="1988"/>
      <c r="R113" s="160"/>
      <c r="S113" s="160"/>
      <c r="T113" s="160"/>
      <c r="U113" s="160"/>
      <c r="V113" s="160"/>
      <c r="W113" s="160"/>
      <c r="X113" s="160"/>
      <c r="Y113" s="467"/>
      <c r="Z113" s="1087"/>
      <c r="AA113" s="1087"/>
      <c r="AB113" s="160"/>
      <c r="AC113" s="160"/>
      <c r="AD113" s="160"/>
      <c r="AE113" s="1087"/>
      <c r="AF113" s="160"/>
      <c r="AG113" s="1087"/>
      <c r="AH113" s="160"/>
      <c r="AI113" s="1087"/>
    </row>
    <row r="114" spans="2:35">
      <c r="B114" s="2719"/>
      <c r="C114" s="2725"/>
      <c r="D114" s="1086" t="s">
        <v>114</v>
      </c>
      <c r="E114" s="1087" t="s">
        <v>120</v>
      </c>
      <c r="F114" s="1087" t="s">
        <v>120</v>
      </c>
      <c r="G114" s="1087" t="s">
        <v>120</v>
      </c>
      <c r="H114" s="1087" t="s">
        <v>120</v>
      </c>
      <c r="I114" s="1087" t="s">
        <v>120</v>
      </c>
      <c r="J114" s="1087" t="s">
        <v>120</v>
      </c>
      <c r="K114" s="1087"/>
      <c r="L114" s="1087"/>
      <c r="M114" s="1087"/>
      <c r="N114" s="1087"/>
      <c r="O114" s="1087"/>
      <c r="P114" s="1087"/>
      <c r="Q114" s="1989"/>
      <c r="R114" s="1087"/>
      <c r="S114" s="1087"/>
      <c r="T114" s="1087"/>
      <c r="U114" s="1087"/>
      <c r="V114" s="1087"/>
      <c r="W114" s="1087"/>
      <c r="X114" s="1087"/>
      <c r="Y114" s="1087"/>
      <c r="Z114" s="1087"/>
      <c r="AA114" s="1087"/>
      <c r="AB114" s="1087"/>
      <c r="AC114" s="1087"/>
      <c r="AD114" s="1087"/>
      <c r="AE114" s="1087"/>
      <c r="AF114" s="1087"/>
      <c r="AG114" s="1087"/>
      <c r="AH114" s="1087"/>
      <c r="AI114" s="1087"/>
    </row>
    <row r="115" spans="2:35">
      <c r="B115" s="2719"/>
      <c r="C115" s="2725"/>
      <c r="D115" s="1086" t="s">
        <v>115</v>
      </c>
      <c r="E115" s="1087" t="s">
        <v>120</v>
      </c>
      <c r="F115" s="1087" t="s">
        <v>120</v>
      </c>
      <c r="G115" s="1087" t="s">
        <v>120</v>
      </c>
      <c r="H115" s="1087" t="s">
        <v>120</v>
      </c>
      <c r="I115" s="1087" t="s">
        <v>120</v>
      </c>
      <c r="J115" s="1087" t="s">
        <v>120</v>
      </c>
      <c r="K115" s="1087"/>
      <c r="L115" s="1087"/>
      <c r="M115" s="1087"/>
      <c r="N115" s="1087"/>
      <c r="O115" s="1087"/>
      <c r="P115" s="1087"/>
      <c r="Q115" s="1989"/>
      <c r="R115" s="1087"/>
      <c r="S115" s="1087"/>
      <c r="T115" s="1087"/>
      <c r="U115" s="1087"/>
      <c r="V115" s="1087"/>
      <c r="W115" s="1087"/>
      <c r="X115" s="1087"/>
      <c r="Y115" s="163"/>
      <c r="Z115" s="1087"/>
      <c r="AA115" s="1087"/>
      <c r="AB115" s="1087"/>
      <c r="AC115" s="1087"/>
      <c r="AD115" s="1087"/>
      <c r="AE115" s="1087"/>
      <c r="AF115" s="1087"/>
      <c r="AG115" s="1087"/>
      <c r="AH115" s="1087"/>
      <c r="AI115" s="1087"/>
    </row>
    <row r="116" spans="2:35">
      <c r="B116" s="2719"/>
      <c r="C116" s="2725"/>
      <c r="D116" s="1086" t="s">
        <v>116</v>
      </c>
      <c r="E116" s="1087">
        <v>2</v>
      </c>
      <c r="F116" s="1087">
        <v>2</v>
      </c>
      <c r="G116" s="1087">
        <v>2</v>
      </c>
      <c r="H116" s="1087">
        <v>2</v>
      </c>
      <c r="I116" s="1087">
        <v>3</v>
      </c>
      <c r="J116" s="1087">
        <v>3</v>
      </c>
      <c r="K116" s="1087"/>
      <c r="L116" s="1087"/>
      <c r="M116" s="1087"/>
      <c r="N116" s="1087"/>
      <c r="O116" s="1087"/>
      <c r="P116" s="1087"/>
      <c r="Q116" s="1989"/>
      <c r="R116" s="1087"/>
      <c r="S116" s="1087"/>
      <c r="T116" s="1087"/>
      <c r="U116" s="1087"/>
      <c r="V116" s="1087"/>
      <c r="W116" s="1087"/>
      <c r="X116" s="1087"/>
      <c r="Y116" s="1087"/>
      <c r="Z116" s="1087"/>
      <c r="AA116" s="1087"/>
      <c r="AB116" s="1087"/>
      <c r="AC116" s="1087"/>
      <c r="AD116" s="1087"/>
      <c r="AE116" s="1087"/>
      <c r="AF116" s="1087"/>
      <c r="AG116" s="1087"/>
      <c r="AH116" s="1087"/>
      <c r="AI116" s="1087"/>
    </row>
    <row r="117" spans="2:35">
      <c r="B117" s="2719"/>
      <c r="C117" s="2725"/>
      <c r="D117" s="1086" t="s">
        <v>117</v>
      </c>
      <c r="E117" s="1087"/>
      <c r="F117" s="1087"/>
      <c r="G117" s="1087"/>
      <c r="H117" s="1087"/>
      <c r="I117" s="1087"/>
      <c r="J117" s="1087"/>
      <c r="K117" s="1087"/>
      <c r="L117" s="1087"/>
      <c r="M117" s="1087"/>
      <c r="N117" s="1087"/>
      <c r="O117" s="1087"/>
      <c r="P117" s="1087"/>
      <c r="Q117" s="1989"/>
      <c r="R117" s="1087"/>
      <c r="S117" s="1087"/>
      <c r="T117" s="1087"/>
      <c r="U117" s="1087"/>
      <c r="V117" s="1087"/>
      <c r="W117" s="1087"/>
      <c r="X117" s="1087"/>
      <c r="Y117" s="163"/>
      <c r="Z117" s="1087"/>
      <c r="AA117" s="1087"/>
      <c r="AB117" s="163"/>
      <c r="AC117" s="163"/>
      <c r="AD117" s="1087"/>
      <c r="AE117" s="1087"/>
      <c r="AF117" s="1087"/>
      <c r="AG117" s="1087"/>
      <c r="AH117" s="1087"/>
      <c r="AI117" s="1087"/>
    </row>
    <row r="118" spans="2:35" s="168" customFormat="1" ht="49.5" customHeight="1">
      <c r="B118" s="2720"/>
      <c r="C118" s="2726"/>
      <c r="D118" s="1033" t="s">
        <v>118</v>
      </c>
      <c r="E118" s="1436" t="s">
        <v>124</v>
      </c>
      <c r="F118" s="1436" t="s">
        <v>141</v>
      </c>
      <c r="G118" s="1436" t="s">
        <v>142</v>
      </c>
      <c r="H118" s="1436" t="s">
        <v>121</v>
      </c>
      <c r="I118" s="1436" t="s">
        <v>121</v>
      </c>
      <c r="J118" s="1436" t="s">
        <v>121</v>
      </c>
      <c r="K118" s="1436"/>
      <c r="L118" s="1436"/>
      <c r="M118" s="1436"/>
      <c r="N118" s="1436"/>
      <c r="O118" s="1436"/>
      <c r="P118" s="1436"/>
      <c r="Q118" s="1998"/>
      <c r="R118" s="1436"/>
      <c r="S118" s="1436"/>
      <c r="T118" s="1436"/>
      <c r="U118" s="1436"/>
      <c r="V118" s="1436"/>
      <c r="W118" s="1436"/>
      <c r="X118" s="1436"/>
      <c r="Y118" s="986"/>
      <c r="Z118" s="1533"/>
      <c r="AA118" s="1533"/>
      <c r="AB118" s="986"/>
      <c r="AC118" s="986"/>
      <c r="AD118" s="1436"/>
      <c r="AE118" s="1533"/>
      <c r="AF118" s="1436"/>
      <c r="AG118" s="1533"/>
      <c r="AH118" s="1436"/>
      <c r="AI118" s="1533"/>
    </row>
    <row r="119" spans="2:35" ht="17.25" customHeight="1" thickBot="1">
      <c r="B119" s="433"/>
      <c r="C119" s="165"/>
      <c r="D119" s="436"/>
      <c r="J119" s="1886"/>
    </row>
    <row r="120" spans="2:35">
      <c r="B120" s="2718"/>
      <c r="C120" s="2715" t="s">
        <v>143</v>
      </c>
      <c r="D120" s="1530" t="s">
        <v>113</v>
      </c>
      <c r="E120" s="1087" t="s">
        <v>120</v>
      </c>
      <c r="F120" s="1087" t="s">
        <v>120</v>
      </c>
      <c r="G120" s="1087" t="s">
        <v>120</v>
      </c>
      <c r="H120" s="1087" t="s">
        <v>120</v>
      </c>
      <c r="I120" s="1087" t="s">
        <v>120</v>
      </c>
      <c r="J120" s="2392" t="s">
        <v>120</v>
      </c>
      <c r="K120" s="1087"/>
      <c r="L120" s="1087"/>
      <c r="M120" s="1087"/>
      <c r="N120" s="1087"/>
      <c r="O120" s="1087"/>
      <c r="P120" s="1087"/>
      <c r="Q120" s="1989"/>
      <c r="R120" s="1087"/>
      <c r="S120" s="1087"/>
      <c r="T120" s="1087"/>
      <c r="U120" s="1087"/>
      <c r="V120" s="1087"/>
      <c r="W120" s="1087"/>
      <c r="X120" s="1087"/>
      <c r="Y120" s="1087"/>
      <c r="Z120" s="1087"/>
      <c r="AA120" s="1087"/>
      <c r="AB120" s="1087"/>
      <c r="AC120" s="1087"/>
      <c r="AD120" s="1087"/>
      <c r="AE120" s="1087"/>
      <c r="AF120" s="1091"/>
      <c r="AG120" s="1087"/>
      <c r="AH120" s="1087"/>
      <c r="AI120" s="1087"/>
    </row>
    <row r="121" spans="2:35">
      <c r="B121" s="2719"/>
      <c r="C121" s="2716"/>
      <c r="D121" s="1531" t="s">
        <v>114</v>
      </c>
      <c r="E121" s="1087" t="s">
        <v>120</v>
      </c>
      <c r="F121" s="1087" t="s">
        <v>120</v>
      </c>
      <c r="G121" s="1087" t="s">
        <v>120</v>
      </c>
      <c r="H121" s="1087" t="s">
        <v>120</v>
      </c>
      <c r="I121" s="1087" t="s">
        <v>120</v>
      </c>
      <c r="J121" s="2392" t="s">
        <v>120</v>
      </c>
      <c r="K121" s="1087"/>
      <c r="L121" s="1087"/>
      <c r="M121" s="1087"/>
      <c r="N121" s="1087"/>
      <c r="O121" s="1087"/>
      <c r="P121" s="1087"/>
      <c r="Q121" s="1989"/>
      <c r="R121" s="1087"/>
      <c r="S121" s="1087"/>
      <c r="T121" s="1087"/>
      <c r="U121" s="1087"/>
      <c r="V121" s="1087"/>
      <c r="W121" s="1087"/>
      <c r="X121" s="1087"/>
      <c r="Y121" s="1087"/>
      <c r="Z121" s="1087"/>
      <c r="AA121" s="1087"/>
      <c r="AB121" s="1087"/>
      <c r="AC121" s="1087"/>
      <c r="AD121" s="1087"/>
      <c r="AE121" s="1087"/>
      <c r="AF121" s="1091"/>
      <c r="AG121" s="1087"/>
      <c r="AH121" s="1087"/>
      <c r="AI121" s="1087"/>
    </row>
    <row r="122" spans="2:35">
      <c r="B122" s="2719"/>
      <c r="C122" s="2716"/>
      <c r="D122" s="1531" t="s">
        <v>115</v>
      </c>
      <c r="E122" s="1087" t="s">
        <v>120</v>
      </c>
      <c r="F122" s="1087" t="s">
        <v>120</v>
      </c>
      <c r="G122" s="1087" t="s">
        <v>120</v>
      </c>
      <c r="H122" s="1087" t="s">
        <v>120</v>
      </c>
      <c r="I122" s="1087" t="s">
        <v>120</v>
      </c>
      <c r="J122" s="2392" t="s">
        <v>120</v>
      </c>
      <c r="K122" s="1087"/>
      <c r="L122" s="1087"/>
      <c r="M122" s="1087"/>
      <c r="N122" s="1087"/>
      <c r="O122" s="1087"/>
      <c r="P122" s="1087"/>
      <c r="Q122" s="1989"/>
      <c r="R122" s="1087"/>
      <c r="S122" s="1087"/>
      <c r="T122" s="1087"/>
      <c r="U122" s="1087"/>
      <c r="V122" s="1087"/>
      <c r="W122" s="1087"/>
      <c r="X122" s="1087"/>
      <c r="Y122" s="1087"/>
      <c r="Z122" s="1087"/>
      <c r="AA122" s="1087"/>
      <c r="AB122" s="1087"/>
      <c r="AC122" s="1087"/>
      <c r="AD122" s="1087"/>
      <c r="AE122" s="1087"/>
      <c r="AF122" s="1091"/>
      <c r="AG122" s="1087"/>
      <c r="AH122" s="1087"/>
      <c r="AI122" s="1087"/>
    </row>
    <row r="123" spans="2:35">
      <c r="B123" s="2719"/>
      <c r="C123" s="2716"/>
      <c r="D123" s="1531" t="s">
        <v>116</v>
      </c>
      <c r="E123" s="1087">
        <v>1</v>
      </c>
      <c r="F123" s="1087">
        <v>1</v>
      </c>
      <c r="G123" s="1087">
        <v>1</v>
      </c>
      <c r="H123" s="1087">
        <v>1</v>
      </c>
      <c r="I123" s="1087">
        <v>1</v>
      </c>
      <c r="J123" s="2392">
        <v>1</v>
      </c>
      <c r="K123" s="1087"/>
      <c r="L123" s="1087"/>
      <c r="M123" s="1087"/>
      <c r="N123" s="1087"/>
      <c r="O123" s="1087"/>
      <c r="P123" s="1087"/>
      <c r="Q123" s="1989"/>
      <c r="R123" s="1087"/>
      <c r="S123" s="1087"/>
      <c r="T123" s="1087"/>
      <c r="U123" s="1087"/>
      <c r="V123" s="1087"/>
      <c r="W123" s="1087"/>
      <c r="X123" s="1087"/>
      <c r="Y123" s="1087"/>
      <c r="Z123" s="1087"/>
      <c r="AA123" s="1087"/>
      <c r="AB123" s="1087"/>
      <c r="AC123" s="1087"/>
      <c r="AD123" s="1087"/>
      <c r="AE123" s="1087"/>
      <c r="AF123" s="1091"/>
      <c r="AG123" s="1087"/>
      <c r="AH123" s="1087"/>
      <c r="AI123" s="1087"/>
    </row>
    <row r="124" spans="2:35">
      <c r="B124" s="2719"/>
      <c r="C124" s="2716"/>
      <c r="D124" s="1531" t="s">
        <v>117</v>
      </c>
      <c r="E124" s="1087"/>
      <c r="F124" s="1087"/>
      <c r="G124" s="1087"/>
      <c r="H124" s="1087"/>
      <c r="I124" s="1087"/>
      <c r="J124" s="2392"/>
      <c r="K124" s="1087"/>
      <c r="L124" s="1087"/>
      <c r="M124" s="1087"/>
      <c r="N124" s="1087"/>
      <c r="O124" s="1087"/>
      <c r="P124" s="1087"/>
      <c r="Q124" s="1989"/>
      <c r="R124" s="1087"/>
      <c r="S124" s="1087"/>
      <c r="T124" s="1087"/>
      <c r="U124" s="1087"/>
      <c r="V124" s="1087"/>
      <c r="W124" s="1087"/>
      <c r="X124" s="1087"/>
      <c r="Y124" s="1087"/>
      <c r="Z124" s="1087"/>
      <c r="AA124" s="1087"/>
      <c r="AB124" s="1087"/>
      <c r="AC124" s="1087"/>
      <c r="AD124" s="1087"/>
      <c r="AE124" s="1087"/>
      <c r="AF124" s="1091"/>
      <c r="AG124" s="1087"/>
      <c r="AH124" s="1087"/>
      <c r="AI124" s="1087"/>
    </row>
    <row r="125" spans="2:35" s="168" customFormat="1" ht="29.25" customHeight="1">
      <c r="B125" s="2720"/>
      <c r="C125" s="2717"/>
      <c r="D125" s="1532" t="s">
        <v>118</v>
      </c>
      <c r="E125" s="1533" t="s">
        <v>124</v>
      </c>
      <c r="F125" s="1533" t="s">
        <v>124</v>
      </c>
      <c r="G125" s="1533" t="s">
        <v>121</v>
      </c>
      <c r="H125" s="1533" t="s">
        <v>121</v>
      </c>
      <c r="I125" s="1533" t="s">
        <v>124</v>
      </c>
      <c r="J125" s="2398" t="s">
        <v>124</v>
      </c>
      <c r="K125" s="1533"/>
      <c r="L125" s="1533"/>
      <c r="M125" s="1533"/>
      <c r="N125" s="1533"/>
      <c r="O125" s="1533"/>
      <c r="P125" s="1533"/>
      <c r="Q125" s="1999"/>
      <c r="R125" s="1533"/>
      <c r="S125" s="1533"/>
      <c r="T125" s="1533"/>
      <c r="U125" s="1533"/>
      <c r="V125" s="1533"/>
      <c r="W125" s="1533"/>
      <c r="X125" s="1533"/>
      <c r="Y125" s="1533"/>
      <c r="Z125" s="1533"/>
      <c r="AA125" s="1533"/>
      <c r="AB125" s="1533"/>
      <c r="AC125" s="1533"/>
      <c r="AD125" s="1533"/>
      <c r="AE125" s="1533"/>
      <c r="AF125" s="1534"/>
      <c r="AG125" s="1533"/>
      <c r="AH125" s="1533"/>
      <c r="AI125" s="1533"/>
    </row>
    <row r="126" spans="2:35" ht="17.25" customHeight="1" thickBot="1">
      <c r="B126" s="433"/>
      <c r="C126" s="165"/>
      <c r="D126" s="436"/>
      <c r="J126" s="1886"/>
      <c r="S126" s="1087"/>
    </row>
    <row r="127" spans="2:35">
      <c r="B127" s="2721"/>
      <c r="C127" s="2715"/>
      <c r="D127" s="435" t="s">
        <v>113</v>
      </c>
      <c r="G127" s="1087"/>
      <c r="H127" s="1087"/>
      <c r="I127" s="1087"/>
      <c r="J127" s="2392"/>
      <c r="K127" s="1087"/>
      <c r="L127" s="1087"/>
      <c r="M127" s="1087"/>
      <c r="N127" s="1087"/>
      <c r="O127" s="1087"/>
      <c r="P127" s="1087"/>
      <c r="Q127" s="1989"/>
      <c r="R127" s="1087"/>
      <c r="S127" s="1087"/>
      <c r="T127" s="1087"/>
      <c r="U127" s="1087"/>
      <c r="V127" s="1087"/>
      <c r="W127" s="1087"/>
      <c r="X127" s="1087"/>
      <c r="Y127" s="1087"/>
      <c r="Z127" s="1087"/>
      <c r="AA127" s="1087"/>
      <c r="AB127" s="1087"/>
      <c r="AC127" s="1087"/>
      <c r="AD127" s="1087"/>
      <c r="AE127" s="1087"/>
      <c r="AF127" s="1091"/>
      <c r="AG127" s="1087"/>
      <c r="AH127" s="1087"/>
      <c r="AI127" s="1087"/>
    </row>
    <row r="128" spans="2:35" ht="14.85" customHeight="1">
      <c r="B128" s="2722"/>
      <c r="C128" s="2716"/>
      <c r="D128" s="1086" t="s">
        <v>114</v>
      </c>
      <c r="G128" s="1087"/>
      <c r="H128" s="1087"/>
      <c r="I128" s="1087"/>
      <c r="J128" s="2392"/>
      <c r="K128" s="1087"/>
      <c r="L128" s="1087"/>
      <c r="M128" s="1087"/>
      <c r="N128" s="1087"/>
      <c r="O128" s="1087"/>
      <c r="P128" s="1087"/>
      <c r="Q128" s="1989"/>
      <c r="R128" s="1087"/>
      <c r="S128" s="1087"/>
      <c r="T128" s="1087"/>
      <c r="U128" s="1087"/>
      <c r="V128" s="1087"/>
      <c r="W128" s="1087"/>
      <c r="X128" s="1087"/>
      <c r="Y128" s="1087"/>
      <c r="Z128" s="1087"/>
      <c r="AA128" s="1087"/>
      <c r="AB128" s="1087"/>
      <c r="AC128" s="1087"/>
      <c r="AD128" s="1087"/>
      <c r="AE128" s="1087"/>
      <c r="AF128" s="1091"/>
      <c r="AG128" s="1087"/>
      <c r="AH128" s="1087"/>
      <c r="AI128" s="1087"/>
    </row>
    <row r="129" spans="2:35" ht="14.85" customHeight="1">
      <c r="B129" s="2722"/>
      <c r="C129" s="2716"/>
      <c r="D129" s="1086" t="s">
        <v>115</v>
      </c>
      <c r="G129" s="1087"/>
      <c r="H129" s="1087"/>
      <c r="I129" s="1087"/>
      <c r="J129" s="2392"/>
      <c r="K129" s="1087"/>
      <c r="L129" s="1087"/>
      <c r="M129" s="1087"/>
      <c r="N129" s="1087"/>
      <c r="O129" s="1087"/>
      <c r="P129" s="1087"/>
      <c r="Q129" s="1989"/>
      <c r="R129" s="1087"/>
      <c r="S129" s="1087"/>
      <c r="T129" s="1087"/>
      <c r="U129" s="1087"/>
      <c r="V129" s="1087"/>
      <c r="W129" s="1087"/>
      <c r="X129" s="1087"/>
      <c r="Y129" s="1087"/>
      <c r="Z129" s="1087"/>
      <c r="AA129" s="1087"/>
      <c r="AB129" s="1087"/>
      <c r="AC129" s="1087"/>
      <c r="AD129" s="1087"/>
      <c r="AE129" s="1087"/>
      <c r="AF129" s="1091"/>
      <c r="AG129" s="1087"/>
      <c r="AH129" s="1087"/>
      <c r="AI129" s="1087"/>
    </row>
    <row r="130" spans="2:35" ht="14.85" customHeight="1">
      <c r="B130" s="2722"/>
      <c r="C130" s="2716"/>
      <c r="D130" s="1086" t="s">
        <v>116</v>
      </c>
      <c r="G130" s="1087"/>
      <c r="H130" s="1087"/>
      <c r="I130" s="1087"/>
      <c r="J130" s="2392"/>
      <c r="K130" s="1087"/>
      <c r="L130" s="1087"/>
      <c r="M130" s="1087"/>
      <c r="N130" s="1087"/>
      <c r="O130" s="1087"/>
      <c r="P130" s="1087"/>
      <c r="Q130" s="1989"/>
      <c r="R130" s="1087"/>
      <c r="S130" s="1087"/>
      <c r="T130" s="1087"/>
      <c r="U130" s="1087"/>
      <c r="V130" s="1087"/>
      <c r="W130" s="1087"/>
      <c r="X130" s="1087"/>
      <c r="Y130" s="1087"/>
      <c r="Z130" s="1087"/>
      <c r="AA130" s="1087"/>
      <c r="AB130" s="1087"/>
      <c r="AC130" s="1087"/>
      <c r="AD130" s="1087"/>
      <c r="AE130" s="1087"/>
      <c r="AF130" s="1091"/>
      <c r="AG130" s="1087"/>
      <c r="AH130" s="1087"/>
      <c r="AI130" s="1087"/>
    </row>
    <row r="131" spans="2:35" ht="14.85" customHeight="1">
      <c r="B131" s="2722"/>
      <c r="C131" s="2716"/>
      <c r="D131" s="1086" t="s">
        <v>117</v>
      </c>
      <c r="G131" s="1087"/>
      <c r="H131" s="1087"/>
      <c r="I131" s="1087"/>
      <c r="J131" s="2392"/>
      <c r="K131" s="1087"/>
      <c r="L131" s="1087"/>
      <c r="M131" s="1087"/>
      <c r="N131" s="1087"/>
      <c r="O131" s="1087"/>
      <c r="P131" s="1087"/>
      <c r="Q131" s="1989"/>
      <c r="R131" s="1087"/>
      <c r="S131" s="1087"/>
      <c r="T131" s="1087"/>
      <c r="U131" s="1087"/>
      <c r="V131" s="1087"/>
      <c r="W131" s="1087"/>
      <c r="X131" s="1087"/>
      <c r="Y131" s="1087"/>
      <c r="Z131" s="1087"/>
      <c r="AA131" s="1087"/>
      <c r="AB131" s="1087"/>
      <c r="AC131" s="1087"/>
      <c r="AD131" s="1087"/>
      <c r="AE131" s="1087"/>
      <c r="AF131" s="1091"/>
      <c r="AG131" s="1087"/>
      <c r="AH131" s="1087"/>
      <c r="AI131" s="1087"/>
    </row>
    <row r="132" spans="2:35" s="168" customFormat="1" ht="29.25" customHeight="1" thickBot="1">
      <c r="B132" s="2723"/>
      <c r="C132" s="2717"/>
      <c r="D132" s="1033" t="s">
        <v>118</v>
      </c>
      <c r="G132" s="1533"/>
      <c r="H132" s="1533"/>
      <c r="I132" s="1533"/>
      <c r="J132" s="2398"/>
      <c r="K132" s="1533"/>
      <c r="L132" s="1533"/>
      <c r="M132" s="1533"/>
      <c r="N132" s="1533"/>
      <c r="O132" s="1533"/>
      <c r="P132" s="1533"/>
      <c r="Q132" s="1999"/>
      <c r="R132" s="1533"/>
      <c r="S132" s="1533"/>
      <c r="T132" s="1533"/>
      <c r="U132" s="1533"/>
      <c r="V132" s="1533"/>
      <c r="W132" s="1533"/>
      <c r="X132" s="1533"/>
      <c r="Y132" s="1533"/>
      <c r="Z132" s="1533"/>
      <c r="AA132" s="1533"/>
      <c r="AB132" s="1533"/>
      <c r="AC132" s="1533"/>
      <c r="AD132" s="1533"/>
      <c r="AE132" s="1533"/>
      <c r="AF132" s="1534"/>
      <c r="AG132" s="1533"/>
      <c r="AH132" s="1533"/>
      <c r="AI132" s="1533"/>
    </row>
    <row r="133" spans="2:35" ht="17.25" customHeight="1" thickBot="1">
      <c r="B133" s="1818"/>
      <c r="C133" s="165"/>
      <c r="D133" s="436"/>
      <c r="J133" s="1886"/>
    </row>
    <row r="134" spans="2:35">
      <c r="B134" s="2721"/>
      <c r="C134" s="2715"/>
      <c r="D134" s="435" t="s">
        <v>113</v>
      </c>
      <c r="J134" s="1886"/>
    </row>
    <row r="135" spans="2:35">
      <c r="B135" s="2722"/>
      <c r="C135" s="2716"/>
      <c r="D135" s="1086" t="s">
        <v>114</v>
      </c>
      <c r="J135" s="1886"/>
    </row>
    <row r="136" spans="2:35">
      <c r="B136" s="2722"/>
      <c r="C136" s="2716"/>
      <c r="D136" s="1086" t="s">
        <v>115</v>
      </c>
      <c r="J136" s="1886"/>
    </row>
    <row r="137" spans="2:35">
      <c r="B137" s="2722"/>
      <c r="C137" s="2716"/>
      <c r="D137" s="1086" t="s">
        <v>116</v>
      </c>
      <c r="J137" s="1886"/>
    </row>
    <row r="138" spans="2:35">
      <c r="B138" s="2722"/>
      <c r="C138" s="2716"/>
      <c r="D138" s="1086" t="s">
        <v>117</v>
      </c>
      <c r="J138" s="1886"/>
    </row>
    <row r="139" spans="2:35" s="168" customFormat="1" ht="29.25" customHeight="1" thickBot="1">
      <c r="B139" s="2723"/>
      <c r="C139" s="2717"/>
      <c r="D139" s="1033" t="s">
        <v>118</v>
      </c>
      <c r="J139" s="2399"/>
      <c r="Q139" s="2000"/>
    </row>
    <row r="140" spans="2:35" ht="17.25" customHeight="1" thickBot="1">
      <c r="B140" s="433"/>
      <c r="C140" s="165"/>
      <c r="D140" s="436"/>
      <c r="J140" s="1886"/>
    </row>
    <row r="141" spans="2:35">
      <c r="B141" s="2718"/>
      <c r="C141" s="2715"/>
      <c r="D141" s="435" t="s">
        <v>113</v>
      </c>
      <c r="J141" s="1886"/>
    </row>
    <row r="142" spans="2:35">
      <c r="B142" s="2719"/>
      <c r="C142" s="2716"/>
      <c r="D142" s="1086" t="s">
        <v>114</v>
      </c>
      <c r="J142" s="1886"/>
    </row>
    <row r="143" spans="2:35">
      <c r="B143" s="2719"/>
      <c r="C143" s="2716"/>
      <c r="D143" s="1086" t="s">
        <v>115</v>
      </c>
      <c r="J143" s="1886"/>
    </row>
    <row r="144" spans="2:35">
      <c r="B144" s="2719"/>
      <c r="C144" s="2716"/>
      <c r="D144" s="1086" t="s">
        <v>116</v>
      </c>
      <c r="J144" s="1886"/>
    </row>
    <row r="145" spans="2:17">
      <c r="B145" s="2719"/>
      <c r="C145" s="2716"/>
      <c r="D145" s="1086" t="s">
        <v>117</v>
      </c>
      <c r="J145" s="1886"/>
    </row>
    <row r="146" spans="2:17" s="168" customFormat="1" ht="29.25" customHeight="1" thickBot="1">
      <c r="B146" s="2720"/>
      <c r="C146" s="2717"/>
      <c r="D146" s="1033" t="s">
        <v>118</v>
      </c>
      <c r="J146" s="2399"/>
      <c r="Q146" s="2000"/>
    </row>
    <row r="147" spans="2:17" ht="17.25" customHeight="1" thickBot="1">
      <c r="B147" s="433"/>
      <c r="C147" s="165"/>
      <c r="D147" s="436"/>
      <c r="J147" s="1886"/>
    </row>
    <row r="148" spans="2:17">
      <c r="B148" s="2718"/>
      <c r="C148" s="2715"/>
      <c r="D148" s="435" t="s">
        <v>113</v>
      </c>
      <c r="J148" s="1886"/>
    </row>
    <row r="149" spans="2:17">
      <c r="B149" s="2719"/>
      <c r="C149" s="2716"/>
      <c r="D149" s="1086" t="s">
        <v>114</v>
      </c>
      <c r="J149" s="1886"/>
    </row>
    <row r="150" spans="2:17">
      <c r="B150" s="2719"/>
      <c r="C150" s="2716"/>
      <c r="D150" s="1086" t="s">
        <v>115</v>
      </c>
      <c r="J150" s="1886"/>
    </row>
    <row r="151" spans="2:17">
      <c r="B151" s="2719"/>
      <c r="C151" s="2716"/>
      <c r="D151" s="1086" t="s">
        <v>116</v>
      </c>
      <c r="J151" s="1886"/>
    </row>
    <row r="152" spans="2:17">
      <c r="B152" s="2719"/>
      <c r="C152" s="2716"/>
      <c r="D152" s="1086" t="s">
        <v>117</v>
      </c>
      <c r="J152" s="1886"/>
    </row>
    <row r="153" spans="2:17" s="168" customFormat="1" ht="29.25" customHeight="1" thickBot="1">
      <c r="B153" s="2720"/>
      <c r="C153" s="2717"/>
      <c r="D153" s="1033" t="s">
        <v>118</v>
      </c>
      <c r="J153" s="2399"/>
      <c r="Q153" s="2000"/>
    </row>
    <row r="154" spans="2:17" ht="17.25" customHeight="1" thickBot="1">
      <c r="B154" s="433"/>
      <c r="C154" s="165"/>
      <c r="D154" s="436"/>
      <c r="J154" s="1886"/>
    </row>
    <row r="155" spans="2:17">
      <c r="B155" s="2718"/>
      <c r="C155" s="2715"/>
      <c r="D155" s="435" t="s">
        <v>113</v>
      </c>
      <c r="J155" s="1886"/>
    </row>
    <row r="156" spans="2:17">
      <c r="B156" s="2719"/>
      <c r="C156" s="2716"/>
      <c r="D156" s="1086" t="s">
        <v>114</v>
      </c>
      <c r="J156" s="1886"/>
    </row>
    <row r="157" spans="2:17">
      <c r="B157" s="2719"/>
      <c r="C157" s="2716"/>
      <c r="D157" s="1086" t="s">
        <v>115</v>
      </c>
      <c r="J157" s="1886"/>
    </row>
    <row r="158" spans="2:17">
      <c r="B158" s="2719"/>
      <c r="C158" s="2716"/>
      <c r="D158" s="1086" t="s">
        <v>116</v>
      </c>
      <c r="J158" s="1886"/>
    </row>
    <row r="159" spans="2:17">
      <c r="B159" s="2719"/>
      <c r="C159" s="2716"/>
      <c r="D159" s="1086" t="s">
        <v>117</v>
      </c>
      <c r="J159" s="1886"/>
    </row>
    <row r="160" spans="2:17" s="168" customFormat="1" ht="29.25" customHeight="1" thickBot="1">
      <c r="B160" s="2720"/>
      <c r="C160" s="2717"/>
      <c r="D160" s="1033" t="s">
        <v>118</v>
      </c>
      <c r="J160" s="2399"/>
      <c r="Q160" s="2000"/>
    </row>
    <row r="161" spans="2:17">
      <c r="J161" s="1886"/>
    </row>
    <row r="162" spans="2:17">
      <c r="B162" s="2718"/>
      <c r="C162" s="2715"/>
      <c r="D162" s="435" t="s">
        <v>113</v>
      </c>
      <c r="J162" s="1886"/>
    </row>
    <row r="163" spans="2:17">
      <c r="B163" s="2719"/>
      <c r="C163" s="2716"/>
      <c r="D163" s="1086" t="s">
        <v>114</v>
      </c>
      <c r="J163" s="1886"/>
    </row>
    <row r="164" spans="2:17">
      <c r="B164" s="2719"/>
      <c r="C164" s="2716"/>
      <c r="D164" s="1086" t="s">
        <v>115</v>
      </c>
      <c r="J164" s="1886"/>
    </row>
    <row r="165" spans="2:17">
      <c r="B165" s="2719"/>
      <c r="C165" s="2716"/>
      <c r="D165" s="1086" t="s">
        <v>116</v>
      </c>
      <c r="J165" s="1886"/>
    </row>
    <row r="166" spans="2:17">
      <c r="B166" s="2719"/>
      <c r="C166" s="2716"/>
      <c r="D166" s="1086" t="s">
        <v>117</v>
      </c>
    </row>
    <row r="167" spans="2:17" s="168" customFormat="1" ht="29.25" customHeight="1" thickBot="1">
      <c r="B167" s="2720"/>
      <c r="C167" s="2717"/>
      <c r="D167" s="1033" t="s">
        <v>118</v>
      </c>
      <c r="J167" s="1885"/>
      <c r="Q167" s="2000"/>
    </row>
  </sheetData>
  <mergeCells count="46">
    <mergeCell ref="B57:B62"/>
    <mergeCell ref="C57:C62"/>
    <mergeCell ref="C9:D9"/>
    <mergeCell ref="B28:B33"/>
    <mergeCell ref="B43:B48"/>
    <mergeCell ref="B50:B55"/>
    <mergeCell ref="C10:C11"/>
    <mergeCell ref="C28:C33"/>
    <mergeCell ref="B35:B40"/>
    <mergeCell ref="C35:C40"/>
    <mergeCell ref="C43:C48"/>
    <mergeCell ref="C50:C55"/>
    <mergeCell ref="B14:B19"/>
    <mergeCell ref="C14:C19"/>
    <mergeCell ref="B21:B26"/>
    <mergeCell ref="C21:C26"/>
    <mergeCell ref="B85:B90"/>
    <mergeCell ref="B92:B97"/>
    <mergeCell ref="C134:C139"/>
    <mergeCell ref="B134:B139"/>
    <mergeCell ref="C78:C83"/>
    <mergeCell ref="C85:C90"/>
    <mergeCell ref="C92:C97"/>
    <mergeCell ref="C99:C104"/>
    <mergeCell ref="C106:C111"/>
    <mergeCell ref="B127:B132"/>
    <mergeCell ref="B120:B125"/>
    <mergeCell ref="C113:C118"/>
    <mergeCell ref="C120:C125"/>
    <mergeCell ref="C127:C132"/>
    <mergeCell ref="C64:C69"/>
    <mergeCell ref="C71:C76"/>
    <mergeCell ref="B162:B167"/>
    <mergeCell ref="C162:C167"/>
    <mergeCell ref="B141:B146"/>
    <mergeCell ref="C141:C146"/>
    <mergeCell ref="B148:B153"/>
    <mergeCell ref="C148:C153"/>
    <mergeCell ref="B155:B160"/>
    <mergeCell ref="C155:C160"/>
    <mergeCell ref="B64:B69"/>
    <mergeCell ref="B71:B76"/>
    <mergeCell ref="B99:B104"/>
    <mergeCell ref="B106:B111"/>
    <mergeCell ref="B113:B118"/>
    <mergeCell ref="B78:B83"/>
  </mergeCells>
  <conditionalFormatting sqref="B14 B21">
    <cfRule type="cellIs" dxfId="1210" priority="159" operator="equal">
      <formula>1</formula>
    </cfRule>
    <cfRule type="cellIs" dxfId="1209" priority="160" operator="equal">
      <formula>2</formula>
    </cfRule>
    <cfRule type="cellIs" dxfId="1208" priority="158" operator="equal">
      <formula>3</formula>
    </cfRule>
  </conditionalFormatting>
  <conditionalFormatting sqref="B28">
    <cfRule type="cellIs" dxfId="1207" priority="179" operator="equal">
      <formula>1</formula>
    </cfRule>
    <cfRule type="cellIs" dxfId="1206" priority="180" operator="equal">
      <formula>2</formula>
    </cfRule>
    <cfRule type="cellIs" dxfId="1205" priority="178" operator="equal">
      <formula>3</formula>
    </cfRule>
  </conditionalFormatting>
  <conditionalFormatting sqref="B35 B43 B50 B64 B71 B78 B85 B92 B99 B106 B113 B120 B127 B134 B141 B148 B155 B162">
    <cfRule type="cellIs" dxfId="1204" priority="175" operator="equal">
      <formula>3</formula>
    </cfRule>
    <cfRule type="cellIs" dxfId="1203" priority="176" operator="equal">
      <formula>1</formula>
    </cfRule>
    <cfRule type="cellIs" dxfId="1202" priority="177" operator="equal">
      <formula>2</formula>
    </cfRule>
  </conditionalFormatting>
  <conditionalFormatting sqref="B57">
    <cfRule type="cellIs" dxfId="1201" priority="66" operator="equal">
      <formula>2</formula>
    </cfRule>
    <cfRule type="cellIs" dxfId="1200" priority="65" operator="equal">
      <formula>1</formula>
    </cfRule>
    <cfRule type="cellIs" dxfId="1199" priority="64" operator="equal">
      <formula>3</formula>
    </cfRule>
  </conditionalFormatting>
  <conditionalFormatting sqref="E71:I72">
    <cfRule type="containsText" dxfId="1198" priority="264" operator="containsText" text="Yes">
      <formula>NOT(ISERROR(SEARCH("Yes",E71)))</formula>
    </cfRule>
    <cfRule type="containsText" dxfId="1197" priority="265" operator="containsText" text="No">
      <formula>NOT(ISERROR(SEARCH("No",E71)))</formula>
    </cfRule>
  </conditionalFormatting>
  <conditionalFormatting sqref="E71:I73">
    <cfRule type="containsText" dxfId="1196" priority="362" operator="containsText" text="Yes">
      <formula>NOT(ISERROR(SEARCH("Yes",E71)))</formula>
    </cfRule>
    <cfRule type="containsText" dxfId="1195" priority="363" operator="containsText" text="No">
      <formula>NOT(ISERROR(SEARCH("No",E71)))</formula>
    </cfRule>
    <cfRule type="containsText" dxfId="1194" priority="272" operator="containsText" text="Yes">
      <formula>NOT(ISERROR(SEARCH("Yes",E71)))</formula>
    </cfRule>
    <cfRule type="containsText" dxfId="1193" priority="273" operator="containsText" text="No">
      <formula>NOT(ISERROR(SEARCH("No",E71)))</formula>
    </cfRule>
    <cfRule type="containsText" dxfId="1192" priority="267" operator="containsText" text="No">
      <formula>NOT(ISERROR(SEARCH("No",E71)))</formula>
    </cfRule>
    <cfRule type="containsText" dxfId="1191" priority="266" operator="containsText" text="Yes">
      <formula>NOT(ISERROR(SEARCH("Yes",E71)))</formula>
    </cfRule>
  </conditionalFormatting>
  <conditionalFormatting sqref="E73:I73">
    <cfRule type="containsText" dxfId="1190" priority="369" operator="containsText" text="No">
      <formula>NOT(ISERROR(SEARCH("No",E73)))</formula>
    </cfRule>
    <cfRule type="containsText" dxfId="1189" priority="368" operator="containsText" text="Yes">
      <formula>NOT(ISERROR(SEARCH("Yes",E73)))</formula>
    </cfRule>
  </conditionalFormatting>
  <conditionalFormatting sqref="E74:I74 E67:J67">
    <cfRule type="containsBlanks" priority="280" stopIfTrue="1">
      <formula>LEN(TRIM(E67))=0</formula>
    </cfRule>
  </conditionalFormatting>
  <conditionalFormatting sqref="E74:I74">
    <cfRule type="cellIs" dxfId="1188" priority="365" stopIfTrue="1" operator="greaterThanOrEqual">
      <formula>E75</formula>
    </cfRule>
    <cfRule type="cellIs" dxfId="1187" priority="377" stopIfTrue="1" operator="greaterThanOrEqual">
      <formula>E75</formula>
    </cfRule>
    <cfRule type="cellIs" dxfId="1186" priority="274" stopIfTrue="1" operator="greaterThanOrEqual">
      <formula>E75</formula>
    </cfRule>
    <cfRule type="cellIs" dxfId="1185" priority="378" stopIfTrue="1" operator="lessThan">
      <formula>E75</formula>
    </cfRule>
    <cfRule type="containsBlanks" priority="376" stopIfTrue="1">
      <formula>LEN(TRIM(E74))=0</formula>
    </cfRule>
    <cfRule type="cellIs" dxfId="1184" priority="275" stopIfTrue="1" operator="lessThan">
      <formula>E75</formula>
    </cfRule>
    <cfRule type="cellIs" dxfId="1183" priority="371" stopIfTrue="1" operator="lessThan">
      <formula>E75</formula>
    </cfRule>
    <cfRule type="containsBlanks" priority="271" stopIfTrue="1">
      <formula>LEN(TRIM(E74))=0</formula>
    </cfRule>
    <cfRule type="cellIs" dxfId="1182" priority="370" stopIfTrue="1" operator="greaterThanOrEqual">
      <formula>E75</formula>
    </cfRule>
    <cfRule type="cellIs" dxfId="1181" priority="269" stopIfTrue="1" operator="greaterThanOrEqual">
      <formula>E75</formula>
    </cfRule>
    <cfRule type="containsBlanks" priority="268" stopIfTrue="1">
      <formula>LEN(TRIM(E74))=0</formula>
    </cfRule>
    <cfRule type="containsBlanks" priority="364" stopIfTrue="1">
      <formula>LEN(TRIM(E74))=0</formula>
    </cfRule>
    <cfRule type="containsBlanks" priority="367" stopIfTrue="1">
      <formula>LEN(TRIM(E74))=0</formula>
    </cfRule>
    <cfRule type="cellIs" dxfId="1180" priority="366" stopIfTrue="1" operator="lessThan">
      <formula>E75</formula>
    </cfRule>
    <cfRule type="cellIs" dxfId="1179" priority="270" stopIfTrue="1" operator="lessThan">
      <formula>E75</formula>
    </cfRule>
  </conditionalFormatting>
  <conditionalFormatting sqref="E57:J58 K92:AD94">
    <cfRule type="containsText" dxfId="1178" priority="68" operator="containsText" text="No">
      <formula>NOT(ISERROR(SEARCH("No",E57)))</formula>
    </cfRule>
    <cfRule type="containsText" dxfId="1177" priority="67" operator="containsText" text="Yes">
      <formula>NOT(ISERROR(SEARCH("Yes",E57)))</formula>
    </cfRule>
  </conditionalFormatting>
  <conditionalFormatting sqref="E57:J59">
    <cfRule type="containsText" dxfId="1176" priority="76" operator="containsText" text="No">
      <formula>NOT(ISERROR(SEARCH("No",E57)))</formula>
    </cfRule>
    <cfRule type="containsText" dxfId="1175" priority="79" operator="containsText" text="Yes">
      <formula>NOT(ISERROR(SEARCH("Yes",E57)))</formula>
    </cfRule>
    <cfRule type="containsText" dxfId="1174" priority="69" operator="containsText" text="Yes">
      <formula>NOT(ISERROR(SEARCH("Yes",E57)))</formula>
    </cfRule>
    <cfRule type="containsText" dxfId="1173" priority="75" operator="containsText" text="Yes">
      <formula>NOT(ISERROR(SEARCH("Yes",E57)))</formula>
    </cfRule>
    <cfRule type="containsText" dxfId="1172" priority="70" operator="containsText" text="No">
      <formula>NOT(ISERROR(SEARCH("No",E57)))</formula>
    </cfRule>
    <cfRule type="containsText" dxfId="1171" priority="80" operator="containsText" text="No">
      <formula>NOT(ISERROR(SEARCH("No",E57)))</formula>
    </cfRule>
  </conditionalFormatting>
  <conditionalFormatting sqref="E59:J59">
    <cfRule type="containsText" dxfId="1170" priority="86" operator="containsText" text="No">
      <formula>NOT(ISERROR(SEARCH("No",E59)))</formula>
    </cfRule>
    <cfRule type="containsText" dxfId="1169" priority="85" operator="containsText" text="Yes">
      <formula>NOT(ISERROR(SEARCH("Yes",E59)))</formula>
    </cfRule>
  </conditionalFormatting>
  <conditionalFormatting sqref="E60:J60">
    <cfRule type="cellIs" dxfId="1168" priority="88" stopIfTrue="1" operator="lessThan">
      <formula>E61</formula>
    </cfRule>
    <cfRule type="containsBlanks" priority="84" stopIfTrue="1">
      <formula>LEN(TRIM(E60))=0</formula>
    </cfRule>
    <cfRule type="cellIs" dxfId="1167" priority="83" stopIfTrue="1" operator="lessThan">
      <formula>E61</formula>
    </cfRule>
    <cfRule type="cellIs" dxfId="1166" priority="82" stopIfTrue="1" operator="greaterThanOrEqual">
      <formula>E61</formula>
    </cfRule>
    <cfRule type="containsBlanks" priority="81" stopIfTrue="1">
      <formula>LEN(TRIM(E60))=0</formula>
    </cfRule>
    <cfRule type="cellIs" dxfId="1165" priority="78" stopIfTrue="1" operator="lessThan">
      <formula>E61</formula>
    </cfRule>
    <cfRule type="cellIs" dxfId="1164" priority="87" stopIfTrue="1" operator="greaterThanOrEqual">
      <formula>E61</formula>
    </cfRule>
    <cfRule type="containsBlanks" priority="74" stopIfTrue="1">
      <formula>LEN(TRIM(E60))=0</formula>
    </cfRule>
    <cfRule type="cellIs" dxfId="1163" priority="73" stopIfTrue="1" operator="lessThan">
      <formula>E61</formula>
    </cfRule>
    <cfRule type="cellIs" dxfId="1162" priority="72" stopIfTrue="1" operator="greaterThanOrEqual">
      <formula>E61</formula>
    </cfRule>
    <cfRule type="containsBlanks" priority="71" stopIfTrue="1">
      <formula>LEN(TRIM(E60))=0</formula>
    </cfRule>
    <cfRule type="cellIs" dxfId="1161" priority="77" stopIfTrue="1" operator="greaterThanOrEqual">
      <formula>E61</formula>
    </cfRule>
    <cfRule type="cellIs" dxfId="1160" priority="95" stopIfTrue="1" operator="lessThan">
      <formula>E61</formula>
    </cfRule>
    <cfRule type="cellIs" dxfId="1159" priority="94" stopIfTrue="1" operator="greaterThanOrEqual">
      <formula>E61</formula>
    </cfRule>
    <cfRule type="containsBlanks" priority="93" stopIfTrue="1">
      <formula>LEN(TRIM(E60))=0</formula>
    </cfRule>
  </conditionalFormatting>
  <conditionalFormatting sqref="E64:J65">
    <cfRule type="containsText" dxfId="1158" priority="277" operator="containsText" text="No">
      <formula>NOT(ISERROR(SEARCH("No",E64)))</formula>
    </cfRule>
    <cfRule type="containsText" dxfId="1157" priority="276" operator="containsText" text="Yes">
      <formula>NOT(ISERROR(SEARCH("Yes",E64)))</formula>
    </cfRule>
  </conditionalFormatting>
  <conditionalFormatting sqref="E64:J66 E71:I73">
    <cfRule type="containsText" dxfId="1156" priority="279" operator="containsText" text="No">
      <formula>NOT(ISERROR(SEARCH("No",E64)))</formula>
    </cfRule>
    <cfRule type="containsText" dxfId="1155" priority="278" operator="containsText" text="Yes">
      <formula>NOT(ISERROR(SEARCH("Yes",E64)))</formula>
    </cfRule>
    <cfRule type="containsText" dxfId="1154" priority="285" operator="containsText" text="No">
      <formula>NOT(ISERROR(SEARCH("No",E64)))</formula>
    </cfRule>
    <cfRule type="containsText" dxfId="1153" priority="284" operator="containsText" text="Yes">
      <formula>NOT(ISERROR(SEARCH("Yes",E64)))</formula>
    </cfRule>
  </conditionalFormatting>
  <conditionalFormatting sqref="E64:J66">
    <cfRule type="containsText" dxfId="1152" priority="386" operator="containsText" text="Yes">
      <formula>NOT(ISERROR(SEARCH("Yes",E64)))</formula>
    </cfRule>
    <cfRule type="containsText" dxfId="1151" priority="387" operator="containsText" text="No">
      <formula>NOT(ISERROR(SEARCH("No",E64)))</formula>
    </cfRule>
  </conditionalFormatting>
  <conditionalFormatting sqref="E66:J66">
    <cfRule type="containsText" dxfId="1150" priority="393" operator="containsText" text="No">
      <formula>NOT(ISERROR(SEARCH("No",E66)))</formula>
    </cfRule>
    <cfRule type="containsText" dxfId="1149" priority="392" operator="containsText" text="Yes">
      <formula>NOT(ISERROR(SEARCH("Yes",E66)))</formula>
    </cfRule>
  </conditionalFormatting>
  <conditionalFormatting sqref="E67:J67 E74:I74">
    <cfRule type="cellIs" dxfId="1148" priority="287" stopIfTrue="1" operator="lessThan">
      <formula>E68</formula>
    </cfRule>
    <cfRule type="cellIs" dxfId="1147" priority="282" stopIfTrue="1" operator="lessThan">
      <formula>E68</formula>
    </cfRule>
    <cfRule type="containsBlanks" priority="283" stopIfTrue="1">
      <formula>LEN(TRIM(E67))=0</formula>
    </cfRule>
    <cfRule type="cellIs" dxfId="1146" priority="286" stopIfTrue="1" operator="greaterThanOrEqual">
      <formula>E68</formula>
    </cfRule>
    <cfRule type="cellIs" dxfId="1145" priority="281" stopIfTrue="1" operator="greaterThanOrEqual">
      <formula>E68</formula>
    </cfRule>
  </conditionalFormatting>
  <conditionalFormatting sqref="E67:J67 K95:AI95 E53:K53 L54:O54">
    <cfRule type="containsBlanks" priority="412" stopIfTrue="1">
      <formula>LEN(TRIM(E53))=0</formula>
    </cfRule>
  </conditionalFormatting>
  <conditionalFormatting sqref="E67:J67">
    <cfRule type="cellIs" dxfId="1144" priority="414" stopIfTrue="1" operator="lessThan">
      <formula>E68</formula>
    </cfRule>
    <cfRule type="containsBlanks" priority="388" stopIfTrue="1">
      <formula>LEN(TRIM(E67))=0</formula>
    </cfRule>
    <cfRule type="cellIs" dxfId="1143" priority="394" stopIfTrue="1" operator="greaterThanOrEqual">
      <formula>E68</formula>
    </cfRule>
    <cfRule type="containsBlanks" priority="391" stopIfTrue="1">
      <formula>LEN(TRIM(E67))=0</formula>
    </cfRule>
    <cfRule type="cellIs" dxfId="1142" priority="390" stopIfTrue="1" operator="lessThan">
      <formula>E68</formula>
    </cfRule>
    <cfRule type="cellIs" dxfId="1141" priority="395" stopIfTrue="1" operator="lessThan">
      <formula>E68</formula>
    </cfRule>
    <cfRule type="cellIs" dxfId="1140" priority="389" stopIfTrue="1" operator="greaterThanOrEqual">
      <formula>E68</formula>
    </cfRule>
    <cfRule type="cellIs" dxfId="1139" priority="413" stopIfTrue="1" operator="greaterThanOrEqual">
      <formula>E68</formula>
    </cfRule>
  </conditionalFormatting>
  <conditionalFormatting sqref="E92:J94">
    <cfRule type="containsText" dxfId="1138" priority="229" operator="containsText" text="No">
      <formula>NOT(ISERROR(SEARCH("No",E92)))</formula>
    </cfRule>
    <cfRule type="containsText" dxfId="1137" priority="198" operator="containsText" text="Yes">
      <formula>NOT(ISERROR(SEARCH("Yes",E92)))</formula>
    </cfRule>
    <cfRule type="containsText" dxfId="1136" priority="199" operator="containsText" text="No">
      <formula>NOT(ISERROR(SEARCH("No",E92)))</formula>
    </cfRule>
    <cfRule type="containsText" dxfId="1135" priority="217" operator="containsText" text="No">
      <formula>NOT(ISERROR(SEARCH("No",E92)))</formula>
    </cfRule>
    <cfRule type="containsText" dxfId="1134" priority="228" operator="containsText" text="Yes">
      <formula>NOT(ISERROR(SEARCH("Yes",E92)))</formula>
    </cfRule>
    <cfRule type="containsText" dxfId="1133" priority="222" operator="containsText" text="Yes">
      <formula>NOT(ISERROR(SEARCH("Yes",E92)))</formula>
    </cfRule>
    <cfRule type="containsText" dxfId="1132" priority="204" operator="containsText" text="Yes">
      <formula>NOT(ISERROR(SEARCH("Yes",E92)))</formula>
    </cfRule>
    <cfRule type="containsText" dxfId="1131" priority="223" operator="containsText" text="No">
      <formula>NOT(ISERROR(SEARCH("No",E92)))</formula>
    </cfRule>
    <cfRule type="containsText" dxfId="1130" priority="205" operator="containsText" text="No">
      <formula>NOT(ISERROR(SEARCH("No",E92)))</formula>
    </cfRule>
    <cfRule type="containsText" dxfId="1129" priority="192" operator="containsText" text="Yes">
      <formula>NOT(ISERROR(SEARCH("Yes",E92)))</formula>
    </cfRule>
    <cfRule type="containsText" dxfId="1128" priority="193" operator="containsText" text="No">
      <formula>NOT(ISERROR(SEARCH("No",E92)))</formula>
    </cfRule>
    <cfRule type="containsText" dxfId="1127" priority="210" operator="containsText" text="Yes">
      <formula>NOT(ISERROR(SEARCH("Yes",E92)))</formula>
    </cfRule>
    <cfRule type="containsText" dxfId="1126" priority="211" operator="containsText" text="No">
      <formula>NOT(ISERROR(SEARCH("No",E92)))</formula>
    </cfRule>
    <cfRule type="containsText" dxfId="1125" priority="216" operator="containsText" text="Yes">
      <formula>NOT(ISERROR(SEARCH("Yes",E92)))</formula>
    </cfRule>
  </conditionalFormatting>
  <conditionalFormatting sqref="E94:J94">
    <cfRule type="containsText" dxfId="1124" priority="235" operator="containsText" text="No">
      <formula>NOT(ISERROR(SEARCH("No",E94)))</formula>
    </cfRule>
  </conditionalFormatting>
  <conditionalFormatting sqref="E95:J95">
    <cfRule type="containsBlanks" priority="230" stopIfTrue="1">
      <formula>LEN(TRIM(E95))=0</formula>
    </cfRule>
    <cfRule type="cellIs" dxfId="1123" priority="219" stopIfTrue="1" operator="greaterThanOrEqual">
      <formula>E96</formula>
    </cfRule>
    <cfRule type="cellIs" dxfId="1122" priority="220" stopIfTrue="1" operator="lessThan">
      <formula>E96</formula>
    </cfRule>
    <cfRule type="containsBlanks" priority="221" stopIfTrue="1">
      <formula>LEN(TRIM(E95))=0</formula>
    </cfRule>
    <cfRule type="cellIs" dxfId="1121" priority="232" stopIfTrue="1" operator="lessThan">
      <formula>E96</formula>
    </cfRule>
    <cfRule type="cellIs" dxfId="1120" priority="224" stopIfTrue="1" operator="greaterThanOrEqual">
      <formula>E96</formula>
    </cfRule>
    <cfRule type="containsBlanks" priority="194" stopIfTrue="1">
      <formula>LEN(TRIM(E95))=0</formula>
    </cfRule>
    <cfRule type="cellIs" dxfId="1119" priority="195" stopIfTrue="1" operator="greaterThanOrEqual">
      <formula>E96</formula>
    </cfRule>
    <cfRule type="cellIs" dxfId="1118" priority="196" stopIfTrue="1" operator="lessThan">
      <formula>E96</formula>
    </cfRule>
    <cfRule type="cellIs" dxfId="1117" priority="200" stopIfTrue="1" operator="greaterThanOrEqual">
      <formula>E96</formula>
    </cfRule>
    <cfRule type="cellIs" dxfId="1116" priority="201" stopIfTrue="1" operator="lessThan">
      <formula>E96</formula>
    </cfRule>
    <cfRule type="containsBlanks" priority="206" stopIfTrue="1">
      <formula>LEN(TRIM(E95))=0</formula>
    </cfRule>
    <cfRule type="cellIs" dxfId="1115" priority="207" stopIfTrue="1" operator="greaterThanOrEqual">
      <formula>E96</formula>
    </cfRule>
    <cfRule type="cellIs" dxfId="1114" priority="212" stopIfTrue="1" operator="greaterThanOrEqual">
      <formula>E96</formula>
    </cfRule>
    <cfRule type="cellIs" dxfId="1113" priority="213" stopIfTrue="1" operator="lessThan">
      <formula>E96</formula>
    </cfRule>
    <cfRule type="cellIs" dxfId="1112" priority="208" stopIfTrue="1" operator="lessThan">
      <formula>E96</formula>
    </cfRule>
    <cfRule type="containsBlanks" priority="197" stopIfTrue="1">
      <formula>LEN(TRIM(E95))=0</formula>
    </cfRule>
    <cfRule type="cellIs" dxfId="1111" priority="225" stopIfTrue="1" operator="lessThan">
      <formula>E96</formula>
    </cfRule>
    <cfRule type="containsBlanks" priority="218" stopIfTrue="1">
      <formula>LEN(TRIM(E95))=0</formula>
    </cfRule>
    <cfRule type="containsBlanks" priority="209" stopIfTrue="1">
      <formula>LEN(TRIM(E95))=0</formula>
    </cfRule>
    <cfRule type="cellIs" dxfId="1110" priority="231" stopIfTrue="1" operator="greaterThanOrEqual">
      <formula>E96</formula>
    </cfRule>
  </conditionalFormatting>
  <conditionalFormatting sqref="E53:K53 P53:R53 U53:AI53 E67:AI67">
    <cfRule type="cellIs" dxfId="1109" priority="419" stopIfTrue="1" operator="lessThan">
      <formula>E54</formula>
    </cfRule>
  </conditionalFormatting>
  <conditionalFormatting sqref="E53:K53">
    <cfRule type="containsBlanks" priority="292" stopIfTrue="1">
      <formula>LEN(TRIM(E53))=0</formula>
    </cfRule>
    <cfRule type="cellIs" dxfId="1108" priority="311" stopIfTrue="1" operator="lessThan">
      <formula>E54</formula>
    </cfRule>
    <cfRule type="cellIs" dxfId="1107" priority="310" stopIfTrue="1" operator="greaterThanOrEqual">
      <formula>E54</formula>
    </cfRule>
    <cfRule type="containsBlanks" priority="307" stopIfTrue="1">
      <formula>LEN(TRIM(E53))=0</formula>
    </cfRule>
    <cfRule type="cellIs" dxfId="1106" priority="306" stopIfTrue="1" operator="lessThan">
      <formula>E54</formula>
    </cfRule>
    <cfRule type="cellIs" dxfId="1105" priority="305" stopIfTrue="1" operator="greaterThanOrEqual">
      <formula>E54</formula>
    </cfRule>
    <cfRule type="containsBlanks" priority="304" stopIfTrue="1">
      <formula>LEN(TRIM(E53))=0</formula>
    </cfRule>
    <cfRule type="cellIs" dxfId="1104" priority="299" stopIfTrue="1" operator="lessThan">
      <formula>E54</formula>
    </cfRule>
    <cfRule type="cellIs" dxfId="1103" priority="298" stopIfTrue="1" operator="greaterThanOrEqual">
      <formula>E54</formula>
    </cfRule>
    <cfRule type="containsBlanks" priority="295" stopIfTrue="1">
      <formula>LEN(TRIM(E53))=0</formula>
    </cfRule>
    <cfRule type="cellIs" dxfId="1102" priority="293" stopIfTrue="1" operator="greaterThanOrEqual">
      <formula>E54</formula>
    </cfRule>
    <cfRule type="cellIs" dxfId="1101" priority="294" stopIfTrue="1" operator="lessThan">
      <formula>E54</formula>
    </cfRule>
  </conditionalFormatting>
  <conditionalFormatting sqref="E88:K88 E81:M81">
    <cfRule type="cellIs" dxfId="1100" priority="353" stopIfTrue="1" operator="greaterThanOrEqual">
      <formula>E82</formula>
    </cfRule>
  </conditionalFormatting>
  <conditionalFormatting sqref="E88:K88">
    <cfRule type="containsBlanks" priority="352" stopIfTrue="1">
      <formula>LEN(TRIM(E88))=0</formula>
    </cfRule>
  </conditionalFormatting>
  <conditionalFormatting sqref="E81:M81 E88:K88">
    <cfRule type="cellIs" dxfId="1099" priority="354" stopIfTrue="1" operator="lessThan">
      <formula>E82</formula>
    </cfRule>
  </conditionalFormatting>
  <conditionalFormatting sqref="E85:N86 O85:AI87 P92:Q93 K92:P94">
    <cfRule type="containsText" dxfId="1098" priority="349" operator="containsText" text="No">
      <formula>NOT(ISERROR(SEARCH("No",E85)))</formula>
    </cfRule>
  </conditionalFormatting>
  <conditionalFormatting sqref="E85:N86 O85:AI87">
    <cfRule type="containsText" dxfId="1097" priority="348" operator="containsText" text="Yes">
      <formula>NOT(ISERROR(SEARCH("Yes",E85)))</formula>
    </cfRule>
  </conditionalFormatting>
  <conditionalFormatting sqref="E88:N88 E95:Q95">
    <cfRule type="cellIs" dxfId="1096" priority="359" stopIfTrue="1" operator="lessThan">
      <formula>E89</formula>
    </cfRule>
    <cfRule type="cellIs" dxfId="1095" priority="358" stopIfTrue="1" operator="greaterThanOrEqual">
      <formula>E89</formula>
    </cfRule>
    <cfRule type="containsBlanks" priority="355" stopIfTrue="1">
      <formula>LEN(TRIM(E88))=0</formula>
    </cfRule>
  </conditionalFormatting>
  <conditionalFormatting sqref="E50:O51">
    <cfRule type="containsText" dxfId="1094" priority="288" operator="containsText" text="Yes">
      <formula>NOT(ISERROR(SEARCH("Yes",E50)))</formula>
    </cfRule>
    <cfRule type="containsText" dxfId="1093" priority="289" operator="containsText" text="No">
      <formula>NOT(ISERROR(SEARCH("No",E50)))</formula>
    </cfRule>
  </conditionalFormatting>
  <conditionalFormatting sqref="E50:O52 E64:AI66">
    <cfRule type="containsText" dxfId="1092" priority="411" operator="containsText" text="No">
      <formula>NOT(ISERROR(SEARCH("No",E50)))</formula>
    </cfRule>
  </conditionalFormatting>
  <conditionalFormatting sqref="E50:O52">
    <cfRule type="containsText" dxfId="1091" priority="296" operator="containsText" text="Yes">
      <formula>NOT(ISERROR(SEARCH("Yes",E50)))</formula>
    </cfRule>
    <cfRule type="containsText" dxfId="1090" priority="302" operator="containsText" text="Yes">
      <formula>NOT(ISERROR(SEARCH("Yes",E50)))</formula>
    </cfRule>
    <cfRule type="containsText" dxfId="1089" priority="303" operator="containsText" text="No">
      <formula>NOT(ISERROR(SEARCH("No",E50)))</formula>
    </cfRule>
    <cfRule type="containsText" dxfId="1088" priority="297" operator="containsText" text="No">
      <formula>NOT(ISERROR(SEARCH("No",E50)))</formula>
    </cfRule>
    <cfRule type="containsText" dxfId="1087" priority="308" operator="containsText" text="Yes">
      <formula>NOT(ISERROR(SEARCH("Yes",E50)))</formula>
    </cfRule>
    <cfRule type="containsText" dxfId="1086" priority="309" operator="containsText" text="No">
      <formula>NOT(ISERROR(SEARCH("No",E50)))</formula>
    </cfRule>
    <cfRule type="containsText" dxfId="1085" priority="290" operator="containsText" text="Yes">
      <formula>NOT(ISERROR(SEARCH("Yes",E50)))</formula>
    </cfRule>
    <cfRule type="containsText" dxfId="1084" priority="291" operator="containsText" text="No">
      <formula>NOT(ISERROR(SEARCH("No",E50)))</formula>
    </cfRule>
  </conditionalFormatting>
  <conditionalFormatting sqref="E52:O52 E66:AI66">
    <cfRule type="containsText" dxfId="1083" priority="417" operator="containsText" text="No">
      <formula>NOT(ISERROR(SEARCH("No",E52)))</formula>
    </cfRule>
    <cfRule type="containsText" dxfId="1082" priority="416" operator="containsText" text="Yes">
      <formula>NOT(ISERROR(SEARCH("Yes",E52)))</formula>
    </cfRule>
  </conditionalFormatting>
  <conditionalFormatting sqref="E92:O94">
    <cfRule type="containsText" dxfId="1081" priority="234" operator="containsText" text="Yes">
      <formula>NOT(ISERROR(SEARCH("Yes",E92)))</formula>
    </cfRule>
  </conditionalFormatting>
  <conditionalFormatting sqref="E99:O100">
    <cfRule type="containsText" dxfId="1080" priority="139" operator="containsText" text="No">
      <formula>NOT(ISERROR(SEARCH("No",E99)))</formula>
    </cfRule>
    <cfRule type="containsText" dxfId="1079" priority="138" operator="containsText" text="Yes">
      <formula>NOT(ISERROR(SEARCH("Yes",E99)))</formula>
    </cfRule>
  </conditionalFormatting>
  <conditionalFormatting sqref="E43:P45">
    <cfRule type="containsText" dxfId="1078" priority="320" operator="containsText" text="Yes">
      <formula>NOT(ISERROR(SEARCH("Yes",E43)))</formula>
    </cfRule>
    <cfRule type="containsText" dxfId="1077" priority="326" operator="containsText" text="Yes">
      <formula>NOT(ISERROR(SEARCH("Yes",E43)))</formula>
    </cfRule>
    <cfRule type="containsText" dxfId="1076" priority="321" operator="containsText" text="No">
      <formula>NOT(ISERROR(SEARCH("No",E43)))</formula>
    </cfRule>
    <cfRule type="containsText" dxfId="1075" priority="327" operator="containsText" text="No">
      <formula>NOT(ISERROR(SEARCH("No",E43)))</formula>
    </cfRule>
  </conditionalFormatting>
  <conditionalFormatting sqref="E28:Q29 J29:J30">
    <cfRule type="containsText" dxfId="1074" priority="136" operator="containsText" text="Yes">
      <formula>NOT(ISERROR(SEARCH("Yes",E28)))</formula>
    </cfRule>
    <cfRule type="containsText" dxfId="1073" priority="137" operator="containsText" text="No">
      <formula>NOT(ISERROR(SEARCH("No",E28)))</formula>
    </cfRule>
  </conditionalFormatting>
  <conditionalFormatting sqref="E30:Q30">
    <cfRule type="containsText" dxfId="1072" priority="441" operator="containsText" text="No">
      <formula>NOT(ISERROR(SEARCH("No",E30)))</formula>
    </cfRule>
    <cfRule type="containsText" dxfId="1071" priority="440" operator="containsText" text="Yes">
      <formula>NOT(ISERROR(SEARCH("Yes",E30)))</formula>
    </cfRule>
  </conditionalFormatting>
  <conditionalFormatting sqref="E31:Q31 E81:M81 N82:AD82 AF82:AI82">
    <cfRule type="cellIs" dxfId="1070" priority="438" stopIfTrue="1" operator="lessThan">
      <formula>E32</formula>
    </cfRule>
    <cfRule type="cellIs" dxfId="1069" priority="437" stopIfTrue="1" operator="greaterThanOrEqual">
      <formula>E32</formula>
    </cfRule>
  </conditionalFormatting>
  <conditionalFormatting sqref="E38:Q38">
    <cfRule type="containsBlanks" priority="133" stopIfTrue="1">
      <formula>LEN(TRIM(E38))=0</formula>
    </cfRule>
    <cfRule type="cellIs" dxfId="1068" priority="134" stopIfTrue="1" operator="greaterThanOrEqual">
      <formula>E39</formula>
    </cfRule>
    <cfRule type="cellIs" dxfId="1067" priority="135" stopIfTrue="1" operator="lessThan">
      <formula>E39</formula>
    </cfRule>
  </conditionalFormatting>
  <conditionalFormatting sqref="E43:Q44">
    <cfRule type="containsText" dxfId="1066" priority="126" operator="containsText" text="No">
      <formula>NOT(ISERROR(SEARCH("No",E43)))</formula>
    </cfRule>
    <cfRule type="containsText" dxfId="1065" priority="125" operator="containsText" text="Yes">
      <formula>NOT(ISERROR(SEARCH("Yes",E43)))</formula>
    </cfRule>
  </conditionalFormatting>
  <conditionalFormatting sqref="E43:Q45">
    <cfRule type="containsText" dxfId="1064" priority="131" operator="containsText" text="Yes">
      <formula>NOT(ISERROR(SEARCH("Yes",E43)))</formula>
    </cfRule>
    <cfRule type="containsText" dxfId="1063" priority="132" operator="containsText" text="No">
      <formula>NOT(ISERROR(SEARCH("No",E43)))</formula>
    </cfRule>
  </conditionalFormatting>
  <conditionalFormatting sqref="E45:Q45 E21:AC23 AD23:AI23 P92:Q93 P93:P94 AD21:AI21 AD22:AG22 AI22">
    <cfRule type="containsText" dxfId="1062" priority="332" operator="containsText" text="Yes">
      <formula>NOT(ISERROR(SEARCH("Yes",E21)))</formula>
    </cfRule>
  </conditionalFormatting>
  <conditionalFormatting sqref="E46:Q46 E53:K53 K95:AI95 N82:AD82 AF82:AI82">
    <cfRule type="cellIs" dxfId="1061" priority="425" stopIfTrue="1" operator="greaterThanOrEqual">
      <formula>E47</formula>
    </cfRule>
  </conditionalFormatting>
  <conditionalFormatting sqref="E46:Q46 E53:K53 N82:AD82 AF82:AI82 K95:AI95">
    <cfRule type="cellIs" dxfId="1060" priority="426" stopIfTrue="1" operator="lessThan">
      <formula>E47</formula>
    </cfRule>
  </conditionalFormatting>
  <conditionalFormatting sqref="E46:Q46 E81:M81 N82:AD82 AF82:AI82">
    <cfRule type="containsBlanks" priority="328" stopIfTrue="1">
      <formula>LEN(TRIM(E46))=0</formula>
    </cfRule>
  </conditionalFormatting>
  <conditionalFormatting sqref="E46:Q46">
    <cfRule type="cellIs" dxfId="1059" priority="334" stopIfTrue="1" operator="greaterThanOrEqual">
      <formula>E47</formula>
    </cfRule>
    <cfRule type="cellIs" dxfId="1058" priority="335" stopIfTrue="1" operator="lessThan">
      <formula>E47</formula>
    </cfRule>
    <cfRule type="containsBlanks" priority="331" stopIfTrue="1">
      <formula>LEN(TRIM(E46))=0</formula>
    </cfRule>
    <cfRule type="containsBlanks" priority="319" stopIfTrue="1">
      <formula>LEN(TRIM(E46))=0</formula>
    </cfRule>
    <cfRule type="cellIs" dxfId="1057" priority="322" stopIfTrue="1" operator="greaterThanOrEqual">
      <formula>E47</formula>
    </cfRule>
    <cfRule type="cellIs" dxfId="1056" priority="329" stopIfTrue="1" operator="greaterThanOrEqual">
      <formula>E47</formula>
    </cfRule>
    <cfRule type="containsBlanks" priority="424" stopIfTrue="1">
      <formula>LEN(TRIM(E46))=0</formula>
    </cfRule>
    <cfRule type="cellIs" dxfId="1055" priority="330" stopIfTrue="1" operator="lessThan">
      <formula>E47</formula>
    </cfRule>
    <cfRule type="containsBlanks" priority="316" stopIfTrue="1">
      <formula>LEN(TRIM(E46))=0</formula>
    </cfRule>
    <cfRule type="cellIs" dxfId="1054" priority="317" stopIfTrue="1" operator="greaterThanOrEqual">
      <formula>E47</formula>
    </cfRule>
    <cfRule type="cellIs" dxfId="1053" priority="318" stopIfTrue="1" operator="lessThan">
      <formula>E47</formula>
    </cfRule>
    <cfRule type="cellIs" dxfId="1052" priority="323" stopIfTrue="1" operator="lessThan">
      <formula>E47</formula>
    </cfRule>
  </conditionalFormatting>
  <conditionalFormatting sqref="E116:Q116 E123:P123 AA123:AI123 E130:P130 U130:AI130 E137:P137 U137:AI137 E144:P144 U144:AI144 E151:P151 U151:AI151 E158:P158 U158:AI158 E165:P165 U165:AI165 R46:AI46 P53:R53 U53:AI53 K67:AI67 J74:AI74 L88:AI88 E109:AI109 E102:AA102 AD102:AI102 X116:AI116">
    <cfRule type="containsBlanks" priority="453" stopIfTrue="1">
      <formula>LEN(TRIM(E46))=0</formula>
    </cfRule>
  </conditionalFormatting>
  <conditionalFormatting sqref="E116:Q116 E123:P123 AA123:AI123 E130:P130 U130:AI130 E137:P137 U137:AI137 E144:P144 U144:AI144 E151:P151 U151:AI151 E158:P158 U158:AI158 E165:P165 U165:AI165">
    <cfRule type="containsBlanks" priority="448" stopIfTrue="1">
      <formula>LEN(TRIM(E116))=0</formula>
    </cfRule>
    <cfRule type="cellIs" dxfId="1051" priority="451" stopIfTrue="1" operator="greaterThanOrEqual">
      <formula>E117</formula>
    </cfRule>
    <cfRule type="cellIs" dxfId="1050" priority="452" stopIfTrue="1" operator="lessThan">
      <formula>E117</formula>
    </cfRule>
  </conditionalFormatting>
  <conditionalFormatting sqref="E106:X107 Z106:AI107 R113:W113 E113:Q114 X113:X114 Z113:AI114 AA120:AI121 AF121:AH122 E127:P128 U127:AI128 E134:P135 U134:AI135 E141:P142 U141:AI142 E148:P149 U148:AI149 E155:P156 U155:AI156 E162:P163 U162:AI163">
    <cfRule type="containsText" dxfId="1049" priority="444" operator="containsText" text="Yes">
      <formula>NOT(ISERROR(SEARCH("Yes",E106)))</formula>
    </cfRule>
    <cfRule type="containsText" dxfId="1048" priority="445" operator="containsText" text="No">
      <formula>NOT(ISERROR(SEARCH("No",E106)))</formula>
    </cfRule>
  </conditionalFormatting>
  <conditionalFormatting sqref="E106:X108 Z106:AI108 R113:W113 X113:X114 AD113:AD114 AF113:AF114 AH113:AH114 E113:Q115 Z113:AC115 AE113:AE115 AG113:AG115 AI113:AI115 AA120:AI122 U127:AI128 E127:P129 U134:AI135 E134:P136 U141:AI142 E141:P143 U148:AI149 E148:P150 U155:AI156 E155:P157 U162:AI163 E162:P164">
    <cfRule type="containsText" dxfId="1047" priority="446" operator="containsText" text="Yes">
      <formula>NOT(ISERROR(SEARCH("Yes",E106)))</formula>
    </cfRule>
    <cfRule type="containsText" dxfId="1046" priority="447" operator="containsText" text="No">
      <formula>NOT(ISERROR(SEARCH("No",E106)))</formula>
    </cfRule>
  </conditionalFormatting>
  <conditionalFormatting sqref="E108:X108 Z108:AI108 E115:Q115 Z115:AC115 AE115 AG115 AI115 E122:P122 AA122:AI122 E129:P129 V129:AI129 E136:P136 V136:AI136 E143:P143 V143:AI143 E150:P150 V150:AI150 E157:P157 V157:AI157 E164:P164 V164:AI164">
    <cfRule type="containsText" dxfId="1045" priority="455" operator="containsText" text="No">
      <formula>NOT(ISERROR(SEARCH("No",E108)))</formula>
    </cfRule>
  </conditionalFormatting>
  <conditionalFormatting sqref="E99:AA101">
    <cfRule type="containsText" dxfId="1044" priority="141" operator="containsText" text="No">
      <formula>NOT(ISERROR(SEARCH("No",E99)))</formula>
    </cfRule>
    <cfRule type="containsText" dxfId="1043" priority="140" operator="containsText" text="Yes">
      <formula>NOT(ISERROR(SEARCH("Yes",E99)))</formula>
    </cfRule>
  </conditionalFormatting>
  <conditionalFormatting sqref="E101:AA101 AD101:AI101">
    <cfRule type="containsText" dxfId="1042" priority="150" operator="containsText" text="Yes">
      <formula>NOT(ISERROR(SEARCH("Yes",E101)))</formula>
    </cfRule>
    <cfRule type="containsText" dxfId="1041" priority="151" operator="containsText" text="No">
      <formula>NOT(ISERROR(SEARCH("No",E101)))</formula>
    </cfRule>
  </conditionalFormatting>
  <conditionalFormatting sqref="E11:AI11">
    <cfRule type="cellIs" dxfId="1040" priority="977" stopIfTrue="1" operator="lessThan">
      <formula>E10</formula>
    </cfRule>
    <cfRule type="containsBlanks" priority="548" stopIfTrue="1">
      <formula>LEN(TRIM(E11))=0</formula>
    </cfRule>
    <cfRule type="cellIs" dxfId="1039" priority="976" stopIfTrue="1" operator="greaterThanOrEqual">
      <formula>E10</formula>
    </cfRule>
  </conditionalFormatting>
  <conditionalFormatting sqref="E14:AI15">
    <cfRule type="containsText" dxfId="1038" priority="162" operator="containsText" text="No">
      <formula>NOT(ISERROR(SEARCH("No",E14)))</formula>
    </cfRule>
    <cfRule type="containsText" dxfId="1037" priority="161" operator="containsText" text="Yes">
      <formula>NOT(ISERROR(SEARCH("Yes",E14)))</formula>
    </cfRule>
  </conditionalFormatting>
  <conditionalFormatting sqref="E14:AI16">
    <cfRule type="containsText" dxfId="1036" priority="164" operator="containsText" text="No">
      <formula>NOT(ISERROR(SEARCH("No",E14)))</formula>
    </cfRule>
    <cfRule type="containsText" dxfId="1035" priority="163" operator="containsText" text="Yes">
      <formula>NOT(ISERROR(SEARCH("Yes",E14)))</formula>
    </cfRule>
  </conditionalFormatting>
  <conditionalFormatting sqref="E16:AI16 E23:AI23">
    <cfRule type="containsText" dxfId="1034" priority="172" operator="containsText" text="No">
      <formula>NOT(ISERROR(SEARCH("No",E16)))</formula>
    </cfRule>
    <cfRule type="containsText" dxfId="1033" priority="171" operator="containsText" text="Yes">
      <formula>NOT(ISERROR(SEARCH("Yes",E16)))</formula>
    </cfRule>
  </conditionalFormatting>
  <conditionalFormatting sqref="E17:AI17 E24:AI24">
    <cfRule type="containsBlanks" priority="165" stopIfTrue="1">
      <formula>LEN(TRIM(E17))=0</formula>
    </cfRule>
    <cfRule type="cellIs" dxfId="1032" priority="174" stopIfTrue="1" operator="lessThan">
      <formula>E18</formula>
    </cfRule>
    <cfRule type="cellIs" dxfId="1031" priority="173" stopIfTrue="1" operator="greaterThanOrEqual">
      <formula>E18</formula>
    </cfRule>
    <cfRule type="containsBlanks" priority="170" stopIfTrue="1">
      <formula>LEN(TRIM(E17))=0</formula>
    </cfRule>
    <cfRule type="cellIs" dxfId="1030" priority="169" stopIfTrue="1" operator="lessThan">
      <formula>E18</formula>
    </cfRule>
    <cfRule type="cellIs" dxfId="1029" priority="168" stopIfTrue="1" operator="greaterThanOrEqual">
      <formula>E18</formula>
    </cfRule>
  </conditionalFormatting>
  <conditionalFormatting sqref="E28:AI30">
    <cfRule type="containsText" dxfId="1028" priority="434" operator="containsText" text="Yes">
      <formula>NOT(ISERROR(SEARCH("Yes",E28)))</formula>
    </cfRule>
    <cfRule type="containsText" dxfId="1027" priority="435" operator="containsText" text="No">
      <formula>NOT(ISERROR(SEARCH("No",E28)))</formula>
    </cfRule>
  </conditionalFormatting>
  <conditionalFormatting sqref="E31:AI31">
    <cfRule type="containsBlanks" priority="439" stopIfTrue="1">
      <formula>LEN(TRIM(E31))=0</formula>
    </cfRule>
    <cfRule type="cellIs" dxfId="1026" priority="442" stopIfTrue="1" operator="greaterThanOrEqual">
      <formula>E32</formula>
    </cfRule>
    <cfRule type="cellIs" dxfId="1025" priority="443" stopIfTrue="1" operator="lessThan">
      <formula>E32</formula>
    </cfRule>
  </conditionalFormatting>
  <conditionalFormatting sqref="E35:AI36 U36:W37">
    <cfRule type="containsText" dxfId="1024" priority="238" operator="containsText" text="Yes">
      <formula>NOT(ISERROR(SEARCH("Yes",E35)))</formula>
    </cfRule>
    <cfRule type="containsText" dxfId="1023" priority="239" operator="containsText" text="No">
      <formula>NOT(ISERROR(SEARCH("No",E35)))</formula>
    </cfRule>
  </conditionalFormatting>
  <conditionalFormatting sqref="E35:AI37 P120 E120:O122 P122 E92:J93">
    <cfRule type="containsText" dxfId="1022" priority="191" operator="containsText" text="No">
      <formula>NOT(ISERROR(SEARCH("No",E35)))</formula>
    </cfRule>
  </conditionalFormatting>
  <conditionalFormatting sqref="E35:AI37 P120 E120:O122 P122">
    <cfRule type="containsText" dxfId="1021" priority="190" operator="containsText" text="Yes">
      <formula>NOT(ISERROR(SEARCH("Yes",E35)))</formula>
    </cfRule>
  </conditionalFormatting>
  <conditionalFormatting sqref="E38:AI38">
    <cfRule type="cellIs" dxfId="1020" priority="248" stopIfTrue="1" operator="greaterThanOrEqual">
      <formula>E39</formula>
    </cfRule>
    <cfRule type="cellIs" dxfId="1019" priority="249" stopIfTrue="1" operator="lessThan">
      <formula>E39</formula>
    </cfRule>
    <cfRule type="containsBlanks" priority="245" stopIfTrue="1">
      <formula>LEN(TRIM(E38))=0</formula>
    </cfRule>
  </conditionalFormatting>
  <conditionalFormatting sqref="E43:AI44 E50:AI51">
    <cfRule type="containsText" dxfId="1018" priority="421" operator="containsText" text="No">
      <formula>NOT(ISERROR(SEARCH("No",E43)))</formula>
    </cfRule>
  </conditionalFormatting>
  <conditionalFormatting sqref="E43:AI45 E50:AI52">
    <cfRule type="containsText" dxfId="1017" priority="422" operator="containsText" text="Yes">
      <formula>NOT(ISERROR(SEARCH("Yes",E43)))</formula>
    </cfRule>
    <cfRule type="containsText" dxfId="1016" priority="423" operator="containsText" text="No">
      <formula>NOT(ISERROR(SEARCH("No",E43)))</formula>
    </cfRule>
  </conditionalFormatting>
  <conditionalFormatting sqref="E45:AI45 E52:AI52">
    <cfRule type="containsText" dxfId="1015" priority="428" operator="containsText" text="Yes">
      <formula>NOT(ISERROR(SEARCH("Yes",E45)))</formula>
    </cfRule>
    <cfRule type="containsText" dxfId="1014" priority="429" operator="containsText" text="No">
      <formula>NOT(ISERROR(SEARCH("No",E45)))</formula>
    </cfRule>
  </conditionalFormatting>
  <conditionalFormatting sqref="E46:AI46">
    <cfRule type="cellIs" dxfId="1013" priority="431" stopIfTrue="1" operator="lessThan">
      <formula>E47</formula>
    </cfRule>
    <cfRule type="containsBlanks" priority="427" stopIfTrue="1">
      <formula>LEN(TRIM(E46))=0</formula>
    </cfRule>
    <cfRule type="cellIs" dxfId="1012" priority="430" stopIfTrue="1" operator="greaterThanOrEqual">
      <formula>E47</formula>
    </cfRule>
  </conditionalFormatting>
  <conditionalFormatting sqref="E50:AI51 E43:AI44">
    <cfRule type="containsText" dxfId="1011" priority="420" operator="containsText" text="Yes">
      <formula>NOT(ISERROR(SEARCH("Yes",E43)))</formula>
    </cfRule>
  </conditionalFormatting>
  <conditionalFormatting sqref="E57:AI58">
    <cfRule type="containsText" dxfId="1010" priority="90" operator="containsText" text="No">
      <formula>NOT(ISERROR(SEARCH("No",E57)))</formula>
    </cfRule>
    <cfRule type="containsText" dxfId="1009" priority="89" operator="containsText" text="Yes">
      <formula>NOT(ISERROR(SEARCH("Yes",E57)))</formula>
    </cfRule>
  </conditionalFormatting>
  <conditionalFormatting sqref="E57:AI59">
    <cfRule type="containsText" dxfId="1008" priority="91" operator="containsText" text="Yes">
      <formula>NOT(ISERROR(SEARCH("Yes",E57)))</formula>
    </cfRule>
    <cfRule type="containsText" dxfId="1007" priority="92" operator="containsText" text="No">
      <formula>NOT(ISERROR(SEARCH("No",E57)))</formula>
    </cfRule>
  </conditionalFormatting>
  <conditionalFormatting sqref="E59:AI59">
    <cfRule type="containsText" dxfId="1006" priority="97" operator="containsText" text="Yes">
      <formula>NOT(ISERROR(SEARCH("Yes",E59)))</formula>
    </cfRule>
    <cfRule type="containsText" dxfId="1005" priority="98" operator="containsText" text="No">
      <formula>NOT(ISERROR(SEARCH("No",E59)))</formula>
    </cfRule>
  </conditionalFormatting>
  <conditionalFormatting sqref="E60:AI60">
    <cfRule type="containsBlanks" priority="96" stopIfTrue="1">
      <formula>LEN(TRIM(E60))=0</formula>
    </cfRule>
    <cfRule type="cellIs" dxfId="1004" priority="99" stopIfTrue="1" operator="greaterThanOrEqual">
      <formula>E61</formula>
    </cfRule>
    <cfRule type="cellIs" dxfId="1003" priority="100" stopIfTrue="1" operator="lessThan">
      <formula>E61</formula>
    </cfRule>
  </conditionalFormatting>
  <conditionalFormatting sqref="E64:AI65">
    <cfRule type="containsText" dxfId="1002" priority="408" operator="containsText" text="Yes">
      <formula>NOT(ISERROR(SEARCH("Yes",E64)))</formula>
    </cfRule>
    <cfRule type="containsText" dxfId="1001" priority="409" operator="containsText" text="No">
      <formula>NOT(ISERROR(SEARCH("No",E64)))</formula>
    </cfRule>
  </conditionalFormatting>
  <conditionalFormatting sqref="E64:AI66 E50:O52">
    <cfRule type="containsText" dxfId="1000" priority="410" operator="containsText" text="Yes">
      <formula>NOT(ISERROR(SEARCH("Yes",E50)))</formula>
    </cfRule>
  </conditionalFormatting>
  <conditionalFormatting sqref="E67:AI67 P53:R53 U53:AI53">
    <cfRule type="containsBlanks" priority="415" stopIfTrue="1">
      <formula>LEN(TRIM(E53))=0</formula>
    </cfRule>
  </conditionalFormatting>
  <conditionalFormatting sqref="E71:AI72">
    <cfRule type="containsText" dxfId="999" priority="372" operator="containsText" text="Yes">
      <formula>NOT(ISERROR(SEARCH("Yes",E71)))</formula>
    </cfRule>
    <cfRule type="containsText" dxfId="998" priority="373" operator="containsText" text="No">
      <formula>NOT(ISERROR(SEARCH("No",E71)))</formula>
    </cfRule>
  </conditionalFormatting>
  <conditionalFormatting sqref="E71:AI73">
    <cfRule type="containsText" dxfId="997" priority="374" operator="containsText" text="Yes">
      <formula>NOT(ISERROR(SEARCH("Yes",E71)))</formula>
    </cfRule>
    <cfRule type="containsText" dxfId="996" priority="375" operator="containsText" text="No">
      <formula>NOT(ISERROR(SEARCH("No",E71)))</formula>
    </cfRule>
  </conditionalFormatting>
  <conditionalFormatting sqref="E73:AI73">
    <cfRule type="containsText" dxfId="995" priority="380" operator="containsText" text="Yes">
      <formula>NOT(ISERROR(SEARCH("Yes",E73)))</formula>
    </cfRule>
    <cfRule type="containsText" dxfId="994" priority="381" operator="containsText" text="No">
      <formula>NOT(ISERROR(SEARCH("No",E73)))</formula>
    </cfRule>
  </conditionalFormatting>
  <conditionalFormatting sqref="E74:AI74">
    <cfRule type="cellIs" dxfId="993" priority="382" stopIfTrue="1" operator="greaterThanOrEqual">
      <formula>E75</formula>
    </cfRule>
    <cfRule type="cellIs" dxfId="992" priority="383" stopIfTrue="1" operator="lessThan">
      <formula>E75</formula>
    </cfRule>
    <cfRule type="containsBlanks" priority="379" stopIfTrue="1">
      <formula>LEN(TRIM(E74))=0</formula>
    </cfRule>
  </conditionalFormatting>
  <conditionalFormatting sqref="E78:AI79">
    <cfRule type="containsText" dxfId="991" priority="114" operator="containsText" text="No">
      <formula>NOT(ISERROR(SEARCH("No",E78)))</formula>
    </cfRule>
    <cfRule type="containsText" dxfId="990" priority="113" operator="containsText" text="Yes">
      <formula>NOT(ISERROR(SEARCH("Yes",E78)))</formula>
    </cfRule>
  </conditionalFormatting>
  <conditionalFormatting sqref="E78:AI80">
    <cfRule type="containsText" dxfId="989" priority="116" operator="containsText" text="No">
      <formula>NOT(ISERROR(SEARCH("No",E78)))</formula>
    </cfRule>
    <cfRule type="containsText" dxfId="988" priority="115" operator="containsText" text="Yes">
      <formula>NOT(ISERROR(SEARCH("Yes",E78)))</formula>
    </cfRule>
  </conditionalFormatting>
  <conditionalFormatting sqref="E80:AI80">
    <cfRule type="containsText" dxfId="987" priority="118" operator="containsText" text="Yes">
      <formula>NOT(ISERROR(SEARCH("Yes",E80)))</formula>
    </cfRule>
    <cfRule type="containsText" dxfId="986" priority="119" operator="containsText" text="No">
      <formula>NOT(ISERROR(SEARCH("No",E80)))</formula>
    </cfRule>
  </conditionalFormatting>
  <conditionalFormatting sqref="E85:AI87 AF92:AI94">
    <cfRule type="containsText" dxfId="985" priority="350" operator="containsText" text="Yes">
      <formula>NOT(ISERROR(SEARCH("Yes",E85)))</formula>
    </cfRule>
    <cfRule type="containsText" dxfId="984" priority="351" operator="containsText" text="No">
      <formula>NOT(ISERROR(SEARCH("No",E85)))</formula>
    </cfRule>
  </conditionalFormatting>
  <conditionalFormatting sqref="E87:AI87 AF94:AI94">
    <cfRule type="containsText" dxfId="983" priority="357" operator="containsText" text="No">
      <formula>NOT(ISERROR(SEARCH("No",E87)))</formula>
    </cfRule>
    <cfRule type="containsText" dxfId="982" priority="356" operator="containsText" text="Yes">
      <formula>NOT(ISERROR(SEARCH("Yes",E87)))</formula>
    </cfRule>
  </conditionalFormatting>
  <conditionalFormatting sqref="E102:AI102">
    <cfRule type="cellIs" dxfId="981" priority="13" stopIfTrue="1" operator="lessThan">
      <formula>E103</formula>
    </cfRule>
    <cfRule type="cellIs" dxfId="980" priority="12" stopIfTrue="1" operator="greaterThanOrEqual">
      <formula>E103</formula>
    </cfRule>
    <cfRule type="containsBlanks" priority="11" stopIfTrue="1">
      <formula>LEN(TRIM(E102))=0</formula>
    </cfRule>
  </conditionalFormatting>
  <conditionalFormatting sqref="E109:AI109">
    <cfRule type="containsBlanks" priority="25" stopIfTrue="1">
      <formula>LEN(TRIM(E109))=0</formula>
    </cfRule>
    <cfRule type="cellIs" dxfId="979" priority="26" stopIfTrue="1" operator="greaterThanOrEqual">
      <formula>E110</formula>
    </cfRule>
    <cfRule type="cellIs" dxfId="978" priority="27" stopIfTrue="1" operator="lessThan">
      <formula>E110</formula>
    </cfRule>
  </conditionalFormatting>
  <conditionalFormatting sqref="K60:AI60">
    <cfRule type="cellIs" dxfId="977" priority="102" stopIfTrue="1" operator="greaterThanOrEqual">
      <formula>K61</formula>
    </cfRule>
    <cfRule type="containsBlanks" priority="101" stopIfTrue="1">
      <formula>LEN(TRIM(K60))=0</formula>
    </cfRule>
    <cfRule type="cellIs" dxfId="976" priority="103" stopIfTrue="1" operator="lessThan">
      <formula>K61</formula>
    </cfRule>
  </conditionalFormatting>
  <conditionalFormatting sqref="L54:O54">
    <cfRule type="cellIs" dxfId="975" priority="6363" stopIfTrue="1" operator="greaterThanOrEqual">
      <formula>#REF!</formula>
    </cfRule>
    <cfRule type="containsBlanks" priority="6362" stopIfTrue="1">
      <formula>LEN(TRIM(L54))=0</formula>
    </cfRule>
    <cfRule type="cellIs" dxfId="974" priority="6361" stopIfTrue="1" operator="lessThan">
      <formula>#REF!</formula>
    </cfRule>
    <cfRule type="cellIs" dxfId="973" priority="6360" stopIfTrue="1" operator="greaterThanOrEqual">
      <formula>#REF!</formula>
    </cfRule>
    <cfRule type="containsBlanks" priority="6359" stopIfTrue="1">
      <formula>LEN(TRIM(L54))=0</formula>
    </cfRule>
    <cfRule type="cellIs" dxfId="972" priority="6346" stopIfTrue="1" operator="lessThan">
      <formula>#REF!</formula>
    </cfRule>
    <cfRule type="cellIs" dxfId="971" priority="6345" stopIfTrue="1" operator="greaterThanOrEqual">
      <formula>#REF!</formula>
    </cfRule>
    <cfRule type="containsBlanks" priority="6344" stopIfTrue="1">
      <formula>LEN(TRIM(L54))=0</formula>
    </cfRule>
    <cfRule type="cellIs" dxfId="970" priority="6332" stopIfTrue="1" operator="lessThan">
      <formula>#REF!</formula>
    </cfRule>
    <cfRule type="cellIs" dxfId="969" priority="6331" stopIfTrue="1" operator="greaterThanOrEqual">
      <formula>#REF!</formula>
    </cfRule>
    <cfRule type="cellIs" dxfId="968" priority="6370" stopIfTrue="1" operator="lessThan">
      <formula>#REF!</formula>
    </cfRule>
    <cfRule type="cellIs" dxfId="967" priority="6366" stopIfTrue="1" operator="greaterThanOrEqual">
      <formula>#REF!</formula>
    </cfRule>
    <cfRule type="cellIs" dxfId="966" priority="6369" stopIfTrue="1" operator="greaterThanOrEqual">
      <formula>#REF!</formula>
    </cfRule>
    <cfRule type="containsBlanks" priority="6368" stopIfTrue="1">
      <formula>LEN(TRIM(L54))=0</formula>
    </cfRule>
    <cfRule type="cellIs" dxfId="965" priority="6367" stopIfTrue="1" operator="lessThan">
      <formula>#REF!</formula>
    </cfRule>
    <cfRule type="containsBlanks" priority="6365" stopIfTrue="1">
      <formula>LEN(TRIM(L54))=0</formula>
    </cfRule>
    <cfRule type="cellIs" dxfId="964" priority="6364" stopIfTrue="1" operator="lessThan">
      <formula>#REF!</formula>
    </cfRule>
  </conditionalFormatting>
  <conditionalFormatting sqref="N82:AD82 AF82:AI82 E81:M81 E31:Q31">
    <cfRule type="containsBlanks" priority="436" stopIfTrue="1">
      <formula>LEN(TRIM(E31))=0</formula>
    </cfRule>
  </conditionalFormatting>
  <conditionalFormatting sqref="O88:AI88">
    <cfRule type="cellIs" dxfId="963" priority="157" stopIfTrue="1" operator="lessThan">
      <formula>O89</formula>
    </cfRule>
    <cfRule type="cellIs" dxfId="962" priority="156" stopIfTrue="1" operator="greaterThanOrEqual">
      <formula>O89</formula>
    </cfRule>
    <cfRule type="containsBlanks" priority="155" stopIfTrue="1">
      <formula>LEN(TRIM(O88))=0</formula>
    </cfRule>
  </conditionalFormatting>
  <conditionalFormatting sqref="P53:R53 U53:AI53 E67:AI67 E53:K53">
    <cfRule type="cellIs" dxfId="961" priority="418" stopIfTrue="1" operator="greaterThanOrEqual">
      <formula>E54</formula>
    </cfRule>
  </conditionalFormatting>
  <conditionalFormatting sqref="P99:AA101 AD99:AI101">
    <cfRule type="containsText" dxfId="960" priority="149" operator="containsText" text="No">
      <formula>NOT(ISERROR(SEARCH("No",P99)))</formula>
    </cfRule>
    <cfRule type="containsText" dxfId="959" priority="148" operator="containsText" text="Yes">
      <formula>NOT(ISERROR(SEARCH("Yes",P99)))</formula>
    </cfRule>
  </conditionalFormatting>
  <conditionalFormatting sqref="Q43:Q45">
    <cfRule type="containsText" dxfId="958" priority="127" operator="containsText" text="Yes">
      <formula>NOT(ISERROR(SEARCH("Yes",Q43)))</formula>
    </cfRule>
    <cfRule type="containsText" dxfId="957" priority="128" operator="containsText" text="No">
      <formula>NOT(ISERROR(SEARCH("No",Q43)))</formula>
    </cfRule>
    <cfRule type="containsText" dxfId="956" priority="129" operator="containsText" text="Yes">
      <formula>NOT(ISERROR(SEARCH("Yes",Q43)))</formula>
    </cfRule>
    <cfRule type="containsText" dxfId="955" priority="130" operator="containsText" text="No">
      <formula>NOT(ISERROR(SEARCH("No",Q43)))</formula>
    </cfRule>
  </conditionalFormatting>
  <conditionalFormatting sqref="R28:AI30">
    <cfRule type="containsText" dxfId="954" priority="568" operator="containsText" text="Yes">
      <formula>NOT(ISERROR(SEARCH("Yes",R28)))</formula>
    </cfRule>
    <cfRule type="containsText" dxfId="953" priority="569" operator="containsText" text="No">
      <formula>NOT(ISERROR(SEARCH("No",R28)))</formula>
    </cfRule>
  </conditionalFormatting>
  <conditionalFormatting sqref="R31:AI31">
    <cfRule type="cellIs" dxfId="952" priority="574" stopIfTrue="1" operator="greaterThanOrEqual">
      <formula>R32</formula>
    </cfRule>
    <cfRule type="cellIs" dxfId="951" priority="575" stopIfTrue="1" operator="lessThan">
      <formula>R32</formula>
    </cfRule>
    <cfRule type="containsBlanks" priority="551" stopIfTrue="1">
      <formula>LEN(TRIM(R31))=0</formula>
    </cfRule>
  </conditionalFormatting>
  <conditionalFormatting sqref="R38:AI38">
    <cfRule type="containsBlanks" priority="259" stopIfTrue="1">
      <formula>LEN(TRIM(R38))=0</formula>
    </cfRule>
    <cfRule type="cellIs" dxfId="950" priority="262" stopIfTrue="1" operator="greaterThanOrEqual">
      <formula>R39</formula>
    </cfRule>
    <cfRule type="cellIs" dxfId="949" priority="263" stopIfTrue="1" operator="lessThan">
      <formula>R39</formula>
    </cfRule>
  </conditionalFormatting>
  <conditionalFormatting sqref="R46:AI46 P53:R53 U53:AI53 K67:AI67 J74:AI74 L88:AI88 E102:AA102 AD102:AI102 E109:AI109 E116:Q116 X116:AI116 E123:P123 AA123:AI123 E130:P130 U130:AI130 E137:P137 U137:AI137 E144:P144 U144:AI144 E151:P151 U151:AI151 E158:P158 U158:AI158 E165:P165 U165:AI165">
    <cfRule type="cellIs" dxfId="948" priority="457" stopIfTrue="1" operator="lessThan">
      <formula>E47</formula>
    </cfRule>
    <cfRule type="cellIs" dxfId="947" priority="456" stopIfTrue="1" operator="greaterThanOrEqual">
      <formula>E47</formula>
    </cfRule>
  </conditionalFormatting>
  <conditionalFormatting sqref="R92:AI94">
    <cfRule type="containsText" dxfId="946" priority="106" operator="containsText" text="Yes">
      <formula>NOT(ISERROR(SEARCH("Yes",R92)))</formula>
    </cfRule>
    <cfRule type="containsText" dxfId="945" priority="107" operator="containsText" text="No">
      <formula>NOT(ISERROR(SEARCH("No",R92)))</formula>
    </cfRule>
  </conditionalFormatting>
  <conditionalFormatting sqref="R95:AI95">
    <cfRule type="cellIs" dxfId="944" priority="112" stopIfTrue="1" operator="lessThan">
      <formula>R96</formula>
    </cfRule>
    <cfRule type="cellIs" dxfId="943" priority="111" stopIfTrue="1" operator="greaterThanOrEqual">
      <formula>R96</formula>
    </cfRule>
    <cfRule type="containsBlanks" priority="108" stopIfTrue="1">
      <formula>LEN(TRIM(R95))=0</formula>
    </cfRule>
  </conditionalFormatting>
  <conditionalFormatting sqref="S50:T51">
    <cfRule type="containsText" dxfId="942" priority="33" operator="containsText" text="No">
      <formula>NOT(ISERROR(SEARCH("No",S50)))</formula>
    </cfRule>
    <cfRule type="containsText" dxfId="941" priority="32" operator="containsText" text="Yes">
      <formula>NOT(ISERROR(SEARCH("Yes",S50)))</formula>
    </cfRule>
  </conditionalFormatting>
  <conditionalFormatting sqref="S50:T52">
    <cfRule type="containsText" dxfId="940" priority="37" operator="containsText" text="No">
      <formula>NOT(ISERROR(SEARCH("No",S50)))</formula>
    </cfRule>
    <cfRule type="containsText" dxfId="939" priority="36" operator="containsText" text="Yes">
      <formula>NOT(ISERROR(SEARCH("Yes",S50)))</formula>
    </cfRule>
    <cfRule type="containsText" dxfId="938" priority="35" operator="containsText" text="No">
      <formula>NOT(ISERROR(SEARCH("No",S50)))</formula>
    </cfRule>
    <cfRule type="containsText" dxfId="937" priority="34" operator="containsText" text="Yes">
      <formula>NOT(ISERROR(SEARCH("Yes",S50)))</formula>
    </cfRule>
    <cfRule type="containsText" dxfId="936" priority="43" operator="containsText" text="No">
      <formula>NOT(ISERROR(SEARCH("No",S50)))</formula>
    </cfRule>
    <cfRule type="containsText" dxfId="935" priority="42" operator="containsText" text="Yes">
      <formula>NOT(ISERROR(SEARCH("Yes",S50)))</formula>
    </cfRule>
    <cfRule type="containsText" dxfId="934" priority="41" operator="containsText" text="No">
      <formula>NOT(ISERROR(SEARCH("No",S50)))</formula>
    </cfRule>
    <cfRule type="containsText" dxfId="933" priority="40" operator="containsText" text="Yes">
      <formula>NOT(ISERROR(SEARCH("Yes",S50)))</formula>
    </cfRule>
    <cfRule type="containsText" dxfId="932" priority="39" operator="containsText" text="No">
      <formula>NOT(ISERROR(SEARCH("No",S50)))</formula>
    </cfRule>
    <cfRule type="containsText" dxfId="931" priority="38" operator="containsText" text="Yes">
      <formula>NOT(ISERROR(SEARCH("Yes",S50)))</formula>
    </cfRule>
  </conditionalFormatting>
  <conditionalFormatting sqref="S52:T52">
    <cfRule type="containsText" dxfId="930" priority="45" operator="containsText" text="Yes">
      <formula>NOT(ISERROR(SEARCH("Yes",S52)))</formula>
    </cfRule>
    <cfRule type="containsText" dxfId="929" priority="46" operator="containsText" text="No">
      <formula>NOT(ISERROR(SEARCH("No",S52)))</formula>
    </cfRule>
  </conditionalFormatting>
  <conditionalFormatting sqref="S54:T54">
    <cfRule type="cellIs" dxfId="928" priority="62" stopIfTrue="1" operator="greaterThanOrEqual">
      <formula>#REF!</formula>
    </cfRule>
    <cfRule type="containsBlanks" priority="61" stopIfTrue="1">
      <formula>LEN(TRIM(S54))=0</formula>
    </cfRule>
    <cfRule type="cellIs" dxfId="927" priority="60" stopIfTrue="1" operator="lessThan">
      <formula>#REF!</formula>
    </cfRule>
    <cfRule type="cellIs" dxfId="926" priority="48" stopIfTrue="1" operator="lessThan">
      <formula>#REF!</formula>
    </cfRule>
    <cfRule type="containsBlanks" priority="49" stopIfTrue="1">
      <formula>LEN(TRIM(S54))=0</formula>
    </cfRule>
    <cfRule type="cellIs" dxfId="925" priority="51" stopIfTrue="1" operator="lessThan">
      <formula>#REF!</formula>
    </cfRule>
    <cfRule type="containsBlanks" priority="52" stopIfTrue="1">
      <formula>LEN(TRIM(S54))=0</formula>
    </cfRule>
    <cfRule type="cellIs" dxfId="924" priority="54" stopIfTrue="1" operator="lessThan">
      <formula>#REF!</formula>
    </cfRule>
    <cfRule type="cellIs" dxfId="923" priority="63" stopIfTrue="1" operator="lessThan">
      <formula>#REF!</formula>
    </cfRule>
    <cfRule type="containsBlanks" priority="55" stopIfTrue="1">
      <formula>LEN(TRIM(S54))=0</formula>
    </cfRule>
    <cfRule type="cellIs" dxfId="922" priority="56" stopIfTrue="1" operator="greaterThanOrEqual">
      <formula>#REF!</formula>
    </cfRule>
    <cfRule type="cellIs" dxfId="921" priority="57" stopIfTrue="1" operator="lessThan">
      <formula>#REF!</formula>
    </cfRule>
    <cfRule type="containsBlanks" priority="58" stopIfTrue="1">
      <formula>LEN(TRIM(S54))=0</formula>
    </cfRule>
    <cfRule type="cellIs" dxfId="920" priority="59" stopIfTrue="1" operator="greaterThanOrEqual">
      <formula>#REF!</formula>
    </cfRule>
    <cfRule type="cellIs" dxfId="919" priority="53" stopIfTrue="1" operator="greaterThanOrEqual">
      <formula>#REF!</formula>
    </cfRule>
    <cfRule type="cellIs" dxfId="918" priority="50" stopIfTrue="1" operator="greaterThanOrEqual">
      <formula>#REF!</formula>
    </cfRule>
    <cfRule type="containsBlanks" priority="44" stopIfTrue="1">
      <formula>LEN(TRIM(S54))=0</formula>
    </cfRule>
    <cfRule type="cellIs" dxfId="917" priority="47" stopIfTrue="1" operator="greaterThanOrEqual">
      <formula>#REF!</formula>
    </cfRule>
  </conditionalFormatting>
  <conditionalFormatting sqref="V129:AI129 V136:AI136 V143:AI143 V150:AI150 V157:AI157 V164:AI164 E108:X108 Z108:AI108 E115:Q115 Z115:AC115 AE115 AG115 AI115 AA122:AI122 E129:P129 E136:P136 E143:P143 E150:P150 E157:P157 E164:P164 E122:P122">
    <cfRule type="containsText" dxfId="916" priority="454" operator="containsText" text="Yes">
      <formula>NOT(ISERROR(SEARCH("Yes",E108)))</formula>
    </cfRule>
  </conditionalFormatting>
  <conditionalFormatting sqref="V129:AI129 V136:AI136 V143:AI143 V150:AI150 V157:AI157 V164:AI164">
    <cfRule type="containsText" dxfId="915" priority="450" operator="containsText" text="No">
      <formula>NOT(ISERROR(SEARCH("No",V129)))</formula>
    </cfRule>
    <cfRule type="containsText" dxfId="914" priority="449" operator="containsText" text="Yes">
      <formula>NOT(ISERROR(SEARCH("Yes",V129)))</formula>
    </cfRule>
  </conditionalFormatting>
  <conditionalFormatting sqref="X116:AI116">
    <cfRule type="containsBlanks" priority="1" stopIfTrue="1">
      <formula>LEN(TRIM(X116))=0</formula>
    </cfRule>
    <cfRule type="cellIs" dxfId="913" priority="2" stopIfTrue="1" operator="greaterThanOrEqual">
      <formula>X117</formula>
    </cfRule>
    <cfRule type="cellIs" dxfId="912" priority="3" stopIfTrue="1" operator="lessThan">
      <formula>X117</formula>
    </cfRule>
  </conditionalFormatting>
  <conditionalFormatting sqref="Y106:Y108">
    <cfRule type="containsText" dxfId="911" priority="29" operator="containsText" text="No">
      <formula>NOT(ISERROR(SEARCH("No",Y106)))</formula>
    </cfRule>
    <cfRule type="containsText" dxfId="910" priority="23" operator="containsText" text="Yes">
      <formula>NOT(ISERROR(SEARCH("Yes",Y106)))</formula>
    </cfRule>
    <cfRule type="containsText" dxfId="909" priority="28" operator="containsText" text="Yes">
      <formula>NOT(ISERROR(SEARCH("Yes",Y106)))</formula>
    </cfRule>
    <cfRule type="containsText" dxfId="908" priority="24" operator="containsText" text="No">
      <formula>NOT(ISERROR(SEARCH("No",Y106)))</formula>
    </cfRule>
  </conditionalFormatting>
  <conditionalFormatting sqref="Y108">
    <cfRule type="containsText" dxfId="907" priority="30" operator="containsText" text="Yes">
      <formula>NOT(ISERROR(SEARCH("Yes",Y108)))</formula>
    </cfRule>
    <cfRule type="containsText" dxfId="906" priority="31" operator="containsText" text="No">
      <formula>NOT(ISERROR(SEARCH("No",Y108)))</formula>
    </cfRule>
  </conditionalFormatting>
  <conditionalFormatting sqref="Y113:Y115">
    <cfRule type="containsText" dxfId="905" priority="14" operator="containsText" text="Yes">
      <formula>NOT(ISERROR(SEARCH("Yes",Y113)))</formula>
    </cfRule>
    <cfRule type="containsText" dxfId="904" priority="15" operator="containsText" text="No">
      <formula>NOT(ISERROR(SEARCH("No",Y113)))</formula>
    </cfRule>
    <cfRule type="containsText" dxfId="903" priority="19" operator="containsText" text="Yes">
      <formula>NOT(ISERROR(SEARCH("Yes",Y113)))</formula>
    </cfRule>
    <cfRule type="containsText" dxfId="902" priority="20" operator="containsText" text="No">
      <formula>NOT(ISERROR(SEARCH("No",Y113)))</formula>
    </cfRule>
  </conditionalFormatting>
  <conditionalFormatting sqref="Y115">
    <cfRule type="containsText" dxfId="901" priority="21" operator="containsText" text="Yes">
      <formula>NOT(ISERROR(SEARCH("Yes",Y115)))</formula>
    </cfRule>
    <cfRule type="containsText" dxfId="900" priority="22" operator="containsText" text="No">
      <formula>NOT(ISERROR(SEARCH("No",Y115)))</formula>
    </cfRule>
  </conditionalFormatting>
  <conditionalFormatting sqref="AB99:AC101">
    <cfRule type="containsText" dxfId="899" priority="4" operator="containsText" text="Yes">
      <formula>NOT(ISERROR(SEARCH("Yes",AB99)))</formula>
    </cfRule>
    <cfRule type="containsText" dxfId="898" priority="5" operator="containsText" text="No">
      <formula>NOT(ISERROR(SEARCH("No",AB99)))</formula>
    </cfRule>
  </conditionalFormatting>
  <conditionalFormatting sqref="AB102:AC102">
    <cfRule type="cellIs" dxfId="897" priority="9" stopIfTrue="1" operator="greaterThanOrEqual">
      <formula>AB103</formula>
    </cfRule>
    <cfRule type="cellIs" dxfId="896" priority="10" stopIfTrue="1" operator="lessThan">
      <formula>AB103</formula>
    </cfRule>
    <cfRule type="containsBlanks" priority="8" stopIfTrue="1">
      <formula>LEN(TRIM(AB102))=0</formula>
    </cfRule>
  </conditionalFormatting>
  <conditionalFormatting sqref="AB99:AI101">
    <cfRule type="containsText" dxfId="895" priority="7" operator="containsText" text="No">
      <formula>NOT(ISERROR(SEARCH("No",AB99)))</formula>
    </cfRule>
    <cfRule type="containsText" dxfId="894" priority="6" operator="containsText" text="Yes">
      <formula>NOT(ISERROR(SEARCH("Yes",AB99)))</formula>
    </cfRule>
  </conditionalFormatting>
  <conditionalFormatting sqref="AD21:AI21 E21:AC23 AD22:AG22 AI22 AD23:AI23 E45:Q45">
    <cfRule type="containsText" dxfId="893" priority="333" operator="containsText" text="No">
      <formula>NOT(ISERROR(SEARCH("No",E21)))</formula>
    </cfRule>
  </conditionalFormatting>
  <conditionalFormatting sqref="AE81">
    <cfRule type="containsBlanks" priority="117" stopIfTrue="1">
      <formula>LEN(TRIM(AE81))=0</formula>
    </cfRule>
    <cfRule type="cellIs" dxfId="892" priority="123" stopIfTrue="1" operator="greaterThanOrEqual">
      <formula>AE82</formula>
    </cfRule>
    <cfRule type="cellIs" dxfId="891" priority="124" stopIfTrue="1" operator="lessThan">
      <formula>AE82</formula>
    </cfRule>
    <cfRule type="cellIs" dxfId="890" priority="121" stopIfTrue="1" operator="lessThan">
      <formula>AE82</formula>
    </cfRule>
    <cfRule type="containsBlanks" priority="122" stopIfTrue="1">
      <formula>LEN(TRIM(AE81))=0</formula>
    </cfRule>
    <cfRule type="cellIs" dxfId="889" priority="120" stopIfTrue="1" operator="greaterThanOrEqual">
      <formula>AE82</formula>
    </cfRule>
  </conditionalFormatting>
  <conditionalFormatting sqref="AE92:AE93">
    <cfRule type="containsText" dxfId="888" priority="104" operator="containsText" text="Yes">
      <formula>NOT(ISERROR(SEARCH("Yes",AE92)))</formula>
    </cfRule>
    <cfRule type="containsText" dxfId="887" priority="105" operator="containsText" text="No">
      <formula>NOT(ISERROR(SEARCH("No",AE92)))</formula>
    </cfRule>
  </conditionalFormatting>
  <conditionalFormatting sqref="AE94">
    <cfRule type="containsText" dxfId="886" priority="109" operator="containsText" text="Yes">
      <formula>NOT(ISERROR(SEARCH("Yes",AE94)))</formula>
    </cfRule>
    <cfRule type="containsText" dxfId="885" priority="110" operator="containsText" text="No">
      <formula>NOT(ISERROR(SEARCH("No",AE94)))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E718-E0DE-4F7F-9AF9-52F15989B1C3}">
  <sheetPr filterMode="1">
    <tabColor rgb="FFEE0000"/>
  </sheetPr>
  <dimension ref="A1:AK1743"/>
  <sheetViews>
    <sheetView topLeftCell="C1" workbookViewId="0">
      <selection activeCell="F23" sqref="F23"/>
    </sheetView>
  </sheetViews>
  <sheetFormatPr defaultRowHeight="14.4" outlineLevelRow="1"/>
  <cols>
    <col min="1" max="1" width="3.88671875" style="1819" customWidth="1"/>
    <col min="2" max="2" width="7.109375" style="1906" customWidth="1"/>
    <col min="3" max="3" width="33.33203125" style="1826" customWidth="1"/>
    <col min="4" max="4" width="55.21875" style="1827" customWidth="1"/>
    <col min="5" max="5" width="10" style="1828" customWidth="1"/>
    <col min="6" max="6" width="13.21875" style="1829" customWidth="1"/>
    <col min="7" max="7" width="9.21875" style="1830" customWidth="1"/>
    <col min="8" max="8" width="9.21875" style="1831" customWidth="1"/>
    <col min="9" max="9" width="7.88671875" style="1831" customWidth="1"/>
    <col min="10" max="10" width="47.88671875" style="1819" customWidth="1"/>
    <col min="11" max="11" width="11.21875" style="1819" customWidth="1"/>
    <col min="12" max="13" width="7.21875" style="1819" customWidth="1"/>
    <col min="14" max="251" width="9" style="1819" bestFit="1" customWidth="1"/>
    <col min="252" max="252" width="7.21875" style="1819" customWidth="1"/>
    <col min="253" max="253" width="20.21875" style="1819" customWidth="1"/>
    <col min="254" max="254" width="39" style="1819" customWidth="1"/>
    <col min="255" max="255" width="24.21875" style="1819" customWidth="1"/>
    <col min="256" max="256" width="13.21875" style="1819" customWidth="1"/>
    <col min="257" max="261" width="0" style="1819" hidden="1" customWidth="1"/>
    <col min="262" max="263" width="14" style="1819" customWidth="1"/>
    <col min="264" max="264" width="15.21875" style="1819" customWidth="1"/>
    <col min="265" max="265" width="46.21875" style="1819" customWidth="1"/>
    <col min="266" max="266" width="0" style="1819" hidden="1" customWidth="1"/>
    <col min="267" max="507" width="9" style="1819" bestFit="1" customWidth="1"/>
    <col min="508" max="508" width="7.21875" style="1819" customWidth="1"/>
    <col min="509" max="509" width="20.21875" style="1819" customWidth="1"/>
    <col min="510" max="510" width="39" style="1819" customWidth="1"/>
    <col min="511" max="511" width="24.21875" style="1819" customWidth="1"/>
    <col min="512" max="512" width="13.21875" style="1819" customWidth="1"/>
    <col min="513" max="517" width="0" style="1819" hidden="1" customWidth="1"/>
    <col min="518" max="519" width="14" style="1819" customWidth="1"/>
    <col min="520" max="520" width="15.21875" style="1819" customWidth="1"/>
    <col min="521" max="521" width="46.21875" style="1819" customWidth="1"/>
    <col min="522" max="522" width="0" style="1819" hidden="1" customWidth="1"/>
    <col min="523" max="763" width="9" style="1819" bestFit="1" customWidth="1"/>
    <col min="764" max="764" width="7.21875" style="1819" customWidth="1"/>
    <col min="765" max="765" width="20.21875" style="1819" customWidth="1"/>
    <col min="766" max="766" width="39" style="1819" customWidth="1"/>
    <col min="767" max="767" width="24.21875" style="1819" customWidth="1"/>
    <col min="768" max="768" width="13.21875" style="1819" customWidth="1"/>
    <col min="769" max="773" width="0" style="1819" hidden="1" customWidth="1"/>
    <col min="774" max="775" width="14" style="1819" customWidth="1"/>
    <col min="776" max="776" width="15.21875" style="1819" customWidth="1"/>
    <col min="777" max="777" width="46.21875" style="1819" customWidth="1"/>
    <col min="778" max="778" width="0" style="1819" hidden="1" customWidth="1"/>
    <col min="779" max="1019" width="9" style="1819" bestFit="1" customWidth="1"/>
    <col min="1020" max="1020" width="7.21875" style="1819" customWidth="1"/>
    <col min="1021" max="1021" width="20.21875" style="1819" customWidth="1"/>
    <col min="1022" max="1022" width="39" style="1819" customWidth="1"/>
    <col min="1023" max="1023" width="24.21875" style="1819" customWidth="1"/>
    <col min="1024" max="1024" width="13.21875" style="1819" customWidth="1"/>
    <col min="1025" max="1029" width="0" style="1819" hidden="1" customWidth="1"/>
    <col min="1030" max="1031" width="14" style="1819" customWidth="1"/>
    <col min="1032" max="1032" width="15.21875" style="1819" customWidth="1"/>
    <col min="1033" max="1033" width="46.21875" style="1819" customWidth="1"/>
    <col min="1034" max="1034" width="0" style="1819" hidden="1" customWidth="1"/>
    <col min="1035" max="1275" width="9" style="1819" bestFit="1" customWidth="1"/>
    <col min="1276" max="1276" width="7.21875" style="1819" customWidth="1"/>
    <col min="1277" max="1277" width="20.21875" style="1819" customWidth="1"/>
    <col min="1278" max="1278" width="39" style="1819" customWidth="1"/>
    <col min="1279" max="1279" width="24.21875" style="1819" customWidth="1"/>
    <col min="1280" max="1280" width="13.21875" style="1819" customWidth="1"/>
    <col min="1281" max="1285" width="0" style="1819" hidden="1" customWidth="1"/>
    <col min="1286" max="1287" width="14" style="1819" customWidth="1"/>
    <col min="1288" max="1288" width="15.21875" style="1819" customWidth="1"/>
    <col min="1289" max="1289" width="46.21875" style="1819" customWidth="1"/>
    <col min="1290" max="1290" width="0" style="1819" hidden="1" customWidth="1"/>
    <col min="1291" max="1531" width="9" style="1819" bestFit="1" customWidth="1"/>
    <col min="1532" max="1532" width="7.21875" style="1819" customWidth="1"/>
    <col min="1533" max="1533" width="20.21875" style="1819" customWidth="1"/>
    <col min="1534" max="1534" width="39" style="1819" customWidth="1"/>
    <col min="1535" max="1535" width="24.21875" style="1819" customWidth="1"/>
    <col min="1536" max="1536" width="13.21875" style="1819" customWidth="1"/>
    <col min="1537" max="1541" width="0" style="1819" hidden="1" customWidth="1"/>
    <col min="1542" max="1543" width="14" style="1819" customWidth="1"/>
    <col min="1544" max="1544" width="15.21875" style="1819" customWidth="1"/>
    <col min="1545" max="1545" width="46.21875" style="1819" customWidth="1"/>
    <col min="1546" max="1546" width="0" style="1819" hidden="1" customWidth="1"/>
    <col min="1547" max="1787" width="9" style="1819" bestFit="1" customWidth="1"/>
    <col min="1788" max="1788" width="7.21875" style="1819" customWidth="1"/>
    <col min="1789" max="1789" width="20.21875" style="1819" customWidth="1"/>
    <col min="1790" max="1790" width="39" style="1819" customWidth="1"/>
    <col min="1791" max="1791" width="24.21875" style="1819" customWidth="1"/>
    <col min="1792" max="1792" width="13.21875" style="1819" customWidth="1"/>
    <col min="1793" max="1797" width="0" style="1819" hidden="1" customWidth="1"/>
    <col min="1798" max="1799" width="14" style="1819" customWidth="1"/>
    <col min="1800" max="1800" width="15.21875" style="1819" customWidth="1"/>
    <col min="1801" max="1801" width="46.21875" style="1819" customWidth="1"/>
    <col min="1802" max="1802" width="0" style="1819" hidden="1" customWidth="1"/>
    <col min="1803" max="2043" width="9" style="1819" bestFit="1" customWidth="1"/>
    <col min="2044" max="2044" width="7.21875" style="1819" customWidth="1"/>
    <col min="2045" max="2045" width="20.21875" style="1819" customWidth="1"/>
    <col min="2046" max="2046" width="39" style="1819" customWidth="1"/>
    <col min="2047" max="2047" width="24.21875" style="1819" customWidth="1"/>
    <col min="2048" max="2048" width="13.21875" style="1819" customWidth="1"/>
    <col min="2049" max="2053" width="0" style="1819" hidden="1" customWidth="1"/>
    <col min="2054" max="2055" width="14" style="1819" customWidth="1"/>
    <col min="2056" max="2056" width="15.21875" style="1819" customWidth="1"/>
    <col min="2057" max="2057" width="46.21875" style="1819" customWidth="1"/>
    <col min="2058" max="2058" width="0" style="1819" hidden="1" customWidth="1"/>
    <col min="2059" max="2299" width="9" style="1819" bestFit="1" customWidth="1"/>
    <col min="2300" max="2300" width="7.21875" style="1819" customWidth="1"/>
    <col min="2301" max="2301" width="20.21875" style="1819" customWidth="1"/>
    <col min="2302" max="2302" width="39" style="1819" customWidth="1"/>
    <col min="2303" max="2303" width="24.21875" style="1819" customWidth="1"/>
    <col min="2304" max="2304" width="13.21875" style="1819" customWidth="1"/>
    <col min="2305" max="2309" width="0" style="1819" hidden="1" customWidth="1"/>
    <col min="2310" max="2311" width="14" style="1819" customWidth="1"/>
    <col min="2312" max="2312" width="15.21875" style="1819" customWidth="1"/>
    <col min="2313" max="2313" width="46.21875" style="1819" customWidth="1"/>
    <col min="2314" max="2314" width="0" style="1819" hidden="1" customWidth="1"/>
    <col min="2315" max="2555" width="9" style="1819" bestFit="1" customWidth="1"/>
    <col min="2556" max="2556" width="7.21875" style="1819" customWidth="1"/>
    <col min="2557" max="2557" width="20.21875" style="1819" customWidth="1"/>
    <col min="2558" max="2558" width="39" style="1819" customWidth="1"/>
    <col min="2559" max="2559" width="24.21875" style="1819" customWidth="1"/>
    <col min="2560" max="2560" width="13.21875" style="1819" customWidth="1"/>
    <col min="2561" max="2565" width="0" style="1819" hidden="1" customWidth="1"/>
    <col min="2566" max="2567" width="14" style="1819" customWidth="1"/>
    <col min="2568" max="2568" width="15.21875" style="1819" customWidth="1"/>
    <col min="2569" max="2569" width="46.21875" style="1819" customWidth="1"/>
    <col min="2570" max="2570" width="0" style="1819" hidden="1" customWidth="1"/>
    <col min="2571" max="2811" width="9" style="1819" bestFit="1" customWidth="1"/>
    <col min="2812" max="2812" width="7.21875" style="1819" customWidth="1"/>
    <col min="2813" max="2813" width="20.21875" style="1819" customWidth="1"/>
    <col min="2814" max="2814" width="39" style="1819" customWidth="1"/>
    <col min="2815" max="2815" width="24.21875" style="1819" customWidth="1"/>
    <col min="2816" max="2816" width="13.21875" style="1819" customWidth="1"/>
    <col min="2817" max="2821" width="0" style="1819" hidden="1" customWidth="1"/>
    <col min="2822" max="2823" width="14" style="1819" customWidth="1"/>
    <col min="2824" max="2824" width="15.21875" style="1819" customWidth="1"/>
    <col min="2825" max="2825" width="46.21875" style="1819" customWidth="1"/>
    <col min="2826" max="2826" width="0" style="1819" hidden="1" customWidth="1"/>
    <col min="2827" max="3067" width="9" style="1819" bestFit="1" customWidth="1"/>
    <col min="3068" max="3068" width="7.21875" style="1819" customWidth="1"/>
    <col min="3069" max="3069" width="20.21875" style="1819" customWidth="1"/>
    <col min="3070" max="3070" width="39" style="1819" customWidth="1"/>
    <col min="3071" max="3071" width="24.21875" style="1819" customWidth="1"/>
    <col min="3072" max="3072" width="13.21875" style="1819" customWidth="1"/>
    <col min="3073" max="3077" width="0" style="1819" hidden="1" customWidth="1"/>
    <col min="3078" max="3079" width="14" style="1819" customWidth="1"/>
    <col min="3080" max="3080" width="15.21875" style="1819" customWidth="1"/>
    <col min="3081" max="3081" width="46.21875" style="1819" customWidth="1"/>
    <col min="3082" max="3082" width="0" style="1819" hidden="1" customWidth="1"/>
    <col min="3083" max="3323" width="9" style="1819" bestFit="1" customWidth="1"/>
    <col min="3324" max="3324" width="7.21875" style="1819" customWidth="1"/>
    <col min="3325" max="3325" width="20.21875" style="1819" customWidth="1"/>
    <col min="3326" max="3326" width="39" style="1819" customWidth="1"/>
    <col min="3327" max="3327" width="24.21875" style="1819" customWidth="1"/>
    <col min="3328" max="3328" width="13.21875" style="1819" customWidth="1"/>
    <col min="3329" max="3333" width="0" style="1819" hidden="1" customWidth="1"/>
    <col min="3334" max="3335" width="14" style="1819" customWidth="1"/>
    <col min="3336" max="3336" width="15.21875" style="1819" customWidth="1"/>
    <col min="3337" max="3337" width="46.21875" style="1819" customWidth="1"/>
    <col min="3338" max="3338" width="0" style="1819" hidden="1" customWidth="1"/>
    <col min="3339" max="3579" width="9" style="1819" bestFit="1" customWidth="1"/>
    <col min="3580" max="3580" width="7.21875" style="1819" customWidth="1"/>
    <col min="3581" max="3581" width="20.21875" style="1819" customWidth="1"/>
    <col min="3582" max="3582" width="39" style="1819" customWidth="1"/>
    <col min="3583" max="3583" width="24.21875" style="1819" customWidth="1"/>
    <col min="3584" max="3584" width="13.21875" style="1819" customWidth="1"/>
    <col min="3585" max="3589" width="0" style="1819" hidden="1" customWidth="1"/>
    <col min="3590" max="3591" width="14" style="1819" customWidth="1"/>
    <col min="3592" max="3592" width="15.21875" style="1819" customWidth="1"/>
    <col min="3593" max="3593" width="46.21875" style="1819" customWidth="1"/>
    <col min="3594" max="3594" width="0" style="1819" hidden="1" customWidth="1"/>
    <col min="3595" max="3835" width="9" style="1819" bestFit="1" customWidth="1"/>
    <col min="3836" max="3836" width="7.21875" style="1819" customWidth="1"/>
    <col min="3837" max="3837" width="20.21875" style="1819" customWidth="1"/>
    <col min="3838" max="3838" width="39" style="1819" customWidth="1"/>
    <col min="3839" max="3839" width="24.21875" style="1819" customWidth="1"/>
    <col min="3840" max="3840" width="13.21875" style="1819" customWidth="1"/>
    <col min="3841" max="3845" width="0" style="1819" hidden="1" customWidth="1"/>
    <col min="3846" max="3847" width="14" style="1819" customWidth="1"/>
    <col min="3848" max="3848" width="15.21875" style="1819" customWidth="1"/>
    <col min="3849" max="3849" width="46.21875" style="1819" customWidth="1"/>
    <col min="3850" max="3850" width="0" style="1819" hidden="1" customWidth="1"/>
    <col min="3851" max="4091" width="9" style="1819" bestFit="1" customWidth="1"/>
    <col min="4092" max="4092" width="7.21875" style="1819" customWidth="1"/>
    <col min="4093" max="4093" width="20.21875" style="1819" customWidth="1"/>
    <col min="4094" max="4094" width="39" style="1819" customWidth="1"/>
    <col min="4095" max="4095" width="24.21875" style="1819" customWidth="1"/>
    <col min="4096" max="4096" width="13.21875" style="1819" customWidth="1"/>
    <col min="4097" max="4101" width="0" style="1819" hidden="1" customWidth="1"/>
    <col min="4102" max="4103" width="14" style="1819" customWidth="1"/>
    <col min="4104" max="4104" width="15.21875" style="1819" customWidth="1"/>
    <col min="4105" max="4105" width="46.21875" style="1819" customWidth="1"/>
    <col min="4106" max="4106" width="0" style="1819" hidden="1" customWidth="1"/>
    <col min="4107" max="4347" width="9" style="1819" bestFit="1" customWidth="1"/>
    <col min="4348" max="4348" width="7.21875" style="1819" customWidth="1"/>
    <col min="4349" max="4349" width="20.21875" style="1819" customWidth="1"/>
    <col min="4350" max="4350" width="39" style="1819" customWidth="1"/>
    <col min="4351" max="4351" width="24.21875" style="1819" customWidth="1"/>
    <col min="4352" max="4352" width="13.21875" style="1819" customWidth="1"/>
    <col min="4353" max="4357" width="0" style="1819" hidden="1" customWidth="1"/>
    <col min="4358" max="4359" width="14" style="1819" customWidth="1"/>
    <col min="4360" max="4360" width="15.21875" style="1819" customWidth="1"/>
    <col min="4361" max="4361" width="46.21875" style="1819" customWidth="1"/>
    <col min="4362" max="4362" width="0" style="1819" hidden="1" customWidth="1"/>
    <col min="4363" max="4603" width="9" style="1819" bestFit="1" customWidth="1"/>
    <col min="4604" max="4604" width="7.21875" style="1819" customWidth="1"/>
    <col min="4605" max="4605" width="20.21875" style="1819" customWidth="1"/>
    <col min="4606" max="4606" width="39" style="1819" customWidth="1"/>
    <col min="4607" max="4607" width="24.21875" style="1819" customWidth="1"/>
    <col min="4608" max="4608" width="13.21875" style="1819" customWidth="1"/>
    <col min="4609" max="4613" width="0" style="1819" hidden="1" customWidth="1"/>
    <col min="4614" max="4615" width="14" style="1819" customWidth="1"/>
    <col min="4616" max="4616" width="15.21875" style="1819" customWidth="1"/>
    <col min="4617" max="4617" width="46.21875" style="1819" customWidth="1"/>
    <col min="4618" max="4618" width="0" style="1819" hidden="1" customWidth="1"/>
    <col min="4619" max="4859" width="9" style="1819" bestFit="1" customWidth="1"/>
    <col min="4860" max="4860" width="7.21875" style="1819" customWidth="1"/>
    <col min="4861" max="4861" width="20.21875" style="1819" customWidth="1"/>
    <col min="4862" max="4862" width="39" style="1819" customWidth="1"/>
    <col min="4863" max="4863" width="24.21875" style="1819" customWidth="1"/>
    <col min="4864" max="4864" width="13.21875" style="1819" customWidth="1"/>
    <col min="4865" max="4869" width="0" style="1819" hidden="1" customWidth="1"/>
    <col min="4870" max="4871" width="14" style="1819" customWidth="1"/>
    <col min="4872" max="4872" width="15.21875" style="1819" customWidth="1"/>
    <col min="4873" max="4873" width="46.21875" style="1819" customWidth="1"/>
    <col min="4874" max="4874" width="0" style="1819" hidden="1" customWidth="1"/>
    <col min="4875" max="5115" width="9" style="1819" bestFit="1" customWidth="1"/>
    <col min="5116" max="5116" width="7.21875" style="1819" customWidth="1"/>
    <col min="5117" max="5117" width="20.21875" style="1819" customWidth="1"/>
    <col min="5118" max="5118" width="39" style="1819" customWidth="1"/>
    <col min="5119" max="5119" width="24.21875" style="1819" customWidth="1"/>
    <col min="5120" max="5120" width="13.21875" style="1819" customWidth="1"/>
    <col min="5121" max="5125" width="0" style="1819" hidden="1" customWidth="1"/>
    <col min="5126" max="5127" width="14" style="1819" customWidth="1"/>
    <col min="5128" max="5128" width="15.21875" style="1819" customWidth="1"/>
    <col min="5129" max="5129" width="46.21875" style="1819" customWidth="1"/>
    <col min="5130" max="5130" width="0" style="1819" hidden="1" customWidth="1"/>
    <col min="5131" max="5371" width="9" style="1819" bestFit="1" customWidth="1"/>
    <col min="5372" max="5372" width="7.21875" style="1819" customWidth="1"/>
    <col min="5373" max="5373" width="20.21875" style="1819" customWidth="1"/>
    <col min="5374" max="5374" width="39" style="1819" customWidth="1"/>
    <col min="5375" max="5375" width="24.21875" style="1819" customWidth="1"/>
    <col min="5376" max="5376" width="13.21875" style="1819" customWidth="1"/>
    <col min="5377" max="5381" width="0" style="1819" hidden="1" customWidth="1"/>
    <col min="5382" max="5383" width="14" style="1819" customWidth="1"/>
    <col min="5384" max="5384" width="15.21875" style="1819" customWidth="1"/>
    <col min="5385" max="5385" width="46.21875" style="1819" customWidth="1"/>
    <col min="5386" max="5386" width="0" style="1819" hidden="1" customWidth="1"/>
    <col min="5387" max="5627" width="9" style="1819" bestFit="1" customWidth="1"/>
    <col min="5628" max="5628" width="7.21875" style="1819" customWidth="1"/>
    <col min="5629" max="5629" width="20.21875" style="1819" customWidth="1"/>
    <col min="5630" max="5630" width="39" style="1819" customWidth="1"/>
    <col min="5631" max="5631" width="24.21875" style="1819" customWidth="1"/>
    <col min="5632" max="5632" width="13.21875" style="1819" customWidth="1"/>
    <col min="5633" max="5637" width="0" style="1819" hidden="1" customWidth="1"/>
    <col min="5638" max="5639" width="14" style="1819" customWidth="1"/>
    <col min="5640" max="5640" width="15.21875" style="1819" customWidth="1"/>
    <col min="5641" max="5641" width="46.21875" style="1819" customWidth="1"/>
    <col min="5642" max="5642" width="0" style="1819" hidden="1" customWidth="1"/>
    <col min="5643" max="5883" width="9" style="1819" bestFit="1" customWidth="1"/>
    <col min="5884" max="5884" width="7.21875" style="1819" customWidth="1"/>
    <col min="5885" max="5885" width="20.21875" style="1819" customWidth="1"/>
    <col min="5886" max="5886" width="39" style="1819" customWidth="1"/>
    <col min="5887" max="5887" width="24.21875" style="1819" customWidth="1"/>
    <col min="5888" max="5888" width="13.21875" style="1819" customWidth="1"/>
    <col min="5889" max="5893" width="0" style="1819" hidden="1" customWidth="1"/>
    <col min="5894" max="5895" width="14" style="1819" customWidth="1"/>
    <col min="5896" max="5896" width="15.21875" style="1819" customWidth="1"/>
    <col min="5897" max="5897" width="46.21875" style="1819" customWidth="1"/>
    <col min="5898" max="5898" width="0" style="1819" hidden="1" customWidth="1"/>
    <col min="5899" max="6139" width="9" style="1819" bestFit="1" customWidth="1"/>
    <col min="6140" max="6140" width="7.21875" style="1819" customWidth="1"/>
    <col min="6141" max="6141" width="20.21875" style="1819" customWidth="1"/>
    <col min="6142" max="6142" width="39" style="1819" customWidth="1"/>
    <col min="6143" max="6143" width="24.21875" style="1819" customWidth="1"/>
    <col min="6144" max="6144" width="13.21875" style="1819" customWidth="1"/>
    <col min="6145" max="6149" width="0" style="1819" hidden="1" customWidth="1"/>
    <col min="6150" max="6151" width="14" style="1819" customWidth="1"/>
    <col min="6152" max="6152" width="15.21875" style="1819" customWidth="1"/>
    <col min="6153" max="6153" width="46.21875" style="1819" customWidth="1"/>
    <col min="6154" max="6154" width="0" style="1819" hidden="1" customWidth="1"/>
    <col min="6155" max="6395" width="9" style="1819" bestFit="1" customWidth="1"/>
    <col min="6396" max="6396" width="7.21875" style="1819" customWidth="1"/>
    <col min="6397" max="6397" width="20.21875" style="1819" customWidth="1"/>
    <col min="6398" max="6398" width="39" style="1819" customWidth="1"/>
    <col min="6399" max="6399" width="24.21875" style="1819" customWidth="1"/>
    <col min="6400" max="6400" width="13.21875" style="1819" customWidth="1"/>
    <col min="6401" max="6405" width="0" style="1819" hidden="1" customWidth="1"/>
    <col min="6406" max="6407" width="14" style="1819" customWidth="1"/>
    <col min="6408" max="6408" width="15.21875" style="1819" customWidth="1"/>
    <col min="6409" max="6409" width="46.21875" style="1819" customWidth="1"/>
    <col min="6410" max="6410" width="0" style="1819" hidden="1" customWidth="1"/>
    <col min="6411" max="6651" width="9" style="1819" bestFit="1" customWidth="1"/>
    <col min="6652" max="6652" width="7.21875" style="1819" customWidth="1"/>
    <col min="6653" max="6653" width="20.21875" style="1819" customWidth="1"/>
    <col min="6654" max="6654" width="39" style="1819" customWidth="1"/>
    <col min="6655" max="6655" width="24.21875" style="1819" customWidth="1"/>
    <col min="6656" max="6656" width="13.21875" style="1819" customWidth="1"/>
    <col min="6657" max="6661" width="0" style="1819" hidden="1" customWidth="1"/>
    <col min="6662" max="6663" width="14" style="1819" customWidth="1"/>
    <col min="6664" max="6664" width="15.21875" style="1819" customWidth="1"/>
    <col min="6665" max="6665" width="46.21875" style="1819" customWidth="1"/>
    <col min="6666" max="6666" width="0" style="1819" hidden="1" customWidth="1"/>
    <col min="6667" max="6907" width="9" style="1819" bestFit="1" customWidth="1"/>
    <col min="6908" max="6908" width="7.21875" style="1819" customWidth="1"/>
    <col min="6909" max="6909" width="20.21875" style="1819" customWidth="1"/>
    <col min="6910" max="6910" width="39" style="1819" customWidth="1"/>
    <col min="6911" max="6911" width="24.21875" style="1819" customWidth="1"/>
    <col min="6912" max="6912" width="13.21875" style="1819" customWidth="1"/>
    <col min="6913" max="6917" width="0" style="1819" hidden="1" customWidth="1"/>
    <col min="6918" max="6919" width="14" style="1819" customWidth="1"/>
    <col min="6920" max="6920" width="15.21875" style="1819" customWidth="1"/>
    <col min="6921" max="6921" width="46.21875" style="1819" customWidth="1"/>
    <col min="6922" max="6922" width="0" style="1819" hidden="1" customWidth="1"/>
    <col min="6923" max="7163" width="9" style="1819" bestFit="1" customWidth="1"/>
    <col min="7164" max="7164" width="7.21875" style="1819" customWidth="1"/>
    <col min="7165" max="7165" width="20.21875" style="1819" customWidth="1"/>
    <col min="7166" max="7166" width="39" style="1819" customWidth="1"/>
    <col min="7167" max="7167" width="24.21875" style="1819" customWidth="1"/>
    <col min="7168" max="7168" width="13.21875" style="1819" customWidth="1"/>
    <col min="7169" max="7173" width="0" style="1819" hidden="1" customWidth="1"/>
    <col min="7174" max="7175" width="14" style="1819" customWidth="1"/>
    <col min="7176" max="7176" width="15.21875" style="1819" customWidth="1"/>
    <col min="7177" max="7177" width="46.21875" style="1819" customWidth="1"/>
    <col min="7178" max="7178" width="0" style="1819" hidden="1" customWidth="1"/>
    <col min="7179" max="7419" width="9" style="1819" bestFit="1" customWidth="1"/>
    <col min="7420" max="7420" width="7.21875" style="1819" customWidth="1"/>
    <col min="7421" max="7421" width="20.21875" style="1819" customWidth="1"/>
    <col min="7422" max="7422" width="39" style="1819" customWidth="1"/>
    <col min="7423" max="7423" width="24.21875" style="1819" customWidth="1"/>
    <col min="7424" max="7424" width="13.21875" style="1819" customWidth="1"/>
    <col min="7425" max="7429" width="0" style="1819" hidden="1" customWidth="1"/>
    <col min="7430" max="7431" width="14" style="1819" customWidth="1"/>
    <col min="7432" max="7432" width="15.21875" style="1819" customWidth="1"/>
    <col min="7433" max="7433" width="46.21875" style="1819" customWidth="1"/>
    <col min="7434" max="7434" width="0" style="1819" hidden="1" customWidth="1"/>
    <col min="7435" max="7675" width="9" style="1819" bestFit="1" customWidth="1"/>
    <col min="7676" max="7676" width="7.21875" style="1819" customWidth="1"/>
    <col min="7677" max="7677" width="20.21875" style="1819" customWidth="1"/>
    <col min="7678" max="7678" width="39" style="1819" customWidth="1"/>
    <col min="7679" max="7679" width="24.21875" style="1819" customWidth="1"/>
    <col min="7680" max="7680" width="13.21875" style="1819" customWidth="1"/>
    <col min="7681" max="7685" width="0" style="1819" hidden="1" customWidth="1"/>
    <col min="7686" max="7687" width="14" style="1819" customWidth="1"/>
    <col min="7688" max="7688" width="15.21875" style="1819" customWidth="1"/>
    <col min="7689" max="7689" width="46.21875" style="1819" customWidth="1"/>
    <col min="7690" max="7690" width="0" style="1819" hidden="1" customWidth="1"/>
    <col min="7691" max="7931" width="9" style="1819" bestFit="1" customWidth="1"/>
    <col min="7932" max="7932" width="7.21875" style="1819" customWidth="1"/>
    <col min="7933" max="7933" width="20.21875" style="1819" customWidth="1"/>
    <col min="7934" max="7934" width="39" style="1819" customWidth="1"/>
    <col min="7935" max="7935" width="24.21875" style="1819" customWidth="1"/>
    <col min="7936" max="7936" width="13.21875" style="1819" customWidth="1"/>
    <col min="7937" max="7941" width="0" style="1819" hidden="1" customWidth="1"/>
    <col min="7942" max="7943" width="14" style="1819" customWidth="1"/>
    <col min="7944" max="7944" width="15.21875" style="1819" customWidth="1"/>
    <col min="7945" max="7945" width="46.21875" style="1819" customWidth="1"/>
    <col min="7946" max="7946" width="0" style="1819" hidden="1" customWidth="1"/>
    <col min="7947" max="8187" width="9" style="1819" bestFit="1" customWidth="1"/>
    <col min="8188" max="8188" width="7.21875" style="1819" customWidth="1"/>
    <col min="8189" max="8189" width="20.21875" style="1819" customWidth="1"/>
    <col min="8190" max="8190" width="39" style="1819" customWidth="1"/>
    <col min="8191" max="8191" width="24.21875" style="1819" customWidth="1"/>
    <col min="8192" max="8192" width="13.21875" style="1819" customWidth="1"/>
    <col min="8193" max="8197" width="0" style="1819" hidden="1" customWidth="1"/>
    <col min="8198" max="8199" width="14" style="1819" customWidth="1"/>
    <col min="8200" max="8200" width="15.21875" style="1819" customWidth="1"/>
    <col min="8201" max="8201" width="46.21875" style="1819" customWidth="1"/>
    <col min="8202" max="8202" width="0" style="1819" hidden="1" customWidth="1"/>
    <col min="8203" max="8443" width="9" style="1819" bestFit="1" customWidth="1"/>
    <col min="8444" max="8444" width="7.21875" style="1819" customWidth="1"/>
    <col min="8445" max="8445" width="20.21875" style="1819" customWidth="1"/>
    <col min="8446" max="8446" width="39" style="1819" customWidth="1"/>
    <col min="8447" max="8447" width="24.21875" style="1819" customWidth="1"/>
    <col min="8448" max="8448" width="13.21875" style="1819" customWidth="1"/>
    <col min="8449" max="8453" width="0" style="1819" hidden="1" customWidth="1"/>
    <col min="8454" max="8455" width="14" style="1819" customWidth="1"/>
    <col min="8456" max="8456" width="15.21875" style="1819" customWidth="1"/>
    <col min="8457" max="8457" width="46.21875" style="1819" customWidth="1"/>
    <col min="8458" max="8458" width="0" style="1819" hidden="1" customWidth="1"/>
    <col min="8459" max="8699" width="9" style="1819" bestFit="1" customWidth="1"/>
    <col min="8700" max="8700" width="7.21875" style="1819" customWidth="1"/>
    <col min="8701" max="8701" width="20.21875" style="1819" customWidth="1"/>
    <col min="8702" max="8702" width="39" style="1819" customWidth="1"/>
    <col min="8703" max="8703" width="24.21875" style="1819" customWidth="1"/>
    <col min="8704" max="8704" width="13.21875" style="1819" customWidth="1"/>
    <col min="8705" max="8709" width="0" style="1819" hidden="1" customWidth="1"/>
    <col min="8710" max="8711" width="14" style="1819" customWidth="1"/>
    <col min="8712" max="8712" width="15.21875" style="1819" customWidth="1"/>
    <col min="8713" max="8713" width="46.21875" style="1819" customWidth="1"/>
    <col min="8714" max="8714" width="0" style="1819" hidden="1" customWidth="1"/>
    <col min="8715" max="8955" width="9" style="1819" bestFit="1" customWidth="1"/>
    <col min="8956" max="8956" width="7.21875" style="1819" customWidth="1"/>
    <col min="8957" max="8957" width="20.21875" style="1819" customWidth="1"/>
    <col min="8958" max="8958" width="39" style="1819" customWidth="1"/>
    <col min="8959" max="8959" width="24.21875" style="1819" customWidth="1"/>
    <col min="8960" max="8960" width="13.21875" style="1819" customWidth="1"/>
    <col min="8961" max="8965" width="0" style="1819" hidden="1" customWidth="1"/>
    <col min="8966" max="8967" width="14" style="1819" customWidth="1"/>
    <col min="8968" max="8968" width="15.21875" style="1819" customWidth="1"/>
    <col min="8969" max="8969" width="46.21875" style="1819" customWidth="1"/>
    <col min="8970" max="8970" width="0" style="1819" hidden="1" customWidth="1"/>
    <col min="8971" max="9211" width="9" style="1819" bestFit="1" customWidth="1"/>
    <col min="9212" max="9212" width="7.21875" style="1819" customWidth="1"/>
    <col min="9213" max="9213" width="20.21875" style="1819" customWidth="1"/>
    <col min="9214" max="9214" width="39" style="1819" customWidth="1"/>
    <col min="9215" max="9215" width="24.21875" style="1819" customWidth="1"/>
    <col min="9216" max="9216" width="13.21875" style="1819" customWidth="1"/>
    <col min="9217" max="9221" width="0" style="1819" hidden="1" customWidth="1"/>
    <col min="9222" max="9223" width="14" style="1819" customWidth="1"/>
    <col min="9224" max="9224" width="15.21875" style="1819" customWidth="1"/>
    <col min="9225" max="9225" width="46.21875" style="1819" customWidth="1"/>
    <col min="9226" max="9226" width="0" style="1819" hidden="1" customWidth="1"/>
    <col min="9227" max="9467" width="9" style="1819" bestFit="1" customWidth="1"/>
    <col min="9468" max="9468" width="7.21875" style="1819" customWidth="1"/>
    <col min="9469" max="9469" width="20.21875" style="1819" customWidth="1"/>
    <col min="9470" max="9470" width="39" style="1819" customWidth="1"/>
    <col min="9471" max="9471" width="24.21875" style="1819" customWidth="1"/>
    <col min="9472" max="9472" width="13.21875" style="1819" customWidth="1"/>
    <col min="9473" max="9477" width="0" style="1819" hidden="1" customWidth="1"/>
    <col min="9478" max="9479" width="14" style="1819" customWidth="1"/>
    <col min="9480" max="9480" width="15.21875" style="1819" customWidth="1"/>
    <col min="9481" max="9481" width="46.21875" style="1819" customWidth="1"/>
    <col min="9482" max="9482" width="0" style="1819" hidden="1" customWidth="1"/>
    <col min="9483" max="9723" width="9" style="1819" bestFit="1" customWidth="1"/>
    <col min="9724" max="9724" width="7.21875" style="1819" customWidth="1"/>
    <col min="9725" max="9725" width="20.21875" style="1819" customWidth="1"/>
    <col min="9726" max="9726" width="39" style="1819" customWidth="1"/>
    <col min="9727" max="9727" width="24.21875" style="1819" customWidth="1"/>
    <col min="9728" max="9728" width="13.21875" style="1819" customWidth="1"/>
    <col min="9729" max="9733" width="0" style="1819" hidden="1" customWidth="1"/>
    <col min="9734" max="9735" width="14" style="1819" customWidth="1"/>
    <col min="9736" max="9736" width="15.21875" style="1819" customWidth="1"/>
    <col min="9737" max="9737" width="46.21875" style="1819" customWidth="1"/>
    <col min="9738" max="9738" width="0" style="1819" hidden="1" customWidth="1"/>
    <col min="9739" max="9979" width="9" style="1819" bestFit="1" customWidth="1"/>
    <col min="9980" max="9980" width="7.21875" style="1819" customWidth="1"/>
    <col min="9981" max="9981" width="20.21875" style="1819" customWidth="1"/>
    <col min="9982" max="9982" width="39" style="1819" customWidth="1"/>
    <col min="9983" max="9983" width="24.21875" style="1819" customWidth="1"/>
    <col min="9984" max="9984" width="13.21875" style="1819" customWidth="1"/>
    <col min="9985" max="9989" width="0" style="1819" hidden="1" customWidth="1"/>
    <col min="9990" max="9991" width="14" style="1819" customWidth="1"/>
    <col min="9992" max="9992" width="15.21875" style="1819" customWidth="1"/>
    <col min="9993" max="9993" width="46.21875" style="1819" customWidth="1"/>
    <col min="9994" max="9994" width="0" style="1819" hidden="1" customWidth="1"/>
    <col min="9995" max="10235" width="9" style="1819" bestFit="1" customWidth="1"/>
    <col min="10236" max="10236" width="7.21875" style="1819" customWidth="1"/>
    <col min="10237" max="10237" width="20.21875" style="1819" customWidth="1"/>
    <col min="10238" max="10238" width="39" style="1819" customWidth="1"/>
    <col min="10239" max="10239" width="24.21875" style="1819" customWidth="1"/>
    <col min="10240" max="10240" width="13.21875" style="1819" customWidth="1"/>
    <col min="10241" max="10245" width="0" style="1819" hidden="1" customWidth="1"/>
    <col min="10246" max="10247" width="14" style="1819" customWidth="1"/>
    <col min="10248" max="10248" width="15.21875" style="1819" customWidth="1"/>
    <col min="10249" max="10249" width="46.21875" style="1819" customWidth="1"/>
    <col min="10250" max="10250" width="0" style="1819" hidden="1" customWidth="1"/>
    <col min="10251" max="10491" width="9" style="1819" bestFit="1" customWidth="1"/>
    <col min="10492" max="10492" width="7.21875" style="1819" customWidth="1"/>
    <col min="10493" max="10493" width="20.21875" style="1819" customWidth="1"/>
    <col min="10494" max="10494" width="39" style="1819" customWidth="1"/>
    <col min="10495" max="10495" width="24.21875" style="1819" customWidth="1"/>
    <col min="10496" max="10496" width="13.21875" style="1819" customWidth="1"/>
    <col min="10497" max="10501" width="0" style="1819" hidden="1" customWidth="1"/>
    <col min="10502" max="10503" width="14" style="1819" customWidth="1"/>
    <col min="10504" max="10504" width="15.21875" style="1819" customWidth="1"/>
    <col min="10505" max="10505" width="46.21875" style="1819" customWidth="1"/>
    <col min="10506" max="10506" width="0" style="1819" hidden="1" customWidth="1"/>
    <col min="10507" max="10747" width="9" style="1819" bestFit="1" customWidth="1"/>
    <col min="10748" max="10748" width="7.21875" style="1819" customWidth="1"/>
    <col min="10749" max="10749" width="20.21875" style="1819" customWidth="1"/>
    <col min="10750" max="10750" width="39" style="1819" customWidth="1"/>
    <col min="10751" max="10751" width="24.21875" style="1819" customWidth="1"/>
    <col min="10752" max="10752" width="13.21875" style="1819" customWidth="1"/>
    <col min="10753" max="10757" width="0" style="1819" hidden="1" customWidth="1"/>
    <col min="10758" max="10759" width="14" style="1819" customWidth="1"/>
    <col min="10760" max="10760" width="15.21875" style="1819" customWidth="1"/>
    <col min="10761" max="10761" width="46.21875" style="1819" customWidth="1"/>
    <col min="10762" max="10762" width="0" style="1819" hidden="1" customWidth="1"/>
    <col min="10763" max="11003" width="9" style="1819" bestFit="1" customWidth="1"/>
    <col min="11004" max="11004" width="7.21875" style="1819" customWidth="1"/>
    <col min="11005" max="11005" width="20.21875" style="1819" customWidth="1"/>
    <col min="11006" max="11006" width="39" style="1819" customWidth="1"/>
    <col min="11007" max="11007" width="24.21875" style="1819" customWidth="1"/>
    <col min="11008" max="11008" width="13.21875" style="1819" customWidth="1"/>
    <col min="11009" max="11013" width="0" style="1819" hidden="1" customWidth="1"/>
    <col min="11014" max="11015" width="14" style="1819" customWidth="1"/>
    <col min="11016" max="11016" width="15.21875" style="1819" customWidth="1"/>
    <col min="11017" max="11017" width="46.21875" style="1819" customWidth="1"/>
    <col min="11018" max="11018" width="0" style="1819" hidden="1" customWidth="1"/>
    <col min="11019" max="11259" width="9" style="1819" bestFit="1" customWidth="1"/>
    <col min="11260" max="11260" width="7.21875" style="1819" customWidth="1"/>
    <col min="11261" max="11261" width="20.21875" style="1819" customWidth="1"/>
    <col min="11262" max="11262" width="39" style="1819" customWidth="1"/>
    <col min="11263" max="11263" width="24.21875" style="1819" customWidth="1"/>
    <col min="11264" max="11264" width="13.21875" style="1819" customWidth="1"/>
    <col min="11265" max="11269" width="0" style="1819" hidden="1" customWidth="1"/>
    <col min="11270" max="11271" width="14" style="1819" customWidth="1"/>
    <col min="11272" max="11272" width="15.21875" style="1819" customWidth="1"/>
    <col min="11273" max="11273" width="46.21875" style="1819" customWidth="1"/>
    <col min="11274" max="11274" width="0" style="1819" hidden="1" customWidth="1"/>
    <col min="11275" max="11515" width="9" style="1819" bestFit="1" customWidth="1"/>
    <col min="11516" max="11516" width="7.21875" style="1819" customWidth="1"/>
    <col min="11517" max="11517" width="20.21875" style="1819" customWidth="1"/>
    <col min="11518" max="11518" width="39" style="1819" customWidth="1"/>
    <col min="11519" max="11519" width="24.21875" style="1819" customWidth="1"/>
    <col min="11520" max="11520" width="13.21875" style="1819" customWidth="1"/>
    <col min="11521" max="11525" width="0" style="1819" hidden="1" customWidth="1"/>
    <col min="11526" max="11527" width="14" style="1819" customWidth="1"/>
    <col min="11528" max="11528" width="15.21875" style="1819" customWidth="1"/>
    <col min="11529" max="11529" width="46.21875" style="1819" customWidth="1"/>
    <col min="11530" max="11530" width="0" style="1819" hidden="1" customWidth="1"/>
    <col min="11531" max="11771" width="9" style="1819" bestFit="1" customWidth="1"/>
    <col min="11772" max="11772" width="7.21875" style="1819" customWidth="1"/>
    <col min="11773" max="11773" width="20.21875" style="1819" customWidth="1"/>
    <col min="11774" max="11774" width="39" style="1819" customWidth="1"/>
    <col min="11775" max="11775" width="24.21875" style="1819" customWidth="1"/>
    <col min="11776" max="11776" width="13.21875" style="1819" customWidth="1"/>
    <col min="11777" max="11781" width="0" style="1819" hidden="1" customWidth="1"/>
    <col min="11782" max="11783" width="14" style="1819" customWidth="1"/>
    <col min="11784" max="11784" width="15.21875" style="1819" customWidth="1"/>
    <col min="11785" max="11785" width="46.21875" style="1819" customWidth="1"/>
    <col min="11786" max="11786" width="0" style="1819" hidden="1" customWidth="1"/>
    <col min="11787" max="12027" width="9" style="1819" bestFit="1" customWidth="1"/>
    <col min="12028" max="12028" width="7.21875" style="1819" customWidth="1"/>
    <col min="12029" max="12029" width="20.21875" style="1819" customWidth="1"/>
    <col min="12030" max="12030" width="39" style="1819" customWidth="1"/>
    <col min="12031" max="12031" width="24.21875" style="1819" customWidth="1"/>
    <col min="12032" max="12032" width="13.21875" style="1819" customWidth="1"/>
    <col min="12033" max="12037" width="0" style="1819" hidden="1" customWidth="1"/>
    <col min="12038" max="12039" width="14" style="1819" customWidth="1"/>
    <col min="12040" max="12040" width="15.21875" style="1819" customWidth="1"/>
    <col min="12041" max="12041" width="46.21875" style="1819" customWidth="1"/>
    <col min="12042" max="12042" width="0" style="1819" hidden="1" customWidth="1"/>
    <col min="12043" max="12283" width="9" style="1819" bestFit="1" customWidth="1"/>
    <col min="12284" max="12284" width="7.21875" style="1819" customWidth="1"/>
    <col min="12285" max="12285" width="20.21875" style="1819" customWidth="1"/>
    <col min="12286" max="12286" width="39" style="1819" customWidth="1"/>
    <col min="12287" max="12287" width="24.21875" style="1819" customWidth="1"/>
    <col min="12288" max="12288" width="13.21875" style="1819" customWidth="1"/>
    <col min="12289" max="12293" width="0" style="1819" hidden="1" customWidth="1"/>
    <col min="12294" max="12295" width="14" style="1819" customWidth="1"/>
    <col min="12296" max="12296" width="15.21875" style="1819" customWidth="1"/>
    <col min="12297" max="12297" width="46.21875" style="1819" customWidth="1"/>
    <col min="12298" max="12298" width="0" style="1819" hidden="1" customWidth="1"/>
    <col min="12299" max="12539" width="9" style="1819" bestFit="1" customWidth="1"/>
    <col min="12540" max="12540" width="7.21875" style="1819" customWidth="1"/>
    <col min="12541" max="12541" width="20.21875" style="1819" customWidth="1"/>
    <col min="12542" max="12542" width="39" style="1819" customWidth="1"/>
    <col min="12543" max="12543" width="24.21875" style="1819" customWidth="1"/>
    <col min="12544" max="12544" width="13.21875" style="1819" customWidth="1"/>
    <col min="12545" max="12549" width="0" style="1819" hidden="1" customWidth="1"/>
    <col min="12550" max="12551" width="14" style="1819" customWidth="1"/>
    <col min="12552" max="12552" width="15.21875" style="1819" customWidth="1"/>
    <col min="12553" max="12553" width="46.21875" style="1819" customWidth="1"/>
    <col min="12554" max="12554" width="0" style="1819" hidden="1" customWidth="1"/>
    <col min="12555" max="12795" width="9" style="1819" bestFit="1" customWidth="1"/>
    <col min="12796" max="12796" width="7.21875" style="1819" customWidth="1"/>
    <col min="12797" max="12797" width="20.21875" style="1819" customWidth="1"/>
    <col min="12798" max="12798" width="39" style="1819" customWidth="1"/>
    <col min="12799" max="12799" width="24.21875" style="1819" customWidth="1"/>
    <col min="12800" max="12800" width="13.21875" style="1819" customWidth="1"/>
    <col min="12801" max="12805" width="0" style="1819" hidden="1" customWidth="1"/>
    <col min="12806" max="12807" width="14" style="1819" customWidth="1"/>
    <col min="12808" max="12808" width="15.21875" style="1819" customWidth="1"/>
    <col min="12809" max="12809" width="46.21875" style="1819" customWidth="1"/>
    <col min="12810" max="12810" width="0" style="1819" hidden="1" customWidth="1"/>
    <col min="12811" max="13051" width="9" style="1819" bestFit="1" customWidth="1"/>
    <col min="13052" max="13052" width="7.21875" style="1819" customWidth="1"/>
    <col min="13053" max="13053" width="20.21875" style="1819" customWidth="1"/>
    <col min="13054" max="13054" width="39" style="1819" customWidth="1"/>
    <col min="13055" max="13055" width="24.21875" style="1819" customWidth="1"/>
    <col min="13056" max="13056" width="13.21875" style="1819" customWidth="1"/>
    <col min="13057" max="13061" width="0" style="1819" hidden="1" customWidth="1"/>
    <col min="13062" max="13063" width="14" style="1819" customWidth="1"/>
    <col min="13064" max="13064" width="15.21875" style="1819" customWidth="1"/>
    <col min="13065" max="13065" width="46.21875" style="1819" customWidth="1"/>
    <col min="13066" max="13066" width="0" style="1819" hidden="1" customWidth="1"/>
    <col min="13067" max="13307" width="9" style="1819" bestFit="1" customWidth="1"/>
    <col min="13308" max="13308" width="7.21875" style="1819" customWidth="1"/>
    <col min="13309" max="13309" width="20.21875" style="1819" customWidth="1"/>
    <col min="13310" max="13310" width="39" style="1819" customWidth="1"/>
    <col min="13311" max="13311" width="24.21875" style="1819" customWidth="1"/>
    <col min="13312" max="13312" width="13.21875" style="1819" customWidth="1"/>
    <col min="13313" max="13317" width="0" style="1819" hidden="1" customWidth="1"/>
    <col min="13318" max="13319" width="14" style="1819" customWidth="1"/>
    <col min="13320" max="13320" width="15.21875" style="1819" customWidth="1"/>
    <col min="13321" max="13321" width="46.21875" style="1819" customWidth="1"/>
    <col min="13322" max="13322" width="0" style="1819" hidden="1" customWidth="1"/>
    <col min="13323" max="13563" width="9" style="1819" bestFit="1" customWidth="1"/>
    <col min="13564" max="13564" width="7.21875" style="1819" customWidth="1"/>
    <col min="13565" max="13565" width="20.21875" style="1819" customWidth="1"/>
    <col min="13566" max="13566" width="39" style="1819" customWidth="1"/>
    <col min="13567" max="13567" width="24.21875" style="1819" customWidth="1"/>
    <col min="13568" max="13568" width="13.21875" style="1819" customWidth="1"/>
    <col min="13569" max="13573" width="0" style="1819" hidden="1" customWidth="1"/>
    <col min="13574" max="13575" width="14" style="1819" customWidth="1"/>
    <col min="13576" max="13576" width="15.21875" style="1819" customWidth="1"/>
    <col min="13577" max="13577" width="46.21875" style="1819" customWidth="1"/>
    <col min="13578" max="13578" width="0" style="1819" hidden="1" customWidth="1"/>
    <col min="13579" max="13819" width="9" style="1819" bestFit="1" customWidth="1"/>
    <col min="13820" max="13820" width="7.21875" style="1819" customWidth="1"/>
    <col min="13821" max="13821" width="20.21875" style="1819" customWidth="1"/>
    <col min="13822" max="13822" width="39" style="1819" customWidth="1"/>
    <col min="13823" max="13823" width="24.21875" style="1819" customWidth="1"/>
    <col min="13824" max="13824" width="13.21875" style="1819" customWidth="1"/>
    <col min="13825" max="13829" width="0" style="1819" hidden="1" customWidth="1"/>
    <col min="13830" max="13831" width="14" style="1819" customWidth="1"/>
    <col min="13832" max="13832" width="15.21875" style="1819" customWidth="1"/>
    <col min="13833" max="13833" width="46.21875" style="1819" customWidth="1"/>
    <col min="13834" max="13834" width="0" style="1819" hidden="1" customWidth="1"/>
    <col min="13835" max="14075" width="9" style="1819" bestFit="1" customWidth="1"/>
    <col min="14076" max="14076" width="7.21875" style="1819" customWidth="1"/>
    <col min="14077" max="14077" width="20.21875" style="1819" customWidth="1"/>
    <col min="14078" max="14078" width="39" style="1819" customWidth="1"/>
    <col min="14079" max="14079" width="24.21875" style="1819" customWidth="1"/>
    <col min="14080" max="14080" width="13.21875" style="1819" customWidth="1"/>
    <col min="14081" max="14085" width="0" style="1819" hidden="1" customWidth="1"/>
    <col min="14086" max="14087" width="14" style="1819" customWidth="1"/>
    <col min="14088" max="14088" width="15.21875" style="1819" customWidth="1"/>
    <col min="14089" max="14089" width="46.21875" style="1819" customWidth="1"/>
    <col min="14090" max="14090" width="0" style="1819" hidden="1" customWidth="1"/>
    <col min="14091" max="14331" width="9" style="1819" bestFit="1" customWidth="1"/>
    <col min="14332" max="14332" width="7.21875" style="1819" customWidth="1"/>
    <col min="14333" max="14333" width="20.21875" style="1819" customWidth="1"/>
    <col min="14334" max="14334" width="39" style="1819" customWidth="1"/>
    <col min="14335" max="14335" width="24.21875" style="1819" customWidth="1"/>
    <col min="14336" max="14336" width="13.21875" style="1819" customWidth="1"/>
    <col min="14337" max="14341" width="0" style="1819" hidden="1" customWidth="1"/>
    <col min="14342" max="14343" width="14" style="1819" customWidth="1"/>
    <col min="14344" max="14344" width="15.21875" style="1819" customWidth="1"/>
    <col min="14345" max="14345" width="46.21875" style="1819" customWidth="1"/>
    <col min="14346" max="14346" width="0" style="1819" hidden="1" customWidth="1"/>
    <col min="14347" max="14587" width="9" style="1819" bestFit="1" customWidth="1"/>
    <col min="14588" max="14588" width="7.21875" style="1819" customWidth="1"/>
    <col min="14589" max="14589" width="20.21875" style="1819" customWidth="1"/>
    <col min="14590" max="14590" width="39" style="1819" customWidth="1"/>
    <col min="14591" max="14591" width="24.21875" style="1819" customWidth="1"/>
    <col min="14592" max="14592" width="13.21875" style="1819" customWidth="1"/>
    <col min="14593" max="14597" width="0" style="1819" hidden="1" customWidth="1"/>
    <col min="14598" max="14599" width="14" style="1819" customWidth="1"/>
    <col min="14600" max="14600" width="15.21875" style="1819" customWidth="1"/>
    <col min="14601" max="14601" width="46.21875" style="1819" customWidth="1"/>
    <col min="14602" max="14602" width="0" style="1819" hidden="1" customWidth="1"/>
    <col min="14603" max="14843" width="9" style="1819" bestFit="1" customWidth="1"/>
    <col min="14844" max="14844" width="7.21875" style="1819" customWidth="1"/>
    <col min="14845" max="14845" width="20.21875" style="1819" customWidth="1"/>
    <col min="14846" max="14846" width="39" style="1819" customWidth="1"/>
    <col min="14847" max="14847" width="24.21875" style="1819" customWidth="1"/>
    <col min="14848" max="14848" width="13.21875" style="1819" customWidth="1"/>
    <col min="14849" max="14853" width="0" style="1819" hidden="1" customWidth="1"/>
    <col min="14854" max="14855" width="14" style="1819" customWidth="1"/>
    <col min="14856" max="14856" width="15.21875" style="1819" customWidth="1"/>
    <col min="14857" max="14857" width="46.21875" style="1819" customWidth="1"/>
    <col min="14858" max="14858" width="0" style="1819" hidden="1" customWidth="1"/>
    <col min="14859" max="15099" width="9" style="1819" bestFit="1" customWidth="1"/>
    <col min="15100" max="15100" width="7.21875" style="1819" customWidth="1"/>
    <col min="15101" max="15101" width="20.21875" style="1819" customWidth="1"/>
    <col min="15102" max="15102" width="39" style="1819" customWidth="1"/>
    <col min="15103" max="15103" width="24.21875" style="1819" customWidth="1"/>
    <col min="15104" max="15104" width="13.21875" style="1819" customWidth="1"/>
    <col min="15105" max="15109" width="0" style="1819" hidden="1" customWidth="1"/>
    <col min="15110" max="15111" width="14" style="1819" customWidth="1"/>
    <col min="15112" max="15112" width="15.21875" style="1819" customWidth="1"/>
    <col min="15113" max="15113" width="46.21875" style="1819" customWidth="1"/>
    <col min="15114" max="15114" width="0" style="1819" hidden="1" customWidth="1"/>
    <col min="15115" max="15355" width="9" style="1819" bestFit="1" customWidth="1"/>
    <col min="15356" max="15356" width="7.21875" style="1819" customWidth="1"/>
    <col min="15357" max="15357" width="20.21875" style="1819" customWidth="1"/>
    <col min="15358" max="15358" width="39" style="1819" customWidth="1"/>
    <col min="15359" max="15359" width="24.21875" style="1819" customWidth="1"/>
    <col min="15360" max="15360" width="13.21875" style="1819" customWidth="1"/>
    <col min="15361" max="15365" width="0" style="1819" hidden="1" customWidth="1"/>
    <col min="15366" max="15367" width="14" style="1819" customWidth="1"/>
    <col min="15368" max="15368" width="15.21875" style="1819" customWidth="1"/>
    <col min="15369" max="15369" width="46.21875" style="1819" customWidth="1"/>
    <col min="15370" max="15370" width="0" style="1819" hidden="1" customWidth="1"/>
    <col min="15371" max="15611" width="9" style="1819" bestFit="1" customWidth="1"/>
    <col min="15612" max="15612" width="7.21875" style="1819" customWidth="1"/>
    <col min="15613" max="15613" width="20.21875" style="1819" customWidth="1"/>
    <col min="15614" max="15614" width="39" style="1819" customWidth="1"/>
    <col min="15615" max="15615" width="24.21875" style="1819" customWidth="1"/>
    <col min="15616" max="15616" width="13.21875" style="1819" customWidth="1"/>
    <col min="15617" max="15621" width="0" style="1819" hidden="1" customWidth="1"/>
    <col min="15622" max="15623" width="14" style="1819" customWidth="1"/>
    <col min="15624" max="15624" width="15.21875" style="1819" customWidth="1"/>
    <col min="15625" max="15625" width="46.21875" style="1819" customWidth="1"/>
    <col min="15626" max="15626" width="0" style="1819" hidden="1" customWidth="1"/>
    <col min="15627" max="15867" width="9" style="1819" bestFit="1" customWidth="1"/>
    <col min="15868" max="15868" width="7.21875" style="1819" customWidth="1"/>
    <col min="15869" max="15869" width="20.21875" style="1819" customWidth="1"/>
    <col min="15870" max="15870" width="39" style="1819" customWidth="1"/>
    <col min="15871" max="15871" width="24.21875" style="1819" customWidth="1"/>
    <col min="15872" max="15872" width="13.21875" style="1819" customWidth="1"/>
    <col min="15873" max="15877" width="0" style="1819" hidden="1" customWidth="1"/>
    <col min="15878" max="15879" width="14" style="1819" customWidth="1"/>
    <col min="15880" max="15880" width="15.21875" style="1819" customWidth="1"/>
    <col min="15881" max="15881" width="46.21875" style="1819" customWidth="1"/>
    <col min="15882" max="15882" width="0" style="1819" hidden="1" customWidth="1"/>
    <col min="15883" max="16123" width="9" style="1819" bestFit="1" customWidth="1"/>
    <col min="16124" max="16124" width="7.21875" style="1819" customWidth="1"/>
    <col min="16125" max="16125" width="20.21875" style="1819" customWidth="1"/>
    <col min="16126" max="16126" width="39" style="1819" customWidth="1"/>
    <col min="16127" max="16127" width="24.21875" style="1819" customWidth="1"/>
    <col min="16128" max="16128" width="13.21875" style="1819" customWidth="1"/>
    <col min="16129" max="16133" width="0" style="1819" hidden="1" customWidth="1"/>
    <col min="16134" max="16135" width="14" style="1819" customWidth="1"/>
    <col min="16136" max="16136" width="15.21875" style="1819" customWidth="1"/>
    <col min="16137" max="16137" width="46.21875" style="1819" customWidth="1"/>
    <col min="16138" max="16138" width="0" style="1819" hidden="1" customWidth="1"/>
    <col min="16139" max="16382" width="9" style="1819" bestFit="1" customWidth="1"/>
    <col min="16383" max="16384" width="8.88671875" style="1819" customWidth="1"/>
  </cols>
  <sheetData>
    <row r="1" spans="2:13" ht="22.2">
      <c r="B1" s="1905"/>
      <c r="C1" s="2731" t="s">
        <v>144</v>
      </c>
      <c r="D1" s="2731"/>
      <c r="E1" s="2731"/>
      <c r="F1" s="2731"/>
      <c r="G1" s="2731"/>
      <c r="H1" s="2731"/>
      <c r="I1" s="2731"/>
      <c r="J1" s="1832"/>
      <c r="K1" s="1832"/>
      <c r="L1" s="1832"/>
    </row>
    <row r="2" spans="2:13" ht="22.2" outlineLevel="1">
      <c r="B2" s="1905"/>
      <c r="C2" s="2731"/>
      <c r="D2" s="2731"/>
      <c r="E2" s="2731"/>
      <c r="F2" s="2731"/>
      <c r="G2" s="2731"/>
      <c r="H2" s="2731"/>
      <c r="I2" s="2731"/>
      <c r="J2" s="1832"/>
      <c r="K2" s="1832"/>
      <c r="L2" s="1832"/>
    </row>
    <row r="3" spans="2:13" ht="15.6" outlineLevel="1" thickBot="1">
      <c r="D3" s="1833"/>
    </row>
    <row r="4" spans="2:13" s="1820" customFormat="1" ht="29.4" thickBot="1">
      <c r="B4" s="1904" t="s">
        <v>80</v>
      </c>
      <c r="C4" s="1904" t="s">
        <v>145</v>
      </c>
      <c r="D4" s="1904" t="s">
        <v>146</v>
      </c>
      <c r="E4" s="1904" t="s">
        <v>147</v>
      </c>
      <c r="F4" s="1904" t="s">
        <v>82</v>
      </c>
      <c r="G4" s="1904" t="s">
        <v>84</v>
      </c>
      <c r="H4" s="1904" t="s">
        <v>87</v>
      </c>
      <c r="I4" s="1904" t="s">
        <v>88</v>
      </c>
      <c r="J4" s="1904" t="s">
        <v>148</v>
      </c>
      <c r="K4" s="1889" t="s">
        <v>74</v>
      </c>
      <c r="L4" s="1829"/>
      <c r="M4" s="1890"/>
    </row>
    <row r="5" spans="2:13" s="1821" customFormat="1" ht="27.75" customHeight="1">
      <c r="B5" s="1907">
        <v>1</v>
      </c>
      <c r="C5" s="1891" t="s">
        <v>149</v>
      </c>
      <c r="D5" s="1891" t="s">
        <v>150</v>
      </c>
      <c r="E5" s="1835"/>
      <c r="F5" s="1836" t="s">
        <v>151</v>
      </c>
      <c r="G5" s="1837">
        <v>45870</v>
      </c>
      <c r="H5" s="1837">
        <v>45881</v>
      </c>
      <c r="I5" s="1839" t="s">
        <v>92</v>
      </c>
      <c r="J5" s="1892" t="s">
        <v>152</v>
      </c>
      <c r="K5" s="1893" t="s">
        <v>75</v>
      </c>
      <c r="L5" s="1894">
        <f>COUNTA(D5:D1720)</f>
        <v>14</v>
      </c>
      <c r="M5" s="1895"/>
    </row>
    <row r="6" spans="2:13" s="1821" customFormat="1" ht="26.4" hidden="1">
      <c r="B6" s="1907">
        <v>2</v>
      </c>
      <c r="C6" s="1891" t="s">
        <v>153</v>
      </c>
      <c r="D6" s="1891" t="s">
        <v>154</v>
      </c>
      <c r="E6" s="1835"/>
      <c r="F6" s="1836" t="s">
        <v>155</v>
      </c>
      <c r="G6" s="1837">
        <v>45841</v>
      </c>
      <c r="H6" s="1838"/>
      <c r="I6" s="1839" t="s">
        <v>156</v>
      </c>
      <c r="J6" s="1892" t="s">
        <v>157</v>
      </c>
      <c r="K6" s="1896" t="s">
        <v>77</v>
      </c>
      <c r="L6" s="1897">
        <f>COUNTIF(I5:I1720,"=J")</f>
        <v>9</v>
      </c>
      <c r="M6" s="1898">
        <f>L6/$L$5</f>
        <v>0.6428571428571429</v>
      </c>
    </row>
    <row r="7" spans="2:13" s="1821" customFormat="1" ht="26.4" hidden="1">
      <c r="B7" s="1907">
        <v>3</v>
      </c>
      <c r="C7" s="1891" t="s">
        <v>158</v>
      </c>
      <c r="D7" s="1891" t="s">
        <v>159</v>
      </c>
      <c r="E7" s="1835"/>
      <c r="F7" s="1836" t="s">
        <v>160</v>
      </c>
      <c r="G7" s="1837">
        <v>45841</v>
      </c>
      <c r="H7" s="1838"/>
      <c r="I7" s="1839" t="s">
        <v>156</v>
      </c>
      <c r="J7" s="1892" t="s">
        <v>161</v>
      </c>
      <c r="K7" s="1896" t="s">
        <v>162</v>
      </c>
      <c r="L7" s="1897">
        <f>COUNTIF(I5:I1720,"=K")</f>
        <v>5</v>
      </c>
      <c r="M7" s="1899">
        <f>L7/$L$5</f>
        <v>0.35714285714285715</v>
      </c>
    </row>
    <row r="8" spans="2:13" s="1821" customFormat="1" ht="30" customHeight="1">
      <c r="B8" s="1907">
        <v>4</v>
      </c>
      <c r="C8" s="1891" t="s">
        <v>158</v>
      </c>
      <c r="D8" s="1891" t="s">
        <v>163</v>
      </c>
      <c r="E8" s="1835"/>
      <c r="F8" s="1836" t="s">
        <v>160</v>
      </c>
      <c r="G8" s="1837">
        <v>45841</v>
      </c>
      <c r="H8" s="1837">
        <v>45881</v>
      </c>
      <c r="I8" s="1839" t="s">
        <v>92</v>
      </c>
      <c r="J8" s="1892" t="s">
        <v>164</v>
      </c>
      <c r="K8" s="1896" t="s">
        <v>79</v>
      </c>
      <c r="L8" s="1897">
        <f>COUNTIF(I5:I1720,"=L")</f>
        <v>0</v>
      </c>
      <c r="M8" s="1900">
        <f>L8/$L$5</f>
        <v>0</v>
      </c>
    </row>
    <row r="9" spans="2:13" s="1821" customFormat="1" ht="27" thickBot="1">
      <c r="B9" s="1907">
        <v>5</v>
      </c>
      <c r="C9" s="1891" t="s">
        <v>165</v>
      </c>
      <c r="D9" s="1891" t="s">
        <v>166</v>
      </c>
      <c r="E9" s="1835"/>
      <c r="F9" s="1836" t="s">
        <v>167</v>
      </c>
      <c r="G9" s="1837">
        <v>45870</v>
      </c>
      <c r="H9" s="1838">
        <v>45880</v>
      </c>
      <c r="I9" s="1839" t="s">
        <v>92</v>
      </c>
      <c r="J9" s="1892" t="s">
        <v>168</v>
      </c>
      <c r="K9" s="1901" t="s">
        <v>169</v>
      </c>
      <c r="L9" s="1902">
        <f>L5-L6-L7-L8</f>
        <v>0</v>
      </c>
      <c r="M9" s="1903">
        <f>L9/$L$5</f>
        <v>0</v>
      </c>
    </row>
    <row r="10" spans="2:13" s="1821" customFormat="1" ht="16.2">
      <c r="B10" s="1907">
        <v>6</v>
      </c>
      <c r="C10" s="1891" t="s">
        <v>170</v>
      </c>
      <c r="D10" s="1891" t="s">
        <v>171</v>
      </c>
      <c r="E10" s="1835"/>
      <c r="F10" s="1836" t="s">
        <v>167</v>
      </c>
      <c r="G10" s="1837">
        <v>45863</v>
      </c>
      <c r="H10" s="1838">
        <v>45884</v>
      </c>
      <c r="I10" s="1839" t="s">
        <v>92</v>
      </c>
      <c r="J10" s="1892" t="s">
        <v>172</v>
      </c>
    </row>
    <row r="11" spans="2:13" s="1821" customFormat="1" ht="47.25" hidden="1" customHeight="1">
      <c r="B11" s="1907">
        <v>7</v>
      </c>
      <c r="C11" s="1891" t="s">
        <v>173</v>
      </c>
      <c r="D11" s="1891" t="s">
        <v>174</v>
      </c>
      <c r="E11" s="1835"/>
      <c r="F11" s="1836" t="s">
        <v>151</v>
      </c>
      <c r="G11" s="1837">
        <v>45858</v>
      </c>
      <c r="H11" s="1838">
        <v>45859</v>
      </c>
      <c r="I11" s="1839" t="s">
        <v>156</v>
      </c>
      <c r="J11" s="1892" t="s">
        <v>175</v>
      </c>
    </row>
    <row r="12" spans="2:13" s="1821" customFormat="1" ht="26.4" hidden="1">
      <c r="B12" s="1907">
        <v>8</v>
      </c>
      <c r="C12" s="1891" t="s">
        <v>173</v>
      </c>
      <c r="D12" s="1891" t="s">
        <v>176</v>
      </c>
      <c r="E12" s="1835"/>
      <c r="F12" s="1836" t="s">
        <v>151</v>
      </c>
      <c r="G12" s="1837">
        <v>45843</v>
      </c>
      <c r="H12" s="1838">
        <v>45843</v>
      </c>
      <c r="I12" s="1839" t="s">
        <v>156</v>
      </c>
      <c r="J12" s="1892" t="s">
        <v>177</v>
      </c>
    </row>
    <row r="13" spans="2:13" s="1821" customFormat="1" ht="34.5" customHeight="1">
      <c r="B13" s="1907">
        <v>9</v>
      </c>
      <c r="C13" s="1891" t="s">
        <v>178</v>
      </c>
      <c r="D13" s="1891" t="s">
        <v>179</v>
      </c>
      <c r="E13" s="1835"/>
      <c r="F13" s="1836" t="s">
        <v>180</v>
      </c>
      <c r="G13" s="1837">
        <v>45855</v>
      </c>
      <c r="H13" s="1838">
        <v>45899</v>
      </c>
      <c r="I13" s="1839" t="s">
        <v>92</v>
      </c>
      <c r="J13" s="1892" t="s">
        <v>99</v>
      </c>
    </row>
    <row r="14" spans="2:13" s="1821" customFormat="1" ht="26.4" hidden="1">
      <c r="B14" s="1907">
        <v>10</v>
      </c>
      <c r="C14" s="1891" t="s">
        <v>181</v>
      </c>
      <c r="D14" s="1891" t="s">
        <v>182</v>
      </c>
      <c r="E14" s="1835"/>
      <c r="F14" s="1836" t="s">
        <v>167</v>
      </c>
      <c r="G14" s="1837">
        <v>45841</v>
      </c>
      <c r="H14" s="1838">
        <v>45842</v>
      </c>
      <c r="I14" s="1839" t="s">
        <v>156</v>
      </c>
      <c r="J14" s="1892" t="s">
        <v>183</v>
      </c>
    </row>
    <row r="15" spans="2:13" s="1821" customFormat="1" ht="16.2" hidden="1">
      <c r="B15" s="1907">
        <v>11</v>
      </c>
      <c r="C15" s="1891" t="s">
        <v>184</v>
      </c>
      <c r="D15" s="1891" t="s">
        <v>185</v>
      </c>
      <c r="E15" s="1835"/>
      <c r="F15" s="1836" t="s">
        <v>151</v>
      </c>
      <c r="G15" s="1837">
        <v>45841</v>
      </c>
      <c r="H15" s="1838">
        <v>45843</v>
      </c>
      <c r="I15" s="1839" t="s">
        <v>156</v>
      </c>
      <c r="J15" s="1892" t="s">
        <v>186</v>
      </c>
    </row>
    <row r="16" spans="2:13" s="1821" customFormat="1" ht="26.4" hidden="1">
      <c r="B16" s="1907">
        <v>12</v>
      </c>
      <c r="C16" s="1891" t="s">
        <v>165</v>
      </c>
      <c r="D16" s="1891" t="s">
        <v>187</v>
      </c>
      <c r="E16" s="1835"/>
      <c r="F16" s="1836" t="s">
        <v>151</v>
      </c>
      <c r="G16" s="1837">
        <v>45841</v>
      </c>
      <c r="H16" s="1838">
        <v>45846</v>
      </c>
      <c r="I16" s="1839" t="s">
        <v>156</v>
      </c>
      <c r="J16" s="1892" t="s">
        <v>188</v>
      </c>
    </row>
    <row r="17" spans="2:10" s="1821" customFormat="1" ht="39.6" hidden="1">
      <c r="B17" s="1907">
        <v>13</v>
      </c>
      <c r="C17" s="1891" t="s">
        <v>189</v>
      </c>
      <c r="D17" s="1891" t="s">
        <v>190</v>
      </c>
      <c r="E17" s="1835"/>
      <c r="F17" s="1836" t="s">
        <v>167</v>
      </c>
      <c r="G17" s="1837">
        <v>45842</v>
      </c>
      <c r="H17" s="1838"/>
      <c r="I17" s="1839" t="s">
        <v>156</v>
      </c>
      <c r="J17" s="1892" t="s">
        <v>191</v>
      </c>
    </row>
    <row r="18" spans="2:10" s="1821" customFormat="1" ht="31.5" hidden="1" customHeight="1">
      <c r="B18" s="1907">
        <v>14</v>
      </c>
      <c r="C18" s="1891" t="s">
        <v>192</v>
      </c>
      <c r="D18" s="1891" t="s">
        <v>193</v>
      </c>
      <c r="E18" s="1835"/>
      <c r="F18" s="1836" t="s">
        <v>151</v>
      </c>
      <c r="G18" s="1837">
        <v>45843</v>
      </c>
      <c r="H18" s="1838">
        <v>45846</v>
      </c>
      <c r="I18" s="1839" t="s">
        <v>156</v>
      </c>
      <c r="J18" s="1892" t="s">
        <v>194</v>
      </c>
    </row>
    <row r="19" spans="2:10" s="1821" customFormat="1" ht="16.2">
      <c r="B19" s="1908"/>
      <c r="C19" s="1834"/>
      <c r="D19" s="1834"/>
      <c r="E19" s="1835"/>
      <c r="F19" s="1836"/>
      <c r="G19" s="1837"/>
      <c r="H19" s="1838"/>
      <c r="I19" s="1839"/>
      <c r="J19" s="1840"/>
    </row>
    <row r="20" spans="2:10" s="1821" customFormat="1" ht="16.2">
      <c r="B20" s="1908"/>
      <c r="C20" s="1834"/>
      <c r="D20" s="1834"/>
      <c r="E20" s="1835"/>
      <c r="F20" s="1836"/>
      <c r="G20" s="1837"/>
      <c r="H20" s="1838"/>
      <c r="I20" s="1839"/>
      <c r="J20" s="1840"/>
    </row>
    <row r="21" spans="2:10" s="1821" customFormat="1" ht="16.2">
      <c r="B21" s="1908"/>
      <c r="C21" s="1834"/>
      <c r="D21" s="1834"/>
      <c r="E21" s="1835"/>
      <c r="F21" s="1836"/>
      <c r="G21" s="1837"/>
      <c r="H21" s="1838"/>
      <c r="I21" s="1839"/>
      <c r="J21" s="1840"/>
    </row>
    <row r="22" spans="2:10" s="1821" customFormat="1" ht="16.2">
      <c r="B22" s="1908" t="s">
        <v>195</v>
      </c>
      <c r="C22" s="1834"/>
      <c r="D22" s="1834"/>
      <c r="E22" s="1835"/>
      <c r="F22" s="1836"/>
      <c r="G22" s="1837"/>
      <c r="H22" s="1838"/>
      <c r="I22" s="1839"/>
      <c r="J22" s="1840"/>
    </row>
    <row r="23" spans="2:10" s="1821" customFormat="1" ht="16.2">
      <c r="B23" s="1908"/>
      <c r="C23" s="1834"/>
      <c r="D23" s="1834"/>
      <c r="E23" s="1835"/>
      <c r="F23" s="1836"/>
      <c r="G23" s="1837"/>
      <c r="H23" s="1838"/>
      <c r="I23" s="1839"/>
      <c r="J23" s="1840"/>
    </row>
    <row r="24" spans="2:10" s="1821" customFormat="1" ht="16.2">
      <c r="B24" s="1908"/>
      <c r="C24" s="1834"/>
      <c r="D24" s="1834"/>
      <c r="E24" s="1835"/>
      <c r="F24" s="1836"/>
      <c r="G24" s="1837"/>
      <c r="H24" s="1838"/>
      <c r="I24" s="1839"/>
      <c r="J24" s="1840"/>
    </row>
    <row r="25" spans="2:10" s="1821" customFormat="1" ht="16.2">
      <c r="B25" s="1908"/>
      <c r="C25" s="1834"/>
      <c r="D25" s="1834"/>
      <c r="E25" s="1835"/>
      <c r="F25" s="1836"/>
      <c r="G25" s="1837"/>
      <c r="H25" s="1838"/>
      <c r="I25" s="1839"/>
      <c r="J25" s="1840"/>
    </row>
    <row r="26" spans="2:10" s="1821" customFormat="1" ht="16.2">
      <c r="B26" s="1908"/>
      <c r="C26" s="1834"/>
      <c r="D26" s="1834"/>
      <c r="E26" s="1835"/>
      <c r="F26" s="1836"/>
      <c r="G26" s="1837"/>
      <c r="H26" s="1838"/>
      <c r="I26" s="1839"/>
      <c r="J26" s="1840"/>
    </row>
    <row r="27" spans="2:10" s="1821" customFormat="1" ht="16.2">
      <c r="B27" s="1908"/>
      <c r="C27" s="1834"/>
      <c r="D27" s="1834"/>
      <c r="E27" s="1835"/>
      <c r="F27" s="1836"/>
      <c r="G27" s="1837"/>
      <c r="H27" s="1838"/>
      <c r="I27" s="1839"/>
      <c r="J27" s="1840"/>
    </row>
    <row r="28" spans="2:10" s="1821" customFormat="1" ht="16.2">
      <c r="B28" s="1908"/>
      <c r="C28" s="1834"/>
      <c r="D28" s="1834"/>
      <c r="E28" s="1835"/>
      <c r="F28" s="1836"/>
      <c r="G28" s="1837"/>
      <c r="H28" s="1838"/>
      <c r="I28" s="1839"/>
      <c r="J28" s="1840"/>
    </row>
    <row r="29" spans="2:10" s="1821" customFormat="1" ht="16.2">
      <c r="B29" s="1908"/>
      <c r="C29" s="1834"/>
      <c r="D29" s="1834"/>
      <c r="E29" s="1835"/>
      <c r="F29" s="1836"/>
      <c r="G29" s="1837"/>
      <c r="H29" s="1838"/>
      <c r="I29" s="1839"/>
      <c r="J29" s="1840"/>
    </row>
    <row r="30" spans="2:10" s="1821" customFormat="1" ht="16.2">
      <c r="B30" s="1908"/>
      <c r="C30" s="1834"/>
      <c r="D30" s="1834"/>
      <c r="E30" s="1835"/>
      <c r="F30" s="1836"/>
      <c r="G30" s="1837"/>
      <c r="H30" s="1838"/>
      <c r="I30" s="1839"/>
      <c r="J30" s="1840"/>
    </row>
    <row r="31" spans="2:10" s="1821" customFormat="1" ht="16.2">
      <c r="B31" s="1908"/>
      <c r="C31" s="1834"/>
      <c r="D31" s="1834"/>
      <c r="E31" s="1835"/>
      <c r="F31" s="1836"/>
      <c r="G31" s="1837"/>
      <c r="H31" s="1838"/>
      <c r="I31" s="1839"/>
      <c r="J31" s="1840"/>
    </row>
    <row r="32" spans="2:10" s="1821" customFormat="1" ht="16.2">
      <c r="B32" s="1908"/>
      <c r="C32" s="1834"/>
      <c r="D32" s="1834"/>
      <c r="E32" s="1835"/>
      <c r="F32" s="1836"/>
      <c r="G32" s="1837"/>
      <c r="H32" s="1838"/>
      <c r="I32" s="1839"/>
      <c r="J32" s="1840"/>
    </row>
    <row r="33" spans="1:30" s="1821" customFormat="1" ht="16.2">
      <c r="B33" s="1908"/>
      <c r="C33" s="1834"/>
      <c r="D33" s="1834"/>
      <c r="E33" s="1835"/>
      <c r="F33" s="1836"/>
      <c r="G33" s="1837"/>
      <c r="H33" s="1838"/>
      <c r="I33" s="1839"/>
      <c r="J33" s="1840"/>
    </row>
    <row r="34" spans="1:30" s="1821" customFormat="1" ht="16.2">
      <c r="B34" s="1908"/>
      <c r="C34" s="1834"/>
      <c r="D34" s="1834"/>
      <c r="E34" s="1835"/>
      <c r="F34" s="1836"/>
      <c r="G34" s="1837"/>
      <c r="H34" s="1838"/>
      <c r="I34" s="1839"/>
      <c r="J34" s="1840"/>
    </row>
    <row r="35" spans="1:30" s="1822" customFormat="1" ht="16.2">
      <c r="A35" s="1821"/>
      <c r="B35" s="1908"/>
      <c r="C35" s="1834"/>
      <c r="D35" s="1834"/>
      <c r="E35" s="1835"/>
      <c r="F35" s="1836"/>
      <c r="G35" s="1837"/>
      <c r="H35" s="1838"/>
      <c r="I35" s="1839"/>
      <c r="J35" s="1840"/>
      <c r="K35" s="1821"/>
      <c r="L35" s="1821"/>
      <c r="M35" s="1821"/>
      <c r="N35" s="1821"/>
      <c r="O35" s="1821"/>
      <c r="P35" s="1821"/>
      <c r="Q35" s="1821"/>
      <c r="R35" s="1821"/>
      <c r="S35" s="1821"/>
      <c r="T35" s="1821"/>
      <c r="U35" s="1821"/>
      <c r="V35" s="1821"/>
      <c r="W35" s="1821"/>
      <c r="X35" s="1821"/>
      <c r="Y35" s="1821"/>
      <c r="Z35" s="1821"/>
      <c r="AA35" s="1821"/>
      <c r="AB35" s="1821"/>
      <c r="AC35" s="1821"/>
      <c r="AD35" s="1821"/>
    </row>
    <row r="36" spans="1:30" s="1821" customFormat="1" ht="16.2">
      <c r="B36" s="1908"/>
      <c r="C36" s="1834"/>
      <c r="D36" s="1834"/>
      <c r="E36" s="1835"/>
      <c r="F36" s="1836"/>
      <c r="G36" s="1837"/>
      <c r="H36" s="1838"/>
      <c r="I36" s="1839"/>
      <c r="J36" s="1840"/>
    </row>
    <row r="37" spans="1:30" s="1821" customFormat="1" ht="16.2">
      <c r="B37" s="1908"/>
      <c r="C37" s="1834"/>
      <c r="D37" s="1834"/>
      <c r="E37" s="1835"/>
      <c r="F37" s="1836"/>
      <c r="G37" s="1837"/>
      <c r="H37" s="1838"/>
      <c r="I37" s="1839"/>
      <c r="J37" s="1840"/>
    </row>
    <row r="38" spans="1:30" s="1821" customFormat="1" ht="16.2">
      <c r="B38" s="1908"/>
      <c r="C38" s="1834"/>
      <c r="D38" s="1834"/>
      <c r="E38" s="1835"/>
      <c r="F38" s="1836"/>
      <c r="G38" s="1837"/>
      <c r="H38" s="1838"/>
      <c r="I38" s="1839"/>
      <c r="J38" s="1840"/>
    </row>
    <row r="39" spans="1:30" s="1821" customFormat="1" ht="16.2">
      <c r="B39" s="1908"/>
      <c r="C39" s="1834"/>
      <c r="D39" s="1834"/>
      <c r="E39" s="1835"/>
      <c r="F39" s="1836"/>
      <c r="G39" s="1837"/>
      <c r="H39" s="1838"/>
      <c r="I39" s="1839"/>
      <c r="J39" s="1840"/>
    </row>
    <row r="40" spans="1:30" s="1821" customFormat="1" ht="16.2">
      <c r="B40" s="1908"/>
      <c r="C40" s="1834"/>
      <c r="D40" s="1834"/>
      <c r="E40" s="1835"/>
      <c r="F40" s="1836"/>
      <c r="G40" s="1837"/>
      <c r="H40" s="1838"/>
      <c r="I40" s="1839"/>
      <c r="J40" s="1840"/>
    </row>
    <row r="41" spans="1:30" s="1821" customFormat="1" ht="16.2">
      <c r="B41" s="1908"/>
      <c r="C41" s="1834"/>
      <c r="D41" s="1834"/>
      <c r="E41" s="1835"/>
      <c r="F41" s="1836"/>
      <c r="G41" s="1837"/>
      <c r="H41" s="1838"/>
      <c r="I41" s="1839"/>
      <c r="J41" s="1840"/>
    </row>
    <row r="42" spans="1:30" s="1821" customFormat="1" ht="16.2">
      <c r="B42" s="1908"/>
      <c r="C42" s="1834"/>
      <c r="D42" s="1834"/>
      <c r="E42" s="1835"/>
      <c r="F42" s="1836"/>
      <c r="G42" s="1837"/>
      <c r="H42" s="1838"/>
      <c r="I42" s="1839"/>
      <c r="J42" s="1840"/>
    </row>
    <row r="43" spans="1:30" s="1821" customFormat="1" ht="16.2">
      <c r="B43" s="1908"/>
      <c r="C43" s="1834"/>
      <c r="D43" s="1834"/>
      <c r="E43" s="1835"/>
      <c r="F43" s="1836"/>
      <c r="G43" s="1837"/>
      <c r="H43" s="1838"/>
      <c r="I43" s="1839"/>
      <c r="J43" s="1840"/>
    </row>
    <row r="44" spans="1:30" s="1821" customFormat="1" ht="16.2">
      <c r="B44" s="1908"/>
      <c r="C44" s="1834"/>
      <c r="D44" s="1834"/>
      <c r="E44" s="1835"/>
      <c r="F44" s="1836"/>
      <c r="G44" s="1837"/>
      <c r="H44" s="1838"/>
      <c r="I44" s="1839"/>
      <c r="J44" s="1840"/>
    </row>
    <row r="45" spans="1:30" s="1821" customFormat="1" ht="16.2">
      <c r="B45" s="1908"/>
      <c r="C45" s="1834"/>
      <c r="D45" s="1834"/>
      <c r="E45" s="1835"/>
      <c r="F45" s="1836"/>
      <c r="G45" s="1837"/>
      <c r="H45" s="1838"/>
      <c r="I45" s="1839"/>
      <c r="J45" s="1840"/>
    </row>
    <row r="46" spans="1:30" s="1821" customFormat="1" ht="16.2">
      <c r="B46" s="1908"/>
      <c r="C46" s="1834"/>
      <c r="D46" s="1834"/>
      <c r="E46" s="1835"/>
      <c r="F46" s="1836"/>
      <c r="G46" s="1837"/>
      <c r="H46" s="1838"/>
      <c r="I46" s="1839"/>
      <c r="J46" s="1840"/>
    </row>
    <row r="47" spans="1:30" s="1821" customFormat="1" ht="16.2">
      <c r="B47" s="1908"/>
      <c r="C47" s="1834"/>
      <c r="D47" s="1834"/>
      <c r="E47" s="1835"/>
      <c r="F47" s="1836"/>
      <c r="G47" s="1837"/>
      <c r="H47" s="1838"/>
      <c r="I47" s="1839"/>
      <c r="J47" s="1840"/>
    </row>
    <row r="48" spans="1:30" s="1821" customFormat="1" ht="16.2">
      <c r="B48" s="1908"/>
      <c r="C48" s="1834"/>
      <c r="D48" s="1834"/>
      <c r="E48" s="1835"/>
      <c r="F48" s="1836"/>
      <c r="G48" s="1837"/>
      <c r="H48" s="1838"/>
      <c r="I48" s="1839"/>
      <c r="J48" s="1840"/>
    </row>
    <row r="49" spans="1:37" s="1821" customFormat="1" ht="16.2">
      <c r="B49" s="1908"/>
      <c r="C49" s="1834"/>
      <c r="D49" s="1834"/>
      <c r="E49" s="1835"/>
      <c r="F49" s="1836"/>
      <c r="G49" s="1837"/>
      <c r="H49" s="1838"/>
      <c r="I49" s="1839"/>
      <c r="J49" s="1840"/>
    </row>
    <row r="50" spans="1:37" s="1821" customFormat="1" ht="16.2">
      <c r="B50" s="1908"/>
      <c r="C50" s="1834"/>
      <c r="D50" s="1834"/>
      <c r="E50" s="1835"/>
      <c r="F50" s="1836"/>
      <c r="G50" s="1837"/>
      <c r="H50" s="1838"/>
      <c r="I50" s="1839"/>
      <c r="J50" s="1840"/>
    </row>
    <row r="51" spans="1:37" s="1821" customFormat="1" ht="16.2">
      <c r="B51" s="1908"/>
      <c r="C51" s="1834"/>
      <c r="D51" s="1834"/>
      <c r="E51" s="1835"/>
      <c r="F51" s="1836"/>
      <c r="G51" s="1837"/>
      <c r="H51" s="1838"/>
      <c r="I51" s="1839"/>
      <c r="J51" s="1840"/>
    </row>
    <row r="52" spans="1:37" s="1821" customFormat="1" ht="16.2">
      <c r="B52" s="1908"/>
      <c r="C52" s="1834"/>
      <c r="D52" s="1834"/>
      <c r="E52" s="1835"/>
      <c r="F52" s="1836"/>
      <c r="G52" s="1837"/>
      <c r="H52" s="1838"/>
      <c r="I52" s="1839"/>
      <c r="J52" s="1840"/>
    </row>
    <row r="53" spans="1:37" s="1823" customFormat="1" ht="16.2">
      <c r="A53" s="1821"/>
      <c r="B53" s="1908"/>
      <c r="C53" s="1834"/>
      <c r="D53" s="1834"/>
      <c r="E53" s="1835"/>
      <c r="F53" s="1836"/>
      <c r="G53" s="1837"/>
      <c r="H53" s="1838"/>
      <c r="I53" s="1839"/>
      <c r="J53" s="1840"/>
      <c r="K53" s="1821"/>
      <c r="L53" s="1821"/>
      <c r="M53" s="1821"/>
      <c r="N53" s="1821"/>
      <c r="O53" s="1821"/>
      <c r="P53" s="1821"/>
      <c r="Q53" s="1821"/>
      <c r="R53" s="1821"/>
      <c r="S53" s="1821"/>
      <c r="T53" s="1821"/>
      <c r="U53" s="1821"/>
      <c r="V53" s="1821"/>
      <c r="W53" s="1821"/>
      <c r="X53" s="1821"/>
      <c r="Y53" s="1821"/>
      <c r="Z53" s="1821"/>
      <c r="AA53" s="1821"/>
      <c r="AB53" s="1821"/>
      <c r="AC53" s="1821"/>
      <c r="AD53" s="1821"/>
    </row>
    <row r="54" spans="1:37" s="1822" customFormat="1" ht="16.2">
      <c r="A54" s="1821"/>
      <c r="B54" s="1908"/>
      <c r="C54" s="1834"/>
      <c r="D54" s="1834"/>
      <c r="E54" s="1835"/>
      <c r="F54" s="1836"/>
      <c r="G54" s="1837"/>
      <c r="H54" s="1838"/>
      <c r="I54" s="1839"/>
      <c r="J54" s="1840"/>
      <c r="K54" s="1821"/>
      <c r="L54" s="1821"/>
      <c r="M54" s="1821"/>
      <c r="N54" s="1821"/>
      <c r="O54" s="1821"/>
      <c r="P54" s="1821"/>
      <c r="Q54" s="1821"/>
      <c r="R54" s="1821"/>
      <c r="S54" s="1821"/>
      <c r="T54" s="1821"/>
      <c r="U54" s="1821"/>
      <c r="V54" s="1821"/>
      <c r="W54" s="1821"/>
      <c r="X54" s="1821"/>
      <c r="Y54" s="1821"/>
      <c r="Z54" s="1821"/>
      <c r="AA54" s="1821"/>
      <c r="AB54" s="1821"/>
      <c r="AC54" s="1821"/>
      <c r="AD54" s="1821"/>
    </row>
    <row r="55" spans="1:37" s="1822" customFormat="1" ht="16.2">
      <c r="A55" s="1821"/>
      <c r="B55" s="1908"/>
      <c r="C55" s="1834"/>
      <c r="D55" s="1834"/>
      <c r="E55" s="1835"/>
      <c r="F55" s="1836"/>
      <c r="G55" s="1837"/>
      <c r="H55" s="1838"/>
      <c r="I55" s="1839"/>
      <c r="J55" s="1840"/>
      <c r="K55" s="1821"/>
      <c r="L55" s="1821"/>
      <c r="M55" s="1821"/>
      <c r="N55" s="1821"/>
      <c r="O55" s="1821"/>
      <c r="P55" s="1821"/>
      <c r="Q55" s="1821"/>
      <c r="R55" s="1821"/>
      <c r="S55" s="1821"/>
      <c r="T55" s="1821"/>
      <c r="U55" s="1821"/>
      <c r="V55" s="1821"/>
      <c r="W55" s="1821"/>
      <c r="X55" s="1821"/>
      <c r="Y55" s="1821"/>
      <c r="Z55" s="1821"/>
      <c r="AA55" s="1821"/>
      <c r="AB55" s="1821"/>
      <c r="AC55" s="1821"/>
      <c r="AD55" s="1821"/>
    </row>
    <row r="56" spans="1:37" s="1821" customFormat="1" ht="16.2">
      <c r="B56" s="1908"/>
      <c r="C56" s="1834"/>
      <c r="D56" s="1834"/>
      <c r="E56" s="1835"/>
      <c r="F56" s="1836"/>
      <c r="G56" s="1837"/>
      <c r="H56" s="1838"/>
      <c r="I56" s="1839"/>
      <c r="J56" s="1840"/>
      <c r="AE56" s="1823"/>
      <c r="AF56" s="1823"/>
      <c r="AG56" s="1823"/>
      <c r="AH56" s="1823"/>
      <c r="AI56" s="1823"/>
      <c r="AJ56" s="1823"/>
      <c r="AK56" s="1823"/>
    </row>
    <row r="57" spans="1:37" s="1821" customFormat="1" ht="16.2">
      <c r="B57" s="1908"/>
      <c r="C57" s="1834"/>
      <c r="D57" s="1834"/>
      <c r="E57" s="1835"/>
      <c r="F57" s="1836"/>
      <c r="G57" s="1837"/>
      <c r="H57" s="1838"/>
      <c r="I57" s="1839"/>
      <c r="J57" s="1840"/>
      <c r="AE57" s="1823"/>
      <c r="AF57" s="1823"/>
      <c r="AG57" s="1823"/>
      <c r="AH57" s="1823"/>
      <c r="AI57" s="1823"/>
      <c r="AJ57" s="1823"/>
      <c r="AK57" s="1823"/>
    </row>
    <row r="58" spans="1:37" s="1822" customFormat="1" ht="16.2">
      <c r="A58" s="1821"/>
      <c r="B58" s="1908"/>
      <c r="C58" s="1834"/>
      <c r="D58" s="1834"/>
      <c r="E58" s="1835"/>
      <c r="F58" s="1836"/>
      <c r="G58" s="1837"/>
      <c r="H58" s="1838"/>
      <c r="I58" s="1839"/>
      <c r="J58" s="1840"/>
      <c r="K58" s="1821"/>
      <c r="L58" s="1821"/>
      <c r="M58" s="1821"/>
      <c r="N58" s="1821"/>
      <c r="O58" s="1821"/>
      <c r="P58" s="1821"/>
      <c r="Q58" s="1821"/>
      <c r="R58" s="1821"/>
      <c r="S58" s="1821"/>
      <c r="T58" s="1821"/>
      <c r="U58" s="1821"/>
      <c r="V58" s="1821"/>
      <c r="W58" s="1821"/>
      <c r="X58" s="1821"/>
      <c r="Y58" s="1821"/>
      <c r="Z58" s="1821"/>
      <c r="AA58" s="1821"/>
      <c r="AB58" s="1821"/>
      <c r="AC58" s="1821"/>
      <c r="AD58" s="1821"/>
      <c r="AE58" s="1823"/>
      <c r="AF58" s="1823"/>
      <c r="AG58" s="1823"/>
      <c r="AH58" s="1823"/>
      <c r="AI58" s="1823"/>
      <c r="AJ58" s="1823"/>
      <c r="AK58" s="1823"/>
    </row>
    <row r="59" spans="1:37" s="1822" customFormat="1" ht="16.2">
      <c r="A59" s="1821"/>
      <c r="B59" s="1908"/>
      <c r="C59" s="1834"/>
      <c r="D59" s="1834"/>
      <c r="E59" s="1835"/>
      <c r="F59" s="1836"/>
      <c r="G59" s="1837"/>
      <c r="H59" s="1838"/>
      <c r="I59" s="1839"/>
      <c r="J59" s="1840"/>
      <c r="K59" s="1821"/>
      <c r="L59" s="1821"/>
      <c r="M59" s="1821"/>
      <c r="N59" s="1821"/>
      <c r="O59" s="1821"/>
      <c r="P59" s="1821"/>
      <c r="Q59" s="1821"/>
      <c r="R59" s="1821"/>
      <c r="S59" s="1821"/>
      <c r="T59" s="1821"/>
      <c r="U59" s="1821"/>
      <c r="V59" s="1821"/>
      <c r="W59" s="1821"/>
      <c r="X59" s="1821"/>
      <c r="Y59" s="1821"/>
      <c r="Z59" s="1821"/>
      <c r="AA59" s="1821"/>
      <c r="AB59" s="1821"/>
      <c r="AC59" s="1821"/>
      <c r="AD59" s="1821"/>
      <c r="AE59" s="1823"/>
      <c r="AF59" s="1823"/>
      <c r="AG59" s="1823"/>
      <c r="AH59" s="1823"/>
      <c r="AI59" s="1823"/>
      <c r="AJ59" s="1823"/>
      <c r="AK59" s="1823"/>
    </row>
    <row r="60" spans="1:37" s="1822" customFormat="1" ht="16.2">
      <c r="A60" s="1821"/>
      <c r="B60" s="1908"/>
      <c r="C60" s="1834"/>
      <c r="D60" s="1834"/>
      <c r="E60" s="1835"/>
      <c r="F60" s="1836"/>
      <c r="G60" s="1837"/>
      <c r="H60" s="1838"/>
      <c r="I60" s="1839"/>
      <c r="J60" s="1840"/>
      <c r="K60" s="1821"/>
      <c r="L60" s="1821"/>
      <c r="M60" s="1821"/>
      <c r="N60" s="1821"/>
      <c r="O60" s="1821"/>
      <c r="P60" s="1821"/>
      <c r="Q60" s="1821"/>
      <c r="R60" s="1821"/>
      <c r="S60" s="1821"/>
      <c r="T60" s="1821"/>
      <c r="U60" s="1821"/>
      <c r="V60" s="1821"/>
      <c r="W60" s="1821"/>
      <c r="X60" s="1821"/>
      <c r="Y60" s="1821"/>
      <c r="Z60" s="1821"/>
      <c r="AA60" s="1821"/>
      <c r="AB60" s="1821"/>
      <c r="AC60" s="1821"/>
      <c r="AD60" s="1821"/>
      <c r="AE60" s="1823"/>
      <c r="AF60" s="1823"/>
      <c r="AG60" s="1823"/>
      <c r="AH60" s="1823"/>
      <c r="AI60" s="1823"/>
      <c r="AJ60" s="1823"/>
      <c r="AK60" s="1823"/>
    </row>
    <row r="61" spans="1:37" s="1821" customFormat="1" ht="16.2">
      <c r="B61" s="1908"/>
      <c r="C61" s="1834"/>
      <c r="D61" s="1834"/>
      <c r="E61" s="1835"/>
      <c r="F61" s="1836"/>
      <c r="G61" s="1837"/>
      <c r="H61" s="1838"/>
      <c r="I61" s="1839"/>
      <c r="J61" s="1840"/>
      <c r="AE61" s="1823"/>
      <c r="AF61" s="1823"/>
      <c r="AG61" s="1823"/>
      <c r="AH61" s="1823"/>
      <c r="AI61" s="1823"/>
      <c r="AJ61" s="1823"/>
      <c r="AK61" s="1823"/>
    </row>
    <row r="62" spans="1:37" s="1821" customFormat="1" ht="16.2">
      <c r="B62" s="1908"/>
      <c r="C62" s="1834"/>
      <c r="D62" s="1834"/>
      <c r="E62" s="1835"/>
      <c r="F62" s="1836"/>
      <c r="G62" s="1837"/>
      <c r="H62" s="1838"/>
      <c r="I62" s="1839"/>
      <c r="J62" s="1840"/>
      <c r="AE62" s="1823"/>
      <c r="AF62" s="1823"/>
      <c r="AG62" s="1823"/>
      <c r="AH62" s="1823"/>
      <c r="AI62" s="1823"/>
      <c r="AJ62" s="1823"/>
      <c r="AK62" s="1823"/>
    </row>
    <row r="63" spans="1:37" s="1821" customFormat="1" ht="16.2">
      <c r="B63" s="1908"/>
      <c r="C63" s="1834"/>
      <c r="D63" s="1834"/>
      <c r="E63" s="1835"/>
      <c r="F63" s="1836"/>
      <c r="G63" s="1837"/>
      <c r="H63" s="1838"/>
      <c r="I63" s="1839"/>
      <c r="J63" s="1840"/>
      <c r="AE63" s="1823"/>
      <c r="AF63" s="1823"/>
      <c r="AG63" s="1823"/>
      <c r="AH63" s="1823"/>
      <c r="AI63" s="1823"/>
      <c r="AJ63" s="1823"/>
      <c r="AK63" s="1823"/>
    </row>
    <row r="64" spans="1:37" s="1821" customFormat="1" ht="16.2">
      <c r="B64" s="1908"/>
      <c r="C64" s="1834"/>
      <c r="D64" s="1834"/>
      <c r="E64" s="1835"/>
      <c r="F64" s="1836"/>
      <c r="G64" s="1837"/>
      <c r="H64" s="1838"/>
      <c r="I64" s="1839"/>
      <c r="J64" s="1840"/>
      <c r="AE64" s="1823"/>
      <c r="AF64" s="1823"/>
      <c r="AG64" s="1823"/>
      <c r="AH64" s="1823"/>
      <c r="AI64" s="1823"/>
      <c r="AJ64" s="1823"/>
      <c r="AK64" s="1823"/>
    </row>
    <row r="65" spans="2:37" s="1821" customFormat="1" ht="16.2">
      <c r="B65" s="1908"/>
      <c r="C65" s="1834"/>
      <c r="D65" s="1834"/>
      <c r="E65" s="1835"/>
      <c r="F65" s="1836"/>
      <c r="G65" s="1837"/>
      <c r="H65" s="1838"/>
      <c r="I65" s="1839"/>
      <c r="J65" s="1840"/>
      <c r="AE65" s="1823"/>
      <c r="AF65" s="1823"/>
      <c r="AG65" s="1823"/>
      <c r="AH65" s="1823"/>
      <c r="AI65" s="1823"/>
      <c r="AJ65" s="1823"/>
      <c r="AK65" s="1823"/>
    </row>
    <row r="66" spans="2:37" s="1821" customFormat="1" ht="16.2">
      <c r="B66" s="1908"/>
      <c r="C66" s="1834"/>
      <c r="D66" s="1834"/>
      <c r="E66" s="1835"/>
      <c r="F66" s="1836"/>
      <c r="G66" s="1837"/>
      <c r="H66" s="1838"/>
      <c r="I66" s="1839"/>
      <c r="J66" s="1840"/>
      <c r="AE66" s="1823"/>
      <c r="AF66" s="1823"/>
      <c r="AG66" s="1823"/>
      <c r="AH66" s="1823"/>
      <c r="AI66" s="1823"/>
      <c r="AJ66" s="1823"/>
      <c r="AK66" s="1823"/>
    </row>
    <row r="67" spans="2:37" s="1821" customFormat="1" ht="16.2">
      <c r="B67" s="1908"/>
      <c r="C67" s="1834"/>
      <c r="D67" s="1834"/>
      <c r="E67" s="1835"/>
      <c r="F67" s="1836"/>
      <c r="G67" s="1837"/>
      <c r="H67" s="1838"/>
      <c r="I67" s="1839"/>
      <c r="J67" s="1840"/>
      <c r="AE67" s="1823"/>
      <c r="AF67" s="1823"/>
      <c r="AG67" s="1823"/>
      <c r="AH67" s="1823"/>
      <c r="AI67" s="1823"/>
      <c r="AJ67" s="1823"/>
      <c r="AK67" s="1823"/>
    </row>
    <row r="68" spans="2:37" s="1821" customFormat="1" ht="16.2">
      <c r="B68" s="1908"/>
      <c r="C68" s="1834"/>
      <c r="D68" s="1834"/>
      <c r="E68" s="1835"/>
      <c r="F68" s="1836"/>
      <c r="G68" s="1837"/>
      <c r="H68" s="1838"/>
      <c r="I68" s="1839"/>
      <c r="J68" s="1840"/>
      <c r="AE68" s="1823"/>
      <c r="AF68" s="1823"/>
      <c r="AG68" s="1823"/>
      <c r="AH68" s="1823"/>
      <c r="AI68" s="1823"/>
      <c r="AJ68" s="1823"/>
      <c r="AK68" s="1823"/>
    </row>
    <row r="69" spans="2:37" s="1821" customFormat="1" ht="16.2">
      <c r="B69" s="1908"/>
      <c r="C69" s="1834"/>
      <c r="D69" s="1834"/>
      <c r="E69" s="1835"/>
      <c r="F69" s="1836"/>
      <c r="G69" s="1837"/>
      <c r="H69" s="1838"/>
      <c r="I69" s="1839"/>
      <c r="J69" s="1840"/>
      <c r="AE69" s="1823"/>
      <c r="AF69" s="1823"/>
      <c r="AG69" s="1823"/>
      <c r="AH69" s="1823"/>
      <c r="AI69" s="1823"/>
      <c r="AJ69" s="1823"/>
      <c r="AK69" s="1823"/>
    </row>
    <row r="70" spans="2:37" s="1821" customFormat="1" ht="16.2">
      <c r="B70" s="1908"/>
      <c r="C70" s="1834"/>
      <c r="D70" s="1834"/>
      <c r="E70" s="1835"/>
      <c r="F70" s="1836"/>
      <c r="G70" s="1837"/>
      <c r="H70" s="1838"/>
      <c r="I70" s="1839"/>
      <c r="J70" s="1840"/>
      <c r="AE70" s="1823"/>
      <c r="AF70" s="1823"/>
      <c r="AG70" s="1823"/>
      <c r="AH70" s="1823"/>
      <c r="AI70" s="1823"/>
      <c r="AJ70" s="1823"/>
      <c r="AK70" s="1823"/>
    </row>
    <row r="71" spans="2:37" s="1821" customFormat="1" ht="16.2">
      <c r="B71" s="1908"/>
      <c r="C71" s="1834"/>
      <c r="D71" s="1834"/>
      <c r="E71" s="1835"/>
      <c r="F71" s="1836"/>
      <c r="G71" s="1837"/>
      <c r="H71" s="1838"/>
      <c r="I71" s="1839"/>
      <c r="J71" s="1840"/>
      <c r="AE71" s="1823"/>
      <c r="AF71" s="1823"/>
      <c r="AG71" s="1823"/>
      <c r="AH71" s="1823"/>
      <c r="AI71" s="1823"/>
      <c r="AJ71" s="1823"/>
      <c r="AK71" s="1823"/>
    </row>
    <row r="72" spans="2:37" s="1821" customFormat="1" ht="16.2">
      <c r="B72" s="1908"/>
      <c r="C72" s="1834"/>
      <c r="D72" s="1834"/>
      <c r="E72" s="1835"/>
      <c r="F72" s="1836"/>
      <c r="G72" s="1837"/>
      <c r="H72" s="1838"/>
      <c r="I72" s="1839"/>
      <c r="J72" s="1840"/>
      <c r="AE72" s="1823"/>
      <c r="AF72" s="1823"/>
      <c r="AG72" s="1823"/>
      <c r="AH72" s="1823"/>
      <c r="AI72" s="1823"/>
      <c r="AJ72" s="1823"/>
      <c r="AK72" s="1823"/>
    </row>
    <row r="73" spans="2:37" s="1821" customFormat="1" ht="16.2">
      <c r="B73" s="1908"/>
      <c r="C73" s="1834"/>
      <c r="D73" s="1834"/>
      <c r="E73" s="1835"/>
      <c r="F73" s="1836"/>
      <c r="G73" s="1837"/>
      <c r="H73" s="1838"/>
      <c r="I73" s="1839"/>
      <c r="J73" s="1840"/>
      <c r="AE73" s="1823"/>
      <c r="AF73" s="1823"/>
      <c r="AG73" s="1823"/>
      <c r="AH73" s="1823"/>
      <c r="AI73" s="1823"/>
      <c r="AJ73" s="1823"/>
      <c r="AK73" s="1823"/>
    </row>
    <row r="74" spans="2:37" s="1821" customFormat="1" ht="16.2">
      <c r="B74" s="1908"/>
      <c r="C74" s="1834"/>
      <c r="D74" s="1834"/>
      <c r="E74" s="1835"/>
      <c r="F74" s="1836"/>
      <c r="G74" s="1837"/>
      <c r="H74" s="1838"/>
      <c r="I74" s="1839"/>
      <c r="J74" s="1840"/>
      <c r="AE74" s="1823"/>
      <c r="AF74" s="1823"/>
      <c r="AG74" s="1823"/>
      <c r="AH74" s="1823"/>
      <c r="AI74" s="1823"/>
      <c r="AJ74" s="1823"/>
      <c r="AK74" s="1823"/>
    </row>
    <row r="75" spans="2:37" s="1821" customFormat="1" ht="16.2">
      <c r="B75" s="1908"/>
      <c r="C75" s="1834"/>
      <c r="D75" s="1834"/>
      <c r="E75" s="1835"/>
      <c r="F75" s="1836"/>
      <c r="G75" s="1837"/>
      <c r="H75" s="1838"/>
      <c r="I75" s="1839"/>
      <c r="J75" s="1840"/>
      <c r="AE75" s="1823"/>
      <c r="AF75" s="1823"/>
      <c r="AG75" s="1823"/>
      <c r="AH75" s="1823"/>
      <c r="AI75" s="1823"/>
      <c r="AJ75" s="1823"/>
      <c r="AK75" s="1823"/>
    </row>
    <row r="76" spans="2:37" s="1821" customFormat="1" ht="16.2">
      <c r="B76" s="1908"/>
      <c r="C76" s="1834"/>
      <c r="D76" s="1834"/>
      <c r="E76" s="1835"/>
      <c r="F76" s="1836"/>
      <c r="G76" s="1837"/>
      <c r="H76" s="1838"/>
      <c r="I76" s="1839"/>
      <c r="J76" s="1840"/>
      <c r="AE76" s="1823"/>
      <c r="AF76" s="1823"/>
      <c r="AG76" s="1823"/>
      <c r="AH76" s="1823"/>
      <c r="AI76" s="1823"/>
      <c r="AJ76" s="1823"/>
      <c r="AK76" s="1823"/>
    </row>
    <row r="77" spans="2:37" s="1821" customFormat="1" ht="16.2">
      <c r="B77" s="1908"/>
      <c r="C77" s="1834"/>
      <c r="D77" s="1834"/>
      <c r="E77" s="1835"/>
      <c r="F77" s="1836"/>
      <c r="G77" s="1837"/>
      <c r="H77" s="1838"/>
      <c r="I77" s="1839"/>
      <c r="J77" s="1840"/>
      <c r="AE77" s="1823"/>
      <c r="AF77" s="1823"/>
      <c r="AG77" s="1823"/>
      <c r="AH77" s="1823"/>
      <c r="AI77" s="1823"/>
      <c r="AJ77" s="1823"/>
      <c r="AK77" s="1823"/>
    </row>
    <row r="78" spans="2:37" s="1821" customFormat="1" ht="16.2">
      <c r="B78" s="1908"/>
      <c r="C78" s="1834"/>
      <c r="D78" s="1834"/>
      <c r="E78" s="1835"/>
      <c r="F78" s="1836"/>
      <c r="G78" s="1837"/>
      <c r="H78" s="1838"/>
      <c r="I78" s="1839"/>
      <c r="J78" s="1840"/>
      <c r="K78" s="1823"/>
      <c r="L78" s="1823"/>
      <c r="M78" s="1823"/>
      <c r="N78" s="1823"/>
      <c r="O78" s="1823"/>
      <c r="P78" s="1823"/>
      <c r="Q78" s="1823"/>
      <c r="R78" s="1823"/>
      <c r="S78" s="1823"/>
      <c r="T78" s="1823"/>
      <c r="U78" s="1823"/>
      <c r="V78" s="1823"/>
      <c r="W78" s="1823"/>
      <c r="X78" s="1823"/>
      <c r="Y78" s="1823"/>
      <c r="Z78" s="1823"/>
      <c r="AA78" s="1823"/>
      <c r="AB78" s="1823"/>
      <c r="AC78" s="1823"/>
      <c r="AD78" s="1823"/>
      <c r="AE78" s="1823"/>
      <c r="AF78" s="1823"/>
      <c r="AG78" s="1823"/>
      <c r="AH78" s="1823"/>
      <c r="AI78" s="1823"/>
      <c r="AJ78" s="1823"/>
      <c r="AK78" s="1823"/>
    </row>
    <row r="79" spans="2:37" s="1821" customFormat="1" ht="16.2">
      <c r="B79" s="1908"/>
      <c r="C79" s="1834"/>
      <c r="D79" s="1834"/>
      <c r="E79" s="1835"/>
      <c r="F79" s="1836"/>
      <c r="G79" s="1837"/>
      <c r="H79" s="1838"/>
      <c r="I79" s="1839"/>
      <c r="J79" s="1840"/>
      <c r="K79" s="1823"/>
      <c r="L79" s="1823"/>
      <c r="M79" s="1823"/>
      <c r="N79" s="1823"/>
      <c r="O79" s="1823"/>
      <c r="P79" s="1823"/>
      <c r="Q79" s="1823"/>
      <c r="R79" s="1823"/>
      <c r="S79" s="1823"/>
      <c r="T79" s="1823"/>
      <c r="U79" s="1823"/>
      <c r="V79" s="1823"/>
      <c r="W79" s="1823"/>
      <c r="X79" s="1823"/>
      <c r="Y79" s="1823"/>
      <c r="Z79" s="1823"/>
      <c r="AA79" s="1823"/>
      <c r="AB79" s="1823"/>
      <c r="AC79" s="1823"/>
      <c r="AD79" s="1823"/>
      <c r="AE79" s="1823"/>
      <c r="AF79" s="1823"/>
      <c r="AG79" s="1823"/>
      <c r="AH79" s="1823"/>
      <c r="AI79" s="1823"/>
      <c r="AJ79" s="1823"/>
      <c r="AK79" s="1823"/>
    </row>
    <row r="80" spans="2:37" s="1821" customFormat="1" ht="16.2">
      <c r="B80" s="1908"/>
      <c r="C80" s="1834"/>
      <c r="D80" s="1834"/>
      <c r="E80" s="1835"/>
      <c r="F80" s="1836"/>
      <c r="G80" s="1837"/>
      <c r="H80" s="1838"/>
      <c r="I80" s="1839"/>
      <c r="J80" s="1840"/>
      <c r="K80" s="1823"/>
      <c r="L80" s="1823"/>
      <c r="M80" s="1823"/>
      <c r="N80" s="1823"/>
      <c r="O80" s="1823"/>
      <c r="P80" s="1823"/>
      <c r="Q80" s="1823"/>
      <c r="R80" s="1823"/>
      <c r="S80" s="1823"/>
      <c r="T80" s="1823"/>
      <c r="U80" s="1823"/>
      <c r="V80" s="1823"/>
      <c r="W80" s="1823"/>
      <c r="X80" s="1823"/>
      <c r="Y80" s="1823"/>
      <c r="Z80" s="1823"/>
      <c r="AA80" s="1823"/>
      <c r="AB80" s="1823"/>
      <c r="AC80" s="1823"/>
      <c r="AD80" s="1823"/>
      <c r="AE80" s="1823"/>
      <c r="AF80" s="1823"/>
      <c r="AG80" s="1823"/>
      <c r="AH80" s="1823"/>
      <c r="AI80" s="1823"/>
      <c r="AJ80" s="1823"/>
      <c r="AK80" s="1823"/>
    </row>
    <row r="81" spans="1:37" s="1824" customFormat="1" ht="16.2">
      <c r="A81" s="1821"/>
      <c r="B81" s="1908"/>
      <c r="C81" s="1834"/>
      <c r="D81" s="1834"/>
      <c r="E81" s="1835"/>
      <c r="F81" s="1836"/>
      <c r="G81" s="1837"/>
      <c r="H81" s="1838"/>
      <c r="I81" s="1839"/>
      <c r="J81" s="1840"/>
      <c r="K81" s="1841"/>
      <c r="L81" s="1841"/>
      <c r="M81" s="1841"/>
      <c r="N81" s="1841"/>
      <c r="O81" s="1841"/>
      <c r="P81" s="1841"/>
      <c r="Q81" s="1841"/>
      <c r="R81" s="1841"/>
      <c r="S81" s="1841"/>
      <c r="T81" s="1841"/>
      <c r="U81" s="1841"/>
      <c r="V81" s="1841"/>
      <c r="W81" s="1841"/>
      <c r="X81" s="1841"/>
      <c r="Y81" s="1841"/>
      <c r="Z81" s="1841"/>
      <c r="AA81" s="1841"/>
      <c r="AB81" s="1841"/>
      <c r="AC81" s="1841"/>
      <c r="AD81" s="1841"/>
      <c r="AE81" s="1841"/>
      <c r="AF81" s="1841"/>
      <c r="AG81" s="1841"/>
      <c r="AH81" s="1841"/>
      <c r="AI81" s="1841"/>
      <c r="AJ81" s="1841"/>
      <c r="AK81" s="1841"/>
    </row>
    <row r="82" spans="1:37" s="1824" customFormat="1" ht="16.2">
      <c r="A82" s="1821"/>
      <c r="B82" s="1908"/>
      <c r="C82" s="1834"/>
      <c r="D82" s="1834"/>
      <c r="E82" s="1835"/>
      <c r="F82" s="1836"/>
      <c r="G82" s="1837"/>
      <c r="H82" s="1838"/>
      <c r="I82" s="1839"/>
      <c r="J82" s="1840"/>
      <c r="K82" s="1841"/>
      <c r="L82" s="1841"/>
      <c r="M82" s="1841"/>
      <c r="N82" s="1841"/>
      <c r="O82" s="1841"/>
      <c r="P82" s="1841"/>
      <c r="Q82" s="1841"/>
      <c r="R82" s="1841"/>
      <c r="S82" s="1841"/>
      <c r="T82" s="1841"/>
      <c r="U82" s="1841"/>
      <c r="V82" s="1841"/>
      <c r="W82" s="1841"/>
      <c r="X82" s="1841"/>
      <c r="Y82" s="1841"/>
      <c r="Z82" s="1841"/>
      <c r="AA82" s="1841"/>
      <c r="AB82" s="1841"/>
      <c r="AC82" s="1841"/>
      <c r="AD82" s="1841"/>
      <c r="AE82" s="1841"/>
      <c r="AF82" s="1841"/>
      <c r="AG82" s="1841"/>
      <c r="AH82" s="1841"/>
      <c r="AI82" s="1841"/>
      <c r="AJ82" s="1841"/>
      <c r="AK82" s="1841"/>
    </row>
    <row r="83" spans="1:37" s="1824" customFormat="1" ht="16.2">
      <c r="A83" s="1821"/>
      <c r="B83" s="1908"/>
      <c r="C83" s="1834"/>
      <c r="D83" s="1834"/>
      <c r="E83" s="1835"/>
      <c r="F83" s="1836"/>
      <c r="G83" s="1837"/>
      <c r="H83" s="1838"/>
      <c r="I83" s="1839"/>
      <c r="J83" s="1840"/>
      <c r="K83" s="1841"/>
      <c r="L83" s="1841"/>
      <c r="M83" s="1841"/>
      <c r="N83" s="1841"/>
      <c r="O83" s="1841"/>
      <c r="P83" s="1841"/>
      <c r="Q83" s="1841"/>
      <c r="R83" s="1841"/>
      <c r="S83" s="1841"/>
      <c r="T83" s="1841"/>
      <c r="U83" s="1841"/>
      <c r="V83" s="1841"/>
      <c r="W83" s="1841"/>
      <c r="X83" s="1841"/>
      <c r="Y83" s="1841"/>
      <c r="Z83" s="1841"/>
      <c r="AA83" s="1841"/>
      <c r="AB83" s="1841"/>
      <c r="AC83" s="1841"/>
      <c r="AD83" s="1841"/>
      <c r="AE83" s="1841"/>
      <c r="AF83" s="1841"/>
      <c r="AG83" s="1841"/>
      <c r="AH83" s="1841"/>
      <c r="AI83" s="1841"/>
      <c r="AJ83" s="1841"/>
      <c r="AK83" s="1841"/>
    </row>
    <row r="84" spans="1:37" s="1824" customFormat="1" ht="16.2">
      <c r="A84" s="1821"/>
      <c r="B84" s="1908"/>
      <c r="C84" s="1834"/>
      <c r="D84" s="1834"/>
      <c r="E84" s="1835"/>
      <c r="F84" s="1836"/>
      <c r="G84" s="1837"/>
      <c r="H84" s="1838"/>
      <c r="I84" s="1839"/>
      <c r="J84" s="1840"/>
      <c r="K84" s="1841"/>
      <c r="L84" s="1841"/>
      <c r="M84" s="1841"/>
      <c r="N84" s="1841"/>
      <c r="O84" s="1841"/>
      <c r="P84" s="1841"/>
      <c r="Q84" s="1841"/>
      <c r="R84" s="1841"/>
      <c r="S84" s="1841"/>
      <c r="T84" s="1841"/>
      <c r="U84" s="1841"/>
      <c r="V84" s="1841"/>
      <c r="W84" s="1841"/>
      <c r="X84" s="1841"/>
      <c r="Y84" s="1841"/>
      <c r="Z84" s="1841"/>
      <c r="AA84" s="1841"/>
      <c r="AB84" s="1841"/>
      <c r="AC84" s="1841"/>
      <c r="AD84" s="1841"/>
      <c r="AE84" s="1841"/>
      <c r="AF84" s="1841"/>
      <c r="AG84" s="1841"/>
      <c r="AH84" s="1841"/>
      <c r="AI84" s="1841"/>
      <c r="AJ84" s="1841"/>
      <c r="AK84" s="1841"/>
    </row>
    <row r="85" spans="1:37" s="1824" customFormat="1" ht="16.2">
      <c r="A85" s="1821"/>
      <c r="B85" s="1908"/>
      <c r="C85" s="1834"/>
      <c r="D85" s="1834"/>
      <c r="E85" s="1835"/>
      <c r="F85" s="1836"/>
      <c r="G85" s="1837"/>
      <c r="H85" s="1838"/>
      <c r="I85" s="1839"/>
      <c r="J85" s="1840"/>
      <c r="K85" s="1841"/>
      <c r="L85" s="1841"/>
      <c r="M85" s="1841"/>
      <c r="N85" s="1841"/>
      <c r="O85" s="1841"/>
      <c r="P85" s="1841"/>
      <c r="Q85" s="1841"/>
      <c r="R85" s="1841"/>
      <c r="S85" s="1841"/>
      <c r="T85" s="1841"/>
      <c r="U85" s="1841"/>
      <c r="V85" s="1841"/>
      <c r="W85" s="1841"/>
      <c r="X85" s="1841"/>
      <c r="Y85" s="1841"/>
      <c r="Z85" s="1841"/>
      <c r="AA85" s="1841"/>
      <c r="AB85" s="1841"/>
      <c r="AC85" s="1841"/>
      <c r="AD85" s="1841"/>
      <c r="AE85" s="1841"/>
      <c r="AF85" s="1841"/>
      <c r="AG85" s="1841"/>
      <c r="AH85" s="1841"/>
      <c r="AI85" s="1841"/>
      <c r="AJ85" s="1841"/>
      <c r="AK85" s="1841"/>
    </row>
    <row r="86" spans="1:37" s="1824" customFormat="1" ht="16.2">
      <c r="A86" s="1821"/>
      <c r="B86" s="1908"/>
      <c r="C86" s="1834"/>
      <c r="D86" s="1834"/>
      <c r="E86" s="1835"/>
      <c r="F86" s="1836"/>
      <c r="G86" s="1837"/>
      <c r="H86" s="1838"/>
      <c r="I86" s="1839"/>
      <c r="J86" s="1840"/>
      <c r="K86" s="1841"/>
      <c r="L86" s="1841"/>
      <c r="M86" s="1841"/>
      <c r="N86" s="1841"/>
      <c r="O86" s="1841"/>
      <c r="P86" s="1841"/>
      <c r="Q86" s="1841"/>
      <c r="R86" s="1841"/>
      <c r="S86" s="1841"/>
      <c r="T86" s="1841"/>
      <c r="U86" s="1841"/>
      <c r="V86" s="1841"/>
      <c r="W86" s="1841"/>
      <c r="X86" s="1841"/>
      <c r="Y86" s="1841"/>
      <c r="Z86" s="1841"/>
      <c r="AA86" s="1841"/>
      <c r="AB86" s="1841"/>
      <c r="AC86" s="1841"/>
      <c r="AD86" s="1841"/>
      <c r="AE86" s="1841"/>
      <c r="AF86" s="1841"/>
      <c r="AG86" s="1841"/>
      <c r="AH86" s="1841"/>
      <c r="AI86" s="1841"/>
      <c r="AJ86" s="1841"/>
      <c r="AK86" s="1841"/>
    </row>
    <row r="87" spans="1:37" s="1824" customFormat="1" ht="16.2">
      <c r="A87" s="1821"/>
      <c r="B87" s="1908"/>
      <c r="C87" s="1834"/>
      <c r="D87" s="1834"/>
      <c r="E87" s="1835"/>
      <c r="F87" s="1836"/>
      <c r="G87" s="1837"/>
      <c r="H87" s="1838"/>
      <c r="I87" s="1839"/>
      <c r="J87" s="1840"/>
      <c r="K87" s="1841"/>
      <c r="L87" s="1841"/>
      <c r="M87" s="1841"/>
      <c r="N87" s="1841"/>
      <c r="O87" s="1841"/>
      <c r="P87" s="1841"/>
      <c r="Q87" s="1841"/>
      <c r="R87" s="1841"/>
      <c r="S87" s="1841"/>
      <c r="T87" s="1841"/>
      <c r="U87" s="1841"/>
      <c r="V87" s="1841"/>
      <c r="W87" s="1841"/>
      <c r="X87" s="1841"/>
      <c r="Y87" s="1841"/>
      <c r="Z87" s="1841"/>
      <c r="AA87" s="1841"/>
      <c r="AB87" s="1841"/>
      <c r="AC87" s="1841"/>
      <c r="AD87" s="1841"/>
      <c r="AE87" s="1841"/>
      <c r="AF87" s="1841"/>
      <c r="AG87" s="1841"/>
      <c r="AH87" s="1841"/>
      <c r="AI87" s="1841"/>
      <c r="AJ87" s="1841"/>
      <c r="AK87" s="1841"/>
    </row>
    <row r="88" spans="1:37" s="1824" customFormat="1" ht="16.2">
      <c r="A88" s="1821"/>
      <c r="B88" s="1908"/>
      <c r="C88" s="1834"/>
      <c r="D88" s="1834"/>
      <c r="E88" s="1835"/>
      <c r="F88" s="1836"/>
      <c r="G88" s="1837"/>
      <c r="H88" s="1838"/>
      <c r="I88" s="1839"/>
      <c r="J88" s="1840"/>
      <c r="K88" s="1841"/>
      <c r="L88" s="1841"/>
      <c r="M88" s="1841"/>
      <c r="N88" s="1841"/>
      <c r="O88" s="1841"/>
      <c r="P88" s="1841"/>
      <c r="Q88" s="1841"/>
      <c r="R88" s="1841"/>
      <c r="S88" s="1841"/>
      <c r="T88" s="1841"/>
      <c r="U88" s="1841"/>
      <c r="V88" s="1841"/>
      <c r="W88" s="1841"/>
      <c r="X88" s="1841"/>
      <c r="Y88" s="1841"/>
      <c r="Z88" s="1841"/>
      <c r="AA88" s="1841"/>
      <c r="AB88" s="1841"/>
      <c r="AC88" s="1841"/>
      <c r="AD88" s="1841"/>
      <c r="AE88" s="1841"/>
      <c r="AF88" s="1841"/>
      <c r="AG88" s="1841"/>
      <c r="AH88" s="1841"/>
      <c r="AI88" s="1841"/>
      <c r="AJ88" s="1841"/>
      <c r="AK88" s="1841"/>
    </row>
    <row r="89" spans="1:37" s="1824" customFormat="1" ht="16.2">
      <c r="A89" s="1821"/>
      <c r="B89" s="1908"/>
      <c r="C89" s="1834"/>
      <c r="D89" s="1834"/>
      <c r="E89" s="1835"/>
      <c r="F89" s="1836"/>
      <c r="G89" s="1837"/>
      <c r="H89" s="1838"/>
      <c r="I89" s="1839"/>
      <c r="J89" s="1840"/>
      <c r="K89" s="1841"/>
      <c r="L89" s="1841"/>
      <c r="M89" s="1841"/>
      <c r="N89" s="1841"/>
      <c r="O89" s="1841"/>
      <c r="P89" s="1841"/>
      <c r="Q89" s="1841"/>
      <c r="R89" s="1841"/>
      <c r="S89" s="1841"/>
      <c r="T89" s="1841"/>
      <c r="U89" s="1841"/>
      <c r="V89" s="1841"/>
      <c r="W89" s="1841"/>
      <c r="X89" s="1841"/>
      <c r="Y89" s="1841"/>
      <c r="Z89" s="1841"/>
      <c r="AA89" s="1841"/>
      <c r="AB89" s="1841"/>
      <c r="AC89" s="1841"/>
      <c r="AD89" s="1841"/>
      <c r="AE89" s="1841"/>
      <c r="AF89" s="1841"/>
      <c r="AG89" s="1841"/>
      <c r="AH89" s="1841"/>
      <c r="AI89" s="1841"/>
      <c r="AJ89" s="1841"/>
      <c r="AK89" s="1841"/>
    </row>
    <row r="90" spans="1:37" s="1824" customFormat="1" ht="16.2">
      <c r="A90" s="1821"/>
      <c r="B90" s="1908"/>
      <c r="C90" s="1834"/>
      <c r="D90" s="1834"/>
      <c r="E90" s="1835"/>
      <c r="F90" s="1836"/>
      <c r="G90" s="1837"/>
      <c r="H90" s="1838"/>
      <c r="I90" s="1839"/>
      <c r="J90" s="1840"/>
      <c r="K90" s="1841"/>
      <c r="L90" s="1841"/>
      <c r="M90" s="1841"/>
      <c r="N90" s="1841"/>
      <c r="O90" s="1841"/>
      <c r="P90" s="1841"/>
      <c r="Q90" s="1841"/>
      <c r="R90" s="1841"/>
      <c r="S90" s="1841"/>
      <c r="T90" s="1841"/>
      <c r="U90" s="1841"/>
      <c r="V90" s="1841"/>
      <c r="W90" s="1841"/>
      <c r="X90" s="1841"/>
      <c r="Y90" s="1841"/>
      <c r="Z90" s="1841"/>
      <c r="AA90" s="1841"/>
      <c r="AB90" s="1841"/>
      <c r="AC90" s="1841"/>
      <c r="AD90" s="1841"/>
      <c r="AE90" s="1841"/>
      <c r="AF90" s="1841"/>
      <c r="AG90" s="1841"/>
      <c r="AH90" s="1841"/>
      <c r="AI90" s="1841"/>
      <c r="AJ90" s="1841"/>
      <c r="AK90" s="1841"/>
    </row>
    <row r="91" spans="1:37" s="1824" customFormat="1" ht="16.2">
      <c r="A91" s="1821"/>
      <c r="B91" s="1908"/>
      <c r="C91" s="1834"/>
      <c r="D91" s="1834"/>
      <c r="E91" s="1835"/>
      <c r="F91" s="1836"/>
      <c r="G91" s="1837"/>
      <c r="H91" s="1838"/>
      <c r="I91" s="1839"/>
      <c r="J91" s="1840"/>
      <c r="K91" s="1841"/>
      <c r="L91" s="1841"/>
      <c r="M91" s="1841"/>
      <c r="N91" s="1841"/>
      <c r="O91" s="1841"/>
      <c r="P91" s="1841"/>
      <c r="Q91" s="1841"/>
      <c r="R91" s="1841"/>
      <c r="S91" s="1841"/>
      <c r="T91" s="1841"/>
      <c r="U91" s="1841"/>
      <c r="V91" s="1841"/>
      <c r="W91" s="1841"/>
      <c r="X91" s="1841"/>
      <c r="Y91" s="1841"/>
      <c r="Z91" s="1841"/>
      <c r="AA91" s="1841"/>
      <c r="AB91" s="1841"/>
      <c r="AC91" s="1841"/>
      <c r="AD91" s="1841"/>
      <c r="AE91" s="1841"/>
      <c r="AF91" s="1841"/>
      <c r="AG91" s="1841"/>
      <c r="AH91" s="1841"/>
      <c r="AI91" s="1841"/>
      <c r="AJ91" s="1841"/>
      <c r="AK91" s="1841"/>
    </row>
    <row r="92" spans="1:37" s="1824" customFormat="1" ht="16.2">
      <c r="A92" s="1821"/>
      <c r="B92" s="1908"/>
      <c r="C92" s="1834"/>
      <c r="D92" s="1834"/>
      <c r="E92" s="1835"/>
      <c r="F92" s="1836"/>
      <c r="G92" s="1837"/>
      <c r="H92" s="1838"/>
      <c r="I92" s="1839"/>
      <c r="J92" s="1840"/>
      <c r="K92" s="1841"/>
      <c r="L92" s="1841"/>
      <c r="M92" s="1841"/>
      <c r="N92" s="1841"/>
      <c r="O92" s="1841"/>
      <c r="P92" s="1841"/>
      <c r="Q92" s="1841"/>
      <c r="R92" s="1841"/>
      <c r="S92" s="1841"/>
      <c r="T92" s="1841"/>
      <c r="U92" s="1841"/>
      <c r="V92" s="1841"/>
      <c r="W92" s="1841"/>
      <c r="X92" s="1841"/>
      <c r="Y92" s="1841"/>
      <c r="Z92" s="1841"/>
      <c r="AA92" s="1841"/>
      <c r="AB92" s="1841"/>
      <c r="AC92" s="1841"/>
      <c r="AD92" s="1841"/>
      <c r="AE92" s="1841"/>
      <c r="AF92" s="1841"/>
      <c r="AG92" s="1841"/>
      <c r="AH92" s="1841"/>
      <c r="AI92" s="1841"/>
      <c r="AJ92" s="1841"/>
      <c r="AK92" s="1841"/>
    </row>
    <row r="93" spans="1:37" s="1824" customFormat="1" ht="16.2">
      <c r="A93" s="1821"/>
      <c r="B93" s="1908"/>
      <c r="C93" s="1834"/>
      <c r="D93" s="1834"/>
      <c r="E93" s="1835"/>
      <c r="F93" s="1836"/>
      <c r="G93" s="1837"/>
      <c r="H93" s="1838"/>
      <c r="I93" s="1839"/>
      <c r="J93" s="1840"/>
      <c r="K93" s="1841"/>
      <c r="L93" s="1841"/>
      <c r="M93" s="1841"/>
      <c r="N93" s="1841"/>
      <c r="O93" s="1841"/>
      <c r="P93" s="1841"/>
      <c r="Q93" s="1841"/>
      <c r="R93" s="1841"/>
      <c r="S93" s="1841"/>
      <c r="T93" s="1841"/>
      <c r="U93" s="1841"/>
      <c r="V93" s="1841"/>
      <c r="W93" s="1841"/>
      <c r="X93" s="1841"/>
      <c r="Y93" s="1841"/>
      <c r="Z93" s="1841"/>
      <c r="AA93" s="1841"/>
      <c r="AB93" s="1841"/>
      <c r="AC93" s="1841"/>
      <c r="AD93" s="1841"/>
      <c r="AE93" s="1841"/>
      <c r="AF93" s="1841"/>
      <c r="AG93" s="1841"/>
      <c r="AH93" s="1841"/>
      <c r="AI93" s="1841"/>
      <c r="AJ93" s="1841"/>
      <c r="AK93" s="1841"/>
    </row>
    <row r="94" spans="1:37" s="1824" customFormat="1" ht="16.2">
      <c r="B94" s="1909"/>
      <c r="C94" s="1842"/>
      <c r="D94" s="1834"/>
      <c r="E94" s="1835"/>
      <c r="F94" s="1836"/>
      <c r="G94" s="1837"/>
      <c r="H94" s="1838"/>
      <c r="I94" s="1839"/>
      <c r="J94" s="1840"/>
      <c r="K94" s="1841"/>
      <c r="L94" s="1841"/>
      <c r="M94" s="1841"/>
      <c r="N94" s="1841"/>
      <c r="O94" s="1841"/>
      <c r="P94" s="1841"/>
      <c r="Q94" s="1841"/>
      <c r="R94" s="1841"/>
      <c r="S94" s="1841"/>
      <c r="T94" s="1841"/>
      <c r="U94" s="1841"/>
      <c r="V94" s="1841"/>
      <c r="W94" s="1841"/>
      <c r="X94" s="1841"/>
      <c r="Y94" s="1841"/>
      <c r="Z94" s="1841"/>
      <c r="AA94" s="1841"/>
      <c r="AB94" s="1841"/>
      <c r="AC94" s="1841"/>
      <c r="AD94" s="1841"/>
      <c r="AE94" s="1841"/>
      <c r="AF94" s="1841"/>
      <c r="AG94" s="1841"/>
      <c r="AH94" s="1841"/>
      <c r="AI94" s="1841"/>
      <c r="AJ94" s="1841"/>
      <c r="AK94" s="1841"/>
    </row>
    <row r="95" spans="1:37" s="1824" customFormat="1" ht="16.2">
      <c r="B95" s="1909"/>
      <c r="C95" s="1842"/>
      <c r="D95" s="1834"/>
      <c r="E95" s="1835"/>
      <c r="F95" s="1843"/>
      <c r="G95" s="1844"/>
      <c r="H95" s="1845"/>
      <c r="I95" s="1839"/>
      <c r="J95" s="1846"/>
    </row>
    <row r="96" spans="1:37" s="1824" customFormat="1" ht="16.2">
      <c r="B96" s="1909"/>
      <c r="C96" s="1842"/>
      <c r="D96" s="1834"/>
      <c r="E96" s="1835"/>
      <c r="F96" s="1843"/>
      <c r="G96" s="1844"/>
      <c r="H96" s="1845"/>
      <c r="I96" s="1839"/>
      <c r="J96" s="1846"/>
    </row>
    <row r="97" spans="2:10" s="1824" customFormat="1" ht="16.2">
      <c r="B97" s="1909"/>
      <c r="C97" s="1842"/>
      <c r="D97" s="1834"/>
      <c r="E97" s="1835"/>
      <c r="F97" s="1843"/>
      <c r="G97" s="1844"/>
      <c r="H97" s="1845"/>
      <c r="I97" s="1839"/>
      <c r="J97" s="1846"/>
    </row>
    <row r="98" spans="2:10" s="1824" customFormat="1" ht="16.2">
      <c r="B98" s="1909"/>
      <c r="C98" s="1842"/>
      <c r="D98" s="1834"/>
      <c r="E98" s="1835"/>
      <c r="F98" s="1843"/>
      <c r="G98" s="1844"/>
      <c r="H98" s="1845"/>
      <c r="I98" s="1839"/>
      <c r="J98" s="1846"/>
    </row>
    <row r="99" spans="2:10" s="1824" customFormat="1" ht="16.2">
      <c r="B99" s="1909"/>
      <c r="C99" s="1842"/>
      <c r="D99" s="1834"/>
      <c r="E99" s="1835"/>
      <c r="F99" s="1843"/>
      <c r="G99" s="1844"/>
      <c r="H99" s="1845"/>
      <c r="I99" s="1839"/>
      <c r="J99" s="1846"/>
    </row>
    <row r="100" spans="2:10" s="1824" customFormat="1" ht="16.2">
      <c r="B100" s="1909"/>
      <c r="C100" s="1842"/>
      <c r="D100" s="1834"/>
      <c r="E100" s="1835"/>
      <c r="F100" s="1843"/>
      <c r="G100" s="1844"/>
      <c r="H100" s="1845"/>
      <c r="I100" s="1839"/>
      <c r="J100" s="1846"/>
    </row>
    <row r="101" spans="2:10" s="1824" customFormat="1" ht="16.2">
      <c r="B101" s="1909"/>
      <c r="C101" s="1842"/>
      <c r="D101" s="1834"/>
      <c r="E101" s="1835"/>
      <c r="F101" s="1843"/>
      <c r="G101" s="1844"/>
      <c r="H101" s="1845"/>
      <c r="I101" s="1839"/>
      <c r="J101" s="1846"/>
    </row>
    <row r="102" spans="2:10" s="1824" customFormat="1" ht="16.2">
      <c r="B102" s="1909"/>
      <c r="C102" s="1842"/>
      <c r="D102" s="1834"/>
      <c r="E102" s="1835"/>
      <c r="F102" s="1843"/>
      <c r="G102" s="1844"/>
      <c r="H102" s="1845"/>
      <c r="I102" s="1839"/>
      <c r="J102" s="1846"/>
    </row>
    <row r="103" spans="2:10" s="1824" customFormat="1" ht="16.2">
      <c r="B103" s="1909"/>
      <c r="C103" s="1842"/>
      <c r="D103" s="1834"/>
      <c r="E103" s="1835"/>
      <c r="F103" s="1843"/>
      <c r="G103" s="1844"/>
      <c r="H103" s="1845"/>
      <c r="I103" s="1839"/>
      <c r="J103" s="1846"/>
    </row>
    <row r="104" spans="2:10" s="1824" customFormat="1" ht="16.2">
      <c r="B104" s="1909"/>
      <c r="C104" s="1842"/>
      <c r="D104" s="1834"/>
      <c r="E104" s="1835"/>
      <c r="F104" s="1843"/>
      <c r="G104" s="1844"/>
      <c r="H104" s="1845"/>
      <c r="I104" s="1839"/>
      <c r="J104" s="1846"/>
    </row>
    <row r="105" spans="2:10" s="1824" customFormat="1" ht="16.2">
      <c r="B105" s="1909"/>
      <c r="C105" s="1842"/>
      <c r="D105" s="1834"/>
      <c r="E105" s="1835"/>
      <c r="F105" s="1843"/>
      <c r="G105" s="1844"/>
      <c r="H105" s="1845"/>
      <c r="I105" s="1839"/>
      <c r="J105" s="1846"/>
    </row>
    <row r="106" spans="2:10" s="1824" customFormat="1" ht="16.2">
      <c r="B106" s="1909"/>
      <c r="C106" s="1842"/>
      <c r="D106" s="1834"/>
      <c r="E106" s="1835"/>
      <c r="F106" s="1843"/>
      <c r="G106" s="1844"/>
      <c r="H106" s="1845"/>
      <c r="I106" s="1839"/>
      <c r="J106" s="1846"/>
    </row>
    <row r="107" spans="2:10" s="1824" customFormat="1" ht="16.2">
      <c r="B107" s="1909"/>
      <c r="C107" s="1842"/>
      <c r="D107" s="1834"/>
      <c r="E107" s="1835"/>
      <c r="F107" s="1843"/>
      <c r="G107" s="1844"/>
      <c r="H107" s="1845"/>
      <c r="I107" s="1839"/>
      <c r="J107" s="1846"/>
    </row>
    <row r="108" spans="2:10" s="1824" customFormat="1" ht="16.2">
      <c r="B108" s="1909"/>
      <c r="C108" s="1842"/>
      <c r="D108" s="1834"/>
      <c r="E108" s="1835"/>
      <c r="F108" s="1843"/>
      <c r="G108" s="1844"/>
      <c r="H108" s="1845"/>
      <c r="I108" s="1839"/>
      <c r="J108" s="1846"/>
    </row>
    <row r="109" spans="2:10" s="1824" customFormat="1" ht="16.2">
      <c r="B109" s="1909"/>
      <c r="C109" s="1842"/>
      <c r="D109" s="1834"/>
      <c r="E109" s="1835"/>
      <c r="F109" s="1843"/>
      <c r="G109" s="1844"/>
      <c r="H109" s="1845"/>
      <c r="I109" s="1839"/>
      <c r="J109" s="1846"/>
    </row>
    <row r="110" spans="2:10" s="1824" customFormat="1" ht="16.2">
      <c r="B110" s="1909"/>
      <c r="C110" s="1842"/>
      <c r="D110" s="1834"/>
      <c r="E110" s="1835"/>
      <c r="F110" s="1843"/>
      <c r="G110" s="1844"/>
      <c r="H110" s="1845"/>
      <c r="I110" s="1839"/>
      <c r="J110" s="1846"/>
    </row>
    <row r="111" spans="2:10" s="1824" customFormat="1" ht="16.2">
      <c r="B111" s="1909"/>
      <c r="C111" s="1842"/>
      <c r="D111" s="1834"/>
      <c r="E111" s="1835"/>
      <c r="F111" s="1843"/>
      <c r="G111" s="1844"/>
      <c r="H111" s="1845"/>
      <c r="I111" s="1839"/>
      <c r="J111" s="1846"/>
    </row>
    <row r="112" spans="2:10" s="1824" customFormat="1" ht="16.2">
      <c r="B112" s="1909"/>
      <c r="C112" s="1842"/>
      <c r="D112" s="1834"/>
      <c r="E112" s="1835"/>
      <c r="F112" s="1843"/>
      <c r="G112" s="1844"/>
      <c r="H112" s="1845"/>
      <c r="I112" s="1839"/>
      <c r="J112" s="1846"/>
    </row>
    <row r="113" spans="2:10" s="1824" customFormat="1" ht="16.2">
      <c r="B113" s="1909"/>
      <c r="C113" s="1842"/>
      <c r="D113" s="1834"/>
      <c r="E113" s="1835"/>
      <c r="F113" s="1843"/>
      <c r="G113" s="1844"/>
      <c r="H113" s="1845"/>
      <c r="I113" s="1839"/>
      <c r="J113" s="1846"/>
    </row>
    <row r="114" spans="2:10" s="1824" customFormat="1" ht="16.2">
      <c r="B114" s="1909"/>
      <c r="C114" s="1842"/>
      <c r="D114" s="1834"/>
      <c r="E114" s="1835"/>
      <c r="F114" s="1843"/>
      <c r="G114" s="1844"/>
      <c r="H114" s="1845"/>
      <c r="I114" s="1839"/>
      <c r="J114" s="1846"/>
    </row>
    <row r="115" spans="2:10" s="1824" customFormat="1" ht="16.2">
      <c r="B115" s="1909"/>
      <c r="C115" s="1842"/>
      <c r="D115" s="1834"/>
      <c r="E115" s="1835"/>
      <c r="F115" s="1843"/>
      <c r="G115" s="1844"/>
      <c r="H115" s="1845"/>
      <c r="I115" s="1839"/>
      <c r="J115" s="1846"/>
    </row>
    <row r="116" spans="2:10" s="1824" customFormat="1" ht="16.2">
      <c r="B116" s="1909"/>
      <c r="C116" s="1842"/>
      <c r="D116" s="1834"/>
      <c r="E116" s="1835"/>
      <c r="F116" s="1843"/>
      <c r="G116" s="1844"/>
      <c r="H116" s="1845"/>
      <c r="I116" s="1839"/>
      <c r="J116" s="1846"/>
    </row>
    <row r="117" spans="2:10" s="1824" customFormat="1" ht="16.2">
      <c r="B117" s="1909"/>
      <c r="C117" s="1842"/>
      <c r="D117" s="1834"/>
      <c r="E117" s="1835"/>
      <c r="F117" s="1843"/>
      <c r="G117" s="1844"/>
      <c r="H117" s="1845"/>
      <c r="I117" s="1839"/>
      <c r="J117" s="1846"/>
    </row>
    <row r="118" spans="2:10" s="1824" customFormat="1" ht="16.2">
      <c r="B118" s="1909"/>
      <c r="C118" s="1842"/>
      <c r="D118" s="1834"/>
      <c r="E118" s="1835"/>
      <c r="F118" s="1843"/>
      <c r="G118" s="1844"/>
      <c r="H118" s="1845"/>
      <c r="I118" s="1839"/>
      <c r="J118" s="1846"/>
    </row>
    <row r="119" spans="2:10" s="1824" customFormat="1" ht="16.2">
      <c r="B119" s="1909"/>
      <c r="C119" s="1842"/>
      <c r="D119" s="1834"/>
      <c r="E119" s="1835"/>
      <c r="F119" s="1843"/>
      <c r="G119" s="1844"/>
      <c r="H119" s="1845"/>
      <c r="I119" s="1839"/>
      <c r="J119" s="1846"/>
    </row>
    <row r="120" spans="2:10" s="1824" customFormat="1" ht="16.2">
      <c r="B120" s="1909"/>
      <c r="C120" s="1842"/>
      <c r="D120" s="1834"/>
      <c r="E120" s="1835"/>
      <c r="F120" s="1843"/>
      <c r="G120" s="1844"/>
      <c r="H120" s="1845"/>
      <c r="I120" s="1839"/>
      <c r="J120" s="1846"/>
    </row>
    <row r="121" spans="2:10" s="1824" customFormat="1" ht="16.2">
      <c r="B121" s="1909"/>
      <c r="C121" s="1842"/>
      <c r="D121" s="1834"/>
      <c r="E121" s="1835"/>
      <c r="F121" s="1843"/>
      <c r="G121" s="1844"/>
      <c r="H121" s="1845"/>
      <c r="I121" s="1839"/>
      <c r="J121" s="1846"/>
    </row>
    <row r="122" spans="2:10" s="1824" customFormat="1" ht="16.2">
      <c r="B122" s="1909"/>
      <c r="C122" s="1842"/>
      <c r="D122" s="1834"/>
      <c r="E122" s="1835"/>
      <c r="F122" s="1843"/>
      <c r="G122" s="1844"/>
      <c r="H122" s="1845"/>
      <c r="I122" s="1839"/>
      <c r="J122" s="1846"/>
    </row>
    <row r="123" spans="2:10" s="1824" customFormat="1" ht="16.2">
      <c r="B123" s="1909"/>
      <c r="C123" s="1842"/>
      <c r="D123" s="1834"/>
      <c r="E123" s="1835"/>
      <c r="F123" s="1843"/>
      <c r="G123" s="1844"/>
      <c r="H123" s="1845"/>
      <c r="I123" s="1839"/>
      <c r="J123" s="1846"/>
    </row>
    <row r="124" spans="2:10" s="1824" customFormat="1" ht="16.2">
      <c r="B124" s="1909"/>
      <c r="C124" s="1842"/>
      <c r="D124" s="1834"/>
      <c r="E124" s="1835"/>
      <c r="F124" s="1843"/>
      <c r="G124" s="1844"/>
      <c r="H124" s="1845"/>
      <c r="I124" s="1839"/>
      <c r="J124" s="1846"/>
    </row>
    <row r="125" spans="2:10" s="1824" customFormat="1" ht="16.2">
      <c r="B125" s="1909"/>
      <c r="C125" s="1842"/>
      <c r="D125" s="1834"/>
      <c r="E125" s="1835"/>
      <c r="F125" s="1843"/>
      <c r="G125" s="1844"/>
      <c r="H125" s="1845"/>
      <c r="I125" s="1839"/>
      <c r="J125" s="1846"/>
    </row>
    <row r="126" spans="2:10" s="1824" customFormat="1" ht="16.2">
      <c r="B126" s="1909"/>
      <c r="C126" s="1842"/>
      <c r="D126" s="1834"/>
      <c r="E126" s="1835"/>
      <c r="F126" s="1843"/>
      <c r="G126" s="1844"/>
      <c r="H126" s="1845"/>
      <c r="I126" s="1839"/>
      <c r="J126" s="1846"/>
    </row>
    <row r="127" spans="2:10" s="1824" customFormat="1" ht="16.2">
      <c r="B127" s="1909"/>
      <c r="C127" s="1842"/>
      <c r="D127" s="1834"/>
      <c r="E127" s="1835"/>
      <c r="F127" s="1843"/>
      <c r="G127" s="1844"/>
      <c r="H127" s="1845"/>
      <c r="I127" s="1839"/>
      <c r="J127" s="1846"/>
    </row>
    <row r="128" spans="2:10" s="1824" customFormat="1" ht="16.2">
      <c r="B128" s="1909"/>
      <c r="C128" s="1842"/>
      <c r="D128" s="1834"/>
      <c r="E128" s="1835"/>
      <c r="F128" s="1843"/>
      <c r="G128" s="1844"/>
      <c r="H128" s="1845"/>
      <c r="I128" s="1839"/>
      <c r="J128" s="1846"/>
    </row>
    <row r="129" spans="2:10" s="1824" customFormat="1" ht="16.2">
      <c r="B129" s="1909"/>
      <c r="C129" s="1842"/>
      <c r="D129" s="1834"/>
      <c r="E129" s="1835"/>
      <c r="F129" s="1843"/>
      <c r="G129" s="1844"/>
      <c r="H129" s="1845"/>
      <c r="I129" s="1839"/>
      <c r="J129" s="1846"/>
    </row>
    <row r="130" spans="2:10" s="1824" customFormat="1" ht="16.2">
      <c r="B130" s="1909"/>
      <c r="C130" s="1842"/>
      <c r="D130" s="1834"/>
      <c r="E130" s="1835"/>
      <c r="F130" s="1843"/>
      <c r="G130" s="1844"/>
      <c r="H130" s="1845"/>
      <c r="I130" s="1839"/>
      <c r="J130" s="1846"/>
    </row>
    <row r="131" spans="2:10" s="1824" customFormat="1" ht="16.2">
      <c r="B131" s="1909"/>
      <c r="C131" s="1842"/>
      <c r="D131" s="1834"/>
      <c r="E131" s="1835"/>
      <c r="F131" s="1843"/>
      <c r="G131" s="1844"/>
      <c r="H131" s="1845"/>
      <c r="I131" s="1839"/>
      <c r="J131" s="1846"/>
    </row>
    <row r="132" spans="2:10" s="1824" customFormat="1" ht="16.2">
      <c r="B132" s="1909"/>
      <c r="C132" s="1842"/>
      <c r="D132" s="1834"/>
      <c r="E132" s="1835"/>
      <c r="F132" s="1843"/>
      <c r="G132" s="1844"/>
      <c r="H132" s="1845"/>
      <c r="I132" s="1839"/>
      <c r="J132" s="1846"/>
    </row>
    <row r="133" spans="2:10" s="1824" customFormat="1" ht="16.2">
      <c r="B133" s="1909"/>
      <c r="C133" s="1842"/>
      <c r="D133" s="1834"/>
      <c r="E133" s="1835"/>
      <c r="F133" s="1843"/>
      <c r="G133" s="1844"/>
      <c r="H133" s="1845"/>
      <c r="I133" s="1839"/>
      <c r="J133" s="1846"/>
    </row>
    <row r="134" spans="2:10" s="1824" customFormat="1" ht="16.2">
      <c r="B134" s="1909"/>
      <c r="C134" s="1842"/>
      <c r="D134" s="1834"/>
      <c r="E134" s="1835"/>
      <c r="F134" s="1843"/>
      <c r="G134" s="1844"/>
      <c r="H134" s="1845"/>
      <c r="I134" s="1839"/>
      <c r="J134" s="1846"/>
    </row>
    <row r="135" spans="2:10" s="1824" customFormat="1" ht="16.2">
      <c r="B135" s="1909"/>
      <c r="C135" s="1842"/>
      <c r="D135" s="1834"/>
      <c r="E135" s="1835"/>
      <c r="F135" s="1843"/>
      <c r="G135" s="1844"/>
      <c r="H135" s="1845"/>
      <c r="I135" s="1839"/>
      <c r="J135" s="1846"/>
    </row>
    <row r="136" spans="2:10" s="1824" customFormat="1" ht="16.2">
      <c r="B136" s="1909"/>
      <c r="C136" s="1842"/>
      <c r="D136" s="1834"/>
      <c r="E136" s="1835"/>
      <c r="F136" s="1843"/>
      <c r="G136" s="1844"/>
      <c r="H136" s="1845"/>
      <c r="I136" s="1839"/>
      <c r="J136" s="1846"/>
    </row>
    <row r="137" spans="2:10" s="1824" customFormat="1" ht="16.2">
      <c r="B137" s="1909"/>
      <c r="C137" s="1842"/>
      <c r="D137" s="1834"/>
      <c r="E137" s="1835"/>
      <c r="F137" s="1843"/>
      <c r="G137" s="1844"/>
      <c r="H137" s="1845"/>
      <c r="I137" s="1839"/>
      <c r="J137" s="1846"/>
    </row>
    <row r="138" spans="2:10" s="1824" customFormat="1" ht="16.2">
      <c r="B138" s="1909"/>
      <c r="C138" s="1842"/>
      <c r="D138" s="1834"/>
      <c r="E138" s="1835"/>
      <c r="F138" s="1843"/>
      <c r="G138" s="1844"/>
      <c r="H138" s="1845"/>
      <c r="I138" s="1839"/>
      <c r="J138" s="1846"/>
    </row>
    <row r="139" spans="2:10" s="1824" customFormat="1" ht="16.2">
      <c r="B139" s="1909"/>
      <c r="C139" s="1842"/>
      <c r="D139" s="1834"/>
      <c r="E139" s="1835"/>
      <c r="F139" s="1843"/>
      <c r="G139" s="1844"/>
      <c r="H139" s="1845"/>
      <c r="I139" s="1839"/>
      <c r="J139" s="1846"/>
    </row>
    <row r="140" spans="2:10" s="1824" customFormat="1" ht="16.2">
      <c r="B140" s="1909"/>
      <c r="C140" s="1842"/>
      <c r="D140" s="1834"/>
      <c r="E140" s="1835"/>
      <c r="F140" s="1843"/>
      <c r="G140" s="1844"/>
      <c r="H140" s="1845"/>
      <c r="I140" s="1839"/>
      <c r="J140" s="1846"/>
    </row>
    <row r="141" spans="2:10" s="1824" customFormat="1" ht="16.2">
      <c r="B141" s="1909"/>
      <c r="C141" s="1842"/>
      <c r="D141" s="1834"/>
      <c r="E141" s="1835"/>
      <c r="F141" s="1843"/>
      <c r="G141" s="1844"/>
      <c r="H141" s="1845"/>
      <c r="I141" s="1839"/>
      <c r="J141" s="1846"/>
    </row>
    <row r="142" spans="2:10" s="1824" customFormat="1" ht="16.2">
      <c r="B142" s="1909"/>
      <c r="C142" s="1842"/>
      <c r="D142" s="1834"/>
      <c r="E142" s="1835"/>
      <c r="F142" s="1843"/>
      <c r="G142" s="1844"/>
      <c r="H142" s="1845"/>
      <c r="I142" s="1839"/>
      <c r="J142" s="1846"/>
    </row>
    <row r="143" spans="2:10" s="1824" customFormat="1" ht="16.2">
      <c r="B143" s="1909"/>
      <c r="C143" s="1842"/>
      <c r="D143" s="1834"/>
      <c r="E143" s="1835"/>
      <c r="F143" s="1843"/>
      <c r="G143" s="1844"/>
      <c r="H143" s="1845"/>
      <c r="I143" s="1839"/>
      <c r="J143" s="1846"/>
    </row>
    <row r="144" spans="2:10" s="1824" customFormat="1" ht="16.2">
      <c r="B144" s="1909"/>
      <c r="C144" s="1842"/>
      <c r="D144" s="1834"/>
      <c r="E144" s="1835"/>
      <c r="F144" s="1843"/>
      <c r="G144" s="1844"/>
      <c r="H144" s="1845"/>
      <c r="I144" s="1839"/>
      <c r="J144" s="1846"/>
    </row>
    <row r="145" spans="2:10" s="1824" customFormat="1" ht="16.2">
      <c r="B145" s="1909"/>
      <c r="C145" s="1842"/>
      <c r="D145" s="1834"/>
      <c r="E145" s="1835"/>
      <c r="F145" s="1843"/>
      <c r="G145" s="1844"/>
      <c r="H145" s="1845"/>
      <c r="I145" s="1839"/>
      <c r="J145" s="1846"/>
    </row>
    <row r="146" spans="2:10" s="1824" customFormat="1" ht="16.2">
      <c r="B146" s="1909"/>
      <c r="C146" s="1842"/>
      <c r="D146" s="1834"/>
      <c r="E146" s="1835"/>
      <c r="F146" s="1843"/>
      <c r="G146" s="1844"/>
      <c r="H146" s="1845"/>
      <c r="I146" s="1839"/>
      <c r="J146" s="1846"/>
    </row>
    <row r="147" spans="2:10" s="1824" customFormat="1" ht="16.2">
      <c r="B147" s="1909"/>
      <c r="C147" s="1842"/>
      <c r="D147" s="1834"/>
      <c r="E147" s="1835"/>
      <c r="F147" s="1843"/>
      <c r="G147" s="1844"/>
      <c r="H147" s="1845"/>
      <c r="I147" s="1839"/>
      <c r="J147" s="1846"/>
    </row>
    <row r="148" spans="2:10" s="1824" customFormat="1" ht="16.2">
      <c r="B148" s="1909"/>
      <c r="C148" s="1842"/>
      <c r="D148" s="1834"/>
      <c r="E148" s="1835"/>
      <c r="F148" s="1843"/>
      <c r="G148" s="1844"/>
      <c r="H148" s="1845"/>
      <c r="I148" s="1839"/>
      <c r="J148" s="1846"/>
    </row>
    <row r="149" spans="2:10" s="1824" customFormat="1" ht="16.2">
      <c r="B149" s="1909"/>
      <c r="C149" s="1842"/>
      <c r="D149" s="1834"/>
      <c r="E149" s="1835"/>
      <c r="F149" s="1843"/>
      <c r="G149" s="1844"/>
      <c r="H149" s="1845"/>
      <c r="I149" s="1839"/>
      <c r="J149" s="1846"/>
    </row>
    <row r="150" spans="2:10" s="1824" customFormat="1" ht="16.2">
      <c r="B150" s="1909"/>
      <c r="C150" s="1842"/>
      <c r="D150" s="1834"/>
      <c r="E150" s="1835"/>
      <c r="F150" s="1843"/>
      <c r="G150" s="1844"/>
      <c r="H150" s="1845"/>
      <c r="I150" s="1839"/>
      <c r="J150" s="1846"/>
    </row>
    <row r="151" spans="2:10" s="1824" customFormat="1" ht="16.2">
      <c r="B151" s="1909"/>
      <c r="C151" s="1842"/>
      <c r="D151" s="1834"/>
      <c r="E151" s="1835"/>
      <c r="F151" s="1843"/>
      <c r="G151" s="1844"/>
      <c r="H151" s="1845"/>
      <c r="I151" s="1839"/>
      <c r="J151" s="1846"/>
    </row>
    <row r="152" spans="2:10" s="1824" customFormat="1" ht="16.2">
      <c r="B152" s="1909"/>
      <c r="C152" s="1842"/>
      <c r="D152" s="1834"/>
      <c r="E152" s="1835"/>
      <c r="F152" s="1843"/>
      <c r="G152" s="1844"/>
      <c r="H152" s="1845"/>
      <c r="I152" s="1839"/>
      <c r="J152" s="1846"/>
    </row>
    <row r="153" spans="2:10" s="1824" customFormat="1" ht="16.2">
      <c r="B153" s="1909"/>
      <c r="C153" s="1842"/>
      <c r="D153" s="1834"/>
      <c r="E153" s="1835"/>
      <c r="F153" s="1843"/>
      <c r="G153" s="1844"/>
      <c r="H153" s="1845"/>
      <c r="I153" s="1839"/>
      <c r="J153" s="1846"/>
    </row>
    <row r="154" spans="2:10" s="1824" customFormat="1" ht="16.2">
      <c r="B154" s="1909"/>
      <c r="C154" s="1842"/>
      <c r="D154" s="1834"/>
      <c r="E154" s="1835"/>
      <c r="F154" s="1843"/>
      <c r="G154" s="1844"/>
      <c r="H154" s="1845"/>
      <c r="I154" s="1839"/>
      <c r="J154" s="1846"/>
    </row>
    <row r="155" spans="2:10" s="1824" customFormat="1" ht="16.2">
      <c r="B155" s="1909"/>
      <c r="C155" s="1842"/>
      <c r="D155" s="1834"/>
      <c r="E155" s="1835"/>
      <c r="F155" s="1843"/>
      <c r="G155" s="1844"/>
      <c r="H155" s="1845"/>
      <c r="I155" s="1839"/>
      <c r="J155" s="1846"/>
    </row>
    <row r="156" spans="2:10" s="1824" customFormat="1" ht="16.2">
      <c r="B156" s="1909"/>
      <c r="C156" s="1842"/>
      <c r="D156" s="1834"/>
      <c r="E156" s="1835"/>
      <c r="F156" s="1843"/>
      <c r="G156" s="1844"/>
      <c r="H156" s="1845"/>
      <c r="I156" s="1839"/>
      <c r="J156" s="1846"/>
    </row>
    <row r="157" spans="2:10" s="1824" customFormat="1" ht="16.2">
      <c r="B157" s="1909"/>
      <c r="C157" s="1842"/>
      <c r="D157" s="1834"/>
      <c r="E157" s="1835"/>
      <c r="F157" s="1843"/>
      <c r="G157" s="1844"/>
      <c r="H157" s="1845"/>
      <c r="I157" s="1839"/>
      <c r="J157" s="1846"/>
    </row>
    <row r="158" spans="2:10" s="1824" customFormat="1" ht="16.2">
      <c r="B158" s="1909"/>
      <c r="C158" s="1842"/>
      <c r="D158" s="1834"/>
      <c r="E158" s="1835"/>
      <c r="F158" s="1843"/>
      <c r="G158" s="1844"/>
      <c r="H158" s="1845"/>
      <c r="I158" s="1839"/>
      <c r="J158" s="1846"/>
    </row>
    <row r="159" spans="2:10" s="1824" customFormat="1" ht="16.2">
      <c r="B159" s="1909"/>
      <c r="C159" s="1842"/>
      <c r="D159" s="1834"/>
      <c r="E159" s="1835"/>
      <c r="F159" s="1843"/>
      <c r="G159" s="1844"/>
      <c r="H159" s="1845"/>
      <c r="I159" s="1839"/>
      <c r="J159" s="1846"/>
    </row>
    <row r="160" spans="2:10" s="1824" customFormat="1" ht="16.2">
      <c r="B160" s="1909"/>
      <c r="C160" s="1842"/>
      <c r="D160" s="1834"/>
      <c r="E160" s="1835"/>
      <c r="F160" s="1843"/>
      <c r="G160" s="1844"/>
      <c r="H160" s="1845"/>
      <c r="I160" s="1839"/>
      <c r="J160" s="1846"/>
    </row>
    <row r="161" spans="2:10" s="1824" customFormat="1" ht="16.2">
      <c r="B161" s="1909"/>
      <c r="C161" s="1842"/>
      <c r="D161" s="1834"/>
      <c r="E161" s="1835"/>
      <c r="F161" s="1843"/>
      <c r="G161" s="1844"/>
      <c r="H161" s="1845"/>
      <c r="I161" s="1839"/>
      <c r="J161" s="1846"/>
    </row>
    <row r="162" spans="2:10" s="1824" customFormat="1" ht="16.2">
      <c r="B162" s="1909"/>
      <c r="C162" s="1842"/>
      <c r="D162" s="1834"/>
      <c r="E162" s="1835"/>
      <c r="F162" s="1843"/>
      <c r="G162" s="1844"/>
      <c r="H162" s="1845"/>
      <c r="I162" s="1839"/>
      <c r="J162" s="1846"/>
    </row>
    <row r="163" spans="2:10" s="1824" customFormat="1" ht="16.2">
      <c r="B163" s="1909"/>
      <c r="C163" s="1842"/>
      <c r="D163" s="1834"/>
      <c r="E163" s="1835"/>
      <c r="F163" s="1843"/>
      <c r="G163" s="1844"/>
      <c r="H163" s="1845"/>
      <c r="I163" s="1839"/>
      <c r="J163" s="1846"/>
    </row>
    <row r="164" spans="2:10" s="1824" customFormat="1" ht="16.2">
      <c r="B164" s="1909"/>
      <c r="C164" s="1842"/>
      <c r="D164" s="1834"/>
      <c r="E164" s="1835"/>
      <c r="F164" s="1843"/>
      <c r="G164" s="1844"/>
      <c r="H164" s="1845"/>
      <c r="I164" s="1839"/>
      <c r="J164" s="1846"/>
    </row>
    <row r="165" spans="2:10" s="1824" customFormat="1" ht="16.2">
      <c r="B165" s="1909"/>
      <c r="C165" s="1842"/>
      <c r="D165" s="1834"/>
      <c r="E165" s="1835"/>
      <c r="F165" s="1843"/>
      <c r="G165" s="1844"/>
      <c r="H165" s="1845"/>
      <c r="I165" s="1839"/>
      <c r="J165" s="1846"/>
    </row>
    <row r="166" spans="2:10" s="1824" customFormat="1" ht="16.2">
      <c r="B166" s="1909"/>
      <c r="C166" s="1842"/>
      <c r="D166" s="1834"/>
      <c r="E166" s="1835"/>
      <c r="F166" s="1843"/>
      <c r="G166" s="1844"/>
      <c r="H166" s="1845"/>
      <c r="I166" s="1839"/>
      <c r="J166" s="1846"/>
    </row>
    <row r="167" spans="2:10" s="1824" customFormat="1" ht="16.2">
      <c r="B167" s="1909"/>
      <c r="C167" s="1842"/>
      <c r="D167" s="1834"/>
      <c r="E167" s="1835"/>
      <c r="F167" s="1843"/>
      <c r="G167" s="1844"/>
      <c r="H167" s="1845"/>
      <c r="I167" s="1839"/>
      <c r="J167" s="1846"/>
    </row>
    <row r="168" spans="2:10" s="1824" customFormat="1" ht="16.2">
      <c r="B168" s="1909"/>
      <c r="C168" s="1842"/>
      <c r="D168" s="1834"/>
      <c r="E168" s="1835"/>
      <c r="F168" s="1843"/>
      <c r="G168" s="1844"/>
      <c r="H168" s="1845"/>
      <c r="I168" s="1839"/>
      <c r="J168" s="1846"/>
    </row>
    <row r="169" spans="2:10" s="1824" customFormat="1" ht="16.2">
      <c r="B169" s="1909"/>
      <c r="C169" s="1842"/>
      <c r="D169" s="1834"/>
      <c r="E169" s="1835"/>
      <c r="F169" s="1843"/>
      <c r="G169" s="1844"/>
      <c r="H169" s="1845"/>
      <c r="I169" s="1839"/>
      <c r="J169" s="1846"/>
    </row>
    <row r="170" spans="2:10" s="1824" customFormat="1" ht="16.2">
      <c r="B170" s="1909"/>
      <c r="C170" s="1842"/>
      <c r="D170" s="1834"/>
      <c r="E170" s="1835"/>
      <c r="F170" s="1843"/>
      <c r="G170" s="1844"/>
      <c r="H170" s="1845"/>
      <c r="I170" s="1839"/>
      <c r="J170" s="1846"/>
    </row>
    <row r="171" spans="2:10" s="1824" customFormat="1" ht="16.2">
      <c r="B171" s="1909"/>
      <c r="C171" s="1842"/>
      <c r="D171" s="1834"/>
      <c r="E171" s="1835"/>
      <c r="F171" s="1843"/>
      <c r="G171" s="1844"/>
      <c r="H171" s="1845"/>
      <c r="I171" s="1839"/>
      <c r="J171" s="1846"/>
    </row>
    <row r="172" spans="2:10" s="1824" customFormat="1" ht="16.2">
      <c r="B172" s="1909"/>
      <c r="C172" s="1842"/>
      <c r="D172" s="1834"/>
      <c r="E172" s="1835"/>
      <c r="F172" s="1843"/>
      <c r="G172" s="1844"/>
      <c r="H172" s="1845"/>
      <c r="I172" s="1839"/>
      <c r="J172" s="1846"/>
    </row>
    <row r="173" spans="2:10" s="1824" customFormat="1" ht="16.2">
      <c r="B173" s="1909"/>
      <c r="C173" s="1842"/>
      <c r="D173" s="1834"/>
      <c r="E173" s="1835"/>
      <c r="F173" s="1843"/>
      <c r="G173" s="1844"/>
      <c r="H173" s="1845"/>
      <c r="I173" s="1839"/>
      <c r="J173" s="1846"/>
    </row>
    <row r="174" spans="2:10" s="1824" customFormat="1" ht="16.2">
      <c r="B174" s="1909"/>
      <c r="C174" s="1842"/>
      <c r="D174" s="1834"/>
      <c r="E174" s="1835"/>
      <c r="F174" s="1843"/>
      <c r="G174" s="1844"/>
      <c r="H174" s="1845"/>
      <c r="I174" s="1839"/>
      <c r="J174" s="1846"/>
    </row>
    <row r="175" spans="2:10" s="1824" customFormat="1" ht="16.2">
      <c r="B175" s="1909"/>
      <c r="C175" s="1842"/>
      <c r="D175" s="1834"/>
      <c r="E175" s="1835"/>
      <c r="F175" s="1843"/>
      <c r="G175" s="1844"/>
      <c r="H175" s="1845"/>
      <c r="I175" s="1839"/>
      <c r="J175" s="1846"/>
    </row>
    <row r="176" spans="2:10" s="1824" customFormat="1" ht="16.2">
      <c r="B176" s="1909"/>
      <c r="C176" s="1842"/>
      <c r="D176" s="1834"/>
      <c r="E176" s="1835"/>
      <c r="F176" s="1843"/>
      <c r="G176" s="1844"/>
      <c r="H176" s="1845"/>
      <c r="I176" s="1839"/>
      <c r="J176" s="1846"/>
    </row>
    <row r="177" spans="2:10" s="1824" customFormat="1" ht="16.2">
      <c r="B177" s="1909"/>
      <c r="C177" s="1842"/>
      <c r="D177" s="1834"/>
      <c r="E177" s="1835"/>
      <c r="F177" s="1843"/>
      <c r="G177" s="1844"/>
      <c r="H177" s="1845"/>
      <c r="I177" s="1839"/>
      <c r="J177" s="1846"/>
    </row>
    <row r="178" spans="2:10" s="1824" customFormat="1" ht="16.2">
      <c r="B178" s="1909"/>
      <c r="C178" s="1842"/>
      <c r="D178" s="1834"/>
      <c r="E178" s="1835"/>
      <c r="F178" s="1843"/>
      <c r="G178" s="1844"/>
      <c r="H178" s="1845"/>
      <c r="I178" s="1839"/>
      <c r="J178" s="1846"/>
    </row>
    <row r="179" spans="2:10" s="1824" customFormat="1" ht="16.2">
      <c r="B179" s="1909"/>
      <c r="C179" s="1842"/>
      <c r="D179" s="1834"/>
      <c r="E179" s="1835"/>
      <c r="F179" s="1843"/>
      <c r="G179" s="1844"/>
      <c r="H179" s="1845"/>
      <c r="I179" s="1839"/>
      <c r="J179" s="1846"/>
    </row>
    <row r="180" spans="2:10" s="1824" customFormat="1" ht="16.2">
      <c r="B180" s="1909"/>
      <c r="C180" s="1842"/>
      <c r="D180" s="1834"/>
      <c r="E180" s="1835"/>
      <c r="F180" s="1843"/>
      <c r="G180" s="1844"/>
      <c r="H180" s="1845"/>
      <c r="I180" s="1839"/>
      <c r="J180" s="1846"/>
    </row>
    <row r="181" spans="2:10" s="1824" customFormat="1" ht="16.2">
      <c r="B181" s="1909"/>
      <c r="C181" s="1842"/>
      <c r="D181" s="1834"/>
      <c r="E181" s="1835"/>
      <c r="F181" s="1843"/>
      <c r="G181" s="1844"/>
      <c r="H181" s="1845"/>
      <c r="I181" s="1839"/>
      <c r="J181" s="1846"/>
    </row>
    <row r="182" spans="2:10" s="1824" customFormat="1" ht="16.2">
      <c r="B182" s="1909"/>
      <c r="C182" s="1842"/>
      <c r="D182" s="1834"/>
      <c r="E182" s="1835"/>
      <c r="F182" s="1843"/>
      <c r="G182" s="1844"/>
      <c r="H182" s="1845"/>
      <c r="I182" s="1839"/>
      <c r="J182" s="1846"/>
    </row>
    <row r="183" spans="2:10" s="1824" customFormat="1" ht="16.2">
      <c r="B183" s="1909"/>
      <c r="C183" s="1842"/>
      <c r="D183" s="1834"/>
      <c r="E183" s="1835"/>
      <c r="F183" s="1843"/>
      <c r="G183" s="1844"/>
      <c r="H183" s="1845"/>
      <c r="I183" s="1839"/>
      <c r="J183" s="1846"/>
    </row>
    <row r="184" spans="2:10" s="1824" customFormat="1" ht="16.2">
      <c r="B184" s="1909"/>
      <c r="C184" s="1842"/>
      <c r="D184" s="1834"/>
      <c r="E184" s="1835"/>
      <c r="F184" s="1843"/>
      <c r="G184" s="1844"/>
      <c r="H184" s="1845"/>
      <c r="I184" s="1839"/>
      <c r="J184" s="1846"/>
    </row>
    <row r="185" spans="2:10" s="1824" customFormat="1" ht="16.2">
      <c r="B185" s="1909"/>
      <c r="C185" s="1842"/>
      <c r="D185" s="1834"/>
      <c r="E185" s="1835"/>
      <c r="F185" s="1843"/>
      <c r="G185" s="1844"/>
      <c r="H185" s="1845"/>
      <c r="I185" s="1839"/>
      <c r="J185" s="1846"/>
    </row>
    <row r="186" spans="2:10" s="1824" customFormat="1" ht="16.2">
      <c r="B186" s="1909"/>
      <c r="C186" s="1842"/>
      <c r="D186" s="1834"/>
      <c r="E186" s="1835"/>
      <c r="F186" s="1843"/>
      <c r="G186" s="1844"/>
      <c r="H186" s="1845"/>
      <c r="I186" s="1839"/>
      <c r="J186" s="1846"/>
    </row>
    <row r="187" spans="2:10" s="1824" customFormat="1" ht="16.2">
      <c r="B187" s="1909"/>
      <c r="C187" s="1842"/>
      <c r="D187" s="1834"/>
      <c r="E187" s="1835"/>
      <c r="F187" s="1843"/>
      <c r="G187" s="1844"/>
      <c r="H187" s="1845"/>
      <c r="I187" s="1839"/>
      <c r="J187" s="1846"/>
    </row>
    <row r="188" spans="2:10" s="1824" customFormat="1" ht="16.2">
      <c r="B188" s="1909"/>
      <c r="C188" s="1842"/>
      <c r="D188" s="1834"/>
      <c r="E188" s="1835"/>
      <c r="F188" s="1843"/>
      <c r="G188" s="1844"/>
      <c r="H188" s="1845"/>
      <c r="I188" s="1839"/>
      <c r="J188" s="1846"/>
    </row>
    <row r="189" spans="2:10" s="1824" customFormat="1" ht="16.2">
      <c r="B189" s="1909"/>
      <c r="C189" s="1842"/>
      <c r="D189" s="1834"/>
      <c r="E189" s="1835"/>
      <c r="F189" s="1843"/>
      <c r="G189" s="1844"/>
      <c r="H189" s="1845"/>
      <c r="I189" s="1839"/>
      <c r="J189" s="1846"/>
    </row>
    <row r="190" spans="2:10" s="1824" customFormat="1" ht="16.2">
      <c r="B190" s="1909"/>
      <c r="C190" s="1842"/>
      <c r="D190" s="1834"/>
      <c r="E190" s="1835"/>
      <c r="F190" s="1843"/>
      <c r="G190" s="1844"/>
      <c r="H190" s="1845"/>
      <c r="I190" s="1839"/>
      <c r="J190" s="1846"/>
    </row>
    <row r="191" spans="2:10" s="1824" customFormat="1" ht="16.2">
      <c r="B191" s="1909"/>
      <c r="C191" s="1842"/>
      <c r="D191" s="1834"/>
      <c r="E191" s="1835"/>
      <c r="F191" s="1843"/>
      <c r="G191" s="1844"/>
      <c r="H191" s="1845"/>
      <c r="I191" s="1839"/>
      <c r="J191" s="1846"/>
    </row>
    <row r="192" spans="2:10" s="1824" customFormat="1" ht="16.2">
      <c r="B192" s="1909"/>
      <c r="C192" s="1842"/>
      <c r="D192" s="1834"/>
      <c r="E192" s="1835"/>
      <c r="F192" s="1843"/>
      <c r="G192" s="1844"/>
      <c r="H192" s="1845"/>
      <c r="I192" s="1839"/>
      <c r="J192" s="1846"/>
    </row>
    <row r="193" spans="2:10" s="1824" customFormat="1" ht="16.2">
      <c r="B193" s="1909"/>
      <c r="C193" s="1842"/>
      <c r="D193" s="1834"/>
      <c r="E193" s="1835"/>
      <c r="F193" s="1843"/>
      <c r="G193" s="1844"/>
      <c r="H193" s="1845"/>
      <c r="I193" s="1839"/>
      <c r="J193" s="1846"/>
    </row>
    <row r="194" spans="2:10" s="1824" customFormat="1" ht="16.2">
      <c r="B194" s="1909"/>
      <c r="C194" s="1842"/>
      <c r="D194" s="1834"/>
      <c r="E194" s="1835"/>
      <c r="F194" s="1843"/>
      <c r="G194" s="1844"/>
      <c r="H194" s="1845"/>
      <c r="I194" s="1839"/>
      <c r="J194" s="1846"/>
    </row>
    <row r="195" spans="2:10" s="1824" customFormat="1" ht="16.2">
      <c r="B195" s="1909"/>
      <c r="C195" s="1842"/>
      <c r="D195" s="1834"/>
      <c r="E195" s="1835"/>
      <c r="F195" s="1843"/>
      <c r="G195" s="1844"/>
      <c r="H195" s="1845"/>
      <c r="I195" s="1839"/>
      <c r="J195" s="1846"/>
    </row>
    <row r="196" spans="2:10" s="1824" customFormat="1" ht="16.2">
      <c r="B196" s="1909"/>
      <c r="C196" s="1842"/>
      <c r="D196" s="1834"/>
      <c r="E196" s="1835"/>
      <c r="F196" s="1843"/>
      <c r="G196" s="1844"/>
      <c r="H196" s="1845"/>
      <c r="I196" s="1839"/>
      <c r="J196" s="1846"/>
    </row>
    <row r="197" spans="2:10" s="1824" customFormat="1" ht="16.2">
      <c r="B197" s="1909"/>
      <c r="C197" s="1842"/>
      <c r="D197" s="1834"/>
      <c r="E197" s="1835"/>
      <c r="F197" s="1843"/>
      <c r="G197" s="1844"/>
      <c r="H197" s="1845"/>
      <c r="I197" s="1839"/>
      <c r="J197" s="1846"/>
    </row>
    <row r="198" spans="2:10" s="1824" customFormat="1" ht="16.2">
      <c r="B198" s="1909"/>
      <c r="C198" s="1842"/>
      <c r="D198" s="1834"/>
      <c r="E198" s="1835"/>
      <c r="F198" s="1843"/>
      <c r="G198" s="1844"/>
      <c r="H198" s="1845"/>
      <c r="I198" s="1839"/>
      <c r="J198" s="1846"/>
    </row>
    <row r="199" spans="2:10" s="1824" customFormat="1" ht="16.2">
      <c r="B199" s="1909"/>
      <c r="C199" s="1842"/>
      <c r="D199" s="1834"/>
      <c r="E199" s="1835"/>
      <c r="F199" s="1843"/>
      <c r="G199" s="1844"/>
      <c r="H199" s="1845"/>
      <c r="I199" s="1839"/>
      <c r="J199" s="1846"/>
    </row>
    <row r="200" spans="2:10" s="1824" customFormat="1" ht="16.2">
      <c r="B200" s="1909"/>
      <c r="C200" s="1842"/>
      <c r="D200" s="1834"/>
      <c r="E200" s="1835"/>
      <c r="F200" s="1843"/>
      <c r="G200" s="1844"/>
      <c r="H200" s="1845"/>
      <c r="I200" s="1839"/>
      <c r="J200" s="1846"/>
    </row>
    <row r="201" spans="2:10" s="1824" customFormat="1" ht="16.2">
      <c r="B201" s="1909"/>
      <c r="C201" s="1842"/>
      <c r="D201" s="1834"/>
      <c r="E201" s="1835"/>
      <c r="F201" s="1843"/>
      <c r="G201" s="1844"/>
      <c r="H201" s="1845"/>
      <c r="I201" s="1839"/>
      <c r="J201" s="1846"/>
    </row>
    <row r="202" spans="2:10" s="1824" customFormat="1" ht="16.2">
      <c r="B202" s="1909"/>
      <c r="C202" s="1842"/>
      <c r="D202" s="1834"/>
      <c r="E202" s="1835"/>
      <c r="F202" s="1843"/>
      <c r="G202" s="1844"/>
      <c r="H202" s="1845"/>
      <c r="I202" s="1839"/>
      <c r="J202" s="1846"/>
    </row>
    <row r="203" spans="2:10" s="1824" customFormat="1" ht="16.2">
      <c r="B203" s="1909"/>
      <c r="C203" s="1842"/>
      <c r="D203" s="1834"/>
      <c r="E203" s="1835"/>
      <c r="F203" s="1843"/>
      <c r="G203" s="1844"/>
      <c r="H203" s="1845"/>
      <c r="I203" s="1839"/>
      <c r="J203" s="1846"/>
    </row>
    <row r="204" spans="2:10" s="1824" customFormat="1" ht="16.2">
      <c r="B204" s="1909"/>
      <c r="C204" s="1842"/>
      <c r="D204" s="1834"/>
      <c r="E204" s="1835"/>
      <c r="F204" s="1843"/>
      <c r="G204" s="1844"/>
      <c r="H204" s="1845"/>
      <c r="I204" s="1839"/>
      <c r="J204" s="1846"/>
    </row>
    <row r="205" spans="2:10" s="1824" customFormat="1" ht="16.2">
      <c r="B205" s="1909"/>
      <c r="C205" s="1842"/>
      <c r="D205" s="1834"/>
      <c r="E205" s="1835"/>
      <c r="F205" s="1843"/>
      <c r="G205" s="1844"/>
      <c r="H205" s="1845"/>
      <c r="I205" s="1839"/>
      <c r="J205" s="1846"/>
    </row>
    <row r="206" spans="2:10" s="1824" customFormat="1" ht="16.2">
      <c r="B206" s="1909"/>
      <c r="C206" s="1842"/>
      <c r="D206" s="1834"/>
      <c r="E206" s="1835"/>
      <c r="F206" s="1843"/>
      <c r="G206" s="1844"/>
      <c r="H206" s="1845"/>
      <c r="I206" s="1839"/>
      <c r="J206" s="1846"/>
    </row>
    <row r="207" spans="2:10" s="1824" customFormat="1" ht="16.2">
      <c r="B207" s="1909"/>
      <c r="C207" s="1842"/>
      <c r="D207" s="1834"/>
      <c r="E207" s="1835"/>
      <c r="F207" s="1843"/>
      <c r="G207" s="1844"/>
      <c r="H207" s="1845"/>
      <c r="I207" s="1839"/>
      <c r="J207" s="1846"/>
    </row>
    <row r="208" spans="2:10" s="1824" customFormat="1" ht="16.2">
      <c r="B208" s="1909"/>
      <c r="C208" s="1842"/>
      <c r="D208" s="1834"/>
      <c r="E208" s="1835"/>
      <c r="F208" s="1843"/>
      <c r="G208" s="1844"/>
      <c r="H208" s="1845"/>
      <c r="I208" s="1839"/>
      <c r="J208" s="1846"/>
    </row>
    <row r="209" spans="2:10" s="1824" customFormat="1" ht="16.2">
      <c r="B209" s="1909"/>
      <c r="C209" s="1842"/>
      <c r="D209" s="1834"/>
      <c r="E209" s="1835"/>
      <c r="F209" s="1843"/>
      <c r="G209" s="1844"/>
      <c r="H209" s="1845"/>
      <c r="I209" s="1839"/>
      <c r="J209" s="1846"/>
    </row>
    <row r="210" spans="2:10" s="1824" customFormat="1" ht="16.2">
      <c r="B210" s="1909"/>
      <c r="C210" s="1842"/>
      <c r="D210" s="1834"/>
      <c r="E210" s="1835"/>
      <c r="F210" s="1843"/>
      <c r="G210" s="1844"/>
      <c r="H210" s="1845"/>
      <c r="I210" s="1839"/>
      <c r="J210" s="1846"/>
    </row>
    <row r="211" spans="2:10" s="1824" customFormat="1" ht="16.2">
      <c r="B211" s="1909"/>
      <c r="C211" s="1842"/>
      <c r="D211" s="1834"/>
      <c r="E211" s="1835"/>
      <c r="F211" s="1843"/>
      <c r="G211" s="1844"/>
      <c r="H211" s="1845"/>
      <c r="I211" s="1839"/>
      <c r="J211" s="1846"/>
    </row>
    <row r="212" spans="2:10" s="1824" customFormat="1" ht="16.2">
      <c r="B212" s="1909"/>
      <c r="C212" s="1842"/>
      <c r="D212" s="1834"/>
      <c r="E212" s="1835"/>
      <c r="F212" s="1843"/>
      <c r="G212" s="1844"/>
      <c r="H212" s="1845"/>
      <c r="I212" s="1839"/>
      <c r="J212" s="1846"/>
    </row>
    <row r="213" spans="2:10" s="1824" customFormat="1" ht="16.2">
      <c r="B213" s="1909"/>
      <c r="C213" s="1842"/>
      <c r="D213" s="1834"/>
      <c r="E213" s="1835"/>
      <c r="F213" s="1843"/>
      <c r="G213" s="1844"/>
      <c r="H213" s="1845"/>
      <c r="I213" s="1839"/>
      <c r="J213" s="1846"/>
    </row>
    <row r="214" spans="2:10" s="1824" customFormat="1" ht="16.2">
      <c r="B214" s="1909"/>
      <c r="C214" s="1842"/>
      <c r="D214" s="1834"/>
      <c r="E214" s="1835"/>
      <c r="F214" s="1843"/>
      <c r="G214" s="1844"/>
      <c r="H214" s="1845"/>
      <c r="I214" s="1839"/>
      <c r="J214" s="1846"/>
    </row>
    <row r="215" spans="2:10" s="1824" customFormat="1" ht="16.2">
      <c r="B215" s="1909"/>
      <c r="C215" s="1842"/>
      <c r="D215" s="1834"/>
      <c r="E215" s="1835"/>
      <c r="F215" s="1843"/>
      <c r="G215" s="1844"/>
      <c r="H215" s="1845"/>
      <c r="I215" s="1839"/>
      <c r="J215" s="1846"/>
    </row>
    <row r="216" spans="2:10" s="1824" customFormat="1" ht="16.2">
      <c r="B216" s="1909"/>
      <c r="C216" s="1842"/>
      <c r="D216" s="1834"/>
      <c r="E216" s="1835"/>
      <c r="F216" s="1843"/>
      <c r="G216" s="1844"/>
      <c r="H216" s="1845"/>
      <c r="I216" s="1839"/>
      <c r="J216" s="1846"/>
    </row>
    <row r="217" spans="2:10" s="1824" customFormat="1" ht="16.2">
      <c r="B217" s="1909"/>
      <c r="C217" s="1842"/>
      <c r="D217" s="1834"/>
      <c r="E217" s="1835"/>
      <c r="F217" s="1843"/>
      <c r="G217" s="1844"/>
      <c r="H217" s="1845"/>
      <c r="I217" s="1839"/>
      <c r="J217" s="1846"/>
    </row>
    <row r="218" spans="2:10" s="1824" customFormat="1" ht="16.2">
      <c r="B218" s="1909"/>
      <c r="C218" s="1842"/>
      <c r="D218" s="1834"/>
      <c r="E218" s="1835"/>
      <c r="F218" s="1843"/>
      <c r="G218" s="1844"/>
      <c r="H218" s="1845"/>
      <c r="I218" s="1839"/>
      <c r="J218" s="1846"/>
    </row>
    <row r="219" spans="2:10" s="1824" customFormat="1" ht="16.2">
      <c r="B219" s="1909"/>
      <c r="C219" s="1842"/>
      <c r="D219" s="1834"/>
      <c r="E219" s="1835"/>
      <c r="F219" s="1843"/>
      <c r="G219" s="1844"/>
      <c r="H219" s="1845"/>
      <c r="I219" s="1839"/>
      <c r="J219" s="1846"/>
    </row>
    <row r="220" spans="2:10" s="1824" customFormat="1" ht="16.2">
      <c r="B220" s="1909"/>
      <c r="C220" s="1842"/>
      <c r="D220" s="1834"/>
      <c r="E220" s="1835"/>
      <c r="F220" s="1843"/>
      <c r="G220" s="1844"/>
      <c r="H220" s="1845"/>
      <c r="I220" s="1839"/>
      <c r="J220" s="1846"/>
    </row>
    <row r="221" spans="2:10" s="1824" customFormat="1" ht="16.2">
      <c r="B221" s="1909"/>
      <c r="C221" s="1842"/>
      <c r="D221" s="1834"/>
      <c r="E221" s="1835"/>
      <c r="F221" s="1843"/>
      <c r="G221" s="1844"/>
      <c r="H221" s="1845"/>
      <c r="I221" s="1839"/>
      <c r="J221" s="1846"/>
    </row>
    <row r="222" spans="2:10" s="1824" customFormat="1" ht="16.2">
      <c r="B222" s="1909"/>
      <c r="C222" s="1842"/>
      <c r="D222" s="1834"/>
      <c r="E222" s="1835"/>
      <c r="F222" s="1843"/>
      <c r="G222" s="1844"/>
      <c r="H222" s="1845"/>
      <c r="I222" s="1839"/>
      <c r="J222" s="1846"/>
    </row>
    <row r="223" spans="2:10" s="1824" customFormat="1" ht="16.2">
      <c r="B223" s="1909"/>
      <c r="C223" s="1842"/>
      <c r="D223" s="1834"/>
      <c r="E223" s="1835"/>
      <c r="F223" s="1843"/>
      <c r="G223" s="1844"/>
      <c r="H223" s="1845"/>
      <c r="I223" s="1839"/>
      <c r="J223" s="1846"/>
    </row>
    <row r="224" spans="2:10" s="1824" customFormat="1" ht="16.2">
      <c r="B224" s="1909"/>
      <c r="C224" s="1842"/>
      <c r="D224" s="1834"/>
      <c r="E224" s="1835"/>
      <c r="F224" s="1843"/>
      <c r="G224" s="1844"/>
      <c r="H224" s="1845"/>
      <c r="I224" s="1839"/>
      <c r="J224" s="1846"/>
    </row>
    <row r="225" spans="2:10" s="1824" customFormat="1" ht="16.2">
      <c r="B225" s="1909"/>
      <c r="C225" s="1842"/>
      <c r="D225" s="1834"/>
      <c r="E225" s="1835"/>
      <c r="F225" s="1843"/>
      <c r="G225" s="1844"/>
      <c r="H225" s="1845"/>
      <c r="I225" s="1839"/>
      <c r="J225" s="1846"/>
    </row>
    <row r="226" spans="2:10" s="1824" customFormat="1" ht="16.2">
      <c r="B226" s="1909"/>
      <c r="C226" s="1842"/>
      <c r="D226" s="1834"/>
      <c r="E226" s="1835"/>
      <c r="F226" s="1843"/>
      <c r="G226" s="1844"/>
      <c r="H226" s="1845"/>
      <c r="I226" s="1839"/>
      <c r="J226" s="1846"/>
    </row>
    <row r="227" spans="2:10" s="1824" customFormat="1" ht="16.2">
      <c r="B227" s="1909"/>
      <c r="C227" s="1842"/>
      <c r="D227" s="1834"/>
      <c r="E227" s="1835"/>
      <c r="F227" s="1843"/>
      <c r="G227" s="1844"/>
      <c r="H227" s="1845"/>
      <c r="I227" s="1839"/>
      <c r="J227" s="1846"/>
    </row>
    <row r="228" spans="2:10" s="1824" customFormat="1" ht="16.2">
      <c r="B228" s="1909"/>
      <c r="C228" s="1842"/>
      <c r="D228" s="1834"/>
      <c r="E228" s="1835"/>
      <c r="F228" s="1843"/>
      <c r="G228" s="1844"/>
      <c r="H228" s="1845"/>
      <c r="I228" s="1839"/>
      <c r="J228" s="1846"/>
    </row>
    <row r="229" spans="2:10" s="1824" customFormat="1" ht="16.2">
      <c r="B229" s="1909"/>
      <c r="C229" s="1842"/>
      <c r="D229" s="1834"/>
      <c r="E229" s="1835"/>
      <c r="F229" s="1843"/>
      <c r="G229" s="1844"/>
      <c r="H229" s="1845"/>
      <c r="I229" s="1839"/>
      <c r="J229" s="1846"/>
    </row>
    <row r="230" spans="2:10" s="1824" customFormat="1" ht="16.2">
      <c r="B230" s="1909"/>
      <c r="C230" s="1842"/>
      <c r="D230" s="1834"/>
      <c r="E230" s="1835"/>
      <c r="F230" s="1843"/>
      <c r="G230" s="1844"/>
      <c r="H230" s="1845"/>
      <c r="I230" s="1839"/>
      <c r="J230" s="1846"/>
    </row>
    <row r="231" spans="2:10" s="1824" customFormat="1" ht="16.2">
      <c r="B231" s="1909"/>
      <c r="C231" s="1842"/>
      <c r="D231" s="1834"/>
      <c r="E231" s="1835"/>
      <c r="F231" s="1843"/>
      <c r="G231" s="1844"/>
      <c r="H231" s="1845"/>
      <c r="I231" s="1839"/>
      <c r="J231" s="1846"/>
    </row>
    <row r="232" spans="2:10" s="1824" customFormat="1" ht="16.2">
      <c r="B232" s="1909"/>
      <c r="C232" s="1842"/>
      <c r="D232" s="1834"/>
      <c r="E232" s="1835"/>
      <c r="F232" s="1843"/>
      <c r="G232" s="1844"/>
      <c r="H232" s="1845"/>
      <c r="I232" s="1839"/>
      <c r="J232" s="1846"/>
    </row>
    <row r="233" spans="2:10" s="1824" customFormat="1" ht="16.2">
      <c r="B233" s="1909"/>
      <c r="C233" s="1842"/>
      <c r="D233" s="1834"/>
      <c r="E233" s="1835"/>
      <c r="F233" s="1843"/>
      <c r="G233" s="1844"/>
      <c r="H233" s="1845"/>
      <c r="I233" s="1839"/>
      <c r="J233" s="1846"/>
    </row>
    <row r="234" spans="2:10" s="1824" customFormat="1" ht="16.2">
      <c r="B234" s="1909"/>
      <c r="C234" s="1842"/>
      <c r="D234" s="1834"/>
      <c r="E234" s="1835"/>
      <c r="F234" s="1843"/>
      <c r="G234" s="1844"/>
      <c r="H234" s="1845"/>
      <c r="I234" s="1839"/>
      <c r="J234" s="1846"/>
    </row>
    <row r="235" spans="2:10" s="1824" customFormat="1" ht="16.2">
      <c r="B235" s="1909"/>
      <c r="C235" s="1842"/>
      <c r="D235" s="1834"/>
      <c r="E235" s="1835"/>
      <c r="F235" s="1843"/>
      <c r="G235" s="1844"/>
      <c r="H235" s="1845"/>
      <c r="I235" s="1839"/>
      <c r="J235" s="1846"/>
    </row>
    <row r="236" spans="2:10" s="1824" customFormat="1" ht="16.2">
      <c r="B236" s="1909"/>
      <c r="C236" s="1842"/>
      <c r="D236" s="1834"/>
      <c r="E236" s="1835"/>
      <c r="F236" s="1843"/>
      <c r="G236" s="1844"/>
      <c r="H236" s="1845"/>
      <c r="I236" s="1839"/>
      <c r="J236" s="1846"/>
    </row>
    <row r="237" spans="2:10" s="1824" customFormat="1" ht="16.2">
      <c r="B237" s="1909"/>
      <c r="C237" s="1842"/>
      <c r="D237" s="1834"/>
      <c r="E237" s="1835"/>
      <c r="F237" s="1843"/>
      <c r="G237" s="1844"/>
      <c r="H237" s="1845"/>
      <c r="I237" s="1839"/>
      <c r="J237" s="1846"/>
    </row>
    <row r="238" spans="2:10" s="1824" customFormat="1" ht="16.2">
      <c r="B238" s="1909"/>
      <c r="C238" s="1842"/>
      <c r="D238" s="1834"/>
      <c r="E238" s="1835"/>
      <c r="F238" s="1843"/>
      <c r="G238" s="1844"/>
      <c r="H238" s="1845"/>
      <c r="I238" s="1839"/>
      <c r="J238" s="1846"/>
    </row>
    <row r="239" spans="2:10" s="1824" customFormat="1" ht="16.2">
      <c r="B239" s="1909"/>
      <c r="C239" s="1842"/>
      <c r="D239" s="1834"/>
      <c r="E239" s="1835"/>
      <c r="F239" s="1843"/>
      <c r="G239" s="1844"/>
      <c r="H239" s="1845"/>
      <c r="I239" s="1839"/>
      <c r="J239" s="1846"/>
    </row>
    <row r="240" spans="2:10" s="1824" customFormat="1" ht="16.2">
      <c r="B240" s="1909"/>
      <c r="C240" s="1842"/>
      <c r="D240" s="1834"/>
      <c r="E240" s="1835"/>
      <c r="F240" s="1843"/>
      <c r="G240" s="1844"/>
      <c r="H240" s="1845"/>
      <c r="I240" s="1839"/>
      <c r="J240" s="1846"/>
    </row>
    <row r="241" spans="2:10" s="1824" customFormat="1" ht="16.2">
      <c r="B241" s="1909"/>
      <c r="C241" s="1842"/>
      <c r="D241" s="1834"/>
      <c r="E241" s="1835"/>
      <c r="F241" s="1843"/>
      <c r="G241" s="1844"/>
      <c r="H241" s="1845"/>
      <c r="I241" s="1839"/>
      <c r="J241" s="1846"/>
    </row>
    <row r="242" spans="2:10" s="1824" customFormat="1" ht="16.2">
      <c r="B242" s="1909"/>
      <c r="C242" s="1842"/>
      <c r="D242" s="1834"/>
      <c r="E242" s="1835"/>
      <c r="F242" s="1843"/>
      <c r="G242" s="1844"/>
      <c r="H242" s="1845"/>
      <c r="I242" s="1839"/>
      <c r="J242" s="1846"/>
    </row>
    <row r="243" spans="2:10" s="1824" customFormat="1" ht="16.2">
      <c r="B243" s="1909"/>
      <c r="C243" s="1842"/>
      <c r="D243" s="1834"/>
      <c r="E243" s="1835"/>
      <c r="F243" s="1843"/>
      <c r="G243" s="1844"/>
      <c r="H243" s="1845"/>
      <c r="I243" s="1839"/>
      <c r="J243" s="1846"/>
    </row>
    <row r="244" spans="2:10" s="1824" customFormat="1" ht="16.2">
      <c r="B244" s="1909"/>
      <c r="C244" s="1842"/>
      <c r="D244" s="1834"/>
      <c r="E244" s="1835"/>
      <c r="F244" s="1843"/>
      <c r="G244" s="1844"/>
      <c r="H244" s="1845"/>
      <c r="I244" s="1839"/>
      <c r="J244" s="1846"/>
    </row>
    <row r="245" spans="2:10" s="1824" customFormat="1" ht="16.2">
      <c r="B245" s="1909"/>
      <c r="C245" s="1842"/>
      <c r="D245" s="1834"/>
      <c r="E245" s="1835"/>
      <c r="F245" s="1843"/>
      <c r="G245" s="1844"/>
      <c r="H245" s="1845"/>
      <c r="I245" s="1839"/>
      <c r="J245" s="1846"/>
    </row>
    <row r="246" spans="2:10" s="1824" customFormat="1" ht="16.2">
      <c r="B246" s="1909"/>
      <c r="C246" s="1842"/>
      <c r="D246" s="1834"/>
      <c r="E246" s="1835"/>
      <c r="F246" s="1843"/>
      <c r="G246" s="1844"/>
      <c r="H246" s="1845"/>
      <c r="I246" s="1839"/>
      <c r="J246" s="1846"/>
    </row>
    <row r="247" spans="2:10" s="1824" customFormat="1" ht="16.2">
      <c r="B247" s="1909"/>
      <c r="C247" s="1842"/>
      <c r="D247" s="1834"/>
      <c r="E247" s="1835"/>
      <c r="F247" s="1843"/>
      <c r="G247" s="1844"/>
      <c r="H247" s="1845"/>
      <c r="I247" s="1839"/>
      <c r="J247" s="1846"/>
    </row>
    <row r="248" spans="2:10" s="1824" customFormat="1" ht="16.2">
      <c r="B248" s="1909"/>
      <c r="C248" s="1842"/>
      <c r="D248" s="1834"/>
      <c r="E248" s="1835"/>
      <c r="F248" s="1843"/>
      <c r="G248" s="1844"/>
      <c r="H248" s="1845"/>
      <c r="I248" s="1839"/>
      <c r="J248" s="1846"/>
    </row>
    <row r="249" spans="2:10" s="1824" customFormat="1" ht="16.2">
      <c r="B249" s="1909"/>
      <c r="C249" s="1842"/>
      <c r="D249" s="1834"/>
      <c r="E249" s="1835"/>
      <c r="F249" s="1843"/>
      <c r="G249" s="1844"/>
      <c r="H249" s="1845"/>
      <c r="I249" s="1839"/>
      <c r="J249" s="1846"/>
    </row>
    <row r="250" spans="2:10" s="1824" customFormat="1" ht="16.2">
      <c r="B250" s="1909"/>
      <c r="C250" s="1842"/>
      <c r="D250" s="1834"/>
      <c r="E250" s="1835"/>
      <c r="F250" s="1843"/>
      <c r="G250" s="1844"/>
      <c r="H250" s="1845"/>
      <c r="I250" s="1839"/>
      <c r="J250" s="1846"/>
    </row>
    <row r="251" spans="2:10" s="1824" customFormat="1" ht="16.2">
      <c r="B251" s="1909"/>
      <c r="C251" s="1842"/>
      <c r="D251" s="1834"/>
      <c r="E251" s="1835"/>
      <c r="F251" s="1843"/>
      <c r="G251" s="1844"/>
      <c r="H251" s="1845"/>
      <c r="I251" s="1839"/>
      <c r="J251" s="1846"/>
    </row>
    <row r="252" spans="2:10" s="1824" customFormat="1" ht="16.2">
      <c r="B252" s="1909"/>
      <c r="C252" s="1842"/>
      <c r="D252" s="1834"/>
      <c r="E252" s="1835"/>
      <c r="F252" s="1843"/>
      <c r="G252" s="1844"/>
      <c r="H252" s="1845"/>
      <c r="I252" s="1839"/>
      <c r="J252" s="1846"/>
    </row>
    <row r="253" spans="2:10" s="1824" customFormat="1" ht="16.2">
      <c r="B253" s="1909"/>
      <c r="C253" s="1842"/>
      <c r="D253" s="1834"/>
      <c r="E253" s="1835"/>
      <c r="F253" s="1843"/>
      <c r="G253" s="1844"/>
      <c r="H253" s="1845"/>
      <c r="I253" s="1839"/>
      <c r="J253" s="1846"/>
    </row>
    <row r="254" spans="2:10" s="1824" customFormat="1" ht="16.2">
      <c r="B254" s="1909"/>
      <c r="C254" s="1842"/>
      <c r="D254" s="1834"/>
      <c r="E254" s="1835"/>
      <c r="F254" s="1843"/>
      <c r="G254" s="1844"/>
      <c r="H254" s="1845"/>
      <c r="I254" s="1839"/>
      <c r="J254" s="1846"/>
    </row>
    <row r="255" spans="2:10" s="1824" customFormat="1" ht="16.2">
      <c r="B255" s="1909"/>
      <c r="C255" s="1842"/>
      <c r="D255" s="1834"/>
      <c r="E255" s="1835"/>
      <c r="F255" s="1843"/>
      <c r="G255" s="1844"/>
      <c r="H255" s="1845"/>
      <c r="I255" s="1839"/>
      <c r="J255" s="1846"/>
    </row>
    <row r="256" spans="2:10" s="1824" customFormat="1" ht="16.2">
      <c r="B256" s="1909"/>
      <c r="C256" s="1842"/>
      <c r="D256" s="1834"/>
      <c r="E256" s="1835"/>
      <c r="F256" s="1843"/>
      <c r="G256" s="1844"/>
      <c r="H256" s="1845"/>
      <c r="I256" s="1839"/>
      <c r="J256" s="1846"/>
    </row>
    <row r="257" spans="2:10" s="1824" customFormat="1" ht="16.2">
      <c r="B257" s="1909"/>
      <c r="C257" s="1842"/>
      <c r="D257" s="1834"/>
      <c r="E257" s="1835"/>
      <c r="F257" s="1843"/>
      <c r="G257" s="1844"/>
      <c r="H257" s="1845"/>
      <c r="I257" s="1839"/>
      <c r="J257" s="1846"/>
    </row>
    <row r="258" spans="2:10" s="1824" customFormat="1" ht="16.2">
      <c r="B258" s="1909"/>
      <c r="C258" s="1842"/>
      <c r="D258" s="1834"/>
      <c r="E258" s="1835"/>
      <c r="F258" s="1843"/>
      <c r="G258" s="1844"/>
      <c r="H258" s="1845"/>
      <c r="I258" s="1839"/>
      <c r="J258" s="1846"/>
    </row>
    <row r="259" spans="2:10" s="1824" customFormat="1" ht="16.2">
      <c r="B259" s="1909"/>
      <c r="C259" s="1842"/>
      <c r="D259" s="1834"/>
      <c r="E259" s="1835"/>
      <c r="F259" s="1843"/>
      <c r="G259" s="1844"/>
      <c r="H259" s="1845"/>
      <c r="I259" s="1839"/>
      <c r="J259" s="1846"/>
    </row>
    <row r="260" spans="2:10" s="1824" customFormat="1" ht="16.2">
      <c r="B260" s="1909"/>
      <c r="C260" s="1842"/>
      <c r="D260" s="1834"/>
      <c r="E260" s="1835"/>
      <c r="F260" s="1843"/>
      <c r="G260" s="1844"/>
      <c r="H260" s="1845"/>
      <c r="I260" s="1839"/>
      <c r="J260" s="1846"/>
    </row>
    <row r="261" spans="2:10" s="1824" customFormat="1" ht="16.2">
      <c r="B261" s="1909"/>
      <c r="C261" s="1842"/>
      <c r="D261" s="1834"/>
      <c r="E261" s="1835"/>
      <c r="F261" s="1843"/>
      <c r="G261" s="1844"/>
      <c r="H261" s="1845"/>
      <c r="I261" s="1839"/>
      <c r="J261" s="1846"/>
    </row>
    <row r="262" spans="2:10" s="1824" customFormat="1" ht="16.2">
      <c r="B262" s="1909"/>
      <c r="C262" s="1842"/>
      <c r="D262" s="1834"/>
      <c r="E262" s="1835"/>
      <c r="F262" s="1843"/>
      <c r="G262" s="1844"/>
      <c r="H262" s="1845"/>
      <c r="I262" s="1839"/>
      <c r="J262" s="1846"/>
    </row>
    <row r="263" spans="2:10" s="1824" customFormat="1" ht="16.2">
      <c r="B263" s="1909"/>
      <c r="C263" s="1842"/>
      <c r="D263" s="1834"/>
      <c r="E263" s="1835"/>
      <c r="F263" s="1843"/>
      <c r="G263" s="1844"/>
      <c r="H263" s="1845"/>
      <c r="I263" s="1839"/>
      <c r="J263" s="1846"/>
    </row>
    <row r="264" spans="2:10" s="1824" customFormat="1" ht="16.2">
      <c r="B264" s="1909"/>
      <c r="C264" s="1842"/>
      <c r="D264" s="1834"/>
      <c r="E264" s="1835"/>
      <c r="F264" s="1843"/>
      <c r="G264" s="1844"/>
      <c r="H264" s="1845"/>
      <c r="I264" s="1839"/>
      <c r="J264" s="1846"/>
    </row>
    <row r="265" spans="2:10" s="1824" customFormat="1" ht="16.2">
      <c r="B265" s="1909"/>
      <c r="C265" s="1842"/>
      <c r="D265" s="1834"/>
      <c r="E265" s="1835"/>
      <c r="F265" s="1843"/>
      <c r="G265" s="1844"/>
      <c r="H265" s="1845"/>
      <c r="I265" s="1839"/>
      <c r="J265" s="1846"/>
    </row>
    <row r="266" spans="2:10" s="1824" customFormat="1" ht="16.2">
      <c r="B266" s="1909"/>
      <c r="C266" s="1842"/>
      <c r="D266" s="1834"/>
      <c r="E266" s="1835"/>
      <c r="F266" s="1843"/>
      <c r="G266" s="1844"/>
      <c r="H266" s="1845"/>
      <c r="I266" s="1839"/>
      <c r="J266" s="1846"/>
    </row>
    <row r="267" spans="2:10" s="1824" customFormat="1" ht="16.2">
      <c r="B267" s="1909"/>
      <c r="C267" s="1842"/>
      <c r="D267" s="1834"/>
      <c r="E267" s="1835"/>
      <c r="F267" s="1843"/>
      <c r="G267" s="1844"/>
      <c r="H267" s="1845"/>
      <c r="I267" s="1839"/>
      <c r="J267" s="1846"/>
    </row>
    <row r="268" spans="2:10" s="1824" customFormat="1" ht="16.2">
      <c r="B268" s="1909"/>
      <c r="C268" s="1842"/>
      <c r="D268" s="1834"/>
      <c r="E268" s="1835"/>
      <c r="F268" s="1843"/>
      <c r="G268" s="1844"/>
      <c r="H268" s="1845"/>
      <c r="I268" s="1839"/>
      <c r="J268" s="1846"/>
    </row>
    <row r="269" spans="2:10" s="1824" customFormat="1" ht="16.2">
      <c r="B269" s="1909"/>
      <c r="C269" s="1842"/>
      <c r="D269" s="1834"/>
      <c r="E269" s="1835"/>
      <c r="F269" s="1843"/>
      <c r="G269" s="1844"/>
      <c r="H269" s="1845"/>
      <c r="I269" s="1839"/>
      <c r="J269" s="1846"/>
    </row>
    <row r="270" spans="2:10" s="1824" customFormat="1" ht="16.2">
      <c r="B270" s="1909"/>
      <c r="C270" s="1842"/>
      <c r="D270" s="1834"/>
      <c r="E270" s="1835"/>
      <c r="F270" s="1843"/>
      <c r="G270" s="1844"/>
      <c r="H270" s="1845"/>
      <c r="I270" s="1839"/>
      <c r="J270" s="1846"/>
    </row>
    <row r="271" spans="2:10" s="1824" customFormat="1" ht="16.2">
      <c r="B271" s="1909"/>
      <c r="C271" s="1842"/>
      <c r="D271" s="1834"/>
      <c r="E271" s="1835"/>
      <c r="F271" s="1843"/>
      <c r="G271" s="1844"/>
      <c r="H271" s="1845"/>
      <c r="I271" s="1839"/>
      <c r="J271" s="1846"/>
    </row>
    <row r="272" spans="2:10" s="1824" customFormat="1" ht="16.2">
      <c r="B272" s="1909"/>
      <c r="C272" s="1842"/>
      <c r="D272" s="1834"/>
      <c r="E272" s="1835"/>
      <c r="F272" s="1843"/>
      <c r="G272" s="1844"/>
      <c r="H272" s="1845"/>
      <c r="I272" s="1839"/>
      <c r="J272" s="1846"/>
    </row>
    <row r="273" spans="2:10" s="1824" customFormat="1" ht="16.2">
      <c r="B273" s="1909"/>
      <c r="C273" s="1842"/>
      <c r="D273" s="1834"/>
      <c r="E273" s="1835"/>
      <c r="F273" s="1843"/>
      <c r="G273" s="1844"/>
      <c r="H273" s="1845"/>
      <c r="I273" s="1839"/>
      <c r="J273" s="1846"/>
    </row>
    <row r="274" spans="2:10" s="1824" customFormat="1" ht="16.2">
      <c r="B274" s="1909"/>
      <c r="C274" s="1842"/>
      <c r="D274" s="1834"/>
      <c r="E274" s="1835"/>
      <c r="F274" s="1843"/>
      <c r="G274" s="1844"/>
      <c r="H274" s="1845"/>
      <c r="I274" s="1839"/>
      <c r="J274" s="1846"/>
    </row>
    <row r="275" spans="2:10" s="1824" customFormat="1" ht="16.2">
      <c r="B275" s="1909"/>
      <c r="C275" s="1842"/>
      <c r="D275" s="1834"/>
      <c r="E275" s="1835"/>
      <c r="F275" s="1843"/>
      <c r="G275" s="1844"/>
      <c r="H275" s="1845"/>
      <c r="I275" s="1839"/>
      <c r="J275" s="1846"/>
    </row>
    <row r="276" spans="2:10" s="1824" customFormat="1" ht="16.2">
      <c r="B276" s="1909"/>
      <c r="C276" s="1842"/>
      <c r="D276" s="1834"/>
      <c r="E276" s="1835"/>
      <c r="F276" s="1843"/>
      <c r="G276" s="1844"/>
      <c r="H276" s="1845"/>
      <c r="I276" s="1839"/>
      <c r="J276" s="1846"/>
    </row>
    <row r="277" spans="2:10" s="1824" customFormat="1" ht="16.2">
      <c r="B277" s="1909"/>
      <c r="C277" s="1842"/>
      <c r="D277" s="1834"/>
      <c r="E277" s="1835"/>
      <c r="F277" s="1843"/>
      <c r="G277" s="1844"/>
      <c r="H277" s="1845"/>
      <c r="I277" s="1839"/>
      <c r="J277" s="1846"/>
    </row>
    <row r="278" spans="2:10" s="1824" customFormat="1" ht="16.2">
      <c r="B278" s="1909"/>
      <c r="C278" s="1842"/>
      <c r="D278" s="1834"/>
      <c r="E278" s="1835"/>
      <c r="F278" s="1843"/>
      <c r="G278" s="1844"/>
      <c r="H278" s="1845"/>
      <c r="I278" s="1839"/>
      <c r="J278" s="1846"/>
    </row>
    <row r="279" spans="2:10" s="1824" customFormat="1" ht="16.2">
      <c r="B279" s="1909"/>
      <c r="C279" s="1842"/>
      <c r="D279" s="1834"/>
      <c r="E279" s="1835"/>
      <c r="F279" s="1843"/>
      <c r="G279" s="1844"/>
      <c r="H279" s="1845"/>
      <c r="I279" s="1839"/>
      <c r="J279" s="1846"/>
    </row>
    <row r="280" spans="2:10" s="1824" customFormat="1" ht="16.2">
      <c r="B280" s="1909"/>
      <c r="C280" s="1842"/>
      <c r="D280" s="1834"/>
      <c r="E280" s="1835"/>
      <c r="F280" s="1843"/>
      <c r="G280" s="1844"/>
      <c r="H280" s="1845"/>
      <c r="I280" s="1839"/>
      <c r="J280" s="1846"/>
    </row>
    <row r="281" spans="2:10" s="1824" customFormat="1" ht="16.2">
      <c r="B281" s="1909"/>
      <c r="C281" s="1842"/>
      <c r="D281" s="1834"/>
      <c r="E281" s="1835"/>
      <c r="F281" s="1843"/>
      <c r="G281" s="1844"/>
      <c r="H281" s="1845"/>
      <c r="I281" s="1839"/>
      <c r="J281" s="1846"/>
    </row>
    <row r="282" spans="2:10" s="1824" customFormat="1" ht="16.2">
      <c r="B282" s="1909"/>
      <c r="C282" s="1842"/>
      <c r="D282" s="1834"/>
      <c r="E282" s="1835"/>
      <c r="F282" s="1843"/>
      <c r="G282" s="1844"/>
      <c r="H282" s="1845"/>
      <c r="I282" s="1839"/>
      <c r="J282" s="1846"/>
    </row>
    <row r="283" spans="2:10" s="1824" customFormat="1" ht="16.2">
      <c r="B283" s="1909"/>
      <c r="C283" s="1842"/>
      <c r="D283" s="1834"/>
      <c r="E283" s="1835"/>
      <c r="F283" s="1843"/>
      <c r="G283" s="1844"/>
      <c r="H283" s="1845"/>
      <c r="I283" s="1839"/>
      <c r="J283" s="1846"/>
    </row>
    <row r="284" spans="2:10" s="1824" customFormat="1" ht="16.2">
      <c r="B284" s="1909"/>
      <c r="C284" s="1842"/>
      <c r="D284" s="1834"/>
      <c r="E284" s="1835"/>
      <c r="F284" s="1843"/>
      <c r="G284" s="1844"/>
      <c r="H284" s="1845"/>
      <c r="I284" s="1839"/>
      <c r="J284" s="1846"/>
    </row>
    <row r="285" spans="2:10" s="1824" customFormat="1" ht="16.2">
      <c r="B285" s="1909"/>
      <c r="C285" s="1842"/>
      <c r="D285" s="1834"/>
      <c r="E285" s="1835"/>
      <c r="F285" s="1843"/>
      <c r="G285" s="1844"/>
      <c r="H285" s="1845"/>
      <c r="I285" s="1839"/>
      <c r="J285" s="1846"/>
    </row>
    <row r="286" spans="2:10" s="1824" customFormat="1" ht="16.2">
      <c r="B286" s="1909"/>
      <c r="C286" s="1842"/>
      <c r="D286" s="1834"/>
      <c r="E286" s="1835"/>
      <c r="F286" s="1843"/>
      <c r="G286" s="1844"/>
      <c r="H286" s="1845"/>
      <c r="I286" s="1839"/>
      <c r="J286" s="1846"/>
    </row>
    <row r="287" spans="2:10" s="1824" customFormat="1" ht="16.2">
      <c r="B287" s="1909"/>
      <c r="C287" s="1842"/>
      <c r="D287" s="1834"/>
      <c r="E287" s="1835"/>
      <c r="F287" s="1843"/>
      <c r="G287" s="1844"/>
      <c r="H287" s="1845"/>
      <c r="I287" s="1839"/>
      <c r="J287" s="1846"/>
    </row>
    <row r="288" spans="2:10" s="1824" customFormat="1" ht="16.2">
      <c r="B288" s="1909"/>
      <c r="C288" s="1842"/>
      <c r="D288" s="1834"/>
      <c r="E288" s="1835"/>
      <c r="F288" s="1843"/>
      <c r="G288" s="1844"/>
      <c r="H288" s="1845"/>
      <c r="I288" s="1839"/>
      <c r="J288" s="1846"/>
    </row>
    <row r="289" spans="2:10" s="1824" customFormat="1" ht="16.2">
      <c r="B289" s="1909"/>
      <c r="C289" s="1842"/>
      <c r="D289" s="1834"/>
      <c r="E289" s="1835"/>
      <c r="F289" s="1843"/>
      <c r="G289" s="1844"/>
      <c r="H289" s="1845"/>
      <c r="I289" s="1839"/>
      <c r="J289" s="1846"/>
    </row>
    <row r="290" spans="2:10" s="1824" customFormat="1" ht="16.2">
      <c r="B290" s="1909"/>
      <c r="C290" s="1842"/>
      <c r="D290" s="1834"/>
      <c r="E290" s="1835"/>
      <c r="F290" s="1843"/>
      <c r="G290" s="1844"/>
      <c r="H290" s="1845"/>
      <c r="I290" s="1839"/>
      <c r="J290" s="1846"/>
    </row>
    <row r="291" spans="2:10" s="1824" customFormat="1" ht="16.2">
      <c r="B291" s="1909"/>
      <c r="C291" s="1842"/>
      <c r="D291" s="1834"/>
      <c r="E291" s="1835"/>
      <c r="F291" s="1843"/>
      <c r="G291" s="1844"/>
      <c r="H291" s="1845"/>
      <c r="I291" s="1839"/>
      <c r="J291" s="1846"/>
    </row>
    <row r="292" spans="2:10" s="1824" customFormat="1" ht="16.2">
      <c r="B292" s="1909"/>
      <c r="C292" s="1842"/>
      <c r="D292" s="1834"/>
      <c r="E292" s="1835"/>
      <c r="F292" s="1843"/>
      <c r="G292" s="1844"/>
      <c r="H292" s="1845"/>
      <c r="I292" s="1839"/>
      <c r="J292" s="1846"/>
    </row>
    <row r="293" spans="2:10" s="1824" customFormat="1" ht="16.2">
      <c r="B293" s="1909"/>
      <c r="C293" s="1842"/>
      <c r="D293" s="1834"/>
      <c r="E293" s="1835"/>
      <c r="F293" s="1843"/>
      <c r="G293" s="1844"/>
      <c r="H293" s="1845"/>
      <c r="I293" s="1839"/>
      <c r="J293" s="1846"/>
    </row>
    <row r="294" spans="2:10" s="1824" customFormat="1" ht="16.2">
      <c r="B294" s="1909"/>
      <c r="C294" s="1842"/>
      <c r="D294" s="1834"/>
      <c r="E294" s="1835"/>
      <c r="F294" s="1843"/>
      <c r="G294" s="1844"/>
      <c r="H294" s="1845"/>
      <c r="I294" s="1839"/>
      <c r="J294" s="1846"/>
    </row>
    <row r="295" spans="2:10" s="1824" customFormat="1" ht="16.2">
      <c r="B295" s="1909"/>
      <c r="C295" s="1842"/>
      <c r="D295" s="1834"/>
      <c r="E295" s="1835"/>
      <c r="F295" s="1843"/>
      <c r="G295" s="1844"/>
      <c r="H295" s="1845"/>
      <c r="I295" s="1839"/>
      <c r="J295" s="1846"/>
    </row>
    <row r="296" spans="2:10" s="1824" customFormat="1" ht="16.2">
      <c r="B296" s="1909"/>
      <c r="C296" s="1842"/>
      <c r="D296" s="1834"/>
      <c r="E296" s="1835"/>
      <c r="F296" s="1843"/>
      <c r="G296" s="1844"/>
      <c r="H296" s="1845"/>
      <c r="I296" s="1839"/>
      <c r="J296" s="1846"/>
    </row>
    <row r="297" spans="2:10" s="1824" customFormat="1" ht="16.2">
      <c r="B297" s="1909"/>
      <c r="C297" s="1842"/>
      <c r="D297" s="1834"/>
      <c r="E297" s="1835"/>
      <c r="F297" s="1843"/>
      <c r="G297" s="1844"/>
      <c r="H297" s="1845"/>
      <c r="I297" s="1839"/>
      <c r="J297" s="1846"/>
    </row>
    <row r="298" spans="2:10" s="1824" customFormat="1" ht="16.2">
      <c r="B298" s="1909"/>
      <c r="C298" s="1842"/>
      <c r="D298" s="1834"/>
      <c r="E298" s="1835"/>
      <c r="F298" s="1843"/>
      <c r="G298" s="1844"/>
      <c r="H298" s="1845"/>
      <c r="I298" s="1839"/>
      <c r="J298" s="1846"/>
    </row>
    <row r="299" spans="2:10" s="1824" customFormat="1" ht="16.2">
      <c r="B299" s="1909"/>
      <c r="C299" s="1842"/>
      <c r="D299" s="1834"/>
      <c r="E299" s="1835"/>
      <c r="F299" s="1843"/>
      <c r="G299" s="1844"/>
      <c r="H299" s="1845"/>
      <c r="I299" s="1839"/>
      <c r="J299" s="1846"/>
    </row>
    <row r="300" spans="2:10" s="1824" customFormat="1" ht="16.2">
      <c r="B300" s="1909"/>
      <c r="C300" s="1842"/>
      <c r="D300" s="1834"/>
      <c r="E300" s="1835"/>
      <c r="F300" s="1843"/>
      <c r="G300" s="1844"/>
      <c r="H300" s="1845"/>
      <c r="I300" s="1839"/>
      <c r="J300" s="1846"/>
    </row>
    <row r="301" spans="2:10" s="1824" customFormat="1" ht="16.2">
      <c r="B301" s="1909"/>
      <c r="C301" s="1842"/>
      <c r="D301" s="1834"/>
      <c r="E301" s="1835"/>
      <c r="F301" s="1843"/>
      <c r="G301" s="1844"/>
      <c r="H301" s="1845"/>
      <c r="I301" s="1839"/>
      <c r="J301" s="1846"/>
    </row>
    <row r="302" spans="2:10" s="1824" customFormat="1" ht="16.2">
      <c r="B302" s="1909"/>
      <c r="C302" s="1842"/>
      <c r="D302" s="1834"/>
      <c r="E302" s="1835"/>
      <c r="F302" s="1843"/>
      <c r="G302" s="1844"/>
      <c r="H302" s="1845"/>
      <c r="I302" s="1839"/>
      <c r="J302" s="1846"/>
    </row>
    <row r="303" spans="2:10" s="1824" customFormat="1" ht="16.2">
      <c r="B303" s="1909"/>
      <c r="C303" s="1842"/>
      <c r="D303" s="1834"/>
      <c r="E303" s="1835"/>
      <c r="F303" s="1843"/>
      <c r="G303" s="1844"/>
      <c r="H303" s="1845"/>
      <c r="I303" s="1839"/>
      <c r="J303" s="1846"/>
    </row>
    <row r="304" spans="2:10" s="1824" customFormat="1" ht="16.2">
      <c r="B304" s="1909"/>
      <c r="C304" s="1842"/>
      <c r="D304" s="1834"/>
      <c r="E304" s="1835"/>
      <c r="F304" s="1843"/>
      <c r="G304" s="1844"/>
      <c r="H304" s="1845"/>
      <c r="I304" s="1839"/>
      <c r="J304" s="1846"/>
    </row>
    <row r="305" spans="2:10" s="1824" customFormat="1" ht="16.2">
      <c r="B305" s="1909"/>
      <c r="C305" s="1842"/>
      <c r="D305" s="1834"/>
      <c r="E305" s="1835"/>
      <c r="F305" s="1843"/>
      <c r="G305" s="1844"/>
      <c r="H305" s="1845"/>
      <c r="I305" s="1839"/>
      <c r="J305" s="1846"/>
    </row>
    <row r="306" spans="2:10" s="1824" customFormat="1" ht="16.2">
      <c r="B306" s="1909"/>
      <c r="C306" s="1842"/>
      <c r="D306" s="1834"/>
      <c r="E306" s="1835"/>
      <c r="F306" s="1843"/>
      <c r="G306" s="1844"/>
      <c r="H306" s="1845"/>
      <c r="I306" s="1839"/>
      <c r="J306" s="1846"/>
    </row>
    <row r="307" spans="2:10" s="1824" customFormat="1" ht="16.2">
      <c r="B307" s="1909"/>
      <c r="C307" s="1842"/>
      <c r="D307" s="1834"/>
      <c r="E307" s="1835"/>
      <c r="F307" s="1843"/>
      <c r="G307" s="1844"/>
      <c r="H307" s="1845"/>
      <c r="I307" s="1839"/>
      <c r="J307" s="1846"/>
    </row>
    <row r="308" spans="2:10" s="1824" customFormat="1" ht="16.2">
      <c r="B308" s="1909"/>
      <c r="C308" s="1842"/>
      <c r="D308" s="1834"/>
      <c r="E308" s="1835"/>
      <c r="F308" s="1843"/>
      <c r="G308" s="1844"/>
      <c r="H308" s="1845"/>
      <c r="I308" s="1839"/>
      <c r="J308" s="1846"/>
    </row>
    <row r="309" spans="2:10" s="1824" customFormat="1" ht="16.2">
      <c r="B309" s="1909"/>
      <c r="C309" s="1842"/>
      <c r="D309" s="1834"/>
      <c r="E309" s="1835"/>
      <c r="F309" s="1843"/>
      <c r="G309" s="1844"/>
      <c r="H309" s="1845"/>
      <c r="I309" s="1839"/>
      <c r="J309" s="1846"/>
    </row>
    <row r="310" spans="2:10" s="1824" customFormat="1" ht="16.2">
      <c r="B310" s="1909"/>
      <c r="C310" s="1842"/>
      <c r="D310" s="1834"/>
      <c r="E310" s="1835"/>
      <c r="F310" s="1843"/>
      <c r="G310" s="1844"/>
      <c r="H310" s="1845"/>
      <c r="I310" s="1839"/>
      <c r="J310" s="1846"/>
    </row>
    <row r="311" spans="2:10" s="1824" customFormat="1" ht="16.2">
      <c r="B311" s="1909"/>
      <c r="C311" s="1842"/>
      <c r="D311" s="1834"/>
      <c r="E311" s="1835"/>
      <c r="F311" s="1843"/>
      <c r="G311" s="1844"/>
      <c r="H311" s="1845"/>
      <c r="I311" s="1839"/>
      <c r="J311" s="1846"/>
    </row>
    <row r="312" spans="2:10" s="1824" customFormat="1" ht="16.2">
      <c r="B312" s="1909"/>
      <c r="C312" s="1842"/>
      <c r="D312" s="1834"/>
      <c r="E312" s="1835"/>
      <c r="F312" s="1843"/>
      <c r="G312" s="1844"/>
      <c r="H312" s="1845"/>
      <c r="I312" s="1839"/>
      <c r="J312" s="1846"/>
    </row>
    <row r="313" spans="2:10" s="1824" customFormat="1" ht="16.2">
      <c r="B313" s="1909"/>
      <c r="C313" s="1842"/>
      <c r="D313" s="1834"/>
      <c r="E313" s="1835"/>
      <c r="F313" s="1843"/>
      <c r="G313" s="1844"/>
      <c r="H313" s="1845"/>
      <c r="I313" s="1839"/>
      <c r="J313" s="1846"/>
    </row>
    <row r="314" spans="2:10" s="1824" customFormat="1" ht="16.2">
      <c r="B314" s="1909"/>
      <c r="C314" s="1842"/>
      <c r="D314" s="1834"/>
      <c r="E314" s="1835"/>
      <c r="F314" s="1843"/>
      <c r="G314" s="1844"/>
      <c r="H314" s="1845"/>
      <c r="I314" s="1839"/>
      <c r="J314" s="1846"/>
    </row>
    <row r="315" spans="2:10" s="1824" customFormat="1" ht="16.2">
      <c r="B315" s="1909"/>
      <c r="C315" s="1842"/>
      <c r="D315" s="1834"/>
      <c r="E315" s="1835"/>
      <c r="F315" s="1843"/>
      <c r="G315" s="1844"/>
      <c r="H315" s="1845"/>
      <c r="I315" s="1839"/>
      <c r="J315" s="1846"/>
    </row>
    <row r="316" spans="2:10" s="1824" customFormat="1" ht="16.2">
      <c r="B316" s="1909"/>
      <c r="C316" s="1842"/>
      <c r="D316" s="1834"/>
      <c r="E316" s="1835"/>
      <c r="F316" s="1843"/>
      <c r="G316" s="1844"/>
      <c r="H316" s="1845"/>
      <c r="I316" s="1839"/>
      <c r="J316" s="1846"/>
    </row>
    <row r="317" spans="2:10" s="1824" customFormat="1" ht="16.2">
      <c r="B317" s="1909"/>
      <c r="C317" s="1842"/>
      <c r="D317" s="1834"/>
      <c r="E317" s="1835"/>
      <c r="F317" s="1843"/>
      <c r="G317" s="1844"/>
      <c r="H317" s="1845"/>
      <c r="I317" s="1839"/>
      <c r="J317" s="1846"/>
    </row>
    <row r="318" spans="2:10" s="1824" customFormat="1" ht="16.2">
      <c r="B318" s="1909"/>
      <c r="C318" s="1842"/>
      <c r="D318" s="1834"/>
      <c r="E318" s="1835"/>
      <c r="F318" s="1843"/>
      <c r="G318" s="1844"/>
      <c r="H318" s="1845"/>
      <c r="I318" s="1839"/>
      <c r="J318" s="1846"/>
    </row>
    <row r="319" spans="2:10" s="1824" customFormat="1" ht="16.2">
      <c r="B319" s="1909"/>
      <c r="C319" s="1842"/>
      <c r="D319" s="1834"/>
      <c r="E319" s="1835"/>
      <c r="F319" s="1843"/>
      <c r="G319" s="1844"/>
      <c r="H319" s="1845"/>
      <c r="I319" s="1839"/>
      <c r="J319" s="1846"/>
    </row>
    <row r="320" spans="2:10" s="1824" customFormat="1" ht="16.2">
      <c r="B320" s="1909"/>
      <c r="C320" s="1842"/>
      <c r="D320" s="1834"/>
      <c r="E320" s="1835"/>
      <c r="F320" s="1843"/>
      <c r="G320" s="1844"/>
      <c r="H320" s="1845"/>
      <c r="I320" s="1839"/>
      <c r="J320" s="1846"/>
    </row>
    <row r="321" spans="2:10" s="1824" customFormat="1" ht="16.2">
      <c r="B321" s="1909"/>
      <c r="C321" s="1842"/>
      <c r="D321" s="1834"/>
      <c r="E321" s="1835"/>
      <c r="F321" s="1843"/>
      <c r="G321" s="1844"/>
      <c r="H321" s="1845"/>
      <c r="I321" s="1839"/>
      <c r="J321" s="1846"/>
    </row>
    <row r="322" spans="2:10" s="1824" customFormat="1" ht="16.2">
      <c r="B322" s="1909"/>
      <c r="C322" s="1842"/>
      <c r="D322" s="1834"/>
      <c r="E322" s="1835"/>
      <c r="F322" s="1843"/>
      <c r="G322" s="1844"/>
      <c r="H322" s="1845"/>
      <c r="I322" s="1839"/>
      <c r="J322" s="1846"/>
    </row>
    <row r="323" spans="2:10" s="1824" customFormat="1" ht="16.2">
      <c r="B323" s="1909"/>
      <c r="C323" s="1842"/>
      <c r="D323" s="1834"/>
      <c r="E323" s="1835"/>
      <c r="F323" s="1843"/>
      <c r="G323" s="1844"/>
      <c r="H323" s="1845"/>
      <c r="I323" s="1839"/>
      <c r="J323" s="1846"/>
    </row>
    <row r="324" spans="2:10" s="1824" customFormat="1" ht="16.2">
      <c r="B324" s="1909"/>
      <c r="C324" s="1842"/>
      <c r="D324" s="1834"/>
      <c r="E324" s="1835"/>
      <c r="F324" s="1843"/>
      <c r="G324" s="1844"/>
      <c r="H324" s="1845"/>
      <c r="I324" s="1839"/>
      <c r="J324" s="1846"/>
    </row>
    <row r="325" spans="2:10" s="1824" customFormat="1" ht="16.2">
      <c r="B325" s="1909"/>
      <c r="C325" s="1842"/>
      <c r="D325" s="1834"/>
      <c r="E325" s="1835"/>
      <c r="F325" s="1843"/>
      <c r="G325" s="1844"/>
      <c r="H325" s="1845"/>
      <c r="I325" s="1839"/>
      <c r="J325" s="1846"/>
    </row>
    <row r="326" spans="2:10" s="1824" customFormat="1" ht="16.2">
      <c r="B326" s="1909"/>
      <c r="C326" s="1842"/>
      <c r="D326" s="1834"/>
      <c r="E326" s="1835"/>
      <c r="F326" s="1843"/>
      <c r="G326" s="1844"/>
      <c r="H326" s="1845"/>
      <c r="I326" s="1839"/>
      <c r="J326" s="1846"/>
    </row>
    <row r="327" spans="2:10" s="1824" customFormat="1" ht="16.2">
      <c r="B327" s="1909"/>
      <c r="C327" s="1842"/>
      <c r="D327" s="1834"/>
      <c r="E327" s="1835"/>
      <c r="F327" s="1843"/>
      <c r="G327" s="1844"/>
      <c r="H327" s="1845"/>
      <c r="I327" s="1839"/>
      <c r="J327" s="1846"/>
    </row>
    <row r="328" spans="2:10" s="1824" customFormat="1" ht="16.2">
      <c r="B328" s="1909"/>
      <c r="C328" s="1842"/>
      <c r="D328" s="1834"/>
      <c r="E328" s="1835"/>
      <c r="F328" s="1843"/>
      <c r="G328" s="1844"/>
      <c r="H328" s="1845"/>
      <c r="I328" s="1839"/>
      <c r="J328" s="1846"/>
    </row>
    <row r="329" spans="2:10" s="1824" customFormat="1" ht="16.2">
      <c r="B329" s="1909"/>
      <c r="C329" s="1842"/>
      <c r="D329" s="1834"/>
      <c r="E329" s="1835"/>
      <c r="F329" s="1843"/>
      <c r="G329" s="1844"/>
      <c r="H329" s="1845"/>
      <c r="I329" s="1839"/>
      <c r="J329" s="1846"/>
    </row>
    <row r="330" spans="2:10" s="1824" customFormat="1" ht="16.2">
      <c r="B330" s="1909"/>
      <c r="C330" s="1842"/>
      <c r="D330" s="1834"/>
      <c r="E330" s="1835"/>
      <c r="F330" s="1843"/>
      <c r="G330" s="1844"/>
      <c r="H330" s="1845"/>
      <c r="I330" s="1839"/>
      <c r="J330" s="1846"/>
    </row>
    <row r="331" spans="2:10" s="1824" customFormat="1" ht="16.2">
      <c r="B331" s="1909"/>
      <c r="C331" s="1842"/>
      <c r="D331" s="1834"/>
      <c r="E331" s="1835"/>
      <c r="F331" s="1843"/>
      <c r="G331" s="1844"/>
      <c r="H331" s="1845"/>
      <c r="I331" s="1839"/>
      <c r="J331" s="1846"/>
    </row>
    <row r="332" spans="2:10" s="1824" customFormat="1" ht="16.2">
      <c r="B332" s="1909"/>
      <c r="C332" s="1842"/>
      <c r="D332" s="1834"/>
      <c r="E332" s="1835"/>
      <c r="F332" s="1843"/>
      <c r="G332" s="1844"/>
      <c r="H332" s="1845"/>
      <c r="I332" s="1839"/>
      <c r="J332" s="1846"/>
    </row>
    <row r="333" spans="2:10" s="1824" customFormat="1" ht="16.2">
      <c r="B333" s="1909"/>
      <c r="C333" s="1842"/>
      <c r="D333" s="1834"/>
      <c r="E333" s="1835"/>
      <c r="F333" s="1843"/>
      <c r="G333" s="1844"/>
      <c r="H333" s="1845"/>
      <c r="I333" s="1839"/>
      <c r="J333" s="1846"/>
    </row>
    <row r="334" spans="2:10" s="1824" customFormat="1" ht="16.2">
      <c r="B334" s="1909"/>
      <c r="C334" s="1842"/>
      <c r="D334" s="1834"/>
      <c r="E334" s="1835"/>
      <c r="F334" s="1843"/>
      <c r="G334" s="1844"/>
      <c r="H334" s="1845"/>
      <c r="I334" s="1839"/>
      <c r="J334" s="1846"/>
    </row>
    <row r="335" spans="2:10" s="1824" customFormat="1" ht="16.2">
      <c r="B335" s="1909"/>
      <c r="C335" s="1842"/>
      <c r="D335" s="1834"/>
      <c r="E335" s="1835"/>
      <c r="F335" s="1843"/>
      <c r="G335" s="1844"/>
      <c r="H335" s="1845"/>
      <c r="I335" s="1839"/>
      <c r="J335" s="1846"/>
    </row>
    <row r="336" spans="2:10" s="1824" customFormat="1" ht="16.2">
      <c r="B336" s="1909"/>
      <c r="C336" s="1842"/>
      <c r="D336" s="1834"/>
      <c r="E336" s="1835"/>
      <c r="F336" s="1843"/>
      <c r="G336" s="1844"/>
      <c r="H336" s="1845"/>
      <c r="I336" s="1839"/>
      <c r="J336" s="1846"/>
    </row>
    <row r="337" spans="2:10" s="1824" customFormat="1" ht="16.2">
      <c r="B337" s="1909"/>
      <c r="C337" s="1842"/>
      <c r="D337" s="1834"/>
      <c r="E337" s="1835"/>
      <c r="F337" s="1843"/>
      <c r="G337" s="1844"/>
      <c r="H337" s="1845"/>
      <c r="I337" s="1839"/>
      <c r="J337" s="1846"/>
    </row>
    <row r="338" spans="2:10" s="1824" customFormat="1" ht="16.2">
      <c r="B338" s="1909"/>
      <c r="C338" s="1842"/>
      <c r="D338" s="1834"/>
      <c r="E338" s="1835"/>
      <c r="F338" s="1843"/>
      <c r="G338" s="1844"/>
      <c r="H338" s="1845"/>
      <c r="I338" s="1839"/>
      <c r="J338" s="1846"/>
    </row>
    <row r="339" spans="2:10" s="1824" customFormat="1" ht="16.2">
      <c r="B339" s="1909"/>
      <c r="C339" s="1842"/>
      <c r="D339" s="1834"/>
      <c r="E339" s="1835"/>
      <c r="F339" s="1843"/>
      <c r="G339" s="1844"/>
      <c r="H339" s="1845"/>
      <c r="I339" s="1839"/>
      <c r="J339" s="1846"/>
    </row>
    <row r="340" spans="2:10" s="1824" customFormat="1" ht="16.2">
      <c r="B340" s="1909"/>
      <c r="C340" s="1842"/>
      <c r="D340" s="1834"/>
      <c r="E340" s="1835"/>
      <c r="F340" s="1843"/>
      <c r="G340" s="1844"/>
      <c r="H340" s="1845"/>
      <c r="I340" s="1839"/>
      <c r="J340" s="1846"/>
    </row>
    <row r="341" spans="2:10" s="1824" customFormat="1" ht="16.2">
      <c r="B341" s="1909"/>
      <c r="C341" s="1842"/>
      <c r="D341" s="1834"/>
      <c r="E341" s="1835"/>
      <c r="F341" s="1843"/>
      <c r="G341" s="1844"/>
      <c r="H341" s="1845"/>
      <c r="I341" s="1839"/>
      <c r="J341" s="1846"/>
    </row>
    <row r="342" spans="2:10" s="1824" customFormat="1" ht="16.2">
      <c r="B342" s="1909"/>
      <c r="C342" s="1842"/>
      <c r="D342" s="1834"/>
      <c r="E342" s="1835"/>
      <c r="F342" s="1843"/>
      <c r="G342" s="1844"/>
      <c r="H342" s="1845"/>
      <c r="I342" s="1839"/>
      <c r="J342" s="1846"/>
    </row>
    <row r="343" spans="2:10" s="1824" customFormat="1" ht="16.2">
      <c r="B343" s="1909"/>
      <c r="C343" s="1842"/>
      <c r="D343" s="1834"/>
      <c r="E343" s="1835"/>
      <c r="F343" s="1843"/>
      <c r="G343" s="1844"/>
      <c r="H343" s="1845"/>
      <c r="I343" s="1839"/>
      <c r="J343" s="1846"/>
    </row>
    <row r="344" spans="2:10" s="1824" customFormat="1" ht="16.2">
      <c r="B344" s="1909"/>
      <c r="C344" s="1842"/>
      <c r="D344" s="1834"/>
      <c r="E344" s="1835"/>
      <c r="F344" s="1843"/>
      <c r="G344" s="1844"/>
      <c r="H344" s="1845"/>
      <c r="I344" s="1839"/>
      <c r="J344" s="1846"/>
    </row>
    <row r="345" spans="2:10" s="1824" customFormat="1" ht="16.2">
      <c r="B345" s="1909"/>
      <c r="C345" s="1842"/>
      <c r="D345" s="1834"/>
      <c r="E345" s="1835"/>
      <c r="F345" s="1843"/>
      <c r="G345" s="1844"/>
      <c r="H345" s="1845"/>
      <c r="I345" s="1839"/>
      <c r="J345" s="1846"/>
    </row>
    <row r="346" spans="2:10" s="1824" customFormat="1" ht="16.2">
      <c r="B346" s="1909"/>
      <c r="C346" s="1842"/>
      <c r="D346" s="1834"/>
      <c r="E346" s="1835"/>
      <c r="F346" s="1843"/>
      <c r="G346" s="1844"/>
      <c r="H346" s="1845"/>
      <c r="I346" s="1839"/>
      <c r="J346" s="1846"/>
    </row>
    <row r="347" spans="2:10" s="1824" customFormat="1" ht="16.2">
      <c r="B347" s="1909"/>
      <c r="C347" s="1842"/>
      <c r="D347" s="1834"/>
      <c r="E347" s="1835"/>
      <c r="F347" s="1843"/>
      <c r="G347" s="1844"/>
      <c r="H347" s="1845"/>
      <c r="I347" s="1839"/>
      <c r="J347" s="1846"/>
    </row>
    <row r="348" spans="2:10" s="1824" customFormat="1" ht="16.2">
      <c r="B348" s="1909"/>
      <c r="C348" s="1842"/>
      <c r="D348" s="1834"/>
      <c r="E348" s="1835"/>
      <c r="F348" s="1843"/>
      <c r="G348" s="1844"/>
      <c r="H348" s="1845"/>
      <c r="I348" s="1839"/>
      <c r="J348" s="1846"/>
    </row>
    <row r="349" spans="2:10" s="1824" customFormat="1" ht="16.2">
      <c r="B349" s="1909"/>
      <c r="C349" s="1842"/>
      <c r="D349" s="1834"/>
      <c r="E349" s="1835"/>
      <c r="F349" s="1843"/>
      <c r="G349" s="1844"/>
      <c r="H349" s="1845"/>
      <c r="I349" s="1839"/>
      <c r="J349" s="1846"/>
    </row>
    <row r="350" spans="2:10" s="1824" customFormat="1" ht="16.2">
      <c r="B350" s="1909"/>
      <c r="C350" s="1842"/>
      <c r="D350" s="1834"/>
      <c r="E350" s="1835"/>
      <c r="F350" s="1843"/>
      <c r="G350" s="1844"/>
      <c r="H350" s="1845"/>
      <c r="I350" s="1839"/>
      <c r="J350" s="1846"/>
    </row>
    <row r="351" spans="2:10" s="1824" customFormat="1" ht="16.2">
      <c r="B351" s="1909"/>
      <c r="C351" s="1842"/>
      <c r="D351" s="1834"/>
      <c r="E351" s="1835"/>
      <c r="F351" s="1843"/>
      <c r="G351" s="1844"/>
      <c r="H351" s="1845"/>
      <c r="I351" s="1839"/>
      <c r="J351" s="1846"/>
    </row>
    <row r="352" spans="2:10" s="1824" customFormat="1" ht="16.2">
      <c r="B352" s="1909"/>
      <c r="C352" s="1842"/>
      <c r="D352" s="1834"/>
      <c r="E352" s="1835"/>
      <c r="F352" s="1843"/>
      <c r="G352" s="1844"/>
      <c r="H352" s="1845"/>
      <c r="I352" s="1839"/>
      <c r="J352" s="1846"/>
    </row>
    <row r="353" spans="2:10" s="1824" customFormat="1" ht="16.2">
      <c r="B353" s="1909"/>
      <c r="C353" s="1842"/>
      <c r="D353" s="1834"/>
      <c r="E353" s="1835"/>
      <c r="F353" s="1843"/>
      <c r="G353" s="1844"/>
      <c r="H353" s="1845"/>
      <c r="I353" s="1839"/>
      <c r="J353" s="1846"/>
    </row>
    <row r="354" spans="2:10" s="1824" customFormat="1" ht="16.2">
      <c r="B354" s="1909"/>
      <c r="C354" s="1842"/>
      <c r="D354" s="1834"/>
      <c r="E354" s="1835"/>
      <c r="F354" s="1843"/>
      <c r="G354" s="1844"/>
      <c r="H354" s="1845"/>
      <c r="I354" s="1839"/>
      <c r="J354" s="1846"/>
    </row>
    <row r="355" spans="2:10" s="1824" customFormat="1" ht="16.2">
      <c r="B355" s="1909"/>
      <c r="C355" s="1842"/>
      <c r="D355" s="1834"/>
      <c r="E355" s="1835"/>
      <c r="F355" s="1843"/>
      <c r="G355" s="1844"/>
      <c r="H355" s="1845"/>
      <c r="I355" s="1839"/>
      <c r="J355" s="1846"/>
    </row>
    <row r="356" spans="2:10" s="1824" customFormat="1" ht="16.2">
      <c r="B356" s="1909"/>
      <c r="C356" s="1842"/>
      <c r="D356" s="1834"/>
      <c r="E356" s="1835"/>
      <c r="F356" s="1843"/>
      <c r="G356" s="1844"/>
      <c r="H356" s="1845"/>
      <c r="I356" s="1839"/>
      <c r="J356" s="1846"/>
    </row>
    <row r="357" spans="2:10" s="1824" customFormat="1" ht="16.2">
      <c r="B357" s="1909"/>
      <c r="C357" s="1842"/>
      <c r="D357" s="1834"/>
      <c r="E357" s="1835"/>
      <c r="F357" s="1843"/>
      <c r="G357" s="1844"/>
      <c r="H357" s="1845"/>
      <c r="I357" s="1839"/>
      <c r="J357" s="1846"/>
    </row>
    <row r="358" spans="2:10" s="1824" customFormat="1" ht="16.2">
      <c r="B358" s="1909"/>
      <c r="C358" s="1842"/>
      <c r="D358" s="1834"/>
      <c r="E358" s="1835"/>
      <c r="F358" s="1843"/>
      <c r="G358" s="1844"/>
      <c r="H358" s="1845"/>
      <c r="I358" s="1839"/>
      <c r="J358" s="1846"/>
    </row>
    <row r="359" spans="2:10" s="1824" customFormat="1" ht="16.2">
      <c r="B359" s="1909"/>
      <c r="C359" s="1842"/>
      <c r="D359" s="1834"/>
      <c r="E359" s="1835"/>
      <c r="F359" s="1843"/>
      <c r="G359" s="1844"/>
      <c r="H359" s="1845"/>
      <c r="I359" s="1839"/>
      <c r="J359" s="1846"/>
    </row>
    <row r="360" spans="2:10" s="1824" customFormat="1" ht="16.2">
      <c r="B360" s="1909"/>
      <c r="C360" s="1842"/>
      <c r="D360" s="1834"/>
      <c r="E360" s="1835"/>
      <c r="F360" s="1843"/>
      <c r="G360" s="1844"/>
      <c r="H360" s="1845"/>
      <c r="I360" s="1839"/>
      <c r="J360" s="1846"/>
    </row>
    <row r="361" spans="2:10" s="1824" customFormat="1" ht="16.2">
      <c r="B361" s="1909"/>
      <c r="C361" s="1842"/>
      <c r="D361" s="1834"/>
      <c r="E361" s="1835"/>
      <c r="F361" s="1843"/>
      <c r="G361" s="1844"/>
      <c r="H361" s="1845"/>
      <c r="I361" s="1839"/>
      <c r="J361" s="1846"/>
    </row>
    <row r="362" spans="2:10" s="1824" customFormat="1" ht="16.2">
      <c r="B362" s="1909"/>
      <c r="C362" s="1842"/>
      <c r="D362" s="1834"/>
      <c r="E362" s="1835"/>
      <c r="F362" s="1843"/>
      <c r="G362" s="1844"/>
      <c r="H362" s="1845"/>
      <c r="I362" s="1839"/>
      <c r="J362" s="1846"/>
    </row>
    <row r="363" spans="2:10" s="1824" customFormat="1" ht="16.2">
      <c r="B363" s="1909"/>
      <c r="C363" s="1842"/>
      <c r="D363" s="1834"/>
      <c r="E363" s="1835"/>
      <c r="F363" s="1843"/>
      <c r="G363" s="1844"/>
      <c r="H363" s="1845"/>
      <c r="I363" s="1839"/>
      <c r="J363" s="1846"/>
    </row>
    <row r="364" spans="2:10" s="1824" customFormat="1" ht="16.2">
      <c r="B364" s="1909"/>
      <c r="C364" s="1842"/>
      <c r="D364" s="1834"/>
      <c r="E364" s="1835"/>
      <c r="F364" s="1843"/>
      <c r="G364" s="1844"/>
      <c r="H364" s="1845"/>
      <c r="I364" s="1839"/>
      <c r="J364" s="1846"/>
    </row>
    <row r="365" spans="2:10" s="1824" customFormat="1" ht="16.2">
      <c r="B365" s="1909"/>
      <c r="C365" s="1842"/>
      <c r="D365" s="1834"/>
      <c r="E365" s="1835"/>
      <c r="F365" s="1843"/>
      <c r="G365" s="1844"/>
      <c r="H365" s="1845"/>
      <c r="I365" s="1839"/>
      <c r="J365" s="1846"/>
    </row>
    <row r="366" spans="2:10" s="1824" customFormat="1" ht="16.2">
      <c r="B366" s="1909"/>
      <c r="C366" s="1842"/>
      <c r="D366" s="1834"/>
      <c r="E366" s="1835"/>
      <c r="F366" s="1843"/>
      <c r="G366" s="1844"/>
      <c r="H366" s="1845"/>
      <c r="I366" s="1839"/>
      <c r="J366" s="1846"/>
    </row>
    <row r="367" spans="2:10" s="1824" customFormat="1" ht="16.2">
      <c r="B367" s="1909"/>
      <c r="C367" s="1842"/>
      <c r="D367" s="1834"/>
      <c r="E367" s="1835"/>
      <c r="F367" s="1843"/>
      <c r="G367" s="1844"/>
      <c r="H367" s="1845"/>
      <c r="I367" s="1839"/>
      <c r="J367" s="1846"/>
    </row>
    <row r="368" spans="2:10" s="1824" customFormat="1" ht="16.2">
      <c r="B368" s="1909"/>
      <c r="C368" s="1842"/>
      <c r="D368" s="1834"/>
      <c r="E368" s="1835"/>
      <c r="F368" s="1843"/>
      <c r="G368" s="1844"/>
      <c r="H368" s="1845"/>
      <c r="I368" s="1839"/>
      <c r="J368" s="1846"/>
    </row>
    <row r="369" spans="2:10" s="1824" customFormat="1" ht="16.2">
      <c r="B369" s="1909"/>
      <c r="C369" s="1842"/>
      <c r="D369" s="1834"/>
      <c r="E369" s="1835"/>
      <c r="F369" s="1843"/>
      <c r="G369" s="1844"/>
      <c r="H369" s="1845"/>
      <c r="I369" s="1839"/>
      <c r="J369" s="1846"/>
    </row>
    <row r="370" spans="2:10" s="1824" customFormat="1" ht="16.2">
      <c r="B370" s="1909"/>
      <c r="C370" s="1842"/>
      <c r="D370" s="1834"/>
      <c r="E370" s="1835"/>
      <c r="F370" s="1843"/>
      <c r="G370" s="1844"/>
      <c r="H370" s="1845"/>
      <c r="I370" s="1839"/>
      <c r="J370" s="1846"/>
    </row>
    <row r="371" spans="2:10" s="1824" customFormat="1" ht="16.2">
      <c r="B371" s="1909"/>
      <c r="C371" s="1842"/>
      <c r="D371" s="1834"/>
      <c r="E371" s="1835"/>
      <c r="F371" s="1843"/>
      <c r="G371" s="1844"/>
      <c r="H371" s="1845"/>
      <c r="I371" s="1839"/>
      <c r="J371" s="1846"/>
    </row>
    <row r="372" spans="2:10" s="1824" customFormat="1" ht="16.2">
      <c r="B372" s="1909"/>
      <c r="C372" s="1842"/>
      <c r="D372" s="1834"/>
      <c r="E372" s="1835"/>
      <c r="F372" s="1843"/>
      <c r="G372" s="1844"/>
      <c r="H372" s="1845"/>
      <c r="I372" s="1839"/>
      <c r="J372" s="1846"/>
    </row>
    <row r="373" spans="2:10" s="1824" customFormat="1" ht="16.2">
      <c r="B373" s="1909"/>
      <c r="C373" s="1842"/>
      <c r="D373" s="1834"/>
      <c r="E373" s="1835"/>
      <c r="F373" s="1843"/>
      <c r="G373" s="1844"/>
      <c r="H373" s="1845"/>
      <c r="I373" s="1839"/>
      <c r="J373" s="1846"/>
    </row>
    <row r="374" spans="2:10" s="1824" customFormat="1" ht="16.2">
      <c r="B374" s="1909"/>
      <c r="C374" s="1842"/>
      <c r="D374" s="1834"/>
      <c r="E374" s="1835"/>
      <c r="F374" s="1843"/>
      <c r="G374" s="1844"/>
      <c r="H374" s="1845"/>
      <c r="I374" s="1839"/>
      <c r="J374" s="1846"/>
    </row>
    <row r="375" spans="2:10" s="1824" customFormat="1" ht="16.2">
      <c r="B375" s="1909"/>
      <c r="C375" s="1842"/>
      <c r="D375" s="1834"/>
      <c r="E375" s="1835"/>
      <c r="F375" s="1843"/>
      <c r="G375" s="1844"/>
      <c r="H375" s="1845"/>
      <c r="I375" s="1839"/>
      <c r="J375" s="1846"/>
    </row>
    <row r="376" spans="2:10" s="1824" customFormat="1" ht="16.2">
      <c r="B376" s="1909"/>
      <c r="C376" s="1842"/>
      <c r="D376" s="1834"/>
      <c r="E376" s="1835"/>
      <c r="F376" s="1843"/>
      <c r="G376" s="1844"/>
      <c r="H376" s="1845"/>
      <c r="I376" s="1839"/>
      <c r="J376" s="1846"/>
    </row>
    <row r="377" spans="2:10" s="1824" customFormat="1" ht="16.2">
      <c r="B377" s="1909"/>
      <c r="C377" s="1842"/>
      <c r="D377" s="1834"/>
      <c r="E377" s="1835"/>
      <c r="F377" s="1843"/>
      <c r="G377" s="1844"/>
      <c r="H377" s="1845"/>
      <c r="I377" s="1839"/>
      <c r="J377" s="1846"/>
    </row>
    <row r="378" spans="2:10" s="1824" customFormat="1" ht="16.2">
      <c r="B378" s="1909"/>
      <c r="C378" s="1842"/>
      <c r="D378" s="1834"/>
      <c r="E378" s="1835"/>
      <c r="F378" s="1843"/>
      <c r="G378" s="1844"/>
      <c r="H378" s="1845"/>
      <c r="I378" s="1839"/>
      <c r="J378" s="1846"/>
    </row>
    <row r="379" spans="2:10" s="1824" customFormat="1" ht="16.2">
      <c r="B379" s="1909"/>
      <c r="C379" s="1842"/>
      <c r="D379" s="1834"/>
      <c r="E379" s="1835"/>
      <c r="F379" s="1843"/>
      <c r="G379" s="1844"/>
      <c r="H379" s="1845"/>
      <c r="I379" s="1839"/>
      <c r="J379" s="1846"/>
    </row>
    <row r="380" spans="2:10" s="1824" customFormat="1" ht="16.2">
      <c r="B380" s="1909"/>
      <c r="C380" s="1842"/>
      <c r="D380" s="1834"/>
      <c r="E380" s="1835"/>
      <c r="F380" s="1843"/>
      <c r="G380" s="1844"/>
      <c r="H380" s="1845"/>
      <c r="I380" s="1839"/>
      <c r="J380" s="1846"/>
    </row>
    <row r="381" spans="2:10" s="1824" customFormat="1" ht="16.2">
      <c r="B381" s="1909"/>
      <c r="C381" s="1842"/>
      <c r="D381" s="1834"/>
      <c r="E381" s="1835"/>
      <c r="F381" s="1843"/>
      <c r="G381" s="1844"/>
      <c r="H381" s="1845"/>
      <c r="I381" s="1839"/>
      <c r="J381" s="1846"/>
    </row>
    <row r="382" spans="2:10" s="1824" customFormat="1" ht="16.2">
      <c r="B382" s="1909"/>
      <c r="C382" s="1842"/>
      <c r="D382" s="1834"/>
      <c r="E382" s="1835"/>
      <c r="F382" s="1843"/>
      <c r="G382" s="1844"/>
      <c r="H382" s="1845"/>
      <c r="I382" s="1839"/>
      <c r="J382" s="1846"/>
    </row>
    <row r="383" spans="2:10" s="1824" customFormat="1" ht="16.2">
      <c r="B383" s="1909"/>
      <c r="C383" s="1842"/>
      <c r="D383" s="1834"/>
      <c r="E383" s="1835"/>
      <c r="F383" s="1843"/>
      <c r="G383" s="1844"/>
      <c r="H383" s="1845"/>
      <c r="I383" s="1839"/>
      <c r="J383" s="1846"/>
    </row>
    <row r="384" spans="2:10" s="1824" customFormat="1" ht="16.2">
      <c r="B384" s="1909"/>
      <c r="C384" s="1842"/>
      <c r="D384" s="1834"/>
      <c r="E384" s="1835"/>
      <c r="F384" s="1843"/>
      <c r="G384" s="1844"/>
      <c r="H384" s="1845"/>
      <c r="I384" s="1839"/>
      <c r="J384" s="1846"/>
    </row>
    <row r="385" spans="2:10" s="1824" customFormat="1" ht="16.2">
      <c r="B385" s="1909"/>
      <c r="C385" s="1842"/>
      <c r="D385" s="1834"/>
      <c r="E385" s="1835"/>
      <c r="F385" s="1843"/>
      <c r="G385" s="1844"/>
      <c r="H385" s="1845"/>
      <c r="I385" s="1839"/>
      <c r="J385" s="1846"/>
    </row>
    <row r="386" spans="2:10" s="1824" customFormat="1" ht="16.2">
      <c r="B386" s="1909"/>
      <c r="C386" s="1842"/>
      <c r="D386" s="1834"/>
      <c r="E386" s="1835"/>
      <c r="F386" s="1843"/>
      <c r="G386" s="1844"/>
      <c r="H386" s="1845"/>
      <c r="I386" s="1839"/>
      <c r="J386" s="1846"/>
    </row>
    <row r="387" spans="2:10" s="1824" customFormat="1" ht="16.2">
      <c r="B387" s="1909"/>
      <c r="C387" s="1842"/>
      <c r="D387" s="1834"/>
      <c r="E387" s="1835"/>
      <c r="F387" s="1843"/>
      <c r="G387" s="1844"/>
      <c r="H387" s="1845"/>
      <c r="I387" s="1839"/>
      <c r="J387" s="1846"/>
    </row>
    <row r="388" spans="2:10" s="1824" customFormat="1" ht="16.2">
      <c r="B388" s="1909"/>
      <c r="C388" s="1842"/>
      <c r="D388" s="1834"/>
      <c r="E388" s="1835"/>
      <c r="F388" s="1843"/>
      <c r="G388" s="1844"/>
      <c r="H388" s="1845"/>
      <c r="I388" s="1839"/>
      <c r="J388" s="1846"/>
    </row>
    <row r="389" spans="2:10" s="1824" customFormat="1" ht="16.2">
      <c r="B389" s="1909"/>
      <c r="C389" s="1842"/>
      <c r="D389" s="1834"/>
      <c r="E389" s="1835"/>
      <c r="F389" s="1843"/>
      <c r="G389" s="1844"/>
      <c r="H389" s="1845"/>
      <c r="I389" s="1839"/>
      <c r="J389" s="1846"/>
    </row>
    <row r="390" spans="2:10" s="1824" customFormat="1" ht="16.2">
      <c r="B390" s="1909"/>
      <c r="C390" s="1842"/>
      <c r="D390" s="1834"/>
      <c r="E390" s="1835"/>
      <c r="F390" s="1843"/>
      <c r="G390" s="1844"/>
      <c r="H390" s="1845"/>
      <c r="I390" s="1839"/>
      <c r="J390" s="1846"/>
    </row>
    <row r="391" spans="2:10" s="1824" customFormat="1" ht="16.2">
      <c r="B391" s="1909"/>
      <c r="C391" s="1842"/>
      <c r="D391" s="1834"/>
      <c r="E391" s="1835"/>
      <c r="F391" s="1843"/>
      <c r="G391" s="1844"/>
      <c r="H391" s="1845"/>
      <c r="I391" s="1839"/>
      <c r="J391" s="1846"/>
    </row>
    <row r="392" spans="2:10" s="1824" customFormat="1" ht="16.2">
      <c r="B392" s="1909"/>
      <c r="C392" s="1842"/>
      <c r="D392" s="1834"/>
      <c r="E392" s="1835"/>
      <c r="F392" s="1843"/>
      <c r="G392" s="1844"/>
      <c r="H392" s="1845"/>
      <c r="I392" s="1839"/>
      <c r="J392" s="1846"/>
    </row>
    <row r="393" spans="2:10" s="1824" customFormat="1" ht="16.2">
      <c r="B393" s="1909"/>
      <c r="C393" s="1842"/>
      <c r="D393" s="1834"/>
      <c r="E393" s="1835"/>
      <c r="F393" s="1843"/>
      <c r="G393" s="1844"/>
      <c r="H393" s="1845"/>
      <c r="I393" s="1839"/>
      <c r="J393" s="1846"/>
    </row>
    <row r="394" spans="2:10" s="1824" customFormat="1" ht="16.2">
      <c r="B394" s="1909"/>
      <c r="C394" s="1842"/>
      <c r="D394" s="1834"/>
      <c r="E394" s="1835"/>
      <c r="F394" s="1843"/>
      <c r="G394" s="1844"/>
      <c r="H394" s="1845"/>
      <c r="I394" s="1839"/>
      <c r="J394" s="1846"/>
    </row>
    <row r="395" spans="2:10" s="1824" customFormat="1" ht="16.2">
      <c r="B395" s="1909"/>
      <c r="C395" s="1842"/>
      <c r="D395" s="1834"/>
      <c r="E395" s="1835"/>
      <c r="F395" s="1843"/>
      <c r="G395" s="1844"/>
      <c r="H395" s="1845"/>
      <c r="I395" s="1839"/>
      <c r="J395" s="1846"/>
    </row>
    <row r="396" spans="2:10" s="1824" customFormat="1" ht="16.2">
      <c r="B396" s="1909"/>
      <c r="C396" s="1842"/>
      <c r="D396" s="1834"/>
      <c r="E396" s="1835"/>
      <c r="F396" s="1843"/>
      <c r="G396" s="1844"/>
      <c r="H396" s="1845"/>
      <c r="I396" s="1839"/>
      <c r="J396" s="1846"/>
    </row>
    <row r="397" spans="2:10" s="1824" customFormat="1" ht="16.2">
      <c r="B397" s="1909"/>
      <c r="C397" s="1842"/>
      <c r="D397" s="1834"/>
      <c r="E397" s="1835"/>
      <c r="F397" s="1843"/>
      <c r="G397" s="1844"/>
      <c r="H397" s="1845"/>
      <c r="I397" s="1839"/>
      <c r="J397" s="1846"/>
    </row>
    <row r="398" spans="2:10" s="1824" customFormat="1" ht="16.2">
      <c r="B398" s="1909"/>
      <c r="C398" s="1842"/>
      <c r="D398" s="1834"/>
      <c r="E398" s="1835"/>
      <c r="F398" s="1843"/>
      <c r="G398" s="1844"/>
      <c r="H398" s="1845"/>
      <c r="I398" s="1839"/>
      <c r="J398" s="1846"/>
    </row>
    <row r="399" spans="2:10" s="1824" customFormat="1" ht="16.2">
      <c r="B399" s="1909"/>
      <c r="C399" s="1842"/>
      <c r="D399" s="1834"/>
      <c r="E399" s="1835"/>
      <c r="F399" s="1843"/>
      <c r="G399" s="1844"/>
      <c r="H399" s="1845"/>
      <c r="I399" s="1839"/>
      <c r="J399" s="1846"/>
    </row>
    <row r="400" spans="2:10" s="1824" customFormat="1" ht="16.2">
      <c r="B400" s="1909"/>
      <c r="C400" s="1842"/>
      <c r="D400" s="1834"/>
      <c r="E400" s="1835"/>
      <c r="F400" s="1843"/>
      <c r="G400" s="1844"/>
      <c r="H400" s="1845"/>
      <c r="I400" s="1839"/>
      <c r="J400" s="1846"/>
    </row>
    <row r="401" spans="2:10" s="1824" customFormat="1" ht="16.2">
      <c r="B401" s="1909"/>
      <c r="C401" s="1842"/>
      <c r="D401" s="1834"/>
      <c r="E401" s="1835"/>
      <c r="F401" s="1843"/>
      <c r="G401" s="1844"/>
      <c r="H401" s="1845"/>
      <c r="I401" s="1839"/>
      <c r="J401" s="1846"/>
    </row>
    <row r="402" spans="2:10" s="1824" customFormat="1" ht="16.2">
      <c r="B402" s="1909"/>
      <c r="C402" s="1842"/>
      <c r="D402" s="1834"/>
      <c r="E402" s="1835"/>
      <c r="F402" s="1843"/>
      <c r="G402" s="1844"/>
      <c r="H402" s="1845"/>
      <c r="I402" s="1839"/>
      <c r="J402" s="1846"/>
    </row>
    <row r="403" spans="2:10" s="1824" customFormat="1" ht="16.2">
      <c r="B403" s="1909"/>
      <c r="C403" s="1842"/>
      <c r="D403" s="1834"/>
      <c r="E403" s="1835"/>
      <c r="F403" s="1843"/>
      <c r="G403" s="1844"/>
      <c r="H403" s="1845"/>
      <c r="I403" s="1839"/>
      <c r="J403" s="1846"/>
    </row>
    <row r="404" spans="2:10" s="1824" customFormat="1" ht="16.2">
      <c r="B404" s="1909"/>
      <c r="C404" s="1842"/>
      <c r="D404" s="1834"/>
      <c r="E404" s="1835"/>
      <c r="F404" s="1843"/>
      <c r="G404" s="1844"/>
      <c r="H404" s="1845"/>
      <c r="I404" s="1839"/>
      <c r="J404" s="1846"/>
    </row>
    <row r="405" spans="2:10" s="1824" customFormat="1" ht="16.2">
      <c r="B405" s="1909"/>
      <c r="C405" s="1842"/>
      <c r="D405" s="1834"/>
      <c r="E405" s="1835"/>
      <c r="F405" s="1843"/>
      <c r="G405" s="1844"/>
      <c r="H405" s="1845"/>
      <c r="I405" s="1839"/>
      <c r="J405" s="1846"/>
    </row>
    <row r="406" spans="2:10" s="1824" customFormat="1" ht="16.2">
      <c r="B406" s="1909"/>
      <c r="C406" s="1842"/>
      <c r="D406" s="1834"/>
      <c r="E406" s="1835"/>
      <c r="F406" s="1843"/>
      <c r="G406" s="1844"/>
      <c r="H406" s="1845"/>
      <c r="I406" s="1839"/>
      <c r="J406" s="1846"/>
    </row>
    <row r="407" spans="2:10" s="1824" customFormat="1" ht="16.2">
      <c r="B407" s="1909"/>
      <c r="C407" s="1842"/>
      <c r="D407" s="1834"/>
      <c r="E407" s="1835"/>
      <c r="F407" s="1843"/>
      <c r="G407" s="1844"/>
      <c r="H407" s="1845"/>
      <c r="I407" s="1839"/>
      <c r="J407" s="1846"/>
    </row>
    <row r="408" spans="2:10" s="1824" customFormat="1" ht="16.2">
      <c r="B408" s="1909"/>
      <c r="C408" s="1842"/>
      <c r="D408" s="1834"/>
      <c r="E408" s="1835"/>
      <c r="F408" s="1843"/>
      <c r="G408" s="1844"/>
      <c r="H408" s="1845"/>
      <c r="I408" s="1839"/>
      <c r="J408" s="1846"/>
    </row>
    <row r="409" spans="2:10" s="1824" customFormat="1" ht="16.2">
      <c r="B409" s="1909"/>
      <c r="C409" s="1842"/>
      <c r="D409" s="1834"/>
      <c r="E409" s="1835"/>
      <c r="F409" s="1843"/>
      <c r="G409" s="1844"/>
      <c r="H409" s="1845"/>
      <c r="I409" s="1839"/>
      <c r="J409" s="1846"/>
    </row>
    <row r="410" spans="2:10" s="1824" customFormat="1" ht="16.2">
      <c r="B410" s="1909"/>
      <c r="C410" s="1842"/>
      <c r="D410" s="1834"/>
      <c r="E410" s="1835"/>
      <c r="F410" s="1843"/>
      <c r="G410" s="1844"/>
      <c r="H410" s="1845"/>
      <c r="I410" s="1839"/>
      <c r="J410" s="1846"/>
    </row>
    <row r="411" spans="2:10" s="1824" customFormat="1" ht="16.2">
      <c r="B411" s="1909"/>
      <c r="C411" s="1842"/>
      <c r="D411" s="1834"/>
      <c r="E411" s="1835"/>
      <c r="F411" s="1843"/>
      <c r="G411" s="1844"/>
      <c r="H411" s="1845"/>
      <c r="I411" s="1839"/>
      <c r="J411" s="1846"/>
    </row>
    <row r="412" spans="2:10" s="1824" customFormat="1" ht="16.2">
      <c r="B412" s="1909"/>
      <c r="C412" s="1842"/>
      <c r="D412" s="1834"/>
      <c r="E412" s="1835"/>
      <c r="F412" s="1843"/>
      <c r="G412" s="1844"/>
      <c r="H412" s="1845"/>
      <c r="I412" s="1839"/>
      <c r="J412" s="1846"/>
    </row>
    <row r="413" spans="2:10" s="1824" customFormat="1" ht="16.2">
      <c r="B413" s="1909"/>
      <c r="C413" s="1842"/>
      <c r="D413" s="1834"/>
      <c r="E413" s="1835"/>
      <c r="F413" s="1843"/>
      <c r="G413" s="1844"/>
      <c r="H413" s="1845"/>
      <c r="I413" s="1839"/>
      <c r="J413" s="1846"/>
    </row>
    <row r="414" spans="2:10" s="1824" customFormat="1" ht="16.2">
      <c r="B414" s="1909"/>
      <c r="C414" s="1842"/>
      <c r="D414" s="1834"/>
      <c r="E414" s="1835"/>
      <c r="F414" s="1843"/>
      <c r="G414" s="1844"/>
      <c r="H414" s="1845"/>
      <c r="I414" s="1839"/>
      <c r="J414" s="1846"/>
    </row>
    <row r="415" spans="2:10" s="1824" customFormat="1" ht="16.2">
      <c r="B415" s="1909"/>
      <c r="C415" s="1842"/>
      <c r="D415" s="1834"/>
      <c r="E415" s="1835"/>
      <c r="F415" s="1843"/>
      <c r="G415" s="1844"/>
      <c r="H415" s="1845"/>
      <c r="I415" s="1839"/>
      <c r="J415" s="1846"/>
    </row>
    <row r="416" spans="2:10" s="1824" customFormat="1" ht="16.2">
      <c r="B416" s="1909"/>
      <c r="C416" s="1842"/>
      <c r="D416" s="1834"/>
      <c r="E416" s="1835"/>
      <c r="F416" s="1843"/>
      <c r="G416" s="1844"/>
      <c r="H416" s="1845"/>
      <c r="I416" s="1839"/>
      <c r="J416" s="1846"/>
    </row>
    <row r="417" spans="2:10" s="1824" customFormat="1" ht="16.2">
      <c r="B417" s="1909"/>
      <c r="C417" s="1842"/>
      <c r="D417" s="1834"/>
      <c r="E417" s="1835"/>
      <c r="F417" s="1843"/>
      <c r="G417" s="1844"/>
      <c r="H417" s="1845"/>
      <c r="I417" s="1839"/>
      <c r="J417" s="1846"/>
    </row>
    <row r="418" spans="2:10" s="1824" customFormat="1" ht="16.2">
      <c r="B418" s="1909"/>
      <c r="C418" s="1842"/>
      <c r="D418" s="1834"/>
      <c r="E418" s="1835"/>
      <c r="F418" s="1843"/>
      <c r="G418" s="1844"/>
      <c r="H418" s="1845"/>
      <c r="I418" s="1839"/>
      <c r="J418" s="1846"/>
    </row>
    <row r="419" spans="2:10" s="1824" customFormat="1" ht="16.2">
      <c r="B419" s="1909"/>
      <c r="C419" s="1842"/>
      <c r="D419" s="1834"/>
      <c r="E419" s="1835"/>
      <c r="F419" s="1843"/>
      <c r="G419" s="1844"/>
      <c r="H419" s="1845"/>
      <c r="I419" s="1839"/>
      <c r="J419" s="1846"/>
    </row>
    <row r="420" spans="2:10" s="1824" customFormat="1" ht="16.2">
      <c r="B420" s="1909"/>
      <c r="C420" s="1842"/>
      <c r="D420" s="1834"/>
      <c r="E420" s="1835"/>
      <c r="F420" s="1843"/>
      <c r="G420" s="1844"/>
      <c r="H420" s="1845"/>
      <c r="I420" s="1839"/>
      <c r="J420" s="1846"/>
    </row>
    <row r="421" spans="2:10" s="1824" customFormat="1" ht="16.2">
      <c r="B421" s="1909"/>
      <c r="C421" s="1842"/>
      <c r="D421" s="1834"/>
      <c r="E421" s="1835"/>
      <c r="F421" s="1843"/>
      <c r="G421" s="1844"/>
      <c r="H421" s="1845"/>
      <c r="I421" s="1839"/>
      <c r="J421" s="1846"/>
    </row>
    <row r="422" spans="2:10" s="1824" customFormat="1" ht="16.2">
      <c r="B422" s="1909"/>
      <c r="C422" s="1842"/>
      <c r="D422" s="1834"/>
      <c r="E422" s="1835"/>
      <c r="F422" s="1843"/>
      <c r="G422" s="1844"/>
      <c r="H422" s="1845"/>
      <c r="I422" s="1839"/>
      <c r="J422" s="1846"/>
    </row>
    <row r="423" spans="2:10" s="1824" customFormat="1" ht="16.2">
      <c r="B423" s="1909"/>
      <c r="C423" s="1842"/>
      <c r="D423" s="1834"/>
      <c r="E423" s="1835"/>
      <c r="F423" s="1843"/>
      <c r="G423" s="1844"/>
      <c r="H423" s="1845"/>
      <c r="I423" s="1839"/>
      <c r="J423" s="1846"/>
    </row>
    <row r="424" spans="2:10" s="1824" customFormat="1" ht="16.2">
      <c r="B424" s="1909"/>
      <c r="C424" s="1842"/>
      <c r="D424" s="1834"/>
      <c r="E424" s="1835"/>
      <c r="F424" s="1843"/>
      <c r="G424" s="1844"/>
      <c r="H424" s="1845"/>
      <c r="I424" s="1839"/>
      <c r="J424" s="1846"/>
    </row>
    <row r="425" spans="2:10" s="1824" customFormat="1" ht="16.2">
      <c r="B425" s="1909"/>
      <c r="C425" s="1842"/>
      <c r="D425" s="1834"/>
      <c r="E425" s="1835"/>
      <c r="F425" s="1843"/>
      <c r="G425" s="1844"/>
      <c r="H425" s="1845"/>
      <c r="I425" s="1839"/>
      <c r="J425" s="1846"/>
    </row>
    <row r="426" spans="2:10" s="1824" customFormat="1" ht="16.2">
      <c r="B426" s="1909"/>
      <c r="C426" s="1842"/>
      <c r="D426" s="1834"/>
      <c r="E426" s="1835"/>
      <c r="F426" s="1843"/>
      <c r="G426" s="1844"/>
      <c r="H426" s="1845"/>
      <c r="I426" s="1839"/>
      <c r="J426" s="1846"/>
    </row>
    <row r="427" spans="2:10" s="1824" customFormat="1" ht="16.2">
      <c r="B427" s="1909"/>
      <c r="C427" s="1842"/>
      <c r="D427" s="1834"/>
      <c r="E427" s="1835"/>
      <c r="F427" s="1843"/>
      <c r="G427" s="1844"/>
      <c r="H427" s="1845"/>
      <c r="I427" s="1839"/>
      <c r="J427" s="1846"/>
    </row>
    <row r="428" spans="2:10" s="1824" customFormat="1" ht="16.2">
      <c r="B428" s="1909"/>
      <c r="C428" s="1842"/>
      <c r="D428" s="1834"/>
      <c r="E428" s="1835"/>
      <c r="F428" s="1843"/>
      <c r="G428" s="1844"/>
      <c r="H428" s="1845"/>
      <c r="I428" s="1839"/>
      <c r="J428" s="1846"/>
    </row>
    <row r="429" spans="2:10" s="1824" customFormat="1" ht="16.2">
      <c r="B429" s="1909"/>
      <c r="C429" s="1842"/>
      <c r="D429" s="1834"/>
      <c r="E429" s="1835"/>
      <c r="F429" s="1843"/>
      <c r="G429" s="1844"/>
      <c r="H429" s="1845"/>
      <c r="I429" s="1839"/>
      <c r="J429" s="1846"/>
    </row>
    <row r="430" spans="2:10" s="1824" customFormat="1" ht="16.2">
      <c r="B430" s="1909"/>
      <c r="C430" s="1842"/>
      <c r="D430" s="1834"/>
      <c r="E430" s="1835"/>
      <c r="F430" s="1843"/>
      <c r="G430" s="1844"/>
      <c r="H430" s="1845"/>
      <c r="I430" s="1839"/>
      <c r="J430" s="1846"/>
    </row>
    <row r="431" spans="2:10" s="1824" customFormat="1" ht="16.2">
      <c r="B431" s="1909"/>
      <c r="C431" s="1842"/>
      <c r="D431" s="1834"/>
      <c r="E431" s="1835"/>
      <c r="F431" s="1843"/>
      <c r="G431" s="1844"/>
      <c r="H431" s="1845"/>
      <c r="I431" s="1839"/>
      <c r="J431" s="1846"/>
    </row>
    <row r="432" spans="2:10" s="1824" customFormat="1" ht="16.2">
      <c r="B432" s="1909"/>
      <c r="C432" s="1842"/>
      <c r="D432" s="1834"/>
      <c r="E432" s="1835"/>
      <c r="F432" s="1843"/>
      <c r="G432" s="1844"/>
      <c r="H432" s="1845"/>
      <c r="I432" s="1839"/>
      <c r="J432" s="1846"/>
    </row>
    <row r="433" spans="2:10" s="1824" customFormat="1" ht="16.2">
      <c r="B433" s="1909"/>
      <c r="C433" s="1842"/>
      <c r="D433" s="1834"/>
      <c r="E433" s="1835"/>
      <c r="F433" s="1843"/>
      <c r="G433" s="1844"/>
      <c r="H433" s="1845"/>
      <c r="I433" s="1839"/>
      <c r="J433" s="1846"/>
    </row>
    <row r="434" spans="2:10" s="1824" customFormat="1" ht="16.2">
      <c r="B434" s="1909"/>
      <c r="C434" s="1842"/>
      <c r="D434" s="1834"/>
      <c r="E434" s="1835"/>
      <c r="F434" s="1843"/>
      <c r="G434" s="1844"/>
      <c r="H434" s="1845"/>
      <c r="I434" s="1839"/>
      <c r="J434" s="1846"/>
    </row>
    <row r="435" spans="2:10" s="1824" customFormat="1" ht="16.2">
      <c r="B435" s="1909"/>
      <c r="C435" s="1842"/>
      <c r="D435" s="1834"/>
      <c r="E435" s="1835"/>
      <c r="F435" s="1843"/>
      <c r="G435" s="1844"/>
      <c r="H435" s="1845"/>
      <c r="I435" s="1839"/>
      <c r="J435" s="1846"/>
    </row>
    <row r="436" spans="2:10" s="1824" customFormat="1" ht="16.2">
      <c r="B436" s="1909"/>
      <c r="C436" s="1842"/>
      <c r="D436" s="1834"/>
      <c r="E436" s="1835"/>
      <c r="F436" s="1843"/>
      <c r="G436" s="1844"/>
      <c r="H436" s="1845"/>
      <c r="I436" s="1839"/>
      <c r="J436" s="1846"/>
    </row>
    <row r="437" spans="2:10" s="1824" customFormat="1" ht="16.2">
      <c r="B437" s="1909"/>
      <c r="C437" s="1842"/>
      <c r="D437" s="1834"/>
      <c r="E437" s="1835"/>
      <c r="F437" s="1843"/>
      <c r="G437" s="1844"/>
      <c r="H437" s="1845"/>
      <c r="I437" s="1839"/>
      <c r="J437" s="1846"/>
    </row>
    <row r="438" spans="2:10" s="1824" customFormat="1" ht="16.2">
      <c r="B438" s="1909"/>
      <c r="C438" s="1842"/>
      <c r="D438" s="1834"/>
      <c r="E438" s="1835"/>
      <c r="F438" s="1843"/>
      <c r="G438" s="1844"/>
      <c r="H438" s="1845"/>
      <c r="I438" s="1839"/>
      <c r="J438" s="1846"/>
    </row>
    <row r="439" spans="2:10" s="1824" customFormat="1" ht="16.2">
      <c r="B439" s="1909"/>
      <c r="C439" s="1842"/>
      <c r="D439" s="1834"/>
      <c r="E439" s="1835"/>
      <c r="F439" s="1843"/>
      <c r="G439" s="1844"/>
      <c r="H439" s="1845"/>
      <c r="I439" s="1839"/>
      <c r="J439" s="1846"/>
    </row>
    <row r="440" spans="2:10" s="1824" customFormat="1" ht="16.2">
      <c r="B440" s="1909"/>
      <c r="C440" s="1842"/>
      <c r="D440" s="1834"/>
      <c r="E440" s="1835"/>
      <c r="F440" s="1843"/>
      <c r="G440" s="1844"/>
      <c r="H440" s="1845"/>
      <c r="I440" s="1839"/>
      <c r="J440" s="1846"/>
    </row>
    <row r="441" spans="2:10" s="1824" customFormat="1" ht="16.2">
      <c r="B441" s="1909"/>
      <c r="C441" s="1842"/>
      <c r="D441" s="1834"/>
      <c r="E441" s="1835"/>
      <c r="F441" s="1843"/>
      <c r="G441" s="1844"/>
      <c r="H441" s="1845"/>
      <c r="I441" s="1839"/>
      <c r="J441" s="1846"/>
    </row>
    <row r="442" spans="2:10" s="1824" customFormat="1" ht="16.2">
      <c r="B442" s="1909"/>
      <c r="C442" s="1842"/>
      <c r="D442" s="1834"/>
      <c r="E442" s="1835"/>
      <c r="F442" s="1843"/>
      <c r="G442" s="1844"/>
      <c r="H442" s="1845"/>
      <c r="I442" s="1839"/>
      <c r="J442" s="1846"/>
    </row>
    <row r="443" spans="2:10" s="1824" customFormat="1" ht="16.2">
      <c r="B443" s="1909"/>
      <c r="C443" s="1842"/>
      <c r="D443" s="1834"/>
      <c r="E443" s="1835"/>
      <c r="F443" s="1843"/>
      <c r="G443" s="1844"/>
      <c r="H443" s="1845"/>
      <c r="I443" s="1839"/>
      <c r="J443" s="1846"/>
    </row>
    <row r="444" spans="2:10" s="1824" customFormat="1" ht="16.2">
      <c r="B444" s="1909"/>
      <c r="C444" s="1842"/>
      <c r="D444" s="1834"/>
      <c r="E444" s="1835"/>
      <c r="F444" s="1843"/>
      <c r="G444" s="1844"/>
      <c r="H444" s="1845"/>
      <c r="I444" s="1839"/>
      <c r="J444" s="1846"/>
    </row>
    <row r="445" spans="2:10" s="1824" customFormat="1" ht="16.2">
      <c r="B445" s="1909"/>
      <c r="C445" s="1842"/>
      <c r="D445" s="1834"/>
      <c r="E445" s="1835"/>
      <c r="F445" s="1843"/>
      <c r="G445" s="1844"/>
      <c r="H445" s="1845"/>
      <c r="I445" s="1839"/>
      <c r="J445" s="1846"/>
    </row>
    <row r="446" spans="2:10" s="1824" customFormat="1" ht="16.2">
      <c r="B446" s="1909"/>
      <c r="C446" s="1842"/>
      <c r="D446" s="1834"/>
      <c r="E446" s="1835"/>
      <c r="F446" s="1843"/>
      <c r="G446" s="1844"/>
      <c r="H446" s="1845"/>
      <c r="I446" s="1839"/>
      <c r="J446" s="1846"/>
    </row>
    <row r="447" spans="2:10" s="1824" customFormat="1" ht="16.2">
      <c r="B447" s="1909"/>
      <c r="C447" s="1842"/>
      <c r="D447" s="1834"/>
      <c r="E447" s="1835"/>
      <c r="F447" s="1843"/>
      <c r="G447" s="1844"/>
      <c r="H447" s="1845"/>
      <c r="I447" s="1839"/>
      <c r="J447" s="1846"/>
    </row>
    <row r="448" spans="2:10" s="1824" customFormat="1" ht="16.2">
      <c r="B448" s="1909"/>
      <c r="C448" s="1842"/>
      <c r="D448" s="1834"/>
      <c r="E448" s="1835"/>
      <c r="F448" s="1843"/>
      <c r="G448" s="1844"/>
      <c r="H448" s="1845"/>
      <c r="I448" s="1839"/>
      <c r="J448" s="1846"/>
    </row>
    <row r="449" spans="2:10" s="1824" customFormat="1" ht="16.2">
      <c r="B449" s="1909"/>
      <c r="C449" s="1842"/>
      <c r="D449" s="1834"/>
      <c r="E449" s="1835"/>
      <c r="F449" s="1843"/>
      <c r="G449" s="1844"/>
      <c r="H449" s="1845"/>
      <c r="I449" s="1839"/>
      <c r="J449" s="1846"/>
    </row>
    <row r="450" spans="2:10" s="1824" customFormat="1" ht="16.2">
      <c r="B450" s="1909"/>
      <c r="C450" s="1842"/>
      <c r="D450" s="1834"/>
      <c r="E450" s="1835"/>
      <c r="F450" s="1843"/>
      <c r="G450" s="1844"/>
      <c r="H450" s="1845"/>
      <c r="I450" s="1839"/>
      <c r="J450" s="1846"/>
    </row>
    <row r="451" spans="2:10" s="1824" customFormat="1" ht="16.2">
      <c r="B451" s="1909"/>
      <c r="C451" s="1842"/>
      <c r="D451" s="1834"/>
      <c r="E451" s="1835"/>
      <c r="F451" s="1843"/>
      <c r="G451" s="1844"/>
      <c r="H451" s="1845"/>
      <c r="I451" s="1839"/>
      <c r="J451" s="1846"/>
    </row>
    <row r="452" spans="2:10" s="1824" customFormat="1" ht="16.2">
      <c r="B452" s="1909"/>
      <c r="C452" s="1842"/>
      <c r="D452" s="1834"/>
      <c r="E452" s="1835"/>
      <c r="F452" s="1843"/>
      <c r="G452" s="1844"/>
      <c r="H452" s="1845"/>
      <c r="I452" s="1839"/>
      <c r="J452" s="1846"/>
    </row>
    <row r="453" spans="2:10" s="1824" customFormat="1" ht="16.2">
      <c r="B453" s="1909"/>
      <c r="C453" s="1842"/>
      <c r="D453" s="1834"/>
      <c r="E453" s="1835"/>
      <c r="F453" s="1843"/>
      <c r="G453" s="1844"/>
      <c r="H453" s="1845"/>
      <c r="I453" s="1839"/>
      <c r="J453" s="1846"/>
    </row>
    <row r="454" spans="2:10" s="1824" customFormat="1" ht="16.2">
      <c r="B454" s="1909"/>
      <c r="C454" s="1842"/>
      <c r="D454" s="1834"/>
      <c r="E454" s="1835"/>
      <c r="F454" s="1843"/>
      <c r="G454" s="1844"/>
      <c r="H454" s="1845"/>
      <c r="I454" s="1839"/>
      <c r="J454" s="1846"/>
    </row>
    <row r="455" spans="2:10" s="1824" customFormat="1" ht="16.2">
      <c r="B455" s="1909"/>
      <c r="C455" s="1842"/>
      <c r="D455" s="1834"/>
      <c r="E455" s="1835"/>
      <c r="F455" s="1843"/>
      <c r="G455" s="1844"/>
      <c r="H455" s="1845"/>
      <c r="I455" s="1839"/>
      <c r="J455" s="1846"/>
    </row>
    <row r="456" spans="2:10" s="1824" customFormat="1" ht="16.2">
      <c r="B456" s="1909"/>
      <c r="C456" s="1842"/>
      <c r="D456" s="1834"/>
      <c r="E456" s="1835"/>
      <c r="F456" s="1843"/>
      <c r="G456" s="1844"/>
      <c r="H456" s="1845"/>
      <c r="I456" s="1839"/>
      <c r="J456" s="1846"/>
    </row>
    <row r="457" spans="2:10" s="1824" customFormat="1" ht="16.2">
      <c r="B457" s="1909"/>
      <c r="C457" s="1842"/>
      <c r="D457" s="1834"/>
      <c r="E457" s="1835"/>
      <c r="F457" s="1843"/>
      <c r="G457" s="1844"/>
      <c r="H457" s="1845"/>
      <c r="I457" s="1839"/>
      <c r="J457" s="1846"/>
    </row>
    <row r="458" spans="2:10" s="1824" customFormat="1" ht="16.2">
      <c r="B458" s="1909"/>
      <c r="C458" s="1842"/>
      <c r="D458" s="1834"/>
      <c r="E458" s="1835"/>
      <c r="F458" s="1843"/>
      <c r="G458" s="1844"/>
      <c r="H458" s="1845"/>
      <c r="I458" s="1839"/>
      <c r="J458" s="1846"/>
    </row>
    <row r="459" spans="2:10" s="1824" customFormat="1" ht="16.2">
      <c r="B459" s="1909"/>
      <c r="C459" s="1842"/>
      <c r="D459" s="1834"/>
      <c r="E459" s="1835"/>
      <c r="F459" s="1843"/>
      <c r="G459" s="1844"/>
      <c r="H459" s="1845"/>
      <c r="I459" s="1839"/>
      <c r="J459" s="1846"/>
    </row>
    <row r="460" spans="2:10" s="1824" customFormat="1" ht="16.2">
      <c r="B460" s="1909"/>
      <c r="C460" s="1842"/>
      <c r="D460" s="1834"/>
      <c r="E460" s="1835"/>
      <c r="F460" s="1843"/>
      <c r="G460" s="1844"/>
      <c r="H460" s="1845"/>
      <c r="I460" s="1839"/>
      <c r="J460" s="1846"/>
    </row>
    <row r="461" spans="2:10" s="1824" customFormat="1" ht="16.2">
      <c r="B461" s="1909"/>
      <c r="C461" s="1842"/>
      <c r="D461" s="1834"/>
      <c r="E461" s="1835"/>
      <c r="F461" s="1843"/>
      <c r="G461" s="1844"/>
      <c r="H461" s="1845"/>
      <c r="I461" s="1839"/>
      <c r="J461" s="1846"/>
    </row>
    <row r="462" spans="2:10" s="1824" customFormat="1" ht="16.2">
      <c r="B462" s="1909"/>
      <c r="C462" s="1842"/>
      <c r="D462" s="1834"/>
      <c r="E462" s="1835"/>
      <c r="F462" s="1843"/>
      <c r="G462" s="1844"/>
      <c r="H462" s="1845"/>
      <c r="I462" s="1839"/>
      <c r="J462" s="1846"/>
    </row>
    <row r="463" spans="2:10" s="1824" customFormat="1" ht="16.2">
      <c r="B463" s="1909"/>
      <c r="C463" s="1842"/>
      <c r="D463" s="1834"/>
      <c r="E463" s="1835"/>
      <c r="F463" s="1843"/>
      <c r="G463" s="1844"/>
      <c r="H463" s="1845"/>
      <c r="I463" s="1839"/>
      <c r="J463" s="1846"/>
    </row>
    <row r="464" spans="2:10" s="1824" customFormat="1" ht="16.2">
      <c r="B464" s="1909"/>
      <c r="C464" s="1842"/>
      <c r="D464" s="1834"/>
      <c r="E464" s="1835"/>
      <c r="F464" s="1843"/>
      <c r="G464" s="1844"/>
      <c r="H464" s="1845"/>
      <c r="I464" s="1839"/>
      <c r="J464" s="1846"/>
    </row>
    <row r="465" spans="2:10" s="1824" customFormat="1" ht="16.2">
      <c r="B465" s="1909"/>
      <c r="C465" s="1842"/>
      <c r="D465" s="1834"/>
      <c r="E465" s="1835"/>
      <c r="F465" s="1843"/>
      <c r="G465" s="1844"/>
      <c r="H465" s="1845"/>
      <c r="I465" s="1839"/>
      <c r="J465" s="1846"/>
    </row>
    <row r="466" spans="2:10" s="1824" customFormat="1" ht="16.2">
      <c r="B466" s="1909"/>
      <c r="C466" s="1842"/>
      <c r="D466" s="1834"/>
      <c r="E466" s="1835"/>
      <c r="F466" s="1843"/>
      <c r="G466" s="1844"/>
      <c r="H466" s="1845"/>
      <c r="I466" s="1839"/>
      <c r="J466" s="1846"/>
    </row>
    <row r="467" spans="2:10" s="1824" customFormat="1" ht="16.2">
      <c r="B467" s="1909"/>
      <c r="C467" s="1842"/>
      <c r="D467" s="1834"/>
      <c r="E467" s="1835"/>
      <c r="F467" s="1843"/>
      <c r="G467" s="1844"/>
      <c r="H467" s="1845"/>
      <c r="I467" s="1839"/>
      <c r="J467" s="1846"/>
    </row>
    <row r="468" spans="2:10" s="1824" customFormat="1" ht="16.2">
      <c r="B468" s="1909"/>
      <c r="C468" s="1842"/>
      <c r="D468" s="1834"/>
      <c r="E468" s="1835"/>
      <c r="F468" s="1843"/>
      <c r="G468" s="1844"/>
      <c r="H468" s="1845"/>
      <c r="I468" s="1839"/>
      <c r="J468" s="1846"/>
    </row>
    <row r="469" spans="2:10" s="1824" customFormat="1" ht="16.2">
      <c r="B469" s="1909"/>
      <c r="C469" s="1842"/>
      <c r="D469" s="1834"/>
      <c r="E469" s="1835"/>
      <c r="F469" s="1843"/>
      <c r="G469" s="1844"/>
      <c r="H469" s="1845"/>
      <c r="I469" s="1839"/>
      <c r="J469" s="1846"/>
    </row>
    <row r="470" spans="2:10" s="1824" customFormat="1" ht="16.2">
      <c r="B470" s="1909"/>
      <c r="C470" s="1842"/>
      <c r="D470" s="1834"/>
      <c r="E470" s="1835"/>
      <c r="F470" s="1843"/>
      <c r="G470" s="1844"/>
      <c r="H470" s="1845"/>
      <c r="I470" s="1839"/>
      <c r="J470" s="1846"/>
    </row>
    <row r="471" spans="2:10" s="1824" customFormat="1" ht="16.2">
      <c r="B471" s="1909"/>
      <c r="C471" s="1842"/>
      <c r="D471" s="1834"/>
      <c r="E471" s="1835"/>
      <c r="F471" s="1843"/>
      <c r="G471" s="1844"/>
      <c r="H471" s="1845"/>
      <c r="I471" s="1839"/>
      <c r="J471" s="1846"/>
    </row>
    <row r="472" spans="2:10" s="1824" customFormat="1" ht="16.2">
      <c r="B472" s="1909"/>
      <c r="C472" s="1842"/>
      <c r="D472" s="1834"/>
      <c r="E472" s="1835"/>
      <c r="F472" s="1843"/>
      <c r="G472" s="1844"/>
      <c r="H472" s="1845"/>
      <c r="I472" s="1839"/>
      <c r="J472" s="1846"/>
    </row>
    <row r="473" spans="2:10" s="1824" customFormat="1" ht="16.2">
      <c r="B473" s="1909"/>
      <c r="C473" s="1842"/>
      <c r="D473" s="1834"/>
      <c r="E473" s="1835"/>
      <c r="F473" s="1843"/>
      <c r="G473" s="1844"/>
      <c r="H473" s="1845"/>
      <c r="I473" s="1839"/>
      <c r="J473" s="1846"/>
    </row>
    <row r="474" spans="2:10" s="1824" customFormat="1" ht="16.2">
      <c r="B474" s="1909"/>
      <c r="C474" s="1842"/>
      <c r="D474" s="1834"/>
      <c r="E474" s="1835"/>
      <c r="F474" s="1843"/>
      <c r="G474" s="1844"/>
      <c r="H474" s="1845"/>
      <c r="I474" s="1839"/>
      <c r="J474" s="1846"/>
    </row>
    <row r="475" spans="2:10" s="1824" customFormat="1" ht="16.2">
      <c r="B475" s="1909"/>
      <c r="C475" s="1842"/>
      <c r="D475" s="1834"/>
      <c r="E475" s="1835"/>
      <c r="F475" s="1843"/>
      <c r="G475" s="1844"/>
      <c r="H475" s="1845"/>
      <c r="I475" s="1839"/>
      <c r="J475" s="1846"/>
    </row>
    <row r="476" spans="2:10" s="1824" customFormat="1" ht="16.2">
      <c r="B476" s="1909"/>
      <c r="C476" s="1842"/>
      <c r="D476" s="1834"/>
      <c r="E476" s="1835"/>
      <c r="F476" s="1843"/>
      <c r="G476" s="1844"/>
      <c r="H476" s="1845"/>
      <c r="I476" s="1839"/>
      <c r="J476" s="1846"/>
    </row>
    <row r="477" spans="2:10" s="1824" customFormat="1" ht="16.2">
      <c r="B477" s="1909"/>
      <c r="C477" s="1842"/>
      <c r="D477" s="1834"/>
      <c r="E477" s="1835"/>
      <c r="F477" s="1843"/>
      <c r="G477" s="1844"/>
      <c r="H477" s="1845"/>
      <c r="I477" s="1839"/>
      <c r="J477" s="1846"/>
    </row>
    <row r="478" spans="2:10" s="1824" customFormat="1" ht="16.2">
      <c r="B478" s="1909"/>
      <c r="C478" s="1842"/>
      <c r="D478" s="1834"/>
      <c r="E478" s="1835"/>
      <c r="F478" s="1843"/>
      <c r="G478" s="1844"/>
      <c r="H478" s="1845"/>
      <c r="I478" s="1839"/>
      <c r="J478" s="1846"/>
    </row>
    <row r="479" spans="2:10" s="1824" customFormat="1" ht="16.2">
      <c r="B479" s="1909"/>
      <c r="C479" s="1842"/>
      <c r="D479" s="1834"/>
      <c r="E479" s="1835"/>
      <c r="F479" s="1843"/>
      <c r="G479" s="1844"/>
      <c r="H479" s="1845"/>
      <c r="I479" s="1839"/>
      <c r="J479" s="1846"/>
    </row>
    <row r="480" spans="2:10" s="1824" customFormat="1" ht="16.2">
      <c r="B480" s="1909"/>
      <c r="C480" s="1842"/>
      <c r="D480" s="1834"/>
      <c r="E480" s="1835"/>
      <c r="F480" s="1843"/>
      <c r="G480" s="1844"/>
      <c r="H480" s="1845"/>
      <c r="I480" s="1839"/>
      <c r="J480" s="1846"/>
    </row>
    <row r="481" spans="2:10" s="1824" customFormat="1" ht="16.2">
      <c r="B481" s="1909"/>
      <c r="C481" s="1842"/>
      <c r="D481" s="1834"/>
      <c r="E481" s="1835"/>
      <c r="F481" s="1843"/>
      <c r="G481" s="1844"/>
      <c r="H481" s="1845"/>
      <c r="I481" s="1839"/>
      <c r="J481" s="1846"/>
    </row>
    <row r="482" spans="2:10" s="1824" customFormat="1" ht="16.2">
      <c r="B482" s="1909"/>
      <c r="C482" s="1842"/>
      <c r="D482" s="1834"/>
      <c r="E482" s="1835"/>
      <c r="F482" s="1843"/>
      <c r="G482" s="1844"/>
      <c r="H482" s="1845"/>
      <c r="I482" s="1839"/>
      <c r="J482" s="1846"/>
    </row>
    <row r="483" spans="2:10" s="1824" customFormat="1" ht="16.2">
      <c r="B483" s="1909"/>
      <c r="C483" s="1842"/>
      <c r="D483" s="1834"/>
      <c r="E483" s="1835"/>
      <c r="F483" s="1843"/>
      <c r="G483" s="1844"/>
      <c r="H483" s="1845"/>
      <c r="I483" s="1839"/>
      <c r="J483" s="1846"/>
    </row>
    <row r="484" spans="2:10" s="1824" customFormat="1" ht="16.2">
      <c r="B484" s="1909"/>
      <c r="C484" s="1842"/>
      <c r="D484" s="1834"/>
      <c r="E484" s="1835"/>
      <c r="F484" s="1843"/>
      <c r="G484" s="1844"/>
      <c r="H484" s="1845"/>
      <c r="I484" s="1839"/>
      <c r="J484" s="1846"/>
    </row>
    <row r="485" spans="2:10" s="1824" customFormat="1" ht="16.2">
      <c r="B485" s="1909"/>
      <c r="C485" s="1842"/>
      <c r="D485" s="1834"/>
      <c r="E485" s="1835"/>
      <c r="F485" s="1843"/>
      <c r="G485" s="1844"/>
      <c r="H485" s="1845"/>
      <c r="I485" s="1839"/>
      <c r="J485" s="1846"/>
    </row>
    <row r="486" spans="2:10" s="1824" customFormat="1" ht="16.2">
      <c r="B486" s="1909"/>
      <c r="C486" s="1842"/>
      <c r="D486" s="1834"/>
      <c r="E486" s="1835"/>
      <c r="F486" s="1843"/>
      <c r="G486" s="1844"/>
      <c r="H486" s="1845"/>
      <c r="I486" s="1839"/>
      <c r="J486" s="1846"/>
    </row>
    <row r="487" spans="2:10" s="1824" customFormat="1" ht="16.2">
      <c r="B487" s="1909"/>
      <c r="C487" s="1842"/>
      <c r="D487" s="1834"/>
      <c r="E487" s="1835"/>
      <c r="F487" s="1843"/>
      <c r="G487" s="1844"/>
      <c r="H487" s="1845"/>
      <c r="I487" s="1839"/>
      <c r="J487" s="1846"/>
    </row>
    <row r="488" spans="2:10" s="1824" customFormat="1" ht="16.2">
      <c r="B488" s="1909"/>
      <c r="C488" s="1842"/>
      <c r="D488" s="1834"/>
      <c r="E488" s="1835"/>
      <c r="F488" s="1843"/>
      <c r="G488" s="1844"/>
      <c r="H488" s="1845"/>
      <c r="I488" s="1839"/>
      <c r="J488" s="1846"/>
    </row>
    <row r="489" spans="2:10" s="1824" customFormat="1" ht="16.2">
      <c r="B489" s="1909"/>
      <c r="C489" s="1842"/>
      <c r="D489" s="1834"/>
      <c r="E489" s="1835"/>
      <c r="F489" s="1843"/>
      <c r="G489" s="1844"/>
      <c r="H489" s="1845"/>
      <c r="I489" s="1839"/>
      <c r="J489" s="1846"/>
    </row>
    <row r="490" spans="2:10" s="1824" customFormat="1" ht="16.2">
      <c r="B490" s="1909"/>
      <c r="C490" s="1842"/>
      <c r="D490" s="1834"/>
      <c r="E490" s="1835"/>
      <c r="F490" s="1843"/>
      <c r="G490" s="1844"/>
      <c r="H490" s="1845"/>
      <c r="I490" s="1839"/>
      <c r="J490" s="1846"/>
    </row>
    <row r="491" spans="2:10" s="1824" customFormat="1" ht="16.2">
      <c r="B491" s="1909"/>
      <c r="C491" s="1842"/>
      <c r="D491" s="1834"/>
      <c r="E491" s="1835"/>
      <c r="F491" s="1843"/>
      <c r="G491" s="1844"/>
      <c r="H491" s="1845"/>
      <c r="I491" s="1839"/>
      <c r="J491" s="1846"/>
    </row>
    <row r="492" spans="2:10" s="1824" customFormat="1" ht="16.2">
      <c r="B492" s="1909"/>
      <c r="C492" s="1842"/>
      <c r="D492" s="1834"/>
      <c r="E492" s="1835"/>
      <c r="F492" s="1843"/>
      <c r="G492" s="1844"/>
      <c r="H492" s="1845"/>
      <c r="I492" s="1839"/>
      <c r="J492" s="1846"/>
    </row>
    <row r="493" spans="2:10" s="1824" customFormat="1" ht="16.2">
      <c r="B493" s="1909"/>
      <c r="C493" s="1842"/>
      <c r="D493" s="1834"/>
      <c r="E493" s="1835"/>
      <c r="F493" s="1843"/>
      <c r="G493" s="1844"/>
      <c r="H493" s="1845"/>
      <c r="I493" s="1839"/>
      <c r="J493" s="1846"/>
    </row>
    <row r="494" spans="2:10" s="1824" customFormat="1" ht="16.2">
      <c r="B494" s="1909"/>
      <c r="C494" s="1842"/>
      <c r="D494" s="1834"/>
      <c r="E494" s="1835"/>
      <c r="F494" s="1843"/>
      <c r="G494" s="1844"/>
      <c r="H494" s="1845"/>
      <c r="I494" s="1839"/>
      <c r="J494" s="1846"/>
    </row>
    <row r="495" spans="2:10" s="1824" customFormat="1" ht="16.2">
      <c r="B495" s="1909"/>
      <c r="C495" s="1842"/>
      <c r="D495" s="1834"/>
      <c r="E495" s="1835"/>
      <c r="F495" s="1843"/>
      <c r="G495" s="1844"/>
      <c r="H495" s="1845"/>
      <c r="I495" s="1839"/>
      <c r="J495" s="1846"/>
    </row>
    <row r="496" spans="2:10" s="1824" customFormat="1" ht="16.2">
      <c r="B496" s="1909"/>
      <c r="C496" s="1842"/>
      <c r="D496" s="1834"/>
      <c r="E496" s="1835"/>
      <c r="F496" s="1843"/>
      <c r="G496" s="1844"/>
      <c r="H496" s="1845"/>
      <c r="I496" s="1839"/>
      <c r="J496" s="1846"/>
    </row>
    <row r="497" spans="2:10" s="1824" customFormat="1" ht="16.2">
      <c r="B497" s="1909"/>
      <c r="C497" s="1842"/>
      <c r="D497" s="1834"/>
      <c r="E497" s="1835"/>
      <c r="F497" s="1843"/>
      <c r="G497" s="1844"/>
      <c r="H497" s="1845"/>
      <c r="I497" s="1839"/>
      <c r="J497" s="1846"/>
    </row>
    <row r="498" spans="2:10" s="1824" customFormat="1" ht="16.2">
      <c r="B498" s="1909"/>
      <c r="C498" s="1842"/>
      <c r="D498" s="1834"/>
      <c r="E498" s="1835"/>
      <c r="F498" s="1843"/>
      <c r="G498" s="1844"/>
      <c r="H498" s="1845"/>
      <c r="I498" s="1839"/>
      <c r="J498" s="1846"/>
    </row>
    <row r="499" spans="2:10" s="1824" customFormat="1" ht="16.2">
      <c r="B499" s="1909"/>
      <c r="C499" s="1842"/>
      <c r="D499" s="1834"/>
      <c r="E499" s="1835"/>
      <c r="F499" s="1843"/>
      <c r="G499" s="1844"/>
      <c r="H499" s="1845"/>
      <c r="I499" s="1839"/>
      <c r="J499" s="1846"/>
    </row>
    <row r="500" spans="2:10" s="1824" customFormat="1" ht="16.2">
      <c r="B500" s="1909"/>
      <c r="C500" s="1842"/>
      <c r="D500" s="1834"/>
      <c r="E500" s="1835"/>
      <c r="F500" s="1843"/>
      <c r="G500" s="1844"/>
      <c r="H500" s="1845"/>
      <c r="I500" s="1839"/>
      <c r="J500" s="1846"/>
    </row>
    <row r="501" spans="2:10" s="1824" customFormat="1" ht="16.2">
      <c r="B501" s="1909"/>
      <c r="C501" s="1842"/>
      <c r="D501" s="1834"/>
      <c r="E501" s="1835"/>
      <c r="F501" s="1843"/>
      <c r="G501" s="1844"/>
      <c r="H501" s="1845"/>
      <c r="I501" s="1839"/>
      <c r="J501" s="1846"/>
    </row>
    <row r="502" spans="2:10" s="1824" customFormat="1" ht="16.2">
      <c r="B502" s="1909"/>
      <c r="C502" s="1842"/>
      <c r="D502" s="1834"/>
      <c r="E502" s="1835"/>
      <c r="F502" s="1843"/>
      <c r="G502" s="1844"/>
      <c r="H502" s="1845"/>
      <c r="I502" s="1839"/>
      <c r="J502" s="1846"/>
    </row>
    <row r="503" spans="2:10" s="1824" customFormat="1" ht="16.2">
      <c r="B503" s="1909"/>
      <c r="C503" s="1842"/>
      <c r="D503" s="1834"/>
      <c r="E503" s="1835"/>
      <c r="F503" s="1843"/>
      <c r="G503" s="1844"/>
      <c r="H503" s="1845"/>
      <c r="I503" s="1839"/>
      <c r="J503" s="1846"/>
    </row>
    <row r="504" spans="2:10" s="1824" customFormat="1" ht="16.2">
      <c r="B504" s="1909"/>
      <c r="C504" s="1842"/>
      <c r="D504" s="1834"/>
      <c r="E504" s="1835"/>
      <c r="F504" s="1843"/>
      <c r="G504" s="1844"/>
      <c r="H504" s="1845"/>
      <c r="I504" s="1839"/>
      <c r="J504" s="1846"/>
    </row>
    <row r="505" spans="2:10" s="1824" customFormat="1" ht="16.2">
      <c r="B505" s="1909"/>
      <c r="C505" s="1842"/>
      <c r="D505" s="1834"/>
      <c r="E505" s="1835"/>
      <c r="F505" s="1843"/>
      <c r="G505" s="1844"/>
      <c r="H505" s="1845"/>
      <c r="I505" s="1839"/>
      <c r="J505" s="1846"/>
    </row>
    <row r="506" spans="2:10" s="1824" customFormat="1" ht="16.2">
      <c r="B506" s="1909"/>
      <c r="C506" s="1842"/>
      <c r="D506" s="1834"/>
      <c r="E506" s="1835"/>
      <c r="F506" s="1843"/>
      <c r="G506" s="1844"/>
      <c r="H506" s="1845"/>
      <c r="I506" s="1839"/>
      <c r="J506" s="1846"/>
    </row>
    <row r="507" spans="2:10" s="1824" customFormat="1" ht="16.2">
      <c r="B507" s="1909"/>
      <c r="C507" s="1842"/>
      <c r="D507" s="1834"/>
      <c r="E507" s="1835"/>
      <c r="F507" s="1843"/>
      <c r="G507" s="1844"/>
      <c r="H507" s="1845"/>
      <c r="I507" s="1839"/>
      <c r="J507" s="1846"/>
    </row>
    <row r="508" spans="2:10" s="1824" customFormat="1" ht="16.2">
      <c r="B508" s="1909"/>
      <c r="C508" s="1842"/>
      <c r="D508" s="1834"/>
      <c r="E508" s="1835"/>
      <c r="F508" s="1843"/>
      <c r="G508" s="1844"/>
      <c r="H508" s="1845"/>
      <c r="I508" s="1839"/>
      <c r="J508" s="1846"/>
    </row>
    <row r="509" spans="2:10" s="1824" customFormat="1" ht="16.2">
      <c r="B509" s="1909"/>
      <c r="C509" s="1842"/>
      <c r="D509" s="1834"/>
      <c r="E509" s="1835"/>
      <c r="F509" s="1843"/>
      <c r="G509" s="1844"/>
      <c r="H509" s="1845"/>
      <c r="I509" s="1839"/>
      <c r="J509" s="1846"/>
    </row>
    <row r="510" spans="2:10" s="1824" customFormat="1" ht="16.2">
      <c r="B510" s="1909"/>
      <c r="C510" s="1842"/>
      <c r="D510" s="1834"/>
      <c r="E510" s="1835"/>
      <c r="F510" s="1843"/>
      <c r="G510" s="1844"/>
      <c r="H510" s="1845"/>
      <c r="I510" s="1839"/>
      <c r="J510" s="1846"/>
    </row>
    <row r="511" spans="2:10" s="1824" customFormat="1" ht="16.2">
      <c r="B511" s="1909"/>
      <c r="C511" s="1842"/>
      <c r="D511" s="1834"/>
      <c r="E511" s="1835"/>
      <c r="F511" s="1843"/>
      <c r="G511" s="1844"/>
      <c r="H511" s="1845"/>
      <c r="I511" s="1839"/>
      <c r="J511" s="1846"/>
    </row>
    <row r="512" spans="2:10" s="1824" customFormat="1" ht="16.2">
      <c r="B512" s="1909"/>
      <c r="C512" s="1842"/>
      <c r="D512" s="1834"/>
      <c r="E512" s="1835"/>
      <c r="F512" s="1843"/>
      <c r="G512" s="1844"/>
      <c r="H512" s="1845"/>
      <c r="I512" s="1839"/>
      <c r="J512" s="1846"/>
    </row>
    <row r="513" spans="2:10" s="1824" customFormat="1" ht="16.2">
      <c r="B513" s="1909"/>
      <c r="C513" s="1842"/>
      <c r="D513" s="1834"/>
      <c r="E513" s="1835"/>
      <c r="F513" s="1843"/>
      <c r="G513" s="1844"/>
      <c r="H513" s="1845"/>
      <c r="I513" s="1839"/>
      <c r="J513" s="1846"/>
    </row>
    <row r="514" spans="2:10" s="1824" customFormat="1" ht="16.2">
      <c r="B514" s="1909"/>
      <c r="C514" s="1842"/>
      <c r="D514" s="1834"/>
      <c r="E514" s="1835"/>
      <c r="F514" s="1843"/>
      <c r="G514" s="1844"/>
      <c r="H514" s="1845"/>
      <c r="I514" s="1839"/>
      <c r="J514" s="1846"/>
    </row>
    <row r="515" spans="2:10" s="1824" customFormat="1" ht="16.2">
      <c r="B515" s="1909"/>
      <c r="C515" s="1842"/>
      <c r="D515" s="1834"/>
      <c r="E515" s="1835"/>
      <c r="F515" s="1843"/>
      <c r="G515" s="1844"/>
      <c r="H515" s="1845"/>
      <c r="I515" s="1839"/>
      <c r="J515" s="1846"/>
    </row>
    <row r="516" spans="2:10" s="1824" customFormat="1" ht="16.2">
      <c r="B516" s="1909"/>
      <c r="C516" s="1842"/>
      <c r="D516" s="1834"/>
      <c r="E516" s="1835"/>
      <c r="F516" s="1843"/>
      <c r="G516" s="1844"/>
      <c r="H516" s="1845"/>
      <c r="I516" s="1839"/>
      <c r="J516" s="1846"/>
    </row>
    <row r="517" spans="2:10" s="1824" customFormat="1" ht="16.2">
      <c r="B517" s="1909"/>
      <c r="C517" s="1842"/>
      <c r="D517" s="1834"/>
      <c r="E517" s="1835"/>
      <c r="F517" s="1843"/>
      <c r="G517" s="1844"/>
      <c r="H517" s="1845"/>
      <c r="I517" s="1839"/>
      <c r="J517" s="1846"/>
    </row>
    <row r="518" spans="2:10" s="1824" customFormat="1" ht="16.2">
      <c r="B518" s="1909"/>
      <c r="C518" s="1842"/>
      <c r="D518" s="1834"/>
      <c r="E518" s="1835"/>
      <c r="F518" s="1843"/>
      <c r="G518" s="1844"/>
      <c r="H518" s="1845"/>
      <c r="I518" s="1839"/>
      <c r="J518" s="1846"/>
    </row>
    <row r="519" spans="2:10" s="1824" customFormat="1" ht="16.2">
      <c r="B519" s="1909"/>
      <c r="C519" s="1842"/>
      <c r="D519" s="1834"/>
      <c r="E519" s="1835"/>
      <c r="F519" s="1843"/>
      <c r="G519" s="1844"/>
      <c r="H519" s="1845"/>
      <c r="I519" s="1839"/>
      <c r="J519" s="1846"/>
    </row>
    <row r="520" spans="2:10" s="1824" customFormat="1" ht="16.2">
      <c r="B520" s="1909"/>
      <c r="C520" s="1842"/>
      <c r="D520" s="1834"/>
      <c r="E520" s="1835"/>
      <c r="F520" s="1843"/>
      <c r="G520" s="1844"/>
      <c r="H520" s="1845"/>
      <c r="I520" s="1839"/>
      <c r="J520" s="1846"/>
    </row>
    <row r="521" spans="2:10" s="1824" customFormat="1" ht="16.2">
      <c r="B521" s="1909"/>
      <c r="C521" s="1842"/>
      <c r="D521" s="1834"/>
      <c r="E521" s="1835"/>
      <c r="F521" s="1843"/>
      <c r="G521" s="1844"/>
      <c r="H521" s="1845"/>
      <c r="I521" s="1839"/>
      <c r="J521" s="1846"/>
    </row>
    <row r="522" spans="2:10" s="1824" customFormat="1" ht="16.2">
      <c r="B522" s="1909"/>
      <c r="C522" s="1842"/>
      <c r="D522" s="1834"/>
      <c r="E522" s="1835"/>
      <c r="F522" s="1843"/>
      <c r="G522" s="1844"/>
      <c r="H522" s="1845"/>
      <c r="I522" s="1839"/>
      <c r="J522" s="1846"/>
    </row>
    <row r="523" spans="2:10" s="1824" customFormat="1" ht="16.2">
      <c r="B523" s="1909"/>
      <c r="C523" s="1842"/>
      <c r="D523" s="1834"/>
      <c r="E523" s="1835"/>
      <c r="F523" s="1843"/>
      <c r="G523" s="1844"/>
      <c r="H523" s="1845"/>
      <c r="I523" s="1839"/>
      <c r="J523" s="1846"/>
    </row>
    <row r="524" spans="2:10" s="1824" customFormat="1" ht="16.2">
      <c r="B524" s="1909"/>
      <c r="C524" s="1842"/>
      <c r="D524" s="1834"/>
      <c r="E524" s="1835"/>
      <c r="F524" s="1843"/>
      <c r="G524" s="1844"/>
      <c r="H524" s="1845"/>
      <c r="I524" s="1839"/>
      <c r="J524" s="1846"/>
    </row>
    <row r="525" spans="2:10" s="1824" customFormat="1" ht="16.2">
      <c r="B525" s="1909"/>
      <c r="C525" s="1842"/>
      <c r="D525" s="1834"/>
      <c r="E525" s="1835"/>
      <c r="F525" s="1843"/>
      <c r="G525" s="1844"/>
      <c r="H525" s="1845"/>
      <c r="I525" s="1839"/>
      <c r="J525" s="1846"/>
    </row>
    <row r="526" spans="2:10" s="1824" customFormat="1" ht="16.2">
      <c r="B526" s="1909"/>
      <c r="C526" s="1842"/>
      <c r="D526" s="1834"/>
      <c r="E526" s="1835"/>
      <c r="F526" s="1843"/>
      <c r="G526" s="1844"/>
      <c r="H526" s="1845"/>
      <c r="I526" s="1839"/>
      <c r="J526" s="1846"/>
    </row>
    <row r="527" spans="2:10" s="1824" customFormat="1" ht="16.2">
      <c r="B527" s="1909"/>
      <c r="C527" s="1842"/>
      <c r="D527" s="1834"/>
      <c r="E527" s="1835"/>
      <c r="F527" s="1843"/>
      <c r="G527" s="1844"/>
      <c r="H527" s="1845"/>
      <c r="I527" s="1839"/>
      <c r="J527" s="1846"/>
    </row>
    <row r="528" spans="2:10" s="1824" customFormat="1" ht="16.2">
      <c r="B528" s="1909"/>
      <c r="C528" s="1842"/>
      <c r="D528" s="1834"/>
      <c r="E528" s="1835"/>
      <c r="F528" s="1843"/>
      <c r="G528" s="1844"/>
      <c r="H528" s="1845"/>
      <c r="I528" s="1839"/>
      <c r="J528" s="1846"/>
    </row>
    <row r="529" spans="2:10" s="1824" customFormat="1" ht="16.2">
      <c r="B529" s="1909"/>
      <c r="C529" s="1842"/>
      <c r="D529" s="1834"/>
      <c r="E529" s="1835"/>
      <c r="F529" s="1843"/>
      <c r="G529" s="1844"/>
      <c r="H529" s="1845"/>
      <c r="I529" s="1839"/>
      <c r="J529" s="1846"/>
    </row>
    <row r="530" spans="2:10" s="1824" customFormat="1" ht="16.2">
      <c r="B530" s="1909"/>
      <c r="C530" s="1842"/>
      <c r="D530" s="1834"/>
      <c r="E530" s="1835"/>
      <c r="F530" s="1843"/>
      <c r="G530" s="1844"/>
      <c r="H530" s="1845"/>
      <c r="I530" s="1839"/>
      <c r="J530" s="1846"/>
    </row>
    <row r="531" spans="2:10" s="1824" customFormat="1" ht="16.2">
      <c r="B531" s="1909"/>
      <c r="C531" s="1842"/>
      <c r="D531" s="1834"/>
      <c r="E531" s="1835"/>
      <c r="F531" s="1843"/>
      <c r="G531" s="1844"/>
      <c r="H531" s="1845"/>
      <c r="I531" s="1839"/>
      <c r="J531" s="1846"/>
    </row>
    <row r="532" spans="2:10" s="1824" customFormat="1" ht="16.2">
      <c r="B532" s="1909"/>
      <c r="C532" s="1842"/>
      <c r="D532" s="1834"/>
      <c r="E532" s="1835"/>
      <c r="F532" s="1843"/>
      <c r="G532" s="1844"/>
      <c r="H532" s="1845"/>
      <c r="I532" s="1839"/>
      <c r="J532" s="1846"/>
    </row>
    <row r="533" spans="2:10" s="1824" customFormat="1" ht="16.2">
      <c r="B533" s="1909"/>
      <c r="C533" s="1842"/>
      <c r="D533" s="1834"/>
      <c r="E533" s="1835"/>
      <c r="F533" s="1843"/>
      <c r="G533" s="1844"/>
      <c r="H533" s="1845"/>
      <c r="I533" s="1839"/>
      <c r="J533" s="1846"/>
    </row>
    <row r="534" spans="2:10" s="1824" customFormat="1" ht="16.2">
      <c r="B534" s="1909"/>
      <c r="C534" s="1842"/>
      <c r="D534" s="1834"/>
      <c r="E534" s="1835"/>
      <c r="F534" s="1843"/>
      <c r="G534" s="1844"/>
      <c r="H534" s="1845"/>
      <c r="I534" s="1839"/>
      <c r="J534" s="1846"/>
    </row>
    <row r="535" spans="2:10" s="1824" customFormat="1" ht="16.2">
      <c r="B535" s="1909"/>
      <c r="C535" s="1842"/>
      <c r="D535" s="1834"/>
      <c r="E535" s="1835"/>
      <c r="F535" s="1843"/>
      <c r="G535" s="1844"/>
      <c r="H535" s="1845"/>
      <c r="I535" s="1839"/>
      <c r="J535" s="1846"/>
    </row>
    <row r="536" spans="2:10" s="1824" customFormat="1" ht="16.2">
      <c r="B536" s="1909"/>
      <c r="C536" s="1842"/>
      <c r="D536" s="1834"/>
      <c r="E536" s="1835"/>
      <c r="F536" s="1843"/>
      <c r="G536" s="1844"/>
      <c r="H536" s="1845"/>
      <c r="I536" s="1839"/>
      <c r="J536" s="1846"/>
    </row>
    <row r="537" spans="2:10" s="1824" customFormat="1" ht="16.2">
      <c r="B537" s="1909"/>
      <c r="C537" s="1842"/>
      <c r="D537" s="1834"/>
      <c r="E537" s="1835"/>
      <c r="F537" s="1843"/>
      <c r="G537" s="1844"/>
      <c r="H537" s="1845"/>
      <c r="I537" s="1839"/>
      <c r="J537" s="1846"/>
    </row>
    <row r="538" spans="2:10" s="1824" customFormat="1" ht="16.2">
      <c r="B538" s="1909"/>
      <c r="C538" s="1842"/>
      <c r="D538" s="1834"/>
      <c r="E538" s="1835"/>
      <c r="F538" s="1843"/>
      <c r="G538" s="1844"/>
      <c r="H538" s="1845"/>
      <c r="I538" s="1839"/>
      <c r="J538" s="1846"/>
    </row>
    <row r="539" spans="2:10" s="1824" customFormat="1" ht="16.2">
      <c r="B539" s="1909"/>
      <c r="C539" s="1842"/>
      <c r="D539" s="1834"/>
      <c r="E539" s="1835"/>
      <c r="F539" s="1843"/>
      <c r="G539" s="1844"/>
      <c r="H539" s="1845"/>
      <c r="I539" s="1839"/>
      <c r="J539" s="1846"/>
    </row>
    <row r="540" spans="2:10" s="1824" customFormat="1" ht="16.2">
      <c r="B540" s="1909"/>
      <c r="C540" s="1842"/>
      <c r="D540" s="1834"/>
      <c r="E540" s="1835"/>
      <c r="F540" s="1843"/>
      <c r="G540" s="1844"/>
      <c r="H540" s="1845"/>
      <c r="I540" s="1839"/>
      <c r="J540" s="1846"/>
    </row>
    <row r="541" spans="2:10" s="1824" customFormat="1" ht="16.2">
      <c r="B541" s="1909"/>
      <c r="C541" s="1842"/>
      <c r="D541" s="1834"/>
      <c r="E541" s="1835"/>
      <c r="F541" s="1843"/>
      <c r="G541" s="1844"/>
      <c r="H541" s="1845"/>
      <c r="I541" s="1839"/>
      <c r="J541" s="1846"/>
    </row>
    <row r="542" spans="2:10" s="1824" customFormat="1" ht="16.2">
      <c r="B542" s="1909"/>
      <c r="C542" s="1842"/>
      <c r="D542" s="1834"/>
      <c r="E542" s="1835"/>
      <c r="F542" s="1843"/>
      <c r="G542" s="1844"/>
      <c r="H542" s="1845"/>
      <c r="I542" s="1839"/>
      <c r="J542" s="1846"/>
    </row>
    <row r="543" spans="2:10" s="1824" customFormat="1" ht="16.2">
      <c r="B543" s="1909"/>
      <c r="C543" s="1842"/>
      <c r="D543" s="1834"/>
      <c r="E543" s="1835"/>
      <c r="F543" s="1843"/>
      <c r="G543" s="1844"/>
      <c r="H543" s="1845"/>
      <c r="I543" s="1839"/>
      <c r="J543" s="1846"/>
    </row>
    <row r="544" spans="2:10" s="1824" customFormat="1" ht="16.2">
      <c r="B544" s="1909"/>
      <c r="C544" s="1842"/>
      <c r="D544" s="1834"/>
      <c r="E544" s="1835"/>
      <c r="F544" s="1843"/>
      <c r="G544" s="1844"/>
      <c r="H544" s="1845"/>
      <c r="I544" s="1839"/>
      <c r="J544" s="1846"/>
    </row>
    <row r="545" spans="2:10" s="1824" customFormat="1" ht="16.2">
      <c r="B545" s="1909"/>
      <c r="C545" s="1842"/>
      <c r="D545" s="1834"/>
      <c r="E545" s="1835"/>
      <c r="F545" s="1843"/>
      <c r="G545" s="1844"/>
      <c r="H545" s="1845"/>
      <c r="I545" s="1839"/>
      <c r="J545" s="1846"/>
    </row>
    <row r="546" spans="2:10" s="1824" customFormat="1" ht="16.2">
      <c r="B546" s="1909"/>
      <c r="C546" s="1842"/>
      <c r="D546" s="1834"/>
      <c r="E546" s="1835"/>
      <c r="F546" s="1843"/>
      <c r="G546" s="1844"/>
      <c r="H546" s="1845"/>
      <c r="I546" s="1839"/>
      <c r="J546" s="1846"/>
    </row>
    <row r="547" spans="2:10" s="1824" customFormat="1" ht="16.2">
      <c r="B547" s="1909"/>
      <c r="C547" s="1842"/>
      <c r="D547" s="1834"/>
      <c r="E547" s="1835"/>
      <c r="F547" s="1843"/>
      <c r="G547" s="1844"/>
      <c r="H547" s="1845"/>
      <c r="I547" s="1839"/>
      <c r="J547" s="1846"/>
    </row>
    <row r="548" spans="2:10" s="1824" customFormat="1" ht="16.2">
      <c r="B548" s="1909"/>
      <c r="C548" s="1842"/>
      <c r="D548" s="1834"/>
      <c r="E548" s="1835"/>
      <c r="F548" s="1843"/>
      <c r="G548" s="1844"/>
      <c r="H548" s="1845"/>
      <c r="I548" s="1839"/>
      <c r="J548" s="1846"/>
    </row>
    <row r="549" spans="2:10" s="1824" customFormat="1" ht="16.2">
      <c r="B549" s="1909"/>
      <c r="C549" s="1842"/>
      <c r="D549" s="1834"/>
      <c r="E549" s="1835"/>
      <c r="F549" s="1843"/>
      <c r="G549" s="1844"/>
      <c r="H549" s="1845"/>
      <c r="I549" s="1839"/>
      <c r="J549" s="1846"/>
    </row>
    <row r="550" spans="2:10" s="1824" customFormat="1" ht="16.2">
      <c r="B550" s="1909"/>
      <c r="C550" s="1842"/>
      <c r="D550" s="1834"/>
      <c r="E550" s="1835"/>
      <c r="F550" s="1843"/>
      <c r="G550" s="1844"/>
      <c r="H550" s="1845"/>
      <c r="I550" s="1839"/>
      <c r="J550" s="1846"/>
    </row>
    <row r="551" spans="2:10" s="1824" customFormat="1" ht="16.2">
      <c r="B551" s="1909"/>
      <c r="C551" s="1842"/>
      <c r="D551" s="1834"/>
      <c r="E551" s="1835"/>
      <c r="F551" s="1843"/>
      <c r="G551" s="1844"/>
      <c r="H551" s="1845"/>
      <c r="I551" s="1839"/>
      <c r="J551" s="1846"/>
    </row>
    <row r="552" spans="2:10" s="1824" customFormat="1" ht="16.2">
      <c r="B552" s="1909"/>
      <c r="C552" s="1842"/>
      <c r="D552" s="1834"/>
      <c r="E552" s="1835"/>
      <c r="F552" s="1843"/>
      <c r="G552" s="1844"/>
      <c r="H552" s="1845"/>
      <c r="I552" s="1839"/>
      <c r="J552" s="1846"/>
    </row>
    <row r="553" spans="2:10" s="1824" customFormat="1" ht="16.2">
      <c r="B553" s="1909"/>
      <c r="C553" s="1842"/>
      <c r="D553" s="1834"/>
      <c r="E553" s="1835"/>
      <c r="F553" s="1843"/>
      <c r="G553" s="1844"/>
      <c r="H553" s="1845"/>
      <c r="I553" s="1839"/>
      <c r="J553" s="1846"/>
    </row>
    <row r="554" spans="2:10" s="1824" customFormat="1" ht="16.2">
      <c r="B554" s="1909"/>
      <c r="C554" s="1842"/>
      <c r="D554" s="1834"/>
      <c r="E554" s="1835"/>
      <c r="F554" s="1843"/>
      <c r="G554" s="1844"/>
      <c r="H554" s="1845"/>
      <c r="I554" s="1839"/>
      <c r="J554" s="1846"/>
    </row>
    <row r="555" spans="2:10" s="1824" customFormat="1" ht="16.2">
      <c r="B555" s="1909"/>
      <c r="C555" s="1842"/>
      <c r="D555" s="1834"/>
      <c r="E555" s="1835"/>
      <c r="F555" s="1843"/>
      <c r="G555" s="1844"/>
      <c r="H555" s="1845"/>
      <c r="I555" s="1839"/>
      <c r="J555" s="1846"/>
    </row>
    <row r="556" spans="2:10" s="1824" customFormat="1" ht="16.2">
      <c r="B556" s="1909"/>
      <c r="C556" s="1842"/>
      <c r="D556" s="1834"/>
      <c r="E556" s="1835"/>
      <c r="F556" s="1843"/>
      <c r="G556" s="1844"/>
      <c r="H556" s="1845"/>
      <c r="I556" s="1839"/>
      <c r="J556" s="1846"/>
    </row>
    <row r="557" spans="2:10" s="1824" customFormat="1" ht="16.2">
      <c r="B557" s="1909"/>
      <c r="C557" s="1842"/>
      <c r="D557" s="1834"/>
      <c r="E557" s="1835"/>
      <c r="F557" s="1843"/>
      <c r="G557" s="1844"/>
      <c r="H557" s="1845"/>
      <c r="I557" s="1839"/>
      <c r="J557" s="1846"/>
    </row>
    <row r="558" spans="2:10" s="1824" customFormat="1" ht="16.2">
      <c r="B558" s="1909"/>
      <c r="C558" s="1842"/>
      <c r="D558" s="1834"/>
      <c r="E558" s="1835"/>
      <c r="F558" s="1843"/>
      <c r="G558" s="1844"/>
      <c r="H558" s="1845"/>
      <c r="I558" s="1839"/>
      <c r="J558" s="1846"/>
    </row>
    <row r="559" spans="2:10" s="1824" customFormat="1" ht="16.2">
      <c r="B559" s="1909"/>
      <c r="C559" s="1842"/>
      <c r="D559" s="1834"/>
      <c r="E559" s="1835"/>
      <c r="F559" s="1843"/>
      <c r="G559" s="1844"/>
      <c r="H559" s="1845"/>
      <c r="I559" s="1839"/>
      <c r="J559" s="1846"/>
    </row>
    <row r="560" spans="2:10" s="1824" customFormat="1" ht="16.2">
      <c r="B560" s="1909"/>
      <c r="C560" s="1842"/>
      <c r="D560" s="1834"/>
      <c r="E560" s="1835"/>
      <c r="F560" s="1843"/>
      <c r="G560" s="1844"/>
      <c r="H560" s="1845"/>
      <c r="I560" s="1839"/>
      <c r="J560" s="1846"/>
    </row>
    <row r="561" spans="2:10" s="1824" customFormat="1" ht="16.2">
      <c r="B561" s="1909"/>
      <c r="C561" s="1842"/>
      <c r="D561" s="1834"/>
      <c r="E561" s="1835"/>
      <c r="F561" s="1843"/>
      <c r="G561" s="1844"/>
      <c r="H561" s="1845"/>
      <c r="I561" s="1839"/>
      <c r="J561" s="1846"/>
    </row>
    <row r="562" spans="2:10" s="1824" customFormat="1" ht="16.2">
      <c r="B562" s="1909"/>
      <c r="C562" s="1842"/>
      <c r="D562" s="1834"/>
      <c r="E562" s="1835"/>
      <c r="F562" s="1843"/>
      <c r="G562" s="1844"/>
      <c r="H562" s="1845"/>
      <c r="I562" s="1839"/>
      <c r="J562" s="1846"/>
    </row>
    <row r="563" spans="2:10" s="1824" customFormat="1" ht="16.2">
      <c r="B563" s="1909"/>
      <c r="C563" s="1842"/>
      <c r="D563" s="1834"/>
      <c r="E563" s="1835"/>
      <c r="F563" s="1843"/>
      <c r="G563" s="1844"/>
      <c r="H563" s="1845"/>
      <c r="I563" s="1839"/>
      <c r="J563" s="1846"/>
    </row>
    <row r="564" spans="2:10" s="1824" customFormat="1" ht="16.2">
      <c r="B564" s="1909"/>
      <c r="C564" s="1842"/>
      <c r="D564" s="1834"/>
      <c r="E564" s="1835"/>
      <c r="F564" s="1843"/>
      <c r="G564" s="1844"/>
      <c r="H564" s="1845"/>
      <c r="I564" s="1839"/>
      <c r="J564" s="1846"/>
    </row>
    <row r="565" spans="2:10" s="1824" customFormat="1" ht="16.2">
      <c r="B565" s="1909"/>
      <c r="C565" s="1842"/>
      <c r="D565" s="1834"/>
      <c r="E565" s="1835"/>
      <c r="F565" s="1843"/>
      <c r="G565" s="1844"/>
      <c r="H565" s="1845"/>
      <c r="I565" s="1839"/>
      <c r="J565" s="1846"/>
    </row>
    <row r="566" spans="2:10" s="1824" customFormat="1" ht="16.2">
      <c r="B566" s="1909"/>
      <c r="C566" s="1842"/>
      <c r="D566" s="1834"/>
      <c r="E566" s="1835"/>
      <c r="F566" s="1843"/>
      <c r="G566" s="1844"/>
      <c r="H566" s="1845"/>
      <c r="I566" s="1839"/>
      <c r="J566" s="1846"/>
    </row>
    <row r="567" spans="2:10" s="1824" customFormat="1" ht="16.2">
      <c r="B567" s="1909"/>
      <c r="C567" s="1842"/>
      <c r="D567" s="1834"/>
      <c r="E567" s="1835"/>
      <c r="F567" s="1843"/>
      <c r="G567" s="1844"/>
      <c r="H567" s="1845"/>
      <c r="I567" s="1839"/>
      <c r="J567" s="1846"/>
    </row>
    <row r="568" spans="2:10" s="1824" customFormat="1" ht="16.2">
      <c r="B568" s="1909"/>
      <c r="C568" s="1842"/>
      <c r="D568" s="1834"/>
      <c r="E568" s="1835"/>
      <c r="F568" s="1843"/>
      <c r="G568" s="1844"/>
      <c r="H568" s="1845"/>
      <c r="I568" s="1839"/>
      <c r="J568" s="1846"/>
    </row>
    <row r="569" spans="2:10" s="1824" customFormat="1" ht="16.2">
      <c r="B569" s="1909"/>
      <c r="C569" s="1842"/>
      <c r="D569" s="1834"/>
      <c r="E569" s="1835"/>
      <c r="F569" s="1843"/>
      <c r="G569" s="1844"/>
      <c r="H569" s="1845"/>
      <c r="I569" s="1839"/>
      <c r="J569" s="1846"/>
    </row>
    <row r="570" spans="2:10" s="1824" customFormat="1" ht="16.2">
      <c r="B570" s="1909"/>
      <c r="C570" s="1842"/>
      <c r="D570" s="1834"/>
      <c r="E570" s="1835"/>
      <c r="F570" s="1843"/>
      <c r="G570" s="1844"/>
      <c r="H570" s="1845"/>
      <c r="I570" s="1839"/>
      <c r="J570" s="1846"/>
    </row>
    <row r="571" spans="2:10" s="1824" customFormat="1" ht="16.2">
      <c r="B571" s="1909"/>
      <c r="C571" s="1842"/>
      <c r="D571" s="1834"/>
      <c r="E571" s="1835"/>
      <c r="F571" s="1843"/>
      <c r="G571" s="1844"/>
      <c r="H571" s="1845"/>
      <c r="I571" s="1839"/>
      <c r="J571" s="1846"/>
    </row>
    <row r="572" spans="2:10" s="1824" customFormat="1" ht="16.2">
      <c r="B572" s="1909"/>
      <c r="C572" s="1842"/>
      <c r="D572" s="1834"/>
      <c r="E572" s="1835"/>
      <c r="F572" s="1843"/>
      <c r="G572" s="1844"/>
      <c r="H572" s="1845"/>
      <c r="I572" s="1839"/>
      <c r="J572" s="1846"/>
    </row>
    <row r="573" spans="2:10" s="1824" customFormat="1" ht="16.2">
      <c r="B573" s="1909"/>
      <c r="C573" s="1842"/>
      <c r="D573" s="1834"/>
      <c r="E573" s="1835"/>
      <c r="F573" s="1843"/>
      <c r="G573" s="1844"/>
      <c r="H573" s="1845"/>
      <c r="I573" s="1839"/>
      <c r="J573" s="1846"/>
    </row>
    <row r="574" spans="2:10" s="1824" customFormat="1" ht="16.2">
      <c r="B574" s="1909"/>
      <c r="C574" s="1842"/>
      <c r="D574" s="1834"/>
      <c r="E574" s="1835"/>
      <c r="F574" s="1843"/>
      <c r="G574" s="1844"/>
      <c r="H574" s="1845"/>
      <c r="I574" s="1839"/>
      <c r="J574" s="1846"/>
    </row>
    <row r="575" spans="2:10" s="1824" customFormat="1" ht="16.2">
      <c r="B575" s="1909"/>
      <c r="C575" s="1842"/>
      <c r="D575" s="1834"/>
      <c r="E575" s="1835"/>
      <c r="F575" s="1843"/>
      <c r="G575" s="1844"/>
      <c r="H575" s="1845"/>
      <c r="I575" s="1839"/>
      <c r="J575" s="1846"/>
    </row>
    <row r="576" spans="2:10" s="1824" customFormat="1" ht="16.2">
      <c r="B576" s="1909"/>
      <c r="C576" s="1842"/>
      <c r="D576" s="1834"/>
      <c r="E576" s="1835"/>
      <c r="F576" s="1843"/>
      <c r="G576" s="1844"/>
      <c r="H576" s="1845"/>
      <c r="I576" s="1839"/>
      <c r="J576" s="1846"/>
    </row>
    <row r="577" spans="2:10" s="1824" customFormat="1" ht="16.2">
      <c r="B577" s="1909"/>
      <c r="C577" s="1842"/>
      <c r="D577" s="1834"/>
      <c r="E577" s="1835"/>
      <c r="F577" s="1843"/>
      <c r="G577" s="1844"/>
      <c r="H577" s="1845"/>
      <c r="I577" s="1839"/>
      <c r="J577" s="1846"/>
    </row>
    <row r="578" spans="2:10" s="1824" customFormat="1" ht="16.2">
      <c r="B578" s="1909"/>
      <c r="C578" s="1842"/>
      <c r="D578" s="1834"/>
      <c r="E578" s="1835"/>
      <c r="F578" s="1843"/>
      <c r="G578" s="1844"/>
      <c r="H578" s="1845"/>
      <c r="I578" s="1839"/>
      <c r="J578" s="1846"/>
    </row>
    <row r="579" spans="2:10" s="1824" customFormat="1" ht="16.2">
      <c r="B579" s="1909"/>
      <c r="C579" s="1842"/>
      <c r="D579" s="1834"/>
      <c r="E579" s="1835"/>
      <c r="F579" s="1843"/>
      <c r="G579" s="1844"/>
      <c r="H579" s="1845"/>
      <c r="I579" s="1839"/>
      <c r="J579" s="1846"/>
    </row>
    <row r="580" spans="2:10" s="1824" customFormat="1" ht="16.2">
      <c r="B580" s="1909"/>
      <c r="C580" s="1842"/>
      <c r="D580" s="1834"/>
      <c r="E580" s="1835"/>
      <c r="F580" s="1843"/>
      <c r="G580" s="1844"/>
      <c r="H580" s="1845"/>
      <c r="I580" s="1839"/>
      <c r="J580" s="1846"/>
    </row>
    <row r="581" spans="2:10" s="1824" customFormat="1" ht="16.2">
      <c r="B581" s="1909"/>
      <c r="C581" s="1842"/>
      <c r="D581" s="1834"/>
      <c r="E581" s="1835"/>
      <c r="F581" s="1843"/>
      <c r="G581" s="1844"/>
      <c r="H581" s="1845"/>
      <c r="I581" s="1839"/>
      <c r="J581" s="1846"/>
    </row>
    <row r="582" spans="2:10" s="1824" customFormat="1" ht="16.2">
      <c r="B582" s="1909"/>
      <c r="C582" s="1842"/>
      <c r="D582" s="1834"/>
      <c r="E582" s="1835"/>
      <c r="F582" s="1843"/>
      <c r="G582" s="1844"/>
      <c r="H582" s="1845"/>
      <c r="I582" s="1839"/>
      <c r="J582" s="1846"/>
    </row>
    <row r="583" spans="2:10" s="1824" customFormat="1" ht="16.2">
      <c r="B583" s="1909"/>
      <c r="C583" s="1842"/>
      <c r="D583" s="1834"/>
      <c r="E583" s="1835"/>
      <c r="F583" s="1843"/>
      <c r="G583" s="1844"/>
      <c r="H583" s="1845"/>
      <c r="I583" s="1839"/>
      <c r="J583" s="1846"/>
    </row>
    <row r="584" spans="2:10" s="1824" customFormat="1" ht="16.2">
      <c r="B584" s="1909"/>
      <c r="C584" s="1842"/>
      <c r="D584" s="1834"/>
      <c r="E584" s="1835"/>
      <c r="F584" s="1843"/>
      <c r="G584" s="1844"/>
      <c r="H584" s="1845"/>
      <c r="I584" s="1839"/>
      <c r="J584" s="1846"/>
    </row>
    <row r="585" spans="2:10" s="1824" customFormat="1" ht="16.2">
      <c r="B585" s="1909"/>
      <c r="C585" s="1842"/>
      <c r="D585" s="1834"/>
      <c r="E585" s="1835"/>
      <c r="F585" s="1843"/>
      <c r="G585" s="1844"/>
      <c r="H585" s="1845"/>
      <c r="I585" s="1839"/>
      <c r="J585" s="1846"/>
    </row>
    <row r="586" spans="2:10" s="1824" customFormat="1" ht="16.2">
      <c r="B586" s="1909"/>
      <c r="C586" s="1842"/>
      <c r="D586" s="1834"/>
      <c r="E586" s="1835"/>
      <c r="F586" s="1843"/>
      <c r="G586" s="1844"/>
      <c r="H586" s="1845"/>
      <c r="I586" s="1839"/>
      <c r="J586" s="1846"/>
    </row>
    <row r="587" spans="2:10" s="1824" customFormat="1" ht="16.2">
      <c r="B587" s="1909"/>
      <c r="C587" s="1842"/>
      <c r="D587" s="1834"/>
      <c r="E587" s="1835"/>
      <c r="F587" s="1843"/>
      <c r="G587" s="1844"/>
      <c r="H587" s="1845"/>
      <c r="I587" s="1839"/>
      <c r="J587" s="1846"/>
    </row>
    <row r="588" spans="2:10" s="1824" customFormat="1" ht="16.2">
      <c r="B588" s="1909"/>
      <c r="C588" s="1842"/>
      <c r="D588" s="1834"/>
      <c r="E588" s="1835"/>
      <c r="F588" s="1843"/>
      <c r="G588" s="1844"/>
      <c r="H588" s="1845"/>
      <c r="I588" s="1839"/>
      <c r="J588" s="1846"/>
    </row>
    <row r="589" spans="2:10" s="1824" customFormat="1" ht="16.2">
      <c r="B589" s="1909"/>
      <c r="C589" s="1842"/>
      <c r="D589" s="1834"/>
      <c r="E589" s="1835"/>
      <c r="F589" s="1843"/>
      <c r="G589" s="1844"/>
      <c r="H589" s="1845"/>
      <c r="I589" s="1839"/>
      <c r="J589" s="1846"/>
    </row>
    <row r="590" spans="2:10" s="1824" customFormat="1" ht="16.2">
      <c r="B590" s="1909"/>
      <c r="C590" s="1842"/>
      <c r="D590" s="1834"/>
      <c r="E590" s="1835"/>
      <c r="F590" s="1843"/>
      <c r="G590" s="1844"/>
      <c r="H590" s="1845"/>
      <c r="I590" s="1839"/>
      <c r="J590" s="1846"/>
    </row>
    <row r="591" spans="2:10" s="1824" customFormat="1" ht="16.2">
      <c r="B591" s="1909"/>
      <c r="C591" s="1842"/>
      <c r="D591" s="1834"/>
      <c r="E591" s="1835"/>
      <c r="F591" s="1843"/>
      <c r="G591" s="1844"/>
      <c r="H591" s="1845"/>
      <c r="I591" s="1839"/>
      <c r="J591" s="1846"/>
    </row>
    <row r="592" spans="2:10" s="1824" customFormat="1" ht="16.2">
      <c r="B592" s="1909"/>
      <c r="C592" s="1842"/>
      <c r="D592" s="1834"/>
      <c r="E592" s="1835"/>
      <c r="F592" s="1843"/>
      <c r="G592" s="1844"/>
      <c r="H592" s="1845"/>
      <c r="I592" s="1839"/>
      <c r="J592" s="1846"/>
    </row>
    <row r="593" spans="2:10" s="1824" customFormat="1" ht="16.2">
      <c r="B593" s="1909"/>
      <c r="C593" s="1842"/>
      <c r="D593" s="1834"/>
      <c r="E593" s="1835"/>
      <c r="F593" s="1843"/>
      <c r="G593" s="1844"/>
      <c r="H593" s="1845"/>
      <c r="I593" s="1839"/>
      <c r="J593" s="1846"/>
    </row>
    <row r="594" spans="2:10" s="1824" customFormat="1" ht="16.2">
      <c r="B594" s="1909"/>
      <c r="C594" s="1842"/>
      <c r="D594" s="1834"/>
      <c r="E594" s="1835"/>
      <c r="F594" s="1843"/>
      <c r="G594" s="1844"/>
      <c r="H594" s="1845"/>
      <c r="I594" s="1839"/>
      <c r="J594" s="1846"/>
    </row>
    <row r="595" spans="2:10" s="1824" customFormat="1" ht="16.2">
      <c r="B595" s="1909"/>
      <c r="C595" s="1842"/>
      <c r="D595" s="1834"/>
      <c r="E595" s="1835"/>
      <c r="F595" s="1843"/>
      <c r="G595" s="1844"/>
      <c r="H595" s="1845"/>
      <c r="I595" s="1839"/>
      <c r="J595" s="1846"/>
    </row>
    <row r="596" spans="2:10" s="1824" customFormat="1" ht="16.2">
      <c r="B596" s="1909"/>
      <c r="C596" s="1842"/>
      <c r="D596" s="1834"/>
      <c r="E596" s="1835"/>
      <c r="F596" s="1843"/>
      <c r="G596" s="1844"/>
      <c r="H596" s="1845"/>
      <c r="I596" s="1839"/>
      <c r="J596" s="1846"/>
    </row>
    <row r="597" spans="2:10" s="1824" customFormat="1" ht="16.2">
      <c r="B597" s="1909"/>
      <c r="C597" s="1842"/>
      <c r="D597" s="1834"/>
      <c r="E597" s="1835"/>
      <c r="F597" s="1843"/>
      <c r="G597" s="1844"/>
      <c r="H597" s="1845"/>
      <c r="I597" s="1839"/>
      <c r="J597" s="1846"/>
    </row>
    <row r="598" spans="2:10" s="1824" customFormat="1" ht="16.2">
      <c r="B598" s="1909"/>
      <c r="C598" s="1842"/>
      <c r="D598" s="1834"/>
      <c r="E598" s="1835"/>
      <c r="F598" s="1843"/>
      <c r="G598" s="1844"/>
      <c r="H598" s="1845"/>
      <c r="I598" s="1839"/>
      <c r="J598" s="1846"/>
    </row>
    <row r="599" spans="2:10" s="1824" customFormat="1" ht="16.2">
      <c r="B599" s="1909"/>
      <c r="C599" s="1842"/>
      <c r="D599" s="1834"/>
      <c r="E599" s="1835"/>
      <c r="F599" s="1843"/>
      <c r="G599" s="1844"/>
      <c r="H599" s="1845"/>
      <c r="I599" s="1839"/>
      <c r="J599" s="1846"/>
    </row>
    <row r="600" spans="2:10" s="1824" customFormat="1" ht="16.2">
      <c r="B600" s="1909"/>
      <c r="C600" s="1842"/>
      <c r="D600" s="1834"/>
      <c r="E600" s="1835"/>
      <c r="F600" s="1843"/>
      <c r="G600" s="1844"/>
      <c r="H600" s="1845"/>
      <c r="I600" s="1839"/>
      <c r="J600" s="1846"/>
    </row>
    <row r="601" spans="2:10" s="1824" customFormat="1" ht="16.2">
      <c r="B601" s="1909"/>
      <c r="C601" s="1842"/>
      <c r="D601" s="1834"/>
      <c r="E601" s="1835"/>
      <c r="F601" s="1843"/>
      <c r="G601" s="1844"/>
      <c r="H601" s="1845"/>
      <c r="I601" s="1847"/>
      <c r="J601" s="1846"/>
    </row>
    <row r="602" spans="2:10" s="1824" customFormat="1" ht="16.2">
      <c r="B602" s="1909"/>
      <c r="C602" s="1842"/>
      <c r="D602" s="1834"/>
      <c r="E602" s="1835"/>
      <c r="F602" s="1843"/>
      <c r="G602" s="1844"/>
      <c r="H602" s="1845"/>
      <c r="I602" s="1847"/>
      <c r="J602" s="1846"/>
    </row>
    <row r="603" spans="2:10" s="1824" customFormat="1" ht="16.2">
      <c r="B603" s="1909"/>
      <c r="C603" s="1842"/>
      <c r="D603" s="1834"/>
      <c r="E603" s="1835"/>
      <c r="F603" s="1843"/>
      <c r="G603" s="1844"/>
      <c r="H603" s="1845"/>
      <c r="I603" s="1847"/>
      <c r="J603" s="1846"/>
    </row>
    <row r="604" spans="2:10" s="1824" customFormat="1" ht="16.2">
      <c r="B604" s="1909"/>
      <c r="C604" s="1842"/>
      <c r="D604" s="1834"/>
      <c r="E604" s="1835"/>
      <c r="F604" s="1843"/>
      <c r="G604" s="1844"/>
      <c r="H604" s="1845"/>
      <c r="I604" s="1847"/>
      <c r="J604" s="1846"/>
    </row>
    <row r="605" spans="2:10" s="1824" customFormat="1" ht="16.2">
      <c r="B605" s="1909"/>
      <c r="C605" s="1842"/>
      <c r="D605" s="1834"/>
      <c r="E605" s="1835"/>
      <c r="F605" s="1843"/>
      <c r="G605" s="1844"/>
      <c r="H605" s="1845"/>
      <c r="I605" s="1847"/>
      <c r="J605" s="1846"/>
    </row>
    <row r="606" spans="2:10" s="1824" customFormat="1" ht="16.2">
      <c r="B606" s="1909"/>
      <c r="C606" s="1842"/>
      <c r="D606" s="1834"/>
      <c r="E606" s="1835"/>
      <c r="F606" s="1843"/>
      <c r="G606" s="1844"/>
      <c r="H606" s="1845"/>
      <c r="I606" s="1847"/>
      <c r="J606" s="1846"/>
    </row>
    <row r="607" spans="2:10" s="1824" customFormat="1" ht="16.2">
      <c r="B607" s="1909"/>
      <c r="C607" s="1842"/>
      <c r="D607" s="1834"/>
      <c r="E607" s="1835"/>
      <c r="F607" s="1843"/>
      <c r="G607" s="1844"/>
      <c r="H607" s="1845"/>
      <c r="I607" s="1847"/>
      <c r="J607" s="1846"/>
    </row>
    <row r="608" spans="2:10" s="1824" customFormat="1" ht="16.2">
      <c r="B608" s="1909"/>
      <c r="C608" s="1842"/>
      <c r="D608" s="1834"/>
      <c r="E608" s="1835"/>
      <c r="F608" s="1843"/>
      <c r="G608" s="1844"/>
      <c r="H608" s="1845"/>
      <c r="I608" s="1847"/>
      <c r="J608" s="1846"/>
    </row>
    <row r="609" spans="2:10" s="1824" customFormat="1" ht="16.2">
      <c r="B609" s="1909"/>
      <c r="C609" s="1842"/>
      <c r="D609" s="1834"/>
      <c r="E609" s="1835"/>
      <c r="F609" s="1843"/>
      <c r="G609" s="1844"/>
      <c r="H609" s="1845"/>
      <c r="I609" s="1847"/>
      <c r="J609" s="1846"/>
    </row>
    <row r="610" spans="2:10" s="1824" customFormat="1" ht="16.2">
      <c r="B610" s="1909"/>
      <c r="C610" s="1842"/>
      <c r="D610" s="1834"/>
      <c r="E610" s="1835"/>
      <c r="F610" s="1843"/>
      <c r="G610" s="1844"/>
      <c r="H610" s="1845"/>
      <c r="I610" s="1847"/>
      <c r="J610" s="1846"/>
    </row>
    <row r="611" spans="2:10" s="1824" customFormat="1" ht="16.2">
      <c r="B611" s="1909"/>
      <c r="C611" s="1842"/>
      <c r="D611" s="1834"/>
      <c r="E611" s="1835"/>
      <c r="F611" s="1843"/>
      <c r="G611" s="1844"/>
      <c r="H611" s="1845"/>
      <c r="I611" s="1847"/>
      <c r="J611" s="1846"/>
    </row>
    <row r="612" spans="2:10" s="1824" customFormat="1" ht="16.2">
      <c r="B612" s="1909"/>
      <c r="C612" s="1842"/>
      <c r="D612" s="1834"/>
      <c r="E612" s="1835"/>
      <c r="F612" s="1843"/>
      <c r="G612" s="1844"/>
      <c r="H612" s="1845"/>
      <c r="I612" s="1847"/>
      <c r="J612" s="1846"/>
    </row>
    <row r="613" spans="2:10" s="1824" customFormat="1" ht="16.2">
      <c r="B613" s="1909"/>
      <c r="C613" s="1842"/>
      <c r="D613" s="1834"/>
      <c r="E613" s="1835"/>
      <c r="F613" s="1843"/>
      <c r="G613" s="1844"/>
      <c r="H613" s="1845"/>
      <c r="I613" s="1847"/>
      <c r="J613" s="1846"/>
    </row>
    <row r="614" spans="2:10" s="1824" customFormat="1" ht="16.2">
      <c r="B614" s="1909"/>
      <c r="C614" s="1842"/>
      <c r="D614" s="1834"/>
      <c r="E614" s="1835"/>
      <c r="F614" s="1843"/>
      <c r="G614" s="1844"/>
      <c r="H614" s="1845"/>
      <c r="I614" s="1847"/>
      <c r="J614" s="1846"/>
    </row>
    <row r="615" spans="2:10" s="1824" customFormat="1" ht="16.2">
      <c r="B615" s="1909"/>
      <c r="C615" s="1842"/>
      <c r="D615" s="1834"/>
      <c r="E615" s="1835"/>
      <c r="F615" s="1843"/>
      <c r="G615" s="1844"/>
      <c r="H615" s="1845"/>
      <c r="I615" s="1847"/>
      <c r="J615" s="1846"/>
    </row>
    <row r="616" spans="2:10" s="1824" customFormat="1" ht="16.2">
      <c r="B616" s="1909"/>
      <c r="C616" s="1842"/>
      <c r="D616" s="1834"/>
      <c r="E616" s="1835"/>
      <c r="F616" s="1843"/>
      <c r="G616" s="1844"/>
      <c r="H616" s="1845"/>
      <c r="I616" s="1847"/>
      <c r="J616" s="1846"/>
    </row>
    <row r="617" spans="2:10" s="1824" customFormat="1" ht="16.2">
      <c r="B617" s="1909"/>
      <c r="C617" s="1842"/>
      <c r="D617" s="1834"/>
      <c r="E617" s="1835"/>
      <c r="F617" s="1843"/>
      <c r="G617" s="1844"/>
      <c r="H617" s="1845"/>
      <c r="I617" s="1847"/>
      <c r="J617" s="1846"/>
    </row>
    <row r="618" spans="2:10" s="1824" customFormat="1" ht="16.2">
      <c r="B618" s="1909"/>
      <c r="C618" s="1842"/>
      <c r="D618" s="1834"/>
      <c r="E618" s="1835"/>
      <c r="F618" s="1843"/>
      <c r="G618" s="1844"/>
      <c r="H618" s="1845"/>
      <c r="I618" s="1847"/>
      <c r="J618" s="1846"/>
    </row>
    <row r="619" spans="2:10" s="1824" customFormat="1" ht="16.2">
      <c r="B619" s="1909"/>
      <c r="C619" s="1842"/>
      <c r="D619" s="1834"/>
      <c r="E619" s="1835"/>
      <c r="F619" s="1843"/>
      <c r="G619" s="1844"/>
      <c r="H619" s="1845"/>
      <c r="I619" s="1847"/>
      <c r="J619" s="1846"/>
    </row>
    <row r="620" spans="2:10" s="1824" customFormat="1" ht="16.2">
      <c r="B620" s="1909"/>
      <c r="C620" s="1842"/>
      <c r="D620" s="1834"/>
      <c r="E620" s="1835"/>
      <c r="F620" s="1843"/>
      <c r="G620" s="1844"/>
      <c r="H620" s="1845"/>
      <c r="I620" s="1847"/>
      <c r="J620" s="1846"/>
    </row>
    <row r="621" spans="2:10" s="1824" customFormat="1" ht="16.2">
      <c r="B621" s="1909"/>
      <c r="C621" s="1842"/>
      <c r="D621" s="1834"/>
      <c r="E621" s="1835"/>
      <c r="F621" s="1843"/>
      <c r="G621" s="1844"/>
      <c r="H621" s="1845"/>
      <c r="I621" s="1847"/>
      <c r="J621" s="1846"/>
    </row>
    <row r="622" spans="2:10" s="1824" customFormat="1" ht="16.2">
      <c r="B622" s="1909"/>
      <c r="C622" s="1842"/>
      <c r="D622" s="1834"/>
      <c r="E622" s="1835"/>
      <c r="F622" s="1843"/>
      <c r="G622" s="1844"/>
      <c r="H622" s="1845"/>
      <c r="I622" s="1847"/>
      <c r="J622" s="1846"/>
    </row>
    <row r="623" spans="2:10" s="1824" customFormat="1" ht="16.2">
      <c r="B623" s="1909"/>
      <c r="C623" s="1842"/>
      <c r="D623" s="1834"/>
      <c r="E623" s="1835"/>
      <c r="F623" s="1843"/>
      <c r="G623" s="1844"/>
      <c r="H623" s="1845"/>
      <c r="I623" s="1847"/>
      <c r="J623" s="1846"/>
    </row>
    <row r="624" spans="2:10" s="1824" customFormat="1" ht="16.2">
      <c r="B624" s="1909"/>
      <c r="C624" s="1842"/>
      <c r="D624" s="1834"/>
      <c r="E624" s="1835"/>
      <c r="F624" s="1843"/>
      <c r="G624" s="1844"/>
      <c r="H624" s="1845"/>
      <c r="I624" s="1847"/>
      <c r="J624" s="1846"/>
    </row>
    <row r="625" spans="2:10" s="1824" customFormat="1" ht="16.2">
      <c r="B625" s="1909"/>
      <c r="C625" s="1842"/>
      <c r="D625" s="1834"/>
      <c r="E625" s="1835"/>
      <c r="F625" s="1843"/>
      <c r="G625" s="1844"/>
      <c r="H625" s="1845"/>
      <c r="I625" s="1847"/>
      <c r="J625" s="1846"/>
    </row>
    <row r="626" spans="2:10" s="1824" customFormat="1" ht="16.2">
      <c r="B626" s="1909"/>
      <c r="C626" s="1842"/>
      <c r="D626" s="1834"/>
      <c r="E626" s="1835"/>
      <c r="F626" s="1843"/>
      <c r="G626" s="1844"/>
      <c r="H626" s="1845"/>
      <c r="I626" s="1847"/>
      <c r="J626" s="1846"/>
    </row>
    <row r="627" spans="2:10" s="1824" customFormat="1" ht="16.2">
      <c r="B627" s="1909"/>
      <c r="C627" s="1842"/>
      <c r="D627" s="1834"/>
      <c r="E627" s="1835"/>
      <c r="F627" s="1843"/>
      <c r="G627" s="1844"/>
      <c r="H627" s="1845"/>
      <c r="I627" s="1847"/>
      <c r="J627" s="1846"/>
    </row>
    <row r="628" spans="2:10" s="1824" customFormat="1" ht="16.2">
      <c r="B628" s="1909"/>
      <c r="C628" s="1842"/>
      <c r="D628" s="1834"/>
      <c r="E628" s="1835"/>
      <c r="F628" s="1843"/>
      <c r="G628" s="1844"/>
      <c r="H628" s="1845"/>
      <c r="I628" s="1847"/>
      <c r="J628" s="1846"/>
    </row>
    <row r="629" spans="2:10" s="1824" customFormat="1" ht="16.2">
      <c r="B629" s="1909"/>
      <c r="C629" s="1842"/>
      <c r="D629" s="1834"/>
      <c r="E629" s="1835"/>
      <c r="F629" s="1843"/>
      <c r="G629" s="1844"/>
      <c r="H629" s="1845"/>
      <c r="I629" s="1847"/>
      <c r="J629" s="1846"/>
    </row>
    <row r="630" spans="2:10" s="1824" customFormat="1" ht="16.2">
      <c r="B630" s="1909"/>
      <c r="C630" s="1842"/>
      <c r="D630" s="1834"/>
      <c r="E630" s="1835"/>
      <c r="F630" s="1843"/>
      <c r="G630" s="1844"/>
      <c r="H630" s="1845"/>
      <c r="I630" s="1847"/>
      <c r="J630" s="1846"/>
    </row>
    <row r="631" spans="2:10" s="1824" customFormat="1" ht="16.2">
      <c r="B631" s="1909"/>
      <c r="C631" s="1842"/>
      <c r="D631" s="1834"/>
      <c r="E631" s="1835"/>
      <c r="F631" s="1843"/>
      <c r="G631" s="1844"/>
      <c r="H631" s="1845"/>
      <c r="I631" s="1847"/>
      <c r="J631" s="1846"/>
    </row>
    <row r="632" spans="2:10" s="1824" customFormat="1" ht="16.2">
      <c r="B632" s="1909"/>
      <c r="C632" s="1842"/>
      <c r="D632" s="1834"/>
      <c r="E632" s="1835"/>
      <c r="F632" s="1843"/>
      <c r="G632" s="1844"/>
      <c r="H632" s="1845"/>
      <c r="I632" s="1847"/>
      <c r="J632" s="1846"/>
    </row>
    <row r="633" spans="2:10" s="1824" customFormat="1" ht="16.2">
      <c r="B633" s="1909"/>
      <c r="C633" s="1842"/>
      <c r="D633" s="1834"/>
      <c r="E633" s="1835"/>
      <c r="F633" s="1843"/>
      <c r="G633" s="1844"/>
      <c r="H633" s="1845"/>
      <c r="I633" s="1847"/>
      <c r="J633" s="1846"/>
    </row>
    <row r="634" spans="2:10" s="1824" customFormat="1" ht="16.2">
      <c r="B634" s="1909"/>
      <c r="C634" s="1842"/>
      <c r="D634" s="1834"/>
      <c r="E634" s="1835"/>
      <c r="F634" s="1843"/>
      <c r="G634" s="1844"/>
      <c r="H634" s="1845"/>
      <c r="I634" s="1847"/>
      <c r="J634" s="1846"/>
    </row>
    <row r="635" spans="2:10" s="1824" customFormat="1" ht="16.2">
      <c r="B635" s="1909"/>
      <c r="C635" s="1842"/>
      <c r="D635" s="1834"/>
      <c r="E635" s="1835"/>
      <c r="F635" s="1843"/>
      <c r="G635" s="1844"/>
      <c r="H635" s="1845"/>
      <c r="I635" s="1847"/>
      <c r="J635" s="1846"/>
    </row>
    <row r="636" spans="2:10" s="1824" customFormat="1" ht="16.2">
      <c r="B636" s="1909"/>
      <c r="C636" s="1842"/>
      <c r="D636" s="1834"/>
      <c r="E636" s="1835"/>
      <c r="F636" s="1843"/>
      <c r="G636" s="1844"/>
      <c r="H636" s="1845"/>
      <c r="I636" s="1847"/>
      <c r="J636" s="1846"/>
    </row>
    <row r="637" spans="2:10" s="1824" customFormat="1" ht="16.2">
      <c r="B637" s="1909"/>
      <c r="C637" s="1842"/>
      <c r="D637" s="1834"/>
      <c r="E637" s="1835"/>
      <c r="F637" s="1843"/>
      <c r="G637" s="1844"/>
      <c r="H637" s="1845"/>
      <c r="I637" s="1847"/>
      <c r="J637" s="1846"/>
    </row>
    <row r="638" spans="2:10" s="1824" customFormat="1" ht="16.2">
      <c r="B638" s="1909"/>
      <c r="C638" s="1842"/>
      <c r="D638" s="1834"/>
      <c r="E638" s="1835"/>
      <c r="F638" s="1843"/>
      <c r="G638" s="1844"/>
      <c r="H638" s="1845"/>
      <c r="I638" s="1847"/>
      <c r="J638" s="1846"/>
    </row>
    <row r="639" spans="2:10" s="1824" customFormat="1" ht="16.2">
      <c r="B639" s="1909"/>
      <c r="C639" s="1842"/>
      <c r="D639" s="1834"/>
      <c r="E639" s="1835"/>
      <c r="F639" s="1843"/>
      <c r="G639" s="1844"/>
      <c r="H639" s="1845"/>
      <c r="I639" s="1847"/>
      <c r="J639" s="1846"/>
    </row>
    <row r="640" spans="2:10" s="1824" customFormat="1" ht="16.2">
      <c r="B640" s="1909"/>
      <c r="C640" s="1842"/>
      <c r="D640" s="1834"/>
      <c r="E640" s="1835"/>
      <c r="F640" s="1843"/>
      <c r="G640" s="1844"/>
      <c r="H640" s="1845"/>
      <c r="I640" s="1847"/>
      <c r="J640" s="1846"/>
    </row>
    <row r="641" spans="2:10" s="1824" customFormat="1" ht="16.2">
      <c r="B641" s="1909"/>
      <c r="C641" s="1842"/>
      <c r="D641" s="1834"/>
      <c r="E641" s="1835"/>
      <c r="F641" s="1843"/>
      <c r="G641" s="1844"/>
      <c r="H641" s="1845"/>
      <c r="I641" s="1847"/>
      <c r="J641" s="1846"/>
    </row>
    <row r="642" spans="2:10" s="1824" customFormat="1" ht="16.2">
      <c r="B642" s="1909"/>
      <c r="C642" s="1842"/>
      <c r="D642" s="1834"/>
      <c r="E642" s="1835"/>
      <c r="F642" s="1843"/>
      <c r="G642" s="1844"/>
      <c r="H642" s="1845"/>
      <c r="I642" s="1847"/>
      <c r="J642" s="1846"/>
    </row>
    <row r="643" spans="2:10" s="1824" customFormat="1" ht="16.2">
      <c r="B643" s="1909"/>
      <c r="C643" s="1842"/>
      <c r="D643" s="1834"/>
      <c r="E643" s="1835"/>
      <c r="F643" s="1843"/>
      <c r="G643" s="1844"/>
      <c r="H643" s="1845"/>
      <c r="I643" s="1847"/>
      <c r="J643" s="1846"/>
    </row>
    <row r="644" spans="2:10" s="1824" customFormat="1" ht="16.2">
      <c r="B644" s="1909"/>
      <c r="C644" s="1842"/>
      <c r="D644" s="1834"/>
      <c r="E644" s="1835"/>
      <c r="F644" s="1843"/>
      <c r="G644" s="1844"/>
      <c r="H644" s="1845"/>
      <c r="I644" s="1847"/>
      <c r="J644" s="1846"/>
    </row>
    <row r="645" spans="2:10" s="1824" customFormat="1" ht="16.2">
      <c r="B645" s="1909"/>
      <c r="C645" s="1842"/>
      <c r="D645" s="1834"/>
      <c r="E645" s="1835"/>
      <c r="F645" s="1843"/>
      <c r="G645" s="1844"/>
      <c r="H645" s="1845"/>
      <c r="I645" s="1847"/>
      <c r="J645" s="1846"/>
    </row>
    <row r="646" spans="2:10" s="1824" customFormat="1" ht="16.2">
      <c r="B646" s="1909"/>
      <c r="C646" s="1842"/>
      <c r="D646" s="1834"/>
      <c r="E646" s="1835"/>
      <c r="F646" s="1843"/>
      <c r="G646" s="1844"/>
      <c r="H646" s="1845"/>
      <c r="I646" s="1847"/>
      <c r="J646" s="1846"/>
    </row>
    <row r="647" spans="2:10" s="1824" customFormat="1" ht="16.2">
      <c r="B647" s="1909"/>
      <c r="C647" s="1842"/>
      <c r="D647" s="1834"/>
      <c r="E647" s="1835"/>
      <c r="F647" s="1843"/>
      <c r="G647" s="1844"/>
      <c r="H647" s="1845"/>
      <c r="I647" s="1847"/>
      <c r="J647" s="1846"/>
    </row>
    <row r="648" spans="2:10" s="1824" customFormat="1" ht="16.2">
      <c r="B648" s="1909"/>
      <c r="C648" s="1842"/>
      <c r="D648" s="1834"/>
      <c r="E648" s="1835"/>
      <c r="F648" s="1843"/>
      <c r="G648" s="1844"/>
      <c r="H648" s="1845"/>
      <c r="I648" s="1847"/>
      <c r="J648" s="1846"/>
    </row>
    <row r="649" spans="2:10" s="1824" customFormat="1" ht="16.2">
      <c r="B649" s="1909"/>
      <c r="C649" s="1842"/>
      <c r="D649" s="1834"/>
      <c r="E649" s="1835"/>
      <c r="F649" s="1843"/>
      <c r="G649" s="1844"/>
      <c r="H649" s="1845"/>
      <c r="I649" s="1847"/>
      <c r="J649" s="1846"/>
    </row>
    <row r="650" spans="2:10" s="1824" customFormat="1" ht="16.2">
      <c r="B650" s="1909"/>
      <c r="C650" s="1842"/>
      <c r="D650" s="1834"/>
      <c r="E650" s="1835"/>
      <c r="F650" s="1843"/>
      <c r="G650" s="1844"/>
      <c r="H650" s="1845"/>
      <c r="I650" s="1847"/>
      <c r="J650" s="1846"/>
    </row>
    <row r="651" spans="2:10" s="1824" customFormat="1" ht="16.2">
      <c r="B651" s="1909"/>
      <c r="C651" s="1842"/>
      <c r="D651" s="1834"/>
      <c r="E651" s="1835"/>
      <c r="F651" s="1843"/>
      <c r="G651" s="1844"/>
      <c r="H651" s="1845"/>
      <c r="I651" s="1847"/>
      <c r="J651" s="1846"/>
    </row>
    <row r="652" spans="2:10" s="1824" customFormat="1" ht="16.2">
      <c r="B652" s="1909"/>
      <c r="C652" s="1842"/>
      <c r="D652" s="1834"/>
      <c r="E652" s="1835"/>
      <c r="F652" s="1843"/>
      <c r="G652" s="1844"/>
      <c r="H652" s="1845"/>
      <c r="I652" s="1847"/>
      <c r="J652" s="1846"/>
    </row>
    <row r="653" spans="2:10" s="1824" customFormat="1" ht="16.2">
      <c r="B653" s="1909"/>
      <c r="C653" s="1842"/>
      <c r="D653" s="1834"/>
      <c r="E653" s="1835"/>
      <c r="F653" s="1843"/>
      <c r="G653" s="1844"/>
      <c r="H653" s="1845"/>
      <c r="I653" s="1847"/>
      <c r="J653" s="1846"/>
    </row>
    <row r="654" spans="2:10" s="1824" customFormat="1" ht="16.2">
      <c r="B654" s="1909"/>
      <c r="C654" s="1842"/>
      <c r="D654" s="1834"/>
      <c r="E654" s="1835"/>
      <c r="F654" s="1843"/>
      <c r="G654" s="1844"/>
      <c r="H654" s="1845"/>
      <c r="I654" s="1847"/>
      <c r="J654" s="1846"/>
    </row>
    <row r="655" spans="2:10" s="1824" customFormat="1" ht="16.2">
      <c r="B655" s="1909"/>
      <c r="C655" s="1842"/>
      <c r="D655" s="1834"/>
      <c r="E655" s="1835"/>
      <c r="F655" s="1843"/>
      <c r="G655" s="1844"/>
      <c r="H655" s="1845"/>
      <c r="I655" s="1847"/>
      <c r="J655" s="1846"/>
    </row>
    <row r="656" spans="2:10" s="1824" customFormat="1" ht="16.2">
      <c r="B656" s="1909"/>
      <c r="C656" s="1842"/>
      <c r="D656" s="1834"/>
      <c r="E656" s="1835"/>
      <c r="F656" s="1843"/>
      <c r="G656" s="1844"/>
      <c r="H656" s="1845"/>
      <c r="I656" s="1847"/>
      <c r="J656" s="1846"/>
    </row>
    <row r="657" spans="2:10" s="1824" customFormat="1" ht="16.2">
      <c r="B657" s="1909"/>
      <c r="C657" s="1842"/>
      <c r="D657" s="1834"/>
      <c r="E657" s="1835"/>
      <c r="F657" s="1843"/>
      <c r="G657" s="1844"/>
      <c r="H657" s="1845"/>
      <c r="I657" s="1847"/>
      <c r="J657" s="1846"/>
    </row>
    <row r="658" spans="2:10" s="1824" customFormat="1" ht="16.2">
      <c r="B658" s="1909"/>
      <c r="C658" s="1842"/>
      <c r="D658" s="1834"/>
      <c r="E658" s="1835"/>
      <c r="F658" s="1843"/>
      <c r="G658" s="1844"/>
      <c r="H658" s="1845"/>
      <c r="I658" s="1847"/>
      <c r="J658" s="1846"/>
    </row>
    <row r="659" spans="2:10" s="1824" customFormat="1" ht="16.2">
      <c r="B659" s="1909"/>
      <c r="C659" s="1842"/>
      <c r="D659" s="1834"/>
      <c r="E659" s="1835"/>
      <c r="F659" s="1843"/>
      <c r="G659" s="1844"/>
      <c r="H659" s="1845"/>
      <c r="I659" s="1847"/>
      <c r="J659" s="1846"/>
    </row>
    <row r="660" spans="2:10" s="1824" customFormat="1" ht="16.2">
      <c r="B660" s="1909"/>
      <c r="C660" s="1842"/>
      <c r="D660" s="1834"/>
      <c r="E660" s="1835"/>
      <c r="F660" s="1843"/>
      <c r="G660" s="1844"/>
      <c r="H660" s="1845"/>
      <c r="I660" s="1847"/>
      <c r="J660" s="1846"/>
    </row>
    <row r="661" spans="2:10" s="1824" customFormat="1" ht="16.2">
      <c r="B661" s="1909"/>
      <c r="C661" s="1842"/>
      <c r="D661" s="1834"/>
      <c r="E661" s="1835"/>
      <c r="F661" s="1843"/>
      <c r="G661" s="1844"/>
      <c r="H661" s="1845"/>
      <c r="I661" s="1847"/>
      <c r="J661" s="1846"/>
    </row>
    <row r="662" spans="2:10" s="1824" customFormat="1" ht="16.2">
      <c r="B662" s="1909"/>
      <c r="C662" s="1842"/>
      <c r="D662" s="1834"/>
      <c r="E662" s="1835"/>
      <c r="F662" s="1843"/>
      <c r="G662" s="1844"/>
      <c r="H662" s="1845"/>
      <c r="I662" s="1847"/>
      <c r="J662" s="1846"/>
    </row>
    <row r="663" spans="2:10" s="1824" customFormat="1" ht="16.2">
      <c r="B663" s="1909"/>
      <c r="C663" s="1842"/>
      <c r="D663" s="1834"/>
      <c r="E663" s="1835"/>
      <c r="F663" s="1843"/>
      <c r="G663" s="1844"/>
      <c r="H663" s="1845"/>
      <c r="I663" s="1847"/>
      <c r="J663" s="1846"/>
    </row>
    <row r="664" spans="2:10" s="1824" customFormat="1" ht="16.2">
      <c r="B664" s="1909"/>
      <c r="C664" s="1842"/>
      <c r="D664" s="1834"/>
      <c r="E664" s="1835"/>
      <c r="F664" s="1843"/>
      <c r="G664" s="1844"/>
      <c r="H664" s="1845"/>
      <c r="I664" s="1847"/>
      <c r="J664" s="1846"/>
    </row>
    <row r="665" spans="2:10" s="1824" customFormat="1" ht="16.2">
      <c r="B665" s="1909"/>
      <c r="C665" s="1842"/>
      <c r="D665" s="1834"/>
      <c r="E665" s="1835"/>
      <c r="F665" s="1843"/>
      <c r="G665" s="1844"/>
      <c r="H665" s="1845"/>
      <c r="I665" s="1847"/>
      <c r="J665" s="1846"/>
    </row>
    <row r="666" spans="2:10" s="1824" customFormat="1" ht="16.2">
      <c r="B666" s="1909"/>
      <c r="C666" s="1842"/>
      <c r="D666" s="1834"/>
      <c r="E666" s="1835"/>
      <c r="F666" s="1843"/>
      <c r="G666" s="1844"/>
      <c r="H666" s="1845"/>
      <c r="I666" s="1847"/>
      <c r="J666" s="1846"/>
    </row>
    <row r="667" spans="2:10" s="1824" customFormat="1" ht="16.2">
      <c r="B667" s="1909"/>
      <c r="C667" s="1842"/>
      <c r="D667" s="1834"/>
      <c r="E667" s="1835"/>
      <c r="F667" s="1843"/>
      <c r="G667" s="1844"/>
      <c r="H667" s="1845"/>
      <c r="I667" s="1847"/>
      <c r="J667" s="1846"/>
    </row>
    <row r="668" spans="2:10" s="1824" customFormat="1" ht="16.2">
      <c r="B668" s="1909"/>
      <c r="C668" s="1842"/>
      <c r="D668" s="1834"/>
      <c r="E668" s="1835"/>
      <c r="F668" s="1843"/>
      <c r="G668" s="1844"/>
      <c r="H668" s="1845"/>
      <c r="I668" s="1847"/>
      <c r="J668" s="1846"/>
    </row>
    <row r="669" spans="2:10" s="1824" customFormat="1" ht="16.2">
      <c r="B669" s="1909"/>
      <c r="C669" s="1842"/>
      <c r="D669" s="1834"/>
      <c r="E669" s="1835"/>
      <c r="F669" s="1843"/>
      <c r="G669" s="1844"/>
      <c r="H669" s="1845"/>
      <c r="I669" s="1847"/>
      <c r="J669" s="1846"/>
    </row>
    <row r="670" spans="2:10" s="1824" customFormat="1" ht="16.2">
      <c r="B670" s="1909"/>
      <c r="C670" s="1842"/>
      <c r="D670" s="1834"/>
      <c r="E670" s="1835"/>
      <c r="F670" s="1843"/>
      <c r="G670" s="1844"/>
      <c r="H670" s="1845"/>
      <c r="I670" s="1847"/>
      <c r="J670" s="1846"/>
    </row>
    <row r="671" spans="2:10" s="1824" customFormat="1" ht="16.2">
      <c r="B671" s="1909"/>
      <c r="C671" s="1842"/>
      <c r="D671" s="1834"/>
      <c r="E671" s="1835"/>
      <c r="F671" s="1843"/>
      <c r="G671" s="1844"/>
      <c r="H671" s="1845"/>
      <c r="I671" s="1847"/>
      <c r="J671" s="1846"/>
    </row>
    <row r="672" spans="2:10" s="1824" customFormat="1" ht="16.2">
      <c r="B672" s="1909"/>
      <c r="C672" s="1842"/>
      <c r="D672" s="1834"/>
      <c r="E672" s="1835"/>
      <c r="F672" s="1843"/>
      <c r="G672" s="1844"/>
      <c r="H672" s="1845"/>
      <c r="I672" s="1847"/>
      <c r="J672" s="1846"/>
    </row>
    <row r="673" spans="2:10" s="1824" customFormat="1" ht="16.2">
      <c r="B673" s="1909"/>
      <c r="C673" s="1842"/>
      <c r="D673" s="1834"/>
      <c r="E673" s="1835"/>
      <c r="F673" s="1843"/>
      <c r="G673" s="1844"/>
      <c r="H673" s="1845"/>
      <c r="I673" s="1847"/>
      <c r="J673" s="1846"/>
    </row>
    <row r="674" spans="2:10" s="1824" customFormat="1" ht="16.2">
      <c r="B674" s="1909"/>
      <c r="C674" s="1842"/>
      <c r="D674" s="1834"/>
      <c r="E674" s="1835"/>
      <c r="F674" s="1843"/>
      <c r="G674" s="1844"/>
      <c r="H674" s="1845"/>
      <c r="I674" s="1847"/>
      <c r="J674" s="1846"/>
    </row>
    <row r="675" spans="2:10" s="1824" customFormat="1" ht="16.2">
      <c r="B675" s="1909"/>
      <c r="C675" s="1842"/>
      <c r="D675" s="1834"/>
      <c r="E675" s="1835"/>
      <c r="F675" s="1843"/>
      <c r="G675" s="1844"/>
      <c r="H675" s="1845"/>
      <c r="I675" s="1847"/>
      <c r="J675" s="1846"/>
    </row>
    <row r="676" spans="2:10" s="1824" customFormat="1" ht="16.2">
      <c r="B676" s="1909"/>
      <c r="C676" s="1842"/>
      <c r="D676" s="1834"/>
      <c r="E676" s="1835"/>
      <c r="F676" s="1843"/>
      <c r="G676" s="1844"/>
      <c r="H676" s="1845"/>
      <c r="I676" s="1847"/>
      <c r="J676" s="1846"/>
    </row>
    <row r="677" spans="2:10" s="1824" customFormat="1" ht="16.2">
      <c r="B677" s="1909"/>
      <c r="C677" s="1842"/>
      <c r="D677" s="1834"/>
      <c r="E677" s="1835"/>
      <c r="F677" s="1843"/>
      <c r="G677" s="1844"/>
      <c r="H677" s="1845"/>
      <c r="I677" s="1847"/>
      <c r="J677" s="1846"/>
    </row>
    <row r="678" spans="2:10" s="1824" customFormat="1" ht="16.2">
      <c r="B678" s="1909"/>
      <c r="C678" s="1842"/>
      <c r="D678" s="1834"/>
      <c r="E678" s="1835"/>
      <c r="F678" s="1843"/>
      <c r="G678" s="1844"/>
      <c r="H678" s="1845"/>
      <c r="I678" s="1847"/>
      <c r="J678" s="1846"/>
    </row>
    <row r="679" spans="2:10" s="1824" customFormat="1" ht="16.2">
      <c r="B679" s="1909"/>
      <c r="C679" s="1842"/>
      <c r="D679" s="1834"/>
      <c r="E679" s="1835"/>
      <c r="F679" s="1843"/>
      <c r="G679" s="1844"/>
      <c r="H679" s="1845"/>
      <c r="I679" s="1847"/>
      <c r="J679" s="1846"/>
    </row>
    <row r="680" spans="2:10" s="1824" customFormat="1" ht="16.2">
      <c r="B680" s="1909"/>
      <c r="C680" s="1842"/>
      <c r="D680" s="1834"/>
      <c r="E680" s="1835"/>
      <c r="F680" s="1843"/>
      <c r="G680" s="1844"/>
      <c r="H680" s="1845"/>
      <c r="I680" s="1847"/>
      <c r="J680" s="1846"/>
    </row>
    <row r="681" spans="2:10" s="1824" customFormat="1" ht="16.2">
      <c r="B681" s="1909"/>
      <c r="C681" s="1842"/>
      <c r="D681" s="1834"/>
      <c r="E681" s="1835"/>
      <c r="F681" s="1843"/>
      <c r="G681" s="1844"/>
      <c r="H681" s="1845"/>
      <c r="I681" s="1847"/>
      <c r="J681" s="1846"/>
    </row>
    <row r="682" spans="2:10" s="1824" customFormat="1" ht="16.2">
      <c r="B682" s="1909"/>
      <c r="C682" s="1842"/>
      <c r="D682" s="1834"/>
      <c r="E682" s="1835"/>
      <c r="F682" s="1843"/>
      <c r="G682" s="1844"/>
      <c r="H682" s="1845"/>
      <c r="I682" s="1847"/>
      <c r="J682" s="1846"/>
    </row>
    <row r="683" spans="2:10" s="1824" customFormat="1" ht="16.2">
      <c r="B683" s="1909"/>
      <c r="C683" s="1842"/>
      <c r="D683" s="1834"/>
      <c r="E683" s="1835"/>
      <c r="F683" s="1843"/>
      <c r="G683" s="1844"/>
      <c r="H683" s="1845"/>
      <c r="I683" s="1847"/>
      <c r="J683" s="1846"/>
    </row>
    <row r="684" spans="2:10" s="1824" customFormat="1" ht="16.2">
      <c r="B684" s="1909"/>
      <c r="C684" s="1842"/>
      <c r="D684" s="1834"/>
      <c r="E684" s="1835"/>
      <c r="F684" s="1843"/>
      <c r="G684" s="1844"/>
      <c r="H684" s="1845"/>
      <c r="I684" s="1847"/>
      <c r="J684" s="1846"/>
    </row>
    <row r="685" spans="2:10" s="1824" customFormat="1" ht="16.2">
      <c r="B685" s="1909"/>
      <c r="C685" s="1842"/>
      <c r="D685" s="1834"/>
      <c r="E685" s="1835"/>
      <c r="F685" s="1843"/>
      <c r="G685" s="1844"/>
      <c r="H685" s="1845"/>
      <c r="I685" s="1847"/>
      <c r="J685" s="1846"/>
    </row>
    <row r="686" spans="2:10" s="1824" customFormat="1" ht="16.2">
      <c r="B686" s="1909"/>
      <c r="C686" s="1842"/>
      <c r="D686" s="1834"/>
      <c r="E686" s="1835"/>
      <c r="F686" s="1843"/>
      <c r="G686" s="1844"/>
      <c r="H686" s="1845"/>
      <c r="I686" s="1847"/>
      <c r="J686" s="1846"/>
    </row>
    <row r="687" spans="2:10" s="1824" customFormat="1" ht="16.2">
      <c r="B687" s="1909"/>
      <c r="C687" s="1842"/>
      <c r="D687" s="1834"/>
      <c r="E687" s="1835"/>
      <c r="F687" s="1843"/>
      <c r="G687" s="1844"/>
      <c r="H687" s="1845"/>
      <c r="I687" s="1847"/>
      <c r="J687" s="1846"/>
    </row>
    <row r="688" spans="2:10" s="1824" customFormat="1" ht="16.2">
      <c r="B688" s="1909"/>
      <c r="C688" s="1842"/>
      <c r="D688" s="1834"/>
      <c r="E688" s="1835"/>
      <c r="F688" s="1843"/>
      <c r="G688" s="1844"/>
      <c r="H688" s="1845"/>
      <c r="I688" s="1847"/>
      <c r="J688" s="1846"/>
    </row>
    <row r="689" spans="2:10" s="1824" customFormat="1" ht="16.2">
      <c r="B689" s="1909"/>
      <c r="C689" s="1842"/>
      <c r="D689" s="1834"/>
      <c r="E689" s="1835"/>
      <c r="F689" s="1843"/>
      <c r="G689" s="1844"/>
      <c r="H689" s="1845"/>
      <c r="I689" s="1847"/>
      <c r="J689" s="1846"/>
    </row>
    <row r="690" spans="2:10" s="1824" customFormat="1" ht="16.2">
      <c r="B690" s="1909"/>
      <c r="C690" s="1842"/>
      <c r="D690" s="1834"/>
      <c r="E690" s="1835"/>
      <c r="F690" s="1843"/>
      <c r="G690" s="1844"/>
      <c r="H690" s="1845"/>
      <c r="I690" s="1847"/>
      <c r="J690" s="1846"/>
    </row>
    <row r="691" spans="2:10" s="1824" customFormat="1" ht="16.2">
      <c r="B691" s="1909"/>
      <c r="C691" s="1842"/>
      <c r="D691" s="1834"/>
      <c r="E691" s="1835"/>
      <c r="F691" s="1843"/>
      <c r="G691" s="1844"/>
      <c r="H691" s="1845"/>
      <c r="I691" s="1847"/>
      <c r="J691" s="1846"/>
    </row>
    <row r="692" spans="2:10" s="1824" customFormat="1" ht="16.2">
      <c r="B692" s="1909"/>
      <c r="C692" s="1842"/>
      <c r="D692" s="1834"/>
      <c r="E692" s="1835"/>
      <c r="F692" s="1843"/>
      <c r="G692" s="1844"/>
      <c r="H692" s="1845"/>
      <c r="I692" s="1847"/>
      <c r="J692" s="1846"/>
    </row>
    <row r="693" spans="2:10" s="1824" customFormat="1" ht="16.2">
      <c r="B693" s="1909"/>
      <c r="C693" s="1842"/>
      <c r="D693" s="1834"/>
      <c r="E693" s="1835"/>
      <c r="F693" s="1843"/>
      <c r="G693" s="1844"/>
      <c r="H693" s="1845"/>
      <c r="I693" s="1847"/>
      <c r="J693" s="1846"/>
    </row>
    <row r="694" spans="2:10" s="1824" customFormat="1" ht="16.2">
      <c r="B694" s="1909"/>
      <c r="C694" s="1842"/>
      <c r="D694" s="1834"/>
      <c r="E694" s="1835"/>
      <c r="F694" s="1843"/>
      <c r="G694" s="1844"/>
      <c r="H694" s="1845"/>
      <c r="I694" s="1847"/>
      <c r="J694" s="1846"/>
    </row>
    <row r="695" spans="2:10" s="1824" customFormat="1" ht="16.2">
      <c r="B695" s="1909"/>
      <c r="C695" s="1842"/>
      <c r="D695" s="1834"/>
      <c r="E695" s="1835"/>
      <c r="F695" s="1843"/>
      <c r="G695" s="1844"/>
      <c r="H695" s="1845"/>
      <c r="I695" s="1847"/>
      <c r="J695" s="1846"/>
    </row>
    <row r="696" spans="2:10" s="1824" customFormat="1" ht="16.2">
      <c r="B696" s="1909"/>
      <c r="C696" s="1842"/>
      <c r="D696" s="1834"/>
      <c r="E696" s="1835"/>
      <c r="F696" s="1843"/>
      <c r="G696" s="1844"/>
      <c r="H696" s="1845"/>
      <c r="I696" s="1847"/>
      <c r="J696" s="1846"/>
    </row>
    <row r="697" spans="2:10" s="1824" customFormat="1" ht="16.2">
      <c r="B697" s="1909"/>
      <c r="C697" s="1842"/>
      <c r="D697" s="1834"/>
      <c r="E697" s="1835"/>
      <c r="F697" s="1843"/>
      <c r="G697" s="1844"/>
      <c r="H697" s="1845"/>
      <c r="I697" s="1847"/>
      <c r="J697" s="1846"/>
    </row>
    <row r="698" spans="2:10" s="1824" customFormat="1" ht="16.2">
      <c r="B698" s="1909"/>
      <c r="C698" s="1842"/>
      <c r="D698" s="1834"/>
      <c r="E698" s="1835"/>
      <c r="F698" s="1843"/>
      <c r="G698" s="1844"/>
      <c r="H698" s="1845"/>
      <c r="I698" s="1847"/>
      <c r="J698" s="1846"/>
    </row>
    <row r="699" spans="2:10" s="1824" customFormat="1" ht="16.2">
      <c r="B699" s="1909"/>
      <c r="C699" s="1842"/>
      <c r="D699" s="1834"/>
      <c r="E699" s="1835"/>
      <c r="F699" s="1843"/>
      <c r="G699" s="1844"/>
      <c r="H699" s="1845"/>
      <c r="I699" s="1847"/>
      <c r="J699" s="1846"/>
    </row>
    <row r="700" spans="2:10" s="1824" customFormat="1" ht="16.2">
      <c r="B700" s="1909"/>
      <c r="C700" s="1842"/>
      <c r="D700" s="1834"/>
      <c r="E700" s="1835"/>
      <c r="F700" s="1843"/>
      <c r="G700" s="1844"/>
      <c r="H700" s="1845"/>
      <c r="I700" s="1847"/>
      <c r="J700" s="1846"/>
    </row>
    <row r="701" spans="2:10" s="1824" customFormat="1" ht="16.2">
      <c r="B701" s="1909"/>
      <c r="C701" s="1842"/>
      <c r="D701" s="1834"/>
      <c r="E701" s="1835"/>
      <c r="F701" s="1843"/>
      <c r="G701" s="1844"/>
      <c r="H701" s="1845"/>
      <c r="I701" s="1847"/>
      <c r="J701" s="1846"/>
    </row>
    <row r="702" spans="2:10" s="1824" customFormat="1" ht="16.2">
      <c r="B702" s="1909"/>
      <c r="C702" s="1842"/>
      <c r="D702" s="1834"/>
      <c r="E702" s="1835"/>
      <c r="F702" s="1843"/>
      <c r="G702" s="1844"/>
      <c r="H702" s="1845"/>
      <c r="I702" s="1847"/>
      <c r="J702" s="1846"/>
    </row>
    <row r="703" spans="2:10" s="1824" customFormat="1" ht="16.2">
      <c r="B703" s="1909"/>
      <c r="C703" s="1842"/>
      <c r="D703" s="1834"/>
      <c r="E703" s="1835"/>
      <c r="F703" s="1843"/>
      <c r="G703" s="1844"/>
      <c r="H703" s="1845"/>
      <c r="I703" s="1847"/>
      <c r="J703" s="1846"/>
    </row>
    <row r="704" spans="2:10" s="1824" customFormat="1" ht="16.2">
      <c r="B704" s="1909"/>
      <c r="C704" s="1842"/>
      <c r="D704" s="1834"/>
      <c r="E704" s="1835"/>
      <c r="F704" s="1843"/>
      <c r="G704" s="1844"/>
      <c r="H704" s="1845"/>
      <c r="I704" s="1847"/>
      <c r="J704" s="1846"/>
    </row>
    <row r="705" spans="2:10" s="1824" customFormat="1" ht="16.2">
      <c r="B705" s="1909"/>
      <c r="C705" s="1842"/>
      <c r="D705" s="1834"/>
      <c r="E705" s="1835"/>
      <c r="F705" s="1843"/>
      <c r="G705" s="1844"/>
      <c r="H705" s="1845"/>
      <c r="I705" s="1847"/>
      <c r="J705" s="1846"/>
    </row>
    <row r="706" spans="2:10" s="1824" customFormat="1" ht="16.2">
      <c r="B706" s="1909"/>
      <c r="C706" s="1842"/>
      <c r="D706" s="1834"/>
      <c r="E706" s="1835"/>
      <c r="F706" s="1843"/>
      <c r="G706" s="1844"/>
      <c r="H706" s="1845"/>
      <c r="I706" s="1847"/>
      <c r="J706" s="1846"/>
    </row>
    <row r="707" spans="2:10" s="1824" customFormat="1" ht="16.2">
      <c r="B707" s="1909"/>
      <c r="C707" s="1842"/>
      <c r="D707" s="1834"/>
      <c r="E707" s="1835"/>
      <c r="F707" s="1843"/>
      <c r="G707" s="1844"/>
      <c r="H707" s="1845"/>
      <c r="I707" s="1847"/>
      <c r="J707" s="1846"/>
    </row>
    <row r="708" spans="2:10" s="1824" customFormat="1" ht="16.2">
      <c r="B708" s="1909"/>
      <c r="C708" s="1842"/>
      <c r="D708" s="1834"/>
      <c r="E708" s="1835"/>
      <c r="F708" s="1843"/>
      <c r="G708" s="1844"/>
      <c r="H708" s="1845"/>
      <c r="I708" s="1847"/>
      <c r="J708" s="1846"/>
    </row>
    <row r="709" spans="2:10" s="1824" customFormat="1" ht="16.2">
      <c r="B709" s="1909"/>
      <c r="C709" s="1842"/>
      <c r="D709" s="1834"/>
      <c r="E709" s="1835"/>
      <c r="F709" s="1843"/>
      <c r="G709" s="1844"/>
      <c r="H709" s="1845"/>
      <c r="I709" s="1847"/>
      <c r="J709" s="1846"/>
    </row>
    <row r="710" spans="2:10" s="1824" customFormat="1" ht="16.2">
      <c r="B710" s="1909"/>
      <c r="C710" s="1842"/>
      <c r="D710" s="1834"/>
      <c r="E710" s="1835"/>
      <c r="F710" s="1843"/>
      <c r="G710" s="1844"/>
      <c r="H710" s="1845"/>
      <c r="I710" s="1847"/>
      <c r="J710" s="1846"/>
    </row>
    <row r="711" spans="2:10" s="1824" customFormat="1" ht="16.2">
      <c r="B711" s="1909"/>
      <c r="C711" s="1842"/>
      <c r="D711" s="1834"/>
      <c r="E711" s="1835"/>
      <c r="F711" s="1843"/>
      <c r="G711" s="1844"/>
      <c r="H711" s="1845"/>
      <c r="I711" s="1847"/>
      <c r="J711" s="1846"/>
    </row>
    <row r="712" spans="2:10" s="1824" customFormat="1" ht="16.2">
      <c r="B712" s="1909"/>
      <c r="C712" s="1842"/>
      <c r="D712" s="1834"/>
      <c r="E712" s="1835"/>
      <c r="F712" s="1843"/>
      <c r="G712" s="1844"/>
      <c r="H712" s="1845"/>
      <c r="I712" s="1847"/>
      <c r="J712" s="1846"/>
    </row>
    <row r="713" spans="2:10" s="1824" customFormat="1" ht="16.2">
      <c r="B713" s="1909"/>
      <c r="C713" s="1842"/>
      <c r="D713" s="1834"/>
      <c r="E713" s="1835"/>
      <c r="F713" s="1843"/>
      <c r="G713" s="1844"/>
      <c r="H713" s="1845"/>
      <c r="I713" s="1847"/>
      <c r="J713" s="1846"/>
    </row>
    <row r="714" spans="2:10" s="1824" customFormat="1" ht="16.2">
      <c r="B714" s="1909"/>
      <c r="C714" s="1842"/>
      <c r="D714" s="1834"/>
      <c r="E714" s="1835"/>
      <c r="F714" s="1843"/>
      <c r="G714" s="1844"/>
      <c r="H714" s="1845"/>
      <c r="I714" s="1847"/>
      <c r="J714" s="1846"/>
    </row>
    <row r="715" spans="2:10" s="1824" customFormat="1" ht="16.2">
      <c r="B715" s="1909"/>
      <c r="C715" s="1842"/>
      <c r="D715" s="1834"/>
      <c r="E715" s="1835"/>
      <c r="F715" s="1843"/>
      <c r="G715" s="1844"/>
      <c r="H715" s="1845"/>
      <c r="I715" s="1847"/>
      <c r="J715" s="1846"/>
    </row>
    <row r="716" spans="2:10" s="1824" customFormat="1" ht="16.2">
      <c r="B716" s="1909"/>
      <c r="C716" s="1842"/>
      <c r="D716" s="1834"/>
      <c r="E716" s="1835"/>
      <c r="F716" s="1843"/>
      <c r="G716" s="1844"/>
      <c r="H716" s="1845"/>
      <c r="I716" s="1847"/>
      <c r="J716" s="1846"/>
    </row>
    <row r="717" spans="2:10" s="1824" customFormat="1" ht="16.2">
      <c r="B717" s="1909"/>
      <c r="C717" s="1842"/>
      <c r="D717" s="1834"/>
      <c r="E717" s="1835"/>
      <c r="F717" s="1843"/>
      <c r="G717" s="1844"/>
      <c r="H717" s="1845"/>
      <c r="I717" s="1847"/>
      <c r="J717" s="1846"/>
    </row>
    <row r="718" spans="2:10" s="1824" customFormat="1" ht="16.2">
      <c r="B718" s="1909"/>
      <c r="C718" s="1842"/>
      <c r="D718" s="1834"/>
      <c r="E718" s="1835"/>
      <c r="F718" s="1843"/>
      <c r="G718" s="1844"/>
      <c r="H718" s="1845"/>
      <c r="I718" s="1847"/>
      <c r="J718" s="1846"/>
    </row>
    <row r="719" spans="2:10" s="1824" customFormat="1" ht="16.2">
      <c r="B719" s="1909"/>
      <c r="C719" s="1842"/>
      <c r="D719" s="1834"/>
      <c r="E719" s="1835"/>
      <c r="F719" s="1843"/>
      <c r="G719" s="1844"/>
      <c r="H719" s="1845"/>
      <c r="I719" s="1847"/>
      <c r="J719" s="1846"/>
    </row>
    <row r="720" spans="2:10" s="1824" customFormat="1" ht="16.2">
      <c r="B720" s="1909"/>
      <c r="C720" s="1842"/>
      <c r="D720" s="1834"/>
      <c r="E720" s="1835"/>
      <c r="F720" s="1843"/>
      <c r="G720" s="1844"/>
      <c r="H720" s="1845"/>
      <c r="I720" s="1847"/>
      <c r="J720" s="1846"/>
    </row>
    <row r="721" spans="2:10" s="1824" customFormat="1" ht="16.2">
      <c r="B721" s="1909"/>
      <c r="C721" s="1842"/>
      <c r="D721" s="1834"/>
      <c r="E721" s="1835"/>
      <c r="F721" s="1843"/>
      <c r="G721" s="1844"/>
      <c r="H721" s="1845"/>
      <c r="I721" s="1847"/>
      <c r="J721" s="1846"/>
    </row>
    <row r="722" spans="2:10" s="1824" customFormat="1" ht="16.2">
      <c r="B722" s="1909"/>
      <c r="C722" s="1842"/>
      <c r="D722" s="1834"/>
      <c r="E722" s="1835"/>
      <c r="F722" s="1843"/>
      <c r="G722" s="1844"/>
      <c r="H722" s="1845"/>
      <c r="I722" s="1847"/>
      <c r="J722" s="1846"/>
    </row>
    <row r="723" spans="2:10" s="1824" customFormat="1" ht="16.2">
      <c r="B723" s="1909"/>
      <c r="C723" s="1842"/>
      <c r="D723" s="1834"/>
      <c r="E723" s="1835"/>
      <c r="F723" s="1843"/>
      <c r="G723" s="1844"/>
      <c r="H723" s="1845"/>
      <c r="I723" s="1847"/>
      <c r="J723" s="1846"/>
    </row>
    <row r="724" spans="2:10" s="1824" customFormat="1" ht="16.2">
      <c r="B724" s="1909"/>
      <c r="C724" s="1842"/>
      <c r="D724" s="1834"/>
      <c r="E724" s="1835"/>
      <c r="F724" s="1843"/>
      <c r="G724" s="1844"/>
      <c r="H724" s="1845"/>
      <c r="I724" s="1847"/>
      <c r="J724" s="1846"/>
    </row>
    <row r="725" spans="2:10" s="1824" customFormat="1" ht="16.2">
      <c r="B725" s="1909"/>
      <c r="C725" s="1842"/>
      <c r="D725" s="1834"/>
      <c r="E725" s="1835"/>
      <c r="F725" s="1843"/>
      <c r="G725" s="1844"/>
      <c r="H725" s="1845"/>
      <c r="I725" s="1847"/>
      <c r="J725" s="1846"/>
    </row>
    <row r="726" spans="2:10" s="1824" customFormat="1" ht="16.2">
      <c r="B726" s="1909"/>
      <c r="C726" s="1842"/>
      <c r="D726" s="1834"/>
      <c r="E726" s="1835"/>
      <c r="F726" s="1843"/>
      <c r="G726" s="1844"/>
      <c r="H726" s="1845"/>
      <c r="I726" s="1847"/>
      <c r="J726" s="1846"/>
    </row>
    <row r="727" spans="2:10" s="1824" customFormat="1" ht="16.2">
      <c r="B727" s="1909"/>
      <c r="C727" s="1842"/>
      <c r="D727" s="1834"/>
      <c r="E727" s="1835"/>
      <c r="F727" s="1843"/>
      <c r="G727" s="1844"/>
      <c r="H727" s="1845"/>
      <c r="I727" s="1847"/>
      <c r="J727" s="1846"/>
    </row>
    <row r="728" spans="2:10" s="1824" customFormat="1" ht="16.2">
      <c r="B728" s="1909"/>
      <c r="C728" s="1842"/>
      <c r="D728" s="1834"/>
      <c r="E728" s="1835"/>
      <c r="F728" s="1843"/>
      <c r="G728" s="1844"/>
      <c r="H728" s="1845"/>
      <c r="I728" s="1847"/>
      <c r="J728" s="1846"/>
    </row>
    <row r="729" spans="2:10" s="1824" customFormat="1" ht="16.2">
      <c r="B729" s="1909"/>
      <c r="C729" s="1842"/>
      <c r="D729" s="1834"/>
      <c r="E729" s="1835"/>
      <c r="F729" s="1843"/>
      <c r="G729" s="1844"/>
      <c r="H729" s="1845"/>
      <c r="I729" s="1847"/>
      <c r="J729" s="1846"/>
    </row>
    <row r="730" spans="2:10" s="1824" customFormat="1" ht="16.2">
      <c r="B730" s="1909"/>
      <c r="C730" s="1842"/>
      <c r="D730" s="1834"/>
      <c r="E730" s="1835"/>
      <c r="F730" s="1843"/>
      <c r="G730" s="1844"/>
      <c r="H730" s="1845"/>
      <c r="I730" s="1847"/>
      <c r="J730" s="1846"/>
    </row>
    <row r="731" spans="2:10" s="1824" customFormat="1" ht="16.2">
      <c r="B731" s="1909"/>
      <c r="C731" s="1842"/>
      <c r="D731" s="1834"/>
      <c r="E731" s="1835"/>
      <c r="F731" s="1843"/>
      <c r="G731" s="1844"/>
      <c r="H731" s="1845"/>
      <c r="I731" s="1847"/>
      <c r="J731" s="1846"/>
    </row>
    <row r="732" spans="2:10" s="1824" customFormat="1" ht="16.2">
      <c r="B732" s="1909"/>
      <c r="C732" s="1842"/>
      <c r="D732" s="1834"/>
      <c r="E732" s="1835"/>
      <c r="F732" s="1843"/>
      <c r="G732" s="1844"/>
      <c r="H732" s="1845"/>
      <c r="I732" s="1847"/>
      <c r="J732" s="1846"/>
    </row>
    <row r="733" spans="2:10" s="1824" customFormat="1" ht="16.2">
      <c r="B733" s="1909"/>
      <c r="C733" s="1842"/>
      <c r="D733" s="1834"/>
      <c r="E733" s="1835"/>
      <c r="F733" s="1843"/>
      <c r="G733" s="1844"/>
      <c r="H733" s="1845"/>
      <c r="I733" s="1847"/>
      <c r="J733" s="1846"/>
    </row>
    <row r="734" spans="2:10" s="1824" customFormat="1" ht="16.2">
      <c r="B734" s="1909"/>
      <c r="C734" s="1842"/>
      <c r="D734" s="1834"/>
      <c r="E734" s="1835"/>
      <c r="F734" s="1843"/>
      <c r="G734" s="1844"/>
      <c r="H734" s="1845"/>
      <c r="I734" s="1847"/>
      <c r="J734" s="1846"/>
    </row>
    <row r="735" spans="2:10" s="1824" customFormat="1" ht="16.2">
      <c r="B735" s="1909"/>
      <c r="C735" s="1842"/>
      <c r="D735" s="1834"/>
      <c r="E735" s="1835"/>
      <c r="F735" s="1843"/>
      <c r="G735" s="1844"/>
      <c r="H735" s="1845"/>
      <c r="I735" s="1847"/>
      <c r="J735" s="1846"/>
    </row>
    <row r="736" spans="2:10" s="1824" customFormat="1" ht="16.2">
      <c r="B736" s="1909"/>
      <c r="C736" s="1842"/>
      <c r="D736" s="1834"/>
      <c r="E736" s="1835"/>
      <c r="F736" s="1843"/>
      <c r="G736" s="1844"/>
      <c r="H736" s="1845"/>
      <c r="I736" s="1847"/>
      <c r="J736" s="1846"/>
    </row>
    <row r="737" spans="2:10" s="1824" customFormat="1" ht="16.2">
      <c r="B737" s="1909"/>
      <c r="C737" s="1842"/>
      <c r="D737" s="1834"/>
      <c r="E737" s="1835"/>
      <c r="F737" s="1843"/>
      <c r="G737" s="1844"/>
      <c r="H737" s="1845"/>
      <c r="I737" s="1847"/>
      <c r="J737" s="1846"/>
    </row>
    <row r="738" spans="2:10" s="1824" customFormat="1" ht="16.2">
      <c r="B738" s="1909"/>
      <c r="C738" s="1842"/>
      <c r="D738" s="1834"/>
      <c r="E738" s="1835"/>
      <c r="F738" s="1843"/>
      <c r="G738" s="1844"/>
      <c r="H738" s="1845"/>
      <c r="I738" s="1847"/>
      <c r="J738" s="1846"/>
    </row>
    <row r="739" spans="2:10" s="1824" customFormat="1" ht="16.2">
      <c r="B739" s="1909"/>
      <c r="C739" s="1842"/>
      <c r="D739" s="1834"/>
      <c r="E739" s="1835"/>
      <c r="F739" s="1843"/>
      <c r="G739" s="1844"/>
      <c r="H739" s="1845"/>
      <c r="I739" s="1847"/>
      <c r="J739" s="1846"/>
    </row>
    <row r="740" spans="2:10" s="1824" customFormat="1" ht="16.2">
      <c r="B740" s="1909"/>
      <c r="C740" s="1842"/>
      <c r="D740" s="1834"/>
      <c r="E740" s="1835"/>
      <c r="F740" s="1843"/>
      <c r="G740" s="1844"/>
      <c r="H740" s="1845"/>
      <c r="I740" s="1847"/>
      <c r="J740" s="1846"/>
    </row>
    <row r="741" spans="2:10" s="1824" customFormat="1" ht="16.2">
      <c r="B741" s="1909"/>
      <c r="C741" s="1842"/>
      <c r="D741" s="1834"/>
      <c r="E741" s="1835"/>
      <c r="F741" s="1843"/>
      <c r="G741" s="1844"/>
      <c r="H741" s="1845"/>
      <c r="I741" s="1847"/>
      <c r="J741" s="1846"/>
    </row>
    <row r="742" spans="2:10" s="1824" customFormat="1" ht="16.2">
      <c r="B742" s="1909"/>
      <c r="C742" s="1842"/>
      <c r="D742" s="1834"/>
      <c r="E742" s="1835"/>
      <c r="F742" s="1843"/>
      <c r="G742" s="1844"/>
      <c r="H742" s="1845"/>
      <c r="I742" s="1847"/>
      <c r="J742" s="1846"/>
    </row>
    <row r="743" spans="2:10" s="1824" customFormat="1" ht="16.2">
      <c r="B743" s="1909"/>
      <c r="C743" s="1842"/>
      <c r="D743" s="1834"/>
      <c r="E743" s="1835"/>
      <c r="F743" s="1843"/>
      <c r="G743" s="1844"/>
      <c r="H743" s="1845"/>
      <c r="I743" s="1847"/>
      <c r="J743" s="1846"/>
    </row>
    <row r="744" spans="2:10" s="1824" customFormat="1" ht="16.2">
      <c r="B744" s="1909"/>
      <c r="C744" s="1842"/>
      <c r="D744" s="1834"/>
      <c r="E744" s="1835"/>
      <c r="F744" s="1843"/>
      <c r="G744" s="1844"/>
      <c r="H744" s="1845"/>
      <c r="I744" s="1847"/>
      <c r="J744" s="1846"/>
    </row>
    <row r="745" spans="2:10" s="1824" customFormat="1" ht="16.2">
      <c r="B745" s="1909"/>
      <c r="C745" s="1842"/>
      <c r="D745" s="1834"/>
      <c r="E745" s="1835"/>
      <c r="F745" s="1843"/>
      <c r="G745" s="1844"/>
      <c r="H745" s="1845"/>
      <c r="I745" s="1847"/>
      <c r="J745" s="1846"/>
    </row>
    <row r="746" spans="2:10" s="1824" customFormat="1" ht="16.2">
      <c r="B746" s="1909"/>
      <c r="C746" s="1842"/>
      <c r="D746" s="1834"/>
      <c r="E746" s="1835"/>
      <c r="F746" s="1843"/>
      <c r="G746" s="1844"/>
      <c r="H746" s="1845"/>
      <c r="I746" s="1847"/>
      <c r="J746" s="1846"/>
    </row>
    <row r="747" spans="2:10" s="1824" customFormat="1" ht="16.2">
      <c r="B747" s="1909"/>
      <c r="C747" s="1842"/>
      <c r="D747" s="1834"/>
      <c r="E747" s="1835"/>
      <c r="F747" s="1843"/>
      <c r="G747" s="1844"/>
      <c r="H747" s="1845"/>
      <c r="I747" s="1847"/>
      <c r="J747" s="1846"/>
    </row>
    <row r="748" spans="2:10" s="1824" customFormat="1" ht="16.2">
      <c r="B748" s="1909"/>
      <c r="C748" s="1842"/>
      <c r="D748" s="1834"/>
      <c r="E748" s="1835"/>
      <c r="F748" s="1843"/>
      <c r="G748" s="1844"/>
      <c r="H748" s="1845"/>
      <c r="I748" s="1847"/>
      <c r="J748" s="1846"/>
    </row>
    <row r="749" spans="2:10" s="1824" customFormat="1" ht="16.2">
      <c r="B749" s="1909"/>
      <c r="C749" s="1842"/>
      <c r="D749" s="1834"/>
      <c r="E749" s="1835"/>
      <c r="F749" s="1843"/>
      <c r="G749" s="1844"/>
      <c r="H749" s="1845"/>
      <c r="I749" s="1847"/>
      <c r="J749" s="1846"/>
    </row>
    <row r="750" spans="2:10" s="1824" customFormat="1" ht="16.2">
      <c r="B750" s="1909"/>
      <c r="C750" s="1842"/>
      <c r="D750" s="1834"/>
      <c r="E750" s="1835"/>
      <c r="F750" s="1843"/>
      <c r="G750" s="1844"/>
      <c r="H750" s="1845"/>
      <c r="I750" s="1847"/>
      <c r="J750" s="1846"/>
    </row>
    <row r="751" spans="2:10" s="1824" customFormat="1" ht="16.2">
      <c r="B751" s="1909"/>
      <c r="C751" s="1842"/>
      <c r="D751" s="1834"/>
      <c r="E751" s="1835"/>
      <c r="F751" s="1843"/>
      <c r="G751" s="1844"/>
      <c r="H751" s="1845"/>
      <c r="I751" s="1847"/>
      <c r="J751" s="1846"/>
    </row>
    <row r="752" spans="2:10" s="1824" customFormat="1" ht="16.2">
      <c r="B752" s="1909"/>
      <c r="C752" s="1842"/>
      <c r="D752" s="1834"/>
      <c r="E752" s="1835"/>
      <c r="F752" s="1843"/>
      <c r="G752" s="1844"/>
      <c r="H752" s="1845"/>
      <c r="I752" s="1847"/>
      <c r="J752" s="1846"/>
    </row>
    <row r="753" spans="2:10" s="1824" customFormat="1" ht="16.2">
      <c r="B753" s="1909"/>
      <c r="C753" s="1842"/>
      <c r="D753" s="1834"/>
      <c r="E753" s="1835"/>
      <c r="F753" s="1843"/>
      <c r="G753" s="1844"/>
      <c r="H753" s="1845"/>
      <c r="I753" s="1847"/>
      <c r="J753" s="1846"/>
    </row>
    <row r="754" spans="2:10" s="1824" customFormat="1" ht="16.2">
      <c r="B754" s="1909"/>
      <c r="C754" s="1842"/>
      <c r="D754" s="1834"/>
      <c r="E754" s="1835"/>
      <c r="F754" s="1843"/>
      <c r="G754" s="1844"/>
      <c r="H754" s="1845"/>
      <c r="I754" s="1847"/>
      <c r="J754" s="1846"/>
    </row>
    <row r="755" spans="2:10" s="1824" customFormat="1" ht="16.2">
      <c r="B755" s="1909"/>
      <c r="C755" s="1842"/>
      <c r="D755" s="1834"/>
      <c r="E755" s="1835"/>
      <c r="F755" s="1843"/>
      <c r="G755" s="1844"/>
      <c r="H755" s="1848"/>
      <c r="I755" s="1847"/>
      <c r="J755" s="1849"/>
    </row>
    <row r="756" spans="2:10" s="1824" customFormat="1" ht="16.2">
      <c r="B756" s="1909"/>
      <c r="C756" s="1842"/>
      <c r="D756" s="1834"/>
      <c r="E756" s="1835"/>
      <c r="F756" s="1843"/>
      <c r="G756" s="1844"/>
      <c r="H756" s="1848"/>
      <c r="I756" s="1847"/>
      <c r="J756" s="1849"/>
    </row>
    <row r="757" spans="2:10" s="1824" customFormat="1" ht="16.2">
      <c r="B757" s="1909"/>
      <c r="C757" s="1842"/>
      <c r="D757" s="1834"/>
      <c r="E757" s="1835"/>
      <c r="F757" s="1843"/>
      <c r="G757" s="1844"/>
      <c r="H757" s="1848"/>
      <c r="I757" s="1847"/>
      <c r="J757" s="1849"/>
    </row>
    <row r="758" spans="2:10" s="1824" customFormat="1" ht="16.2">
      <c r="B758" s="1909"/>
      <c r="C758" s="1842"/>
      <c r="D758" s="1834"/>
      <c r="E758" s="1835"/>
      <c r="F758" s="1843"/>
      <c r="G758" s="1844"/>
      <c r="H758" s="1848"/>
      <c r="I758" s="1847"/>
      <c r="J758" s="1849"/>
    </row>
    <row r="759" spans="2:10" s="1824" customFormat="1" ht="16.2">
      <c r="B759" s="1909"/>
      <c r="C759" s="1842"/>
      <c r="D759" s="1834"/>
      <c r="E759" s="1835"/>
      <c r="F759" s="1843"/>
      <c r="G759" s="1844"/>
      <c r="H759" s="1848"/>
      <c r="I759" s="1847"/>
      <c r="J759" s="1849"/>
    </row>
    <row r="760" spans="2:10" s="1824" customFormat="1" ht="16.2">
      <c r="B760" s="1909"/>
      <c r="C760" s="1842"/>
      <c r="D760" s="1834"/>
      <c r="E760" s="1835"/>
      <c r="F760" s="1843"/>
      <c r="G760" s="1844"/>
      <c r="H760" s="1848"/>
      <c r="I760" s="1847"/>
      <c r="J760" s="1849"/>
    </row>
    <row r="761" spans="2:10" s="1824" customFormat="1" ht="16.2">
      <c r="B761" s="1909"/>
      <c r="C761" s="1842"/>
      <c r="D761" s="1834"/>
      <c r="E761" s="1835"/>
      <c r="F761" s="1843"/>
      <c r="G761" s="1844"/>
      <c r="H761" s="1848"/>
      <c r="I761" s="1847"/>
      <c r="J761" s="1849"/>
    </row>
    <row r="762" spans="2:10" s="1824" customFormat="1" ht="16.2">
      <c r="B762" s="1909"/>
      <c r="C762" s="1842"/>
      <c r="D762" s="1834"/>
      <c r="E762" s="1835"/>
      <c r="F762" s="1843"/>
      <c r="G762" s="1844"/>
      <c r="H762" s="1848"/>
      <c r="I762" s="1847"/>
      <c r="J762" s="1849"/>
    </row>
    <row r="763" spans="2:10" s="1824" customFormat="1" ht="16.2">
      <c r="B763" s="1909"/>
      <c r="C763" s="1842"/>
      <c r="D763" s="1834"/>
      <c r="E763" s="1835"/>
      <c r="F763" s="1843"/>
      <c r="G763" s="1844"/>
      <c r="H763" s="1848"/>
      <c r="I763" s="1847"/>
      <c r="J763" s="1849"/>
    </row>
    <row r="764" spans="2:10" s="1824" customFormat="1" ht="16.2">
      <c r="B764" s="1909"/>
      <c r="C764" s="1842"/>
      <c r="D764" s="1834"/>
      <c r="E764" s="1835"/>
      <c r="F764" s="1843"/>
      <c r="G764" s="1844"/>
      <c r="H764" s="1848"/>
      <c r="I764" s="1847"/>
      <c r="J764" s="1849"/>
    </row>
    <row r="765" spans="2:10" s="1824" customFormat="1" ht="16.2">
      <c r="B765" s="1909"/>
      <c r="C765" s="1842"/>
      <c r="D765" s="1834"/>
      <c r="E765" s="1835"/>
      <c r="F765" s="1843"/>
      <c r="G765" s="1844"/>
      <c r="H765" s="1848"/>
      <c r="I765" s="1847"/>
      <c r="J765" s="1849"/>
    </row>
    <row r="766" spans="2:10" s="1824" customFormat="1" ht="16.2">
      <c r="B766" s="1909"/>
      <c r="C766" s="1842"/>
      <c r="D766" s="1834"/>
      <c r="E766" s="1835"/>
      <c r="F766" s="1843"/>
      <c r="G766" s="1844"/>
      <c r="H766" s="1848"/>
      <c r="I766" s="1847"/>
      <c r="J766" s="1849"/>
    </row>
    <row r="767" spans="2:10" s="1824" customFormat="1" ht="16.2">
      <c r="B767" s="1909"/>
      <c r="C767" s="1842"/>
      <c r="D767" s="1834"/>
      <c r="E767" s="1835"/>
      <c r="F767" s="1843"/>
      <c r="G767" s="1844"/>
      <c r="H767" s="1848"/>
      <c r="I767" s="1847"/>
      <c r="J767" s="1849"/>
    </row>
    <row r="768" spans="2:10" s="1824" customFormat="1" ht="16.2">
      <c r="B768" s="1909"/>
      <c r="C768" s="1842"/>
      <c r="D768" s="1834"/>
      <c r="E768" s="1835"/>
      <c r="F768" s="1843"/>
      <c r="G768" s="1844"/>
      <c r="H768" s="1848"/>
      <c r="I768" s="1847"/>
      <c r="J768" s="1849"/>
    </row>
    <row r="769" spans="2:10" s="1824" customFormat="1" ht="16.2">
      <c r="B769" s="1909"/>
      <c r="C769" s="1842"/>
      <c r="D769" s="1834"/>
      <c r="E769" s="1835"/>
      <c r="F769" s="1843"/>
      <c r="G769" s="1844"/>
      <c r="H769" s="1848"/>
      <c r="I769" s="1847"/>
      <c r="J769" s="1849"/>
    </row>
    <row r="770" spans="2:10" s="1824" customFormat="1" ht="16.2">
      <c r="B770" s="1909"/>
      <c r="C770" s="1842"/>
      <c r="D770" s="1834"/>
      <c r="E770" s="1835"/>
      <c r="F770" s="1843"/>
      <c r="G770" s="1844"/>
      <c r="H770" s="1848"/>
      <c r="I770" s="1847"/>
      <c r="J770" s="1849"/>
    </row>
    <row r="771" spans="2:10" s="1824" customFormat="1" ht="16.2">
      <c r="B771" s="1909"/>
      <c r="C771" s="1842"/>
      <c r="D771" s="1834"/>
      <c r="E771" s="1835"/>
      <c r="F771" s="1843"/>
      <c r="G771" s="1844"/>
      <c r="H771" s="1848"/>
      <c r="I771" s="1847"/>
      <c r="J771" s="1849"/>
    </row>
    <row r="772" spans="2:10" s="1824" customFormat="1" ht="16.2">
      <c r="B772" s="1909"/>
      <c r="C772" s="1842"/>
      <c r="D772" s="1834"/>
      <c r="E772" s="1835"/>
      <c r="F772" s="1843"/>
      <c r="G772" s="1844"/>
      <c r="H772" s="1848"/>
      <c r="I772" s="1847"/>
      <c r="J772" s="1849"/>
    </row>
    <row r="773" spans="2:10" s="1824" customFormat="1" ht="16.2">
      <c r="B773" s="1909"/>
      <c r="C773" s="1842"/>
      <c r="D773" s="1834"/>
      <c r="E773" s="1835"/>
      <c r="F773" s="1843"/>
      <c r="G773" s="1844"/>
      <c r="H773" s="1848"/>
      <c r="I773" s="1847"/>
      <c r="J773" s="1849"/>
    </row>
    <row r="774" spans="2:10" s="1824" customFormat="1" ht="16.2">
      <c r="B774" s="1909"/>
      <c r="C774" s="1842"/>
      <c r="D774" s="1834"/>
      <c r="E774" s="1835"/>
      <c r="F774" s="1843"/>
      <c r="G774" s="1844"/>
      <c r="H774" s="1848"/>
      <c r="I774" s="1847"/>
      <c r="J774" s="1849"/>
    </row>
    <row r="775" spans="2:10" s="1824" customFormat="1" ht="16.2">
      <c r="B775" s="1909"/>
      <c r="C775" s="1842"/>
      <c r="D775" s="1834"/>
      <c r="E775" s="1835"/>
      <c r="F775" s="1843"/>
      <c r="G775" s="1844"/>
      <c r="H775" s="1848"/>
      <c r="I775" s="1847"/>
      <c r="J775" s="1849"/>
    </row>
    <row r="776" spans="2:10" s="1824" customFormat="1" ht="16.2">
      <c r="B776" s="1909"/>
      <c r="C776" s="1842"/>
      <c r="D776" s="1834"/>
      <c r="E776" s="1835"/>
      <c r="F776" s="1843"/>
      <c r="G776" s="1844"/>
      <c r="H776" s="1848"/>
      <c r="I776" s="1847"/>
      <c r="J776" s="1849"/>
    </row>
    <row r="777" spans="2:10" s="1824" customFormat="1" ht="16.2">
      <c r="B777" s="1909"/>
      <c r="C777" s="1842"/>
      <c r="D777" s="1834"/>
      <c r="E777" s="1835"/>
      <c r="F777" s="1843"/>
      <c r="G777" s="1844"/>
      <c r="H777" s="1848"/>
      <c r="I777" s="1847"/>
      <c r="J777" s="1849"/>
    </row>
    <row r="778" spans="2:10" s="1824" customFormat="1" ht="16.2">
      <c r="B778" s="1909"/>
      <c r="C778" s="1842"/>
      <c r="D778" s="1834"/>
      <c r="E778" s="1835"/>
      <c r="F778" s="1843"/>
      <c r="G778" s="1844"/>
      <c r="H778" s="1848"/>
      <c r="I778" s="1847"/>
      <c r="J778" s="1849"/>
    </row>
    <row r="779" spans="2:10" s="1824" customFormat="1" ht="16.2">
      <c r="B779" s="1909"/>
      <c r="C779" s="1842"/>
      <c r="D779" s="1834"/>
      <c r="E779" s="1835"/>
      <c r="F779" s="1843"/>
      <c r="G779" s="1844"/>
      <c r="H779" s="1848"/>
      <c r="I779" s="1847"/>
      <c r="J779" s="1849"/>
    </row>
    <row r="780" spans="2:10" s="1824" customFormat="1" ht="16.2">
      <c r="B780" s="1909"/>
      <c r="C780" s="1842"/>
      <c r="D780" s="1834"/>
      <c r="E780" s="1835"/>
      <c r="F780" s="1843"/>
      <c r="G780" s="1844"/>
      <c r="H780" s="1848"/>
      <c r="I780" s="1847"/>
      <c r="J780" s="1849"/>
    </row>
    <row r="781" spans="2:10" s="1824" customFormat="1" ht="16.2">
      <c r="B781" s="1909"/>
      <c r="C781" s="1842"/>
      <c r="D781" s="1834"/>
      <c r="E781" s="1835"/>
      <c r="F781" s="1843"/>
      <c r="G781" s="1844"/>
      <c r="H781" s="1848"/>
      <c r="I781" s="1847"/>
      <c r="J781" s="1849"/>
    </row>
    <row r="782" spans="2:10" s="1824" customFormat="1" ht="16.2">
      <c r="B782" s="1909"/>
      <c r="C782" s="1842"/>
      <c r="D782" s="1834"/>
      <c r="E782" s="1835"/>
      <c r="F782" s="1843"/>
      <c r="G782" s="1844"/>
      <c r="H782" s="1848"/>
      <c r="I782" s="1847"/>
      <c r="J782" s="1849"/>
    </row>
    <row r="783" spans="2:10" s="1824" customFormat="1" ht="16.2">
      <c r="B783" s="1909"/>
      <c r="C783" s="1842"/>
      <c r="D783" s="1834"/>
      <c r="E783" s="1835"/>
      <c r="F783" s="1843"/>
      <c r="G783" s="1844"/>
      <c r="H783" s="1848"/>
      <c r="I783" s="1847"/>
      <c r="J783" s="1849"/>
    </row>
    <row r="784" spans="2:10" s="1824" customFormat="1" ht="16.2">
      <c r="B784" s="1909"/>
      <c r="C784" s="1842"/>
      <c r="D784" s="1834"/>
      <c r="E784" s="1835"/>
      <c r="F784" s="1843"/>
      <c r="G784" s="1844"/>
      <c r="H784" s="1848"/>
      <c r="I784" s="1847"/>
      <c r="J784" s="1849"/>
    </row>
    <row r="785" spans="2:10" s="1824" customFormat="1" ht="16.2">
      <c r="B785" s="1909"/>
      <c r="C785" s="1842"/>
      <c r="D785" s="1834"/>
      <c r="E785" s="1835"/>
      <c r="F785" s="1843"/>
      <c r="G785" s="1844"/>
      <c r="H785" s="1848"/>
      <c r="I785" s="1847"/>
      <c r="J785" s="1849"/>
    </row>
    <row r="786" spans="2:10" s="1824" customFormat="1" ht="16.2">
      <c r="B786" s="1909"/>
      <c r="C786" s="1842"/>
      <c r="D786" s="1834"/>
      <c r="E786" s="1835"/>
      <c r="F786" s="1843"/>
      <c r="G786" s="1844"/>
      <c r="H786" s="1848"/>
      <c r="I786" s="1847"/>
      <c r="J786" s="1849"/>
    </row>
    <row r="787" spans="2:10" s="1824" customFormat="1" ht="16.2">
      <c r="B787" s="1909"/>
      <c r="C787" s="1842"/>
      <c r="D787" s="1834"/>
      <c r="E787" s="1835"/>
      <c r="F787" s="1843"/>
      <c r="G787" s="1844"/>
      <c r="H787" s="1848"/>
      <c r="I787" s="1847"/>
      <c r="J787" s="1849"/>
    </row>
    <row r="788" spans="2:10" s="1824" customFormat="1" ht="16.2">
      <c r="B788" s="1909"/>
      <c r="C788" s="1842"/>
      <c r="D788" s="1834"/>
      <c r="E788" s="1835"/>
      <c r="F788" s="1843"/>
      <c r="G788" s="1844"/>
      <c r="H788" s="1848"/>
      <c r="I788" s="1847"/>
      <c r="J788" s="1849"/>
    </row>
    <row r="789" spans="2:10" s="1824" customFormat="1" ht="16.2">
      <c r="B789" s="1909"/>
      <c r="C789" s="1842"/>
      <c r="D789" s="1834"/>
      <c r="E789" s="1835"/>
      <c r="F789" s="1843"/>
      <c r="G789" s="1844"/>
      <c r="H789" s="1848"/>
      <c r="I789" s="1847"/>
      <c r="J789" s="1849"/>
    </row>
    <row r="790" spans="2:10" s="1824" customFormat="1" ht="16.2">
      <c r="B790" s="1909"/>
      <c r="C790" s="1842"/>
      <c r="D790" s="1834"/>
      <c r="E790" s="1835"/>
      <c r="F790" s="1843"/>
      <c r="G790" s="1844"/>
      <c r="H790" s="1848"/>
      <c r="I790" s="1847"/>
      <c r="J790" s="1849"/>
    </row>
    <row r="791" spans="2:10" s="1824" customFormat="1" ht="16.2">
      <c r="B791" s="1909"/>
      <c r="C791" s="1842"/>
      <c r="D791" s="1834"/>
      <c r="E791" s="1835"/>
      <c r="F791" s="1843"/>
      <c r="G791" s="1844"/>
      <c r="H791" s="1848"/>
      <c r="I791" s="1847"/>
      <c r="J791" s="1849"/>
    </row>
    <row r="792" spans="2:10" s="1824" customFormat="1" ht="16.2">
      <c r="B792" s="1909"/>
      <c r="C792" s="1842"/>
      <c r="D792" s="1834"/>
      <c r="E792" s="1835"/>
      <c r="F792" s="1843"/>
      <c r="G792" s="1844"/>
      <c r="H792" s="1848"/>
      <c r="I792" s="1847"/>
      <c r="J792" s="1849"/>
    </row>
    <row r="793" spans="2:10" s="1824" customFormat="1" ht="16.2">
      <c r="B793" s="1909"/>
      <c r="C793" s="1842"/>
      <c r="D793" s="1834"/>
      <c r="E793" s="1835"/>
      <c r="F793" s="1843"/>
      <c r="G793" s="1844"/>
      <c r="H793" s="1848"/>
      <c r="I793" s="1847"/>
      <c r="J793" s="1849"/>
    </row>
    <row r="794" spans="2:10" s="1824" customFormat="1" ht="16.2">
      <c r="B794" s="1909"/>
      <c r="C794" s="1842"/>
      <c r="D794" s="1834"/>
      <c r="E794" s="1835"/>
      <c r="F794" s="1843"/>
      <c r="G794" s="1844"/>
      <c r="H794" s="1848"/>
      <c r="I794" s="1847"/>
      <c r="J794" s="1849"/>
    </row>
    <row r="795" spans="2:10" s="1824" customFormat="1" ht="16.2">
      <c r="B795" s="1909"/>
      <c r="C795" s="1842"/>
      <c r="D795" s="1834"/>
      <c r="E795" s="1835"/>
      <c r="F795" s="1843"/>
      <c r="G795" s="1844"/>
      <c r="H795" s="1848"/>
      <c r="I795" s="1847"/>
      <c r="J795" s="1849"/>
    </row>
    <row r="796" spans="2:10" s="1824" customFormat="1" ht="16.2">
      <c r="B796" s="1909"/>
      <c r="C796" s="1842"/>
      <c r="D796" s="1834"/>
      <c r="E796" s="1835"/>
      <c r="F796" s="1843"/>
      <c r="G796" s="1844"/>
      <c r="H796" s="1848"/>
      <c r="I796" s="1847"/>
      <c r="J796" s="1849"/>
    </row>
    <row r="797" spans="2:10" s="1824" customFormat="1" ht="16.2">
      <c r="B797" s="1909"/>
      <c r="C797" s="1842"/>
      <c r="D797" s="1834"/>
      <c r="E797" s="1835"/>
      <c r="F797" s="1843"/>
      <c r="G797" s="1844"/>
      <c r="H797" s="1848"/>
      <c r="I797" s="1847"/>
      <c r="J797" s="1849"/>
    </row>
    <row r="798" spans="2:10" s="1824" customFormat="1" ht="16.2">
      <c r="B798" s="1909"/>
      <c r="C798" s="1842"/>
      <c r="D798" s="1834"/>
      <c r="E798" s="1835"/>
      <c r="F798" s="1843"/>
      <c r="G798" s="1844"/>
      <c r="H798" s="1848"/>
      <c r="I798" s="1847"/>
      <c r="J798" s="1849"/>
    </row>
    <row r="799" spans="2:10" s="1824" customFormat="1" ht="16.2">
      <c r="B799" s="1909"/>
      <c r="C799" s="1842"/>
      <c r="D799" s="1834"/>
      <c r="E799" s="1835"/>
      <c r="F799" s="1843"/>
      <c r="G799" s="1844"/>
      <c r="H799" s="1848"/>
      <c r="I799" s="1847"/>
      <c r="J799" s="1849"/>
    </row>
    <row r="800" spans="2:10" s="1824" customFormat="1" ht="16.2">
      <c r="B800" s="1909"/>
      <c r="C800" s="1842"/>
      <c r="D800" s="1834"/>
      <c r="E800" s="1835"/>
      <c r="F800" s="1843"/>
      <c r="G800" s="1844"/>
      <c r="H800" s="1848"/>
      <c r="I800" s="1847"/>
      <c r="J800" s="1849"/>
    </row>
    <row r="801" spans="2:10" s="1824" customFormat="1" ht="16.2">
      <c r="B801" s="1909"/>
      <c r="C801" s="1842"/>
      <c r="D801" s="1834"/>
      <c r="E801" s="1835"/>
      <c r="F801" s="1843"/>
      <c r="G801" s="1844"/>
      <c r="H801" s="1848"/>
      <c r="I801" s="1847"/>
      <c r="J801" s="1849"/>
    </row>
    <row r="802" spans="2:10" s="1824" customFormat="1" ht="16.2">
      <c r="B802" s="1909"/>
      <c r="C802" s="1842"/>
      <c r="D802" s="1834"/>
      <c r="E802" s="1835"/>
      <c r="F802" s="1843"/>
      <c r="G802" s="1844"/>
      <c r="H802" s="1848"/>
      <c r="I802" s="1847"/>
      <c r="J802" s="1849"/>
    </row>
    <row r="803" spans="2:10" s="1824" customFormat="1" ht="16.2">
      <c r="B803" s="1909"/>
      <c r="C803" s="1842"/>
      <c r="D803" s="1834"/>
      <c r="E803" s="1835"/>
      <c r="F803" s="1843"/>
      <c r="G803" s="1844"/>
      <c r="H803" s="1848"/>
      <c r="I803" s="1847"/>
      <c r="J803" s="1849"/>
    </row>
    <row r="804" spans="2:10" s="1824" customFormat="1" ht="16.2">
      <c r="B804" s="1909"/>
      <c r="C804" s="1842"/>
      <c r="D804" s="1834"/>
      <c r="E804" s="1835"/>
      <c r="F804" s="1843"/>
      <c r="G804" s="1844"/>
      <c r="H804" s="1848"/>
      <c r="I804" s="1847"/>
      <c r="J804" s="1849"/>
    </row>
    <row r="805" spans="2:10" s="1824" customFormat="1" ht="16.2">
      <c r="B805" s="1909"/>
      <c r="C805" s="1842"/>
      <c r="D805" s="1834"/>
      <c r="E805" s="1835"/>
      <c r="F805" s="1843"/>
      <c r="G805" s="1844"/>
      <c r="H805" s="1848"/>
      <c r="I805" s="1847"/>
      <c r="J805" s="1849"/>
    </row>
    <row r="806" spans="2:10" s="1824" customFormat="1" ht="16.2">
      <c r="B806" s="1909"/>
      <c r="C806" s="1842"/>
      <c r="D806" s="1834"/>
      <c r="E806" s="1835"/>
      <c r="F806" s="1843"/>
      <c r="G806" s="1844"/>
      <c r="H806" s="1848"/>
      <c r="I806" s="1847"/>
      <c r="J806" s="1849"/>
    </row>
    <row r="807" spans="2:10" s="1824" customFormat="1" ht="16.2">
      <c r="B807" s="1909"/>
      <c r="C807" s="1842"/>
      <c r="D807" s="1834"/>
      <c r="E807" s="1835"/>
      <c r="F807" s="1843"/>
      <c r="G807" s="1844"/>
      <c r="H807" s="1848"/>
      <c r="I807" s="1847"/>
      <c r="J807" s="1849"/>
    </row>
    <row r="808" spans="2:10" s="1824" customFormat="1" ht="16.2">
      <c r="B808" s="1909"/>
      <c r="C808" s="1842"/>
      <c r="D808" s="1834"/>
      <c r="E808" s="1835"/>
      <c r="F808" s="1843"/>
      <c r="G808" s="1844"/>
      <c r="H808" s="1848"/>
      <c r="I808" s="1847"/>
      <c r="J808" s="1849"/>
    </row>
    <row r="809" spans="2:10" s="1824" customFormat="1" ht="16.2">
      <c r="B809" s="1909"/>
      <c r="C809" s="1842"/>
      <c r="D809" s="1834"/>
      <c r="E809" s="1835"/>
      <c r="F809" s="1843"/>
      <c r="G809" s="1844"/>
      <c r="H809" s="1848"/>
      <c r="I809" s="1847"/>
      <c r="J809" s="1849"/>
    </row>
    <row r="810" spans="2:10" s="1824" customFormat="1" ht="16.2">
      <c r="B810" s="1909"/>
      <c r="C810" s="1842"/>
      <c r="D810" s="1834"/>
      <c r="E810" s="1835"/>
      <c r="F810" s="1843"/>
      <c r="G810" s="1844"/>
      <c r="H810" s="1848"/>
      <c r="I810" s="1847"/>
      <c r="J810" s="1849"/>
    </row>
    <row r="811" spans="2:10" s="1824" customFormat="1" ht="16.2">
      <c r="B811" s="1909"/>
      <c r="C811" s="1842"/>
      <c r="D811" s="1834"/>
      <c r="E811" s="1835"/>
      <c r="F811" s="1843"/>
      <c r="G811" s="1844"/>
      <c r="H811" s="1848"/>
      <c r="I811" s="1847"/>
      <c r="J811" s="1849"/>
    </row>
    <row r="812" spans="2:10" s="1824" customFormat="1" ht="16.2">
      <c r="B812" s="1909"/>
      <c r="C812" s="1842"/>
      <c r="D812" s="1834"/>
      <c r="E812" s="1835"/>
      <c r="F812" s="1843"/>
      <c r="G812" s="1844"/>
      <c r="H812" s="1848"/>
      <c r="I812" s="1847"/>
      <c r="J812" s="1849"/>
    </row>
    <row r="813" spans="2:10" s="1824" customFormat="1" ht="16.2">
      <c r="B813" s="1909"/>
      <c r="C813" s="1842"/>
      <c r="D813" s="1834"/>
      <c r="E813" s="1835"/>
      <c r="F813" s="1843"/>
      <c r="G813" s="1844"/>
      <c r="H813" s="1848"/>
      <c r="I813" s="1847"/>
      <c r="J813" s="1849"/>
    </row>
    <row r="814" spans="2:10" s="1824" customFormat="1" ht="16.2">
      <c r="B814" s="1909"/>
      <c r="C814" s="1842"/>
      <c r="D814" s="1834"/>
      <c r="E814" s="1835"/>
      <c r="F814" s="1843"/>
      <c r="G814" s="1844"/>
      <c r="H814" s="1848"/>
      <c r="I814" s="1847"/>
      <c r="J814" s="1849"/>
    </row>
    <row r="815" spans="2:10" s="1824" customFormat="1" ht="16.2">
      <c r="B815" s="1909"/>
      <c r="C815" s="1842"/>
      <c r="D815" s="1834"/>
      <c r="E815" s="1835"/>
      <c r="F815" s="1843"/>
      <c r="G815" s="1844"/>
      <c r="H815" s="1848"/>
      <c r="I815" s="1847"/>
      <c r="J815" s="1849"/>
    </row>
    <row r="816" spans="2:10" s="1824" customFormat="1" ht="16.2">
      <c r="B816" s="1909"/>
      <c r="C816" s="1842"/>
      <c r="D816" s="1834"/>
      <c r="E816" s="1835"/>
      <c r="F816" s="1843"/>
      <c r="G816" s="1844"/>
      <c r="H816" s="1848"/>
      <c r="I816" s="1847"/>
      <c r="J816" s="1849"/>
    </row>
    <row r="817" spans="2:10" s="1824" customFormat="1" ht="16.2">
      <c r="B817" s="1909"/>
      <c r="C817" s="1842"/>
      <c r="D817" s="1834"/>
      <c r="E817" s="1835"/>
      <c r="F817" s="1843"/>
      <c r="G817" s="1844"/>
      <c r="H817" s="1848"/>
      <c r="I817" s="1847"/>
      <c r="J817" s="1849"/>
    </row>
    <row r="818" spans="2:10" s="1824" customFormat="1" ht="16.2">
      <c r="B818" s="1909"/>
      <c r="C818" s="1842"/>
      <c r="D818" s="1834"/>
      <c r="E818" s="1835"/>
      <c r="F818" s="1843"/>
      <c r="G818" s="1844"/>
      <c r="H818" s="1848"/>
      <c r="I818" s="1847"/>
      <c r="J818" s="1849"/>
    </row>
    <row r="819" spans="2:10" s="1824" customFormat="1" ht="16.2">
      <c r="B819" s="1909"/>
      <c r="C819" s="1842"/>
      <c r="D819" s="1834"/>
      <c r="E819" s="1835"/>
      <c r="F819" s="1843"/>
      <c r="G819" s="1844"/>
      <c r="H819" s="1848"/>
      <c r="I819" s="1847"/>
      <c r="J819" s="1849"/>
    </row>
    <row r="820" spans="2:10" s="1824" customFormat="1" ht="16.2">
      <c r="B820" s="1909"/>
      <c r="C820" s="1842"/>
      <c r="D820" s="1834"/>
      <c r="E820" s="1835"/>
      <c r="F820" s="1843"/>
      <c r="G820" s="1844"/>
      <c r="H820" s="1848"/>
      <c r="I820" s="1847"/>
      <c r="J820" s="1849"/>
    </row>
    <row r="821" spans="2:10" s="1824" customFormat="1" ht="16.2">
      <c r="B821" s="1909"/>
      <c r="C821" s="1842"/>
      <c r="D821" s="1834"/>
      <c r="E821" s="1835"/>
      <c r="F821" s="1843"/>
      <c r="G821" s="1844"/>
      <c r="H821" s="1848"/>
      <c r="I821" s="1847"/>
      <c r="J821" s="1849"/>
    </row>
    <row r="822" spans="2:10" s="1824" customFormat="1" ht="16.2">
      <c r="B822" s="1909"/>
      <c r="C822" s="1842"/>
      <c r="D822" s="1834"/>
      <c r="E822" s="1835"/>
      <c r="F822" s="1843"/>
      <c r="G822" s="1844"/>
      <c r="H822" s="1848"/>
      <c r="I822" s="1847"/>
      <c r="J822" s="1849"/>
    </row>
    <row r="823" spans="2:10" s="1824" customFormat="1" ht="16.2">
      <c r="B823" s="1909"/>
      <c r="C823" s="1842"/>
      <c r="D823" s="1834"/>
      <c r="E823" s="1835"/>
      <c r="F823" s="1843"/>
      <c r="G823" s="1844"/>
      <c r="H823" s="1848"/>
      <c r="I823" s="1847"/>
      <c r="J823" s="1849"/>
    </row>
    <row r="824" spans="2:10" s="1824" customFormat="1" ht="16.2">
      <c r="B824" s="1909"/>
      <c r="C824" s="1842"/>
      <c r="D824" s="1834"/>
      <c r="E824" s="1835"/>
      <c r="F824" s="1843"/>
      <c r="G824" s="1844"/>
      <c r="H824" s="1848"/>
      <c r="I824" s="1847"/>
      <c r="J824" s="1849"/>
    </row>
    <row r="825" spans="2:10" s="1824" customFormat="1" ht="16.2">
      <c r="B825" s="1909"/>
      <c r="C825" s="1842"/>
      <c r="D825" s="1834"/>
      <c r="E825" s="1835"/>
      <c r="F825" s="1843"/>
      <c r="G825" s="1844"/>
      <c r="H825" s="1848"/>
      <c r="I825" s="1847"/>
      <c r="J825" s="1849"/>
    </row>
    <row r="826" spans="2:10" s="1824" customFormat="1" ht="16.2">
      <c r="B826" s="1909"/>
      <c r="C826" s="1842"/>
      <c r="D826" s="1834"/>
      <c r="E826" s="1835"/>
      <c r="F826" s="1843"/>
      <c r="G826" s="1844"/>
      <c r="H826" s="1848"/>
      <c r="I826" s="1847"/>
      <c r="J826" s="1849"/>
    </row>
    <row r="827" spans="2:10" s="1824" customFormat="1" ht="16.2">
      <c r="B827" s="1909"/>
      <c r="C827" s="1842"/>
      <c r="D827" s="1834"/>
      <c r="E827" s="1835"/>
      <c r="F827" s="1843"/>
      <c r="G827" s="1844"/>
      <c r="H827" s="1848"/>
      <c r="I827" s="1847"/>
      <c r="J827" s="1849"/>
    </row>
    <row r="828" spans="2:10" s="1824" customFormat="1" ht="16.2">
      <c r="B828" s="1909"/>
      <c r="C828" s="1842"/>
      <c r="D828" s="1834"/>
      <c r="E828" s="1835"/>
      <c r="F828" s="1843"/>
      <c r="G828" s="1844"/>
      <c r="H828" s="1848"/>
      <c r="I828" s="1847"/>
      <c r="J828" s="1849"/>
    </row>
    <row r="829" spans="2:10" s="1824" customFormat="1" ht="16.2">
      <c r="B829" s="1909"/>
      <c r="C829" s="1842"/>
      <c r="D829" s="1834"/>
      <c r="E829" s="1835"/>
      <c r="F829" s="1843"/>
      <c r="G829" s="1844"/>
      <c r="H829" s="1848"/>
      <c r="I829" s="1847"/>
      <c r="J829" s="1849"/>
    </row>
    <row r="830" spans="2:10" s="1824" customFormat="1" ht="16.2">
      <c r="B830" s="1909"/>
      <c r="C830" s="1842"/>
      <c r="D830" s="1834"/>
      <c r="E830" s="1835"/>
      <c r="F830" s="1843"/>
      <c r="G830" s="1844"/>
      <c r="H830" s="1848"/>
      <c r="I830" s="1847"/>
      <c r="J830" s="1849"/>
    </row>
    <row r="831" spans="2:10" s="1824" customFormat="1" ht="16.2">
      <c r="B831" s="1909"/>
      <c r="C831" s="1842"/>
      <c r="D831" s="1834"/>
      <c r="E831" s="1835"/>
      <c r="F831" s="1843"/>
      <c r="G831" s="1844"/>
      <c r="H831" s="1848"/>
      <c r="I831" s="1847"/>
      <c r="J831" s="1849"/>
    </row>
    <row r="832" spans="2:10" s="1824" customFormat="1" ht="16.2">
      <c r="B832" s="1909"/>
      <c r="C832" s="1842"/>
      <c r="D832" s="1834"/>
      <c r="E832" s="1835"/>
      <c r="F832" s="1843"/>
      <c r="G832" s="1844"/>
      <c r="H832" s="1848"/>
      <c r="I832" s="1847"/>
      <c r="J832" s="1849"/>
    </row>
    <row r="833" spans="2:10" s="1824" customFormat="1" ht="16.2">
      <c r="B833" s="1909"/>
      <c r="C833" s="1842"/>
      <c r="D833" s="1834"/>
      <c r="E833" s="1835"/>
      <c r="F833" s="1843"/>
      <c r="G833" s="1844"/>
      <c r="H833" s="1848"/>
      <c r="I833" s="1847"/>
      <c r="J833" s="1849"/>
    </row>
    <row r="834" spans="2:10" s="1824" customFormat="1" ht="16.2">
      <c r="B834" s="1909"/>
      <c r="C834" s="1842"/>
      <c r="D834" s="1834"/>
      <c r="E834" s="1835"/>
      <c r="F834" s="1843"/>
      <c r="G834" s="1844"/>
      <c r="H834" s="1848"/>
      <c r="I834" s="1847"/>
      <c r="J834" s="1849"/>
    </row>
    <row r="835" spans="2:10" s="1824" customFormat="1" ht="16.2">
      <c r="B835" s="1909"/>
      <c r="C835" s="1842"/>
      <c r="D835" s="1834"/>
      <c r="E835" s="1835"/>
      <c r="F835" s="1843"/>
      <c r="G835" s="1844"/>
      <c r="H835" s="1848"/>
      <c r="I835" s="1847"/>
      <c r="J835" s="1849"/>
    </row>
    <row r="836" spans="2:10" s="1824" customFormat="1" ht="16.2">
      <c r="B836" s="1909"/>
      <c r="C836" s="1842"/>
      <c r="D836" s="1834"/>
      <c r="E836" s="1835"/>
      <c r="F836" s="1843"/>
      <c r="G836" s="1844"/>
      <c r="H836" s="1848"/>
      <c r="I836" s="1847"/>
      <c r="J836" s="1849"/>
    </row>
    <row r="837" spans="2:10" s="1824" customFormat="1" ht="16.2">
      <c r="B837" s="1909"/>
      <c r="C837" s="1842"/>
      <c r="D837" s="1834"/>
      <c r="E837" s="1835"/>
      <c r="F837" s="1843"/>
      <c r="G837" s="1844"/>
      <c r="H837" s="1848"/>
      <c r="I837" s="1847"/>
      <c r="J837" s="1849"/>
    </row>
    <row r="838" spans="2:10" s="1824" customFormat="1" ht="16.2">
      <c r="B838" s="1909"/>
      <c r="C838" s="1842"/>
      <c r="D838" s="1834"/>
      <c r="E838" s="1835"/>
      <c r="F838" s="1843"/>
      <c r="G838" s="1844"/>
      <c r="H838" s="1848"/>
      <c r="I838" s="1847"/>
      <c r="J838" s="1849"/>
    </row>
    <row r="839" spans="2:10" s="1824" customFormat="1" ht="16.2">
      <c r="B839" s="1909"/>
      <c r="C839" s="1842"/>
      <c r="D839" s="1834"/>
      <c r="E839" s="1835"/>
      <c r="F839" s="1843"/>
      <c r="G839" s="1844"/>
      <c r="H839" s="1848"/>
      <c r="I839" s="1847"/>
      <c r="J839" s="1849"/>
    </row>
    <row r="840" spans="2:10" s="1824" customFormat="1" ht="16.2">
      <c r="B840" s="1909"/>
      <c r="C840" s="1842"/>
      <c r="D840" s="1834"/>
      <c r="E840" s="1835"/>
      <c r="F840" s="1843"/>
      <c r="G840" s="1844"/>
      <c r="H840" s="1848"/>
      <c r="I840" s="1847"/>
      <c r="J840" s="1849"/>
    </row>
    <row r="841" spans="2:10" s="1824" customFormat="1" ht="16.2">
      <c r="B841" s="1909"/>
      <c r="C841" s="1842"/>
      <c r="D841" s="1834"/>
      <c r="E841" s="1835"/>
      <c r="F841" s="1843"/>
      <c r="G841" s="1844"/>
      <c r="H841" s="1848"/>
      <c r="I841" s="1847"/>
      <c r="J841" s="1849"/>
    </row>
    <row r="842" spans="2:10" s="1824" customFormat="1" ht="16.2">
      <c r="B842" s="1909"/>
      <c r="C842" s="1842"/>
      <c r="D842" s="1834"/>
      <c r="E842" s="1835"/>
      <c r="F842" s="1843"/>
      <c r="G842" s="1844"/>
      <c r="H842" s="1848"/>
      <c r="I842" s="1847"/>
      <c r="J842" s="1849"/>
    </row>
    <row r="843" spans="2:10" s="1824" customFormat="1" ht="16.2">
      <c r="B843" s="1909"/>
      <c r="C843" s="1842"/>
      <c r="D843" s="1834"/>
      <c r="E843" s="1835"/>
      <c r="F843" s="1843"/>
      <c r="G843" s="1844"/>
      <c r="H843" s="1848"/>
      <c r="I843" s="1847"/>
      <c r="J843" s="1849"/>
    </row>
    <row r="844" spans="2:10" s="1824" customFormat="1" ht="16.2">
      <c r="B844" s="1909"/>
      <c r="C844" s="1842"/>
      <c r="D844" s="1834"/>
      <c r="E844" s="1835"/>
      <c r="F844" s="1843"/>
      <c r="G844" s="1844"/>
      <c r="H844" s="1848"/>
      <c r="I844" s="1847"/>
      <c r="J844" s="1849"/>
    </row>
    <row r="845" spans="2:10" s="1824" customFormat="1" ht="16.2">
      <c r="B845" s="1909"/>
      <c r="C845" s="1842"/>
      <c r="D845" s="1834"/>
      <c r="E845" s="1835"/>
      <c r="F845" s="1843"/>
      <c r="G845" s="1844"/>
      <c r="H845" s="1848"/>
      <c r="I845" s="1847"/>
      <c r="J845" s="1849"/>
    </row>
    <row r="846" spans="2:10" s="1824" customFormat="1" ht="16.2">
      <c r="B846" s="1909"/>
      <c r="C846" s="1842"/>
      <c r="D846" s="1834"/>
      <c r="E846" s="1835"/>
      <c r="F846" s="1843"/>
      <c r="G846" s="1844"/>
      <c r="H846" s="1848"/>
      <c r="I846" s="1847"/>
      <c r="J846" s="1849"/>
    </row>
    <row r="847" spans="2:10" s="1824" customFormat="1" ht="16.2">
      <c r="B847" s="1909"/>
      <c r="C847" s="1842"/>
      <c r="D847" s="1834"/>
      <c r="E847" s="1835"/>
      <c r="F847" s="1843"/>
      <c r="G847" s="1844"/>
      <c r="H847" s="1848"/>
      <c r="I847" s="1847"/>
      <c r="J847" s="1849"/>
    </row>
    <row r="848" spans="2:10" s="1824" customFormat="1" ht="16.2">
      <c r="B848" s="1909"/>
      <c r="C848" s="1842"/>
      <c r="D848" s="1834"/>
      <c r="E848" s="1835"/>
      <c r="F848" s="1843"/>
      <c r="G848" s="1844"/>
      <c r="H848" s="1848"/>
      <c r="I848" s="1847"/>
      <c r="J848" s="1849"/>
    </row>
    <row r="849" spans="2:10" s="1824" customFormat="1" ht="16.2">
      <c r="B849" s="1909"/>
      <c r="C849" s="1842"/>
      <c r="D849" s="1834"/>
      <c r="E849" s="1835"/>
      <c r="F849" s="1843"/>
      <c r="G849" s="1844"/>
      <c r="H849" s="1848"/>
      <c r="I849" s="1847"/>
      <c r="J849" s="1849"/>
    </row>
    <row r="850" spans="2:10" s="1824" customFormat="1" ht="16.2">
      <c r="B850" s="1909"/>
      <c r="C850" s="1842"/>
      <c r="D850" s="1834"/>
      <c r="E850" s="1835"/>
      <c r="F850" s="1843"/>
      <c r="G850" s="1844"/>
      <c r="H850" s="1848"/>
      <c r="I850" s="1847"/>
      <c r="J850" s="1849"/>
    </row>
    <row r="851" spans="2:10" s="1824" customFormat="1" ht="16.2">
      <c r="B851" s="1909"/>
      <c r="C851" s="1842"/>
      <c r="D851" s="1834"/>
      <c r="E851" s="1835"/>
      <c r="F851" s="1843"/>
      <c r="G851" s="1844"/>
      <c r="H851" s="1848"/>
      <c r="I851" s="1847"/>
      <c r="J851" s="1849"/>
    </row>
    <row r="852" spans="2:10" s="1824" customFormat="1" ht="16.2">
      <c r="B852" s="1909"/>
      <c r="C852" s="1842"/>
      <c r="D852" s="1834"/>
      <c r="E852" s="1835"/>
      <c r="F852" s="1843"/>
      <c r="G852" s="1844"/>
      <c r="H852" s="1848"/>
      <c r="I852" s="1847"/>
      <c r="J852" s="1849"/>
    </row>
    <row r="853" spans="2:10" s="1824" customFormat="1" ht="16.2">
      <c r="B853" s="1909"/>
      <c r="C853" s="1842"/>
      <c r="D853" s="1834"/>
      <c r="E853" s="1835"/>
      <c r="F853" s="1843"/>
      <c r="G853" s="1844"/>
      <c r="H853" s="1848"/>
      <c r="I853" s="1847"/>
      <c r="J853" s="1849"/>
    </row>
    <row r="854" spans="2:10" s="1824" customFormat="1" ht="16.2">
      <c r="B854" s="1909"/>
      <c r="C854" s="1842"/>
      <c r="D854" s="1834"/>
      <c r="E854" s="1835"/>
      <c r="F854" s="1843"/>
      <c r="G854" s="1844"/>
      <c r="H854" s="1848"/>
      <c r="I854" s="1847"/>
      <c r="J854" s="1849"/>
    </row>
    <row r="855" spans="2:10" s="1824" customFormat="1" ht="16.2">
      <c r="B855" s="1909"/>
      <c r="C855" s="1842"/>
      <c r="D855" s="1834"/>
      <c r="E855" s="1835"/>
      <c r="F855" s="1843"/>
      <c r="G855" s="1844"/>
      <c r="H855" s="1848"/>
      <c r="I855" s="1847"/>
      <c r="J855" s="1849"/>
    </row>
    <row r="856" spans="2:10" s="1824" customFormat="1" ht="16.2">
      <c r="B856" s="1909"/>
      <c r="C856" s="1842"/>
      <c r="D856" s="1834"/>
      <c r="E856" s="1835"/>
      <c r="F856" s="1843"/>
      <c r="G856" s="1844"/>
      <c r="H856" s="1848"/>
      <c r="I856" s="1847"/>
      <c r="J856" s="1849"/>
    </row>
    <row r="857" spans="2:10" s="1824" customFormat="1" ht="16.2">
      <c r="B857" s="1909"/>
      <c r="C857" s="1842"/>
      <c r="D857" s="1834"/>
      <c r="E857" s="1835"/>
      <c r="F857" s="1843"/>
      <c r="G857" s="1844"/>
      <c r="H857" s="1848"/>
      <c r="I857" s="1847"/>
      <c r="J857" s="1849"/>
    </row>
    <row r="858" spans="2:10" s="1824" customFormat="1" ht="16.2">
      <c r="B858" s="1909"/>
      <c r="C858" s="1842"/>
      <c r="D858" s="1834"/>
      <c r="E858" s="1835"/>
      <c r="F858" s="1843"/>
      <c r="G858" s="1844"/>
      <c r="H858" s="1848"/>
      <c r="I858" s="1847"/>
      <c r="J858" s="1849"/>
    </row>
    <row r="859" spans="2:10" s="1824" customFormat="1" ht="16.2">
      <c r="B859" s="1909"/>
      <c r="C859" s="1842"/>
      <c r="D859" s="1834"/>
      <c r="E859" s="1835"/>
      <c r="F859" s="1843"/>
      <c r="G859" s="1844"/>
      <c r="H859" s="1848"/>
      <c r="I859" s="1847"/>
      <c r="J859" s="1849"/>
    </row>
    <row r="860" spans="2:10" s="1824" customFormat="1" ht="16.2">
      <c r="B860" s="1909"/>
      <c r="C860" s="1842"/>
      <c r="D860" s="1834"/>
      <c r="E860" s="1835"/>
      <c r="F860" s="1843"/>
      <c r="G860" s="1844"/>
      <c r="H860" s="1848"/>
      <c r="I860" s="1847"/>
      <c r="J860" s="1849"/>
    </row>
    <row r="861" spans="2:10" s="1824" customFormat="1" ht="16.2">
      <c r="B861" s="1909"/>
      <c r="C861" s="1842"/>
      <c r="D861" s="1834"/>
      <c r="E861" s="1835"/>
      <c r="F861" s="1843"/>
      <c r="G861" s="1844"/>
      <c r="H861" s="1848"/>
      <c r="I861" s="1847"/>
      <c r="J861" s="1849"/>
    </row>
    <row r="862" spans="2:10" s="1824" customFormat="1" ht="16.2">
      <c r="B862" s="1909"/>
      <c r="C862" s="1842"/>
      <c r="D862" s="1834"/>
      <c r="E862" s="1835"/>
      <c r="F862" s="1843"/>
      <c r="G862" s="1844"/>
      <c r="H862" s="1848"/>
      <c r="I862" s="1847"/>
      <c r="J862" s="1849"/>
    </row>
    <row r="863" spans="2:10" s="1824" customFormat="1" ht="16.2">
      <c r="B863" s="1909"/>
      <c r="C863" s="1842"/>
      <c r="D863" s="1834"/>
      <c r="E863" s="1835"/>
      <c r="F863" s="1843"/>
      <c r="G863" s="1844"/>
      <c r="H863" s="1848"/>
      <c r="I863" s="1847"/>
      <c r="J863" s="1849"/>
    </row>
    <row r="864" spans="2:10" s="1824" customFormat="1" ht="16.2">
      <c r="B864" s="1909"/>
      <c r="C864" s="1842"/>
      <c r="D864" s="1834"/>
      <c r="E864" s="1835"/>
      <c r="F864" s="1843"/>
      <c r="G864" s="1844"/>
      <c r="H864" s="1848"/>
      <c r="I864" s="1847"/>
      <c r="J864" s="1849"/>
    </row>
    <row r="865" spans="2:10" s="1824" customFormat="1" ht="16.2">
      <c r="B865" s="1909"/>
      <c r="C865" s="1842"/>
      <c r="D865" s="1834"/>
      <c r="E865" s="1835"/>
      <c r="F865" s="1843"/>
      <c r="G865" s="1844"/>
      <c r="H865" s="1848"/>
      <c r="I865" s="1847"/>
      <c r="J865" s="1849"/>
    </row>
    <row r="866" spans="2:10" s="1824" customFormat="1" ht="16.2">
      <c r="B866" s="1909"/>
      <c r="C866" s="1842"/>
      <c r="D866" s="1834"/>
      <c r="E866" s="1835"/>
      <c r="F866" s="1843"/>
      <c r="G866" s="1844"/>
      <c r="H866" s="1848"/>
      <c r="I866" s="1847"/>
      <c r="J866" s="1849"/>
    </row>
    <row r="867" spans="2:10" s="1824" customFormat="1" ht="16.2">
      <c r="B867" s="1909"/>
      <c r="C867" s="1842"/>
      <c r="D867" s="1834"/>
      <c r="E867" s="1835"/>
      <c r="F867" s="1843"/>
      <c r="G867" s="1844"/>
      <c r="H867" s="1848"/>
      <c r="I867" s="1847"/>
      <c r="J867" s="1849"/>
    </row>
    <row r="868" spans="2:10" s="1824" customFormat="1" ht="16.2">
      <c r="B868" s="1909"/>
      <c r="C868" s="1842"/>
      <c r="D868" s="1834"/>
      <c r="E868" s="1835"/>
      <c r="F868" s="1843"/>
      <c r="G868" s="1844"/>
      <c r="H868" s="1848"/>
      <c r="I868" s="1847"/>
      <c r="J868" s="1849"/>
    </row>
    <row r="869" spans="2:10" s="1824" customFormat="1" ht="16.2">
      <c r="B869" s="1909"/>
      <c r="C869" s="1842"/>
      <c r="D869" s="1834"/>
      <c r="E869" s="1835"/>
      <c r="F869" s="1843"/>
      <c r="G869" s="1844"/>
      <c r="H869" s="1848"/>
      <c r="I869" s="1847"/>
      <c r="J869" s="1849"/>
    </row>
    <row r="870" spans="2:10" s="1824" customFormat="1" ht="16.2">
      <c r="B870" s="1909"/>
      <c r="C870" s="1842"/>
      <c r="D870" s="1834"/>
      <c r="E870" s="1835"/>
      <c r="F870" s="1843"/>
      <c r="G870" s="1844"/>
      <c r="H870" s="1848"/>
      <c r="I870" s="1847"/>
      <c r="J870" s="1849"/>
    </row>
    <row r="871" spans="2:10" s="1824" customFormat="1" ht="16.2">
      <c r="B871" s="1909"/>
      <c r="C871" s="1842"/>
      <c r="D871" s="1834"/>
      <c r="E871" s="1835"/>
      <c r="F871" s="1843"/>
      <c r="G871" s="1844"/>
      <c r="H871" s="1848"/>
      <c r="I871" s="1847"/>
      <c r="J871" s="1849"/>
    </row>
    <row r="872" spans="2:10" s="1824" customFormat="1" ht="16.2">
      <c r="B872" s="1909"/>
      <c r="C872" s="1842"/>
      <c r="D872" s="1834"/>
      <c r="E872" s="1835"/>
      <c r="F872" s="1843"/>
      <c r="G872" s="1844"/>
      <c r="H872" s="1848"/>
      <c r="I872" s="1847"/>
      <c r="J872" s="1849"/>
    </row>
    <row r="873" spans="2:10" s="1824" customFormat="1" ht="16.2">
      <c r="B873" s="1909"/>
      <c r="C873" s="1842"/>
      <c r="D873" s="1834"/>
      <c r="E873" s="1835"/>
      <c r="F873" s="1843"/>
      <c r="G873" s="1844"/>
      <c r="H873" s="1848"/>
      <c r="I873" s="1847"/>
      <c r="J873" s="1849"/>
    </row>
    <row r="874" spans="2:10" s="1824" customFormat="1" ht="16.2">
      <c r="B874" s="1909"/>
      <c r="C874" s="1842"/>
      <c r="D874" s="1834"/>
      <c r="E874" s="1835"/>
      <c r="F874" s="1843"/>
      <c r="G874" s="1844"/>
      <c r="H874" s="1848"/>
      <c r="I874" s="1847"/>
      <c r="J874" s="1849"/>
    </row>
    <row r="875" spans="2:10" s="1824" customFormat="1" ht="16.2">
      <c r="B875" s="1909"/>
      <c r="C875" s="1842"/>
      <c r="D875" s="1834"/>
      <c r="E875" s="1835"/>
      <c r="F875" s="1843"/>
      <c r="G875" s="1844"/>
      <c r="H875" s="1848"/>
      <c r="I875" s="1847"/>
      <c r="J875" s="1849"/>
    </row>
    <row r="876" spans="2:10" s="1824" customFormat="1" ht="16.2">
      <c r="B876" s="1909"/>
      <c r="C876" s="1842"/>
      <c r="D876" s="1834"/>
      <c r="E876" s="1835"/>
      <c r="F876" s="1843"/>
      <c r="G876" s="1844"/>
      <c r="H876" s="1848"/>
      <c r="I876" s="1847"/>
      <c r="J876" s="1849"/>
    </row>
    <row r="877" spans="2:10" s="1824" customFormat="1" ht="16.2">
      <c r="B877" s="1909"/>
      <c r="C877" s="1842"/>
      <c r="D877" s="1834"/>
      <c r="E877" s="1835"/>
      <c r="F877" s="1843"/>
      <c r="G877" s="1844"/>
      <c r="H877" s="1848"/>
      <c r="I877" s="1847"/>
      <c r="J877" s="1849"/>
    </row>
    <row r="878" spans="2:10" s="1824" customFormat="1" ht="16.2">
      <c r="B878" s="1909"/>
      <c r="C878" s="1842"/>
      <c r="D878" s="1834"/>
      <c r="E878" s="1835"/>
      <c r="F878" s="1843"/>
      <c r="G878" s="1844"/>
      <c r="H878" s="1848"/>
      <c r="I878" s="1847"/>
      <c r="J878" s="1849"/>
    </row>
    <row r="879" spans="2:10" s="1824" customFormat="1" ht="16.2">
      <c r="B879" s="1909"/>
      <c r="C879" s="1842"/>
      <c r="D879" s="1834"/>
      <c r="E879" s="1835"/>
      <c r="F879" s="1843"/>
      <c r="G879" s="1844"/>
      <c r="H879" s="1848"/>
      <c r="I879" s="1847"/>
      <c r="J879" s="1849"/>
    </row>
    <row r="880" spans="2:10" s="1824" customFormat="1" ht="16.2">
      <c r="B880" s="1909"/>
      <c r="C880" s="1842"/>
      <c r="D880" s="1834"/>
      <c r="E880" s="1835"/>
      <c r="F880" s="1843"/>
      <c r="G880" s="1844"/>
      <c r="H880" s="1848"/>
      <c r="I880" s="1847"/>
      <c r="J880" s="1849"/>
    </row>
    <row r="881" spans="2:10" s="1824" customFormat="1" ht="16.2">
      <c r="B881" s="1909"/>
      <c r="C881" s="1842"/>
      <c r="D881" s="1834"/>
      <c r="E881" s="1835"/>
      <c r="F881" s="1843"/>
      <c r="G881" s="1844"/>
      <c r="H881" s="1848"/>
      <c r="I881" s="1847"/>
      <c r="J881" s="1849"/>
    </row>
    <row r="882" spans="2:10" s="1824" customFormat="1" ht="16.2">
      <c r="B882" s="1909"/>
      <c r="C882" s="1842"/>
      <c r="D882" s="1834"/>
      <c r="E882" s="1835"/>
      <c r="F882" s="1843"/>
      <c r="G882" s="1844"/>
      <c r="H882" s="1848"/>
      <c r="I882" s="1847"/>
      <c r="J882" s="1849"/>
    </row>
    <row r="883" spans="2:10" s="1824" customFormat="1" ht="16.2">
      <c r="B883" s="1909"/>
      <c r="C883" s="1842"/>
      <c r="D883" s="1834"/>
      <c r="E883" s="1835"/>
      <c r="F883" s="1843"/>
      <c r="G883" s="1844"/>
      <c r="H883" s="1848"/>
      <c r="I883" s="1847"/>
      <c r="J883" s="1849"/>
    </row>
    <row r="884" spans="2:10" s="1824" customFormat="1" ht="16.2">
      <c r="B884" s="1909"/>
      <c r="C884" s="1842"/>
      <c r="D884" s="1834"/>
      <c r="E884" s="1835"/>
      <c r="F884" s="1843"/>
      <c r="G884" s="1844"/>
      <c r="H884" s="1848"/>
      <c r="I884" s="1847"/>
      <c r="J884" s="1849"/>
    </row>
    <row r="885" spans="2:10" s="1824" customFormat="1" ht="16.2">
      <c r="B885" s="1909"/>
      <c r="C885" s="1842"/>
      <c r="D885" s="1834"/>
      <c r="E885" s="1835"/>
      <c r="F885" s="1843"/>
      <c r="G885" s="1844"/>
      <c r="H885" s="1848"/>
      <c r="I885" s="1847"/>
      <c r="J885" s="1849"/>
    </row>
    <row r="886" spans="2:10" s="1824" customFormat="1" ht="16.2">
      <c r="B886" s="1909"/>
      <c r="C886" s="1842"/>
      <c r="D886" s="1834"/>
      <c r="E886" s="1835"/>
      <c r="F886" s="1843"/>
      <c r="G886" s="1844"/>
      <c r="H886" s="1848"/>
      <c r="I886" s="1847"/>
      <c r="J886" s="1849"/>
    </row>
    <row r="887" spans="2:10" s="1824" customFormat="1" ht="16.2">
      <c r="B887" s="1909"/>
      <c r="C887" s="1842"/>
      <c r="D887" s="1834"/>
      <c r="E887" s="1835"/>
      <c r="F887" s="1843"/>
      <c r="G887" s="1844"/>
      <c r="H887" s="1848"/>
      <c r="I887" s="1847"/>
      <c r="J887" s="1849"/>
    </row>
    <row r="888" spans="2:10" s="1824" customFormat="1" ht="16.2">
      <c r="B888" s="1909"/>
      <c r="C888" s="1842"/>
      <c r="D888" s="1834"/>
      <c r="E888" s="1835"/>
      <c r="F888" s="1843"/>
      <c r="G888" s="1844"/>
      <c r="H888" s="1848"/>
      <c r="I888" s="1847"/>
      <c r="J888" s="1849"/>
    </row>
    <row r="889" spans="2:10" s="1824" customFormat="1" ht="16.2">
      <c r="B889" s="1909"/>
      <c r="C889" s="1842"/>
      <c r="D889" s="1834"/>
      <c r="E889" s="1835"/>
      <c r="F889" s="1843"/>
      <c r="G889" s="1844"/>
      <c r="H889" s="1848"/>
      <c r="I889" s="1847"/>
      <c r="J889" s="1849"/>
    </row>
    <row r="890" spans="2:10" s="1824" customFormat="1" ht="16.2">
      <c r="B890" s="1909"/>
      <c r="C890" s="1842"/>
      <c r="D890" s="1834"/>
      <c r="E890" s="1835"/>
      <c r="F890" s="1843"/>
      <c r="G890" s="1844"/>
      <c r="H890" s="1848"/>
      <c r="I890" s="1847"/>
      <c r="J890" s="1849"/>
    </row>
    <row r="891" spans="2:10" s="1824" customFormat="1" ht="16.2">
      <c r="B891" s="1909"/>
      <c r="C891" s="1842"/>
      <c r="D891" s="1834"/>
      <c r="E891" s="1835"/>
      <c r="F891" s="1843"/>
      <c r="G891" s="1844"/>
      <c r="H891" s="1848"/>
      <c r="I891" s="1847"/>
      <c r="J891" s="1849"/>
    </row>
    <row r="892" spans="2:10" s="1824" customFormat="1" ht="16.2">
      <c r="B892" s="1909"/>
      <c r="C892" s="1842"/>
      <c r="D892" s="1834"/>
      <c r="E892" s="1835"/>
      <c r="F892" s="1843"/>
      <c r="G892" s="1844"/>
      <c r="H892" s="1848"/>
      <c r="I892" s="1847"/>
      <c r="J892" s="1849"/>
    </row>
    <row r="893" spans="2:10" s="1824" customFormat="1" ht="16.2">
      <c r="B893" s="1909"/>
      <c r="C893" s="1842"/>
      <c r="D893" s="1834"/>
      <c r="E893" s="1835"/>
      <c r="F893" s="1843"/>
      <c r="G893" s="1844"/>
      <c r="H893" s="1848"/>
      <c r="I893" s="1847"/>
      <c r="J893" s="1849"/>
    </row>
    <row r="894" spans="2:10" s="1824" customFormat="1" ht="16.2">
      <c r="B894" s="1909"/>
      <c r="C894" s="1842"/>
      <c r="D894" s="1834"/>
      <c r="E894" s="1835"/>
      <c r="F894" s="1843"/>
      <c r="G894" s="1844"/>
      <c r="H894" s="1848"/>
      <c r="I894" s="1847"/>
      <c r="J894" s="1849"/>
    </row>
    <row r="895" spans="2:10" s="1824" customFormat="1" ht="16.2">
      <c r="B895" s="1909"/>
      <c r="C895" s="1842"/>
      <c r="D895" s="1834"/>
      <c r="E895" s="1835"/>
      <c r="F895" s="1843"/>
      <c r="G895" s="1844"/>
      <c r="H895" s="1848"/>
      <c r="I895" s="1847"/>
      <c r="J895" s="1849"/>
    </row>
    <row r="896" spans="2:10" s="1824" customFormat="1" ht="16.2">
      <c r="B896" s="1909"/>
      <c r="C896" s="1842"/>
      <c r="D896" s="1834"/>
      <c r="E896" s="1835"/>
      <c r="F896" s="1843"/>
      <c r="G896" s="1844"/>
      <c r="H896" s="1848"/>
      <c r="I896" s="1847"/>
      <c r="J896" s="1849"/>
    </row>
    <row r="897" spans="2:10" s="1824" customFormat="1" ht="16.2">
      <c r="B897" s="1909"/>
      <c r="C897" s="1842"/>
      <c r="D897" s="1834"/>
      <c r="E897" s="1835"/>
      <c r="F897" s="1843"/>
      <c r="G897" s="1844"/>
      <c r="H897" s="1848"/>
      <c r="I897" s="1847"/>
      <c r="J897" s="1849"/>
    </row>
    <row r="898" spans="2:10" s="1824" customFormat="1" ht="16.2">
      <c r="B898" s="1909"/>
      <c r="C898" s="1842"/>
      <c r="D898" s="1834"/>
      <c r="E898" s="1835"/>
      <c r="F898" s="1843"/>
      <c r="G898" s="1844"/>
      <c r="H898" s="1848"/>
      <c r="I898" s="1847"/>
      <c r="J898" s="1849"/>
    </row>
    <row r="899" spans="2:10" s="1824" customFormat="1" ht="16.2">
      <c r="B899" s="1909"/>
      <c r="C899" s="1842"/>
      <c r="D899" s="1834"/>
      <c r="E899" s="1835"/>
      <c r="F899" s="1843"/>
      <c r="G899" s="1844"/>
      <c r="H899" s="1848"/>
      <c r="I899" s="1847"/>
      <c r="J899" s="1849"/>
    </row>
    <row r="900" spans="2:10" s="1824" customFormat="1" ht="16.2">
      <c r="B900" s="1909"/>
      <c r="C900" s="1842"/>
      <c r="D900" s="1834"/>
      <c r="E900" s="1835"/>
      <c r="F900" s="1843"/>
      <c r="G900" s="1844"/>
      <c r="H900" s="1848"/>
      <c r="I900" s="1847"/>
      <c r="J900" s="1849"/>
    </row>
    <row r="901" spans="2:10" s="1824" customFormat="1" ht="16.2">
      <c r="B901" s="1909"/>
      <c r="C901" s="1842"/>
      <c r="D901" s="1834"/>
      <c r="E901" s="1835"/>
      <c r="F901" s="1843"/>
      <c r="G901" s="1844"/>
      <c r="H901" s="1848"/>
      <c r="I901" s="1847"/>
      <c r="J901" s="1849"/>
    </row>
    <row r="902" spans="2:10" s="1824" customFormat="1" ht="16.2">
      <c r="B902" s="1909"/>
      <c r="C902" s="1842"/>
      <c r="D902" s="1834"/>
      <c r="E902" s="1835"/>
      <c r="F902" s="1843"/>
      <c r="G902" s="1844"/>
      <c r="H902" s="1848"/>
      <c r="I902" s="1847"/>
      <c r="J902" s="1849"/>
    </row>
    <row r="903" spans="2:10" s="1824" customFormat="1" ht="16.2">
      <c r="B903" s="1909"/>
      <c r="C903" s="1842"/>
      <c r="D903" s="1834"/>
      <c r="E903" s="1835"/>
      <c r="F903" s="1843"/>
      <c r="G903" s="1844"/>
      <c r="H903" s="1848"/>
      <c r="I903" s="1847"/>
      <c r="J903" s="1849"/>
    </row>
    <row r="904" spans="2:10" s="1824" customFormat="1" ht="16.2">
      <c r="B904" s="1909"/>
      <c r="C904" s="1842"/>
      <c r="D904" s="1834"/>
      <c r="E904" s="1835"/>
      <c r="F904" s="1843"/>
      <c r="G904" s="1844"/>
      <c r="H904" s="1848"/>
      <c r="I904" s="1847"/>
      <c r="J904" s="1849"/>
    </row>
    <row r="905" spans="2:10" s="1824" customFormat="1" ht="16.2">
      <c r="B905" s="1909"/>
      <c r="C905" s="1842"/>
      <c r="D905" s="1834"/>
      <c r="E905" s="1835"/>
      <c r="F905" s="1843"/>
      <c r="G905" s="1844"/>
      <c r="H905" s="1848"/>
      <c r="I905" s="1847"/>
      <c r="J905" s="1849"/>
    </row>
    <row r="906" spans="2:10" s="1824" customFormat="1" ht="16.2">
      <c r="B906" s="1909"/>
      <c r="C906" s="1842"/>
      <c r="D906" s="1834"/>
      <c r="E906" s="1835"/>
      <c r="F906" s="1843"/>
      <c r="G906" s="1844"/>
      <c r="H906" s="1848"/>
      <c r="I906" s="1847"/>
      <c r="J906" s="1849"/>
    </row>
    <row r="907" spans="2:10" s="1824" customFormat="1" ht="16.2">
      <c r="B907" s="1909"/>
      <c r="C907" s="1842"/>
      <c r="D907" s="1834"/>
      <c r="E907" s="1835"/>
      <c r="F907" s="1843"/>
      <c r="G907" s="1844"/>
      <c r="H907" s="1848"/>
      <c r="I907" s="1847"/>
      <c r="J907" s="1849"/>
    </row>
    <row r="908" spans="2:10" s="1824" customFormat="1" ht="16.2">
      <c r="B908" s="1909"/>
      <c r="C908" s="1842"/>
      <c r="D908" s="1834"/>
      <c r="E908" s="1835"/>
      <c r="F908" s="1843"/>
      <c r="G908" s="1844"/>
      <c r="H908" s="1848"/>
      <c r="I908" s="1847"/>
      <c r="J908" s="1849"/>
    </row>
    <row r="909" spans="2:10" s="1824" customFormat="1" ht="16.2">
      <c r="B909" s="1909"/>
      <c r="C909" s="1842"/>
      <c r="D909" s="1834"/>
      <c r="E909" s="1835"/>
      <c r="F909" s="1843"/>
      <c r="G909" s="1844"/>
      <c r="H909" s="1848"/>
      <c r="I909" s="1847"/>
      <c r="J909" s="1849"/>
    </row>
    <row r="910" spans="2:10" s="1824" customFormat="1" ht="16.2">
      <c r="B910" s="1909"/>
      <c r="C910" s="1842"/>
      <c r="D910" s="1834"/>
      <c r="E910" s="1835"/>
      <c r="F910" s="1843"/>
      <c r="G910" s="1844"/>
      <c r="H910" s="1848"/>
      <c r="I910" s="1847"/>
      <c r="J910" s="1849"/>
    </row>
    <row r="911" spans="2:10" s="1824" customFormat="1" ht="16.2">
      <c r="B911" s="1909"/>
      <c r="C911" s="1842"/>
      <c r="D911" s="1834"/>
      <c r="E911" s="1835"/>
      <c r="F911" s="1843"/>
      <c r="G911" s="1844"/>
      <c r="H911" s="1848"/>
      <c r="I911" s="1847"/>
      <c r="J911" s="1849"/>
    </row>
    <row r="912" spans="2:10" s="1824" customFormat="1" ht="16.2">
      <c r="B912" s="1909"/>
      <c r="C912" s="1842"/>
      <c r="D912" s="1834"/>
      <c r="E912" s="1835"/>
      <c r="F912" s="1843"/>
      <c r="G912" s="1844"/>
      <c r="H912" s="1848"/>
      <c r="I912" s="1847"/>
      <c r="J912" s="1849"/>
    </row>
    <row r="913" spans="2:10" s="1824" customFormat="1" ht="16.2">
      <c r="B913" s="1909"/>
      <c r="C913" s="1842"/>
      <c r="D913" s="1834"/>
      <c r="E913" s="1835"/>
      <c r="F913" s="1843"/>
      <c r="G913" s="1844"/>
      <c r="H913" s="1848"/>
      <c r="I913" s="1847"/>
      <c r="J913" s="1849"/>
    </row>
    <row r="914" spans="2:10" s="1824" customFormat="1" ht="16.2">
      <c r="B914" s="1909"/>
      <c r="C914" s="1842"/>
      <c r="D914" s="1834"/>
      <c r="E914" s="1835"/>
      <c r="F914" s="1843"/>
      <c r="G914" s="1844"/>
      <c r="H914" s="1848"/>
      <c r="I914" s="1847"/>
      <c r="J914" s="1849"/>
    </row>
    <row r="915" spans="2:10" s="1824" customFormat="1" ht="16.2">
      <c r="B915" s="1909"/>
      <c r="C915" s="1842"/>
      <c r="D915" s="1834"/>
      <c r="E915" s="1835"/>
      <c r="F915" s="1843"/>
      <c r="G915" s="1844"/>
      <c r="H915" s="1848"/>
      <c r="I915" s="1847"/>
      <c r="J915" s="1849"/>
    </row>
    <row r="916" spans="2:10" s="1824" customFormat="1" ht="16.2">
      <c r="B916" s="1909"/>
      <c r="C916" s="1842"/>
      <c r="D916" s="1834"/>
      <c r="E916" s="1835"/>
      <c r="F916" s="1843"/>
      <c r="G916" s="1844"/>
      <c r="H916" s="1848"/>
      <c r="I916" s="1847"/>
      <c r="J916" s="1849"/>
    </row>
    <row r="917" spans="2:10" s="1824" customFormat="1" ht="16.2">
      <c r="B917" s="1909"/>
      <c r="C917" s="1842"/>
      <c r="D917" s="1834"/>
      <c r="E917" s="1835"/>
      <c r="F917" s="1843"/>
      <c r="G917" s="1844"/>
      <c r="H917" s="1848"/>
      <c r="I917" s="1847"/>
      <c r="J917" s="1849"/>
    </row>
    <row r="918" spans="2:10" s="1824" customFormat="1" ht="16.2">
      <c r="B918" s="1909"/>
      <c r="C918" s="1842"/>
      <c r="D918" s="1834"/>
      <c r="E918" s="1835"/>
      <c r="F918" s="1843"/>
      <c r="G918" s="1844"/>
      <c r="H918" s="1848"/>
      <c r="I918" s="1847"/>
      <c r="J918" s="1849"/>
    </row>
    <row r="919" spans="2:10" s="1824" customFormat="1" ht="16.2">
      <c r="B919" s="1909"/>
      <c r="C919" s="1842"/>
      <c r="D919" s="1834"/>
      <c r="E919" s="1835"/>
      <c r="F919" s="1843"/>
      <c r="G919" s="1844"/>
      <c r="H919" s="1848"/>
      <c r="I919" s="1847"/>
      <c r="J919" s="1849"/>
    </row>
    <row r="920" spans="2:10" s="1824" customFormat="1" ht="16.2">
      <c r="B920" s="1909"/>
      <c r="C920" s="1842"/>
      <c r="D920" s="1834"/>
      <c r="E920" s="1835"/>
      <c r="F920" s="1843"/>
      <c r="G920" s="1844"/>
      <c r="H920" s="1848"/>
      <c r="I920" s="1847"/>
      <c r="J920" s="1849"/>
    </row>
    <row r="921" spans="2:10" s="1824" customFormat="1" ht="16.2">
      <c r="B921" s="1909"/>
      <c r="C921" s="1842"/>
      <c r="D921" s="1834"/>
      <c r="E921" s="1835"/>
      <c r="F921" s="1843"/>
      <c r="G921" s="1844"/>
      <c r="H921" s="1848"/>
      <c r="I921" s="1847"/>
      <c r="J921" s="1849"/>
    </row>
    <row r="922" spans="2:10" s="1824" customFormat="1" ht="16.2">
      <c r="B922" s="1909"/>
      <c r="C922" s="1842"/>
      <c r="D922" s="1834"/>
      <c r="E922" s="1835"/>
      <c r="F922" s="1843"/>
      <c r="G922" s="1844"/>
      <c r="H922" s="1848"/>
      <c r="I922" s="1847"/>
      <c r="J922" s="1849"/>
    </row>
    <row r="923" spans="2:10" s="1824" customFormat="1" ht="16.2">
      <c r="B923" s="1909"/>
      <c r="C923" s="1842"/>
      <c r="D923" s="1834"/>
      <c r="E923" s="1835"/>
      <c r="F923" s="1843"/>
      <c r="G923" s="1844"/>
      <c r="H923" s="1848"/>
      <c r="I923" s="1847"/>
      <c r="J923" s="1849"/>
    </row>
    <row r="924" spans="2:10" s="1824" customFormat="1" ht="16.2">
      <c r="B924" s="1909"/>
      <c r="C924" s="1842"/>
      <c r="D924" s="1834"/>
      <c r="E924" s="1835"/>
      <c r="F924" s="1843"/>
      <c r="G924" s="1844"/>
      <c r="H924" s="1848"/>
      <c r="I924" s="1847"/>
      <c r="J924" s="1849"/>
    </row>
    <row r="925" spans="2:10" s="1824" customFormat="1" ht="16.2">
      <c r="B925" s="1909"/>
      <c r="C925" s="1842"/>
      <c r="D925" s="1834"/>
      <c r="E925" s="1835"/>
      <c r="F925" s="1843"/>
      <c r="G925" s="1844"/>
      <c r="H925" s="1848"/>
      <c r="I925" s="1847"/>
      <c r="J925" s="1849"/>
    </row>
    <row r="926" spans="2:10" s="1824" customFormat="1" ht="16.2">
      <c r="B926" s="1909"/>
      <c r="C926" s="1842"/>
      <c r="D926" s="1834"/>
      <c r="E926" s="1835"/>
      <c r="F926" s="1843"/>
      <c r="G926" s="1844"/>
      <c r="H926" s="1848"/>
      <c r="I926" s="1847"/>
      <c r="J926" s="1849"/>
    </row>
    <row r="927" spans="2:10" s="1824" customFormat="1" ht="16.2">
      <c r="B927" s="1909"/>
      <c r="C927" s="1842"/>
      <c r="D927" s="1834"/>
      <c r="E927" s="1835"/>
      <c r="F927" s="1843"/>
      <c r="G927" s="1844"/>
      <c r="H927" s="1848"/>
      <c r="I927" s="1847"/>
      <c r="J927" s="1849"/>
    </row>
    <row r="928" spans="2:10" s="1824" customFormat="1" ht="16.2">
      <c r="B928" s="1909"/>
      <c r="C928" s="1842"/>
      <c r="D928" s="1834"/>
      <c r="E928" s="1835"/>
      <c r="F928" s="1843"/>
      <c r="G928" s="1844"/>
      <c r="H928" s="1848"/>
      <c r="I928" s="1847"/>
      <c r="J928" s="1849"/>
    </row>
    <row r="929" spans="2:10" s="1824" customFormat="1" ht="16.2">
      <c r="B929" s="1909"/>
      <c r="C929" s="1842"/>
      <c r="D929" s="1834"/>
      <c r="E929" s="1835"/>
      <c r="F929" s="1843"/>
      <c r="G929" s="1844"/>
      <c r="H929" s="1848"/>
      <c r="I929" s="1847"/>
      <c r="J929" s="1849"/>
    </row>
    <row r="930" spans="2:10" s="1824" customFormat="1" ht="16.2">
      <c r="B930" s="1909"/>
      <c r="C930" s="1842"/>
      <c r="D930" s="1834"/>
      <c r="E930" s="1835"/>
      <c r="F930" s="1843"/>
      <c r="G930" s="1844"/>
      <c r="H930" s="1848"/>
      <c r="I930" s="1847"/>
      <c r="J930" s="1849"/>
    </row>
    <row r="931" spans="2:10" s="1824" customFormat="1" ht="16.2">
      <c r="B931" s="1909"/>
      <c r="C931" s="1842"/>
      <c r="D931" s="1834"/>
      <c r="E931" s="1835"/>
      <c r="F931" s="1843"/>
      <c r="G931" s="1844"/>
      <c r="H931" s="1848"/>
      <c r="I931" s="1847"/>
      <c r="J931" s="1849"/>
    </row>
    <row r="932" spans="2:10" s="1824" customFormat="1" ht="16.2">
      <c r="B932" s="1909"/>
      <c r="C932" s="1842"/>
      <c r="D932" s="1834"/>
      <c r="E932" s="1835"/>
      <c r="F932" s="1843"/>
      <c r="G932" s="1844"/>
      <c r="H932" s="1848"/>
      <c r="I932" s="1847"/>
      <c r="J932" s="1849"/>
    </row>
    <row r="933" spans="2:10" s="1824" customFormat="1" ht="16.2">
      <c r="B933" s="1909"/>
      <c r="C933" s="1842"/>
      <c r="D933" s="1834"/>
      <c r="E933" s="1835"/>
      <c r="F933" s="1843"/>
      <c r="G933" s="1844"/>
      <c r="H933" s="1848"/>
      <c r="I933" s="1847"/>
      <c r="J933" s="1849"/>
    </row>
    <row r="934" spans="2:10" s="1824" customFormat="1" ht="16.2">
      <c r="B934" s="1909"/>
      <c r="C934" s="1842"/>
      <c r="D934" s="1834"/>
      <c r="E934" s="1835"/>
      <c r="F934" s="1843"/>
      <c r="G934" s="1844"/>
      <c r="H934" s="1848"/>
      <c r="I934" s="1847"/>
      <c r="J934" s="1849"/>
    </row>
    <row r="935" spans="2:10" s="1824" customFormat="1" ht="16.2">
      <c r="B935" s="1909"/>
      <c r="C935" s="1842"/>
      <c r="D935" s="1834"/>
      <c r="E935" s="1835"/>
      <c r="F935" s="1843"/>
      <c r="G935" s="1844"/>
      <c r="H935" s="1848"/>
      <c r="I935" s="1847"/>
      <c r="J935" s="1849"/>
    </row>
    <row r="936" spans="2:10" s="1824" customFormat="1" ht="16.2">
      <c r="B936" s="1909"/>
      <c r="C936" s="1842"/>
      <c r="D936" s="1834"/>
      <c r="E936" s="1835"/>
      <c r="F936" s="1843"/>
      <c r="G936" s="1844"/>
      <c r="H936" s="1848"/>
      <c r="I936" s="1847"/>
      <c r="J936" s="1849"/>
    </row>
    <row r="937" spans="2:10" s="1824" customFormat="1" ht="16.2">
      <c r="B937" s="1909"/>
      <c r="C937" s="1842"/>
      <c r="D937" s="1834"/>
      <c r="E937" s="1835"/>
      <c r="F937" s="1843"/>
      <c r="G937" s="1844"/>
      <c r="H937" s="1848"/>
      <c r="I937" s="1847"/>
      <c r="J937" s="1849"/>
    </row>
    <row r="938" spans="2:10" s="1824" customFormat="1" ht="16.2">
      <c r="B938" s="1909"/>
      <c r="C938" s="1842"/>
      <c r="D938" s="1834"/>
      <c r="E938" s="1835"/>
      <c r="F938" s="1843"/>
      <c r="G938" s="1844"/>
      <c r="H938" s="1848"/>
      <c r="I938" s="1847"/>
      <c r="J938" s="1849"/>
    </row>
    <row r="939" spans="2:10" s="1824" customFormat="1" ht="16.2">
      <c r="B939" s="1909"/>
      <c r="C939" s="1842"/>
      <c r="D939" s="1834"/>
      <c r="E939" s="1835"/>
      <c r="F939" s="1843"/>
      <c r="G939" s="1844"/>
      <c r="H939" s="1848"/>
      <c r="I939" s="1847"/>
      <c r="J939" s="1849"/>
    </row>
    <row r="940" spans="2:10" s="1824" customFormat="1" ht="16.2">
      <c r="B940" s="1909"/>
      <c r="C940" s="1842"/>
      <c r="D940" s="1834"/>
      <c r="E940" s="1835"/>
      <c r="F940" s="1843"/>
      <c r="G940" s="1844"/>
      <c r="H940" s="1848"/>
      <c r="I940" s="1847"/>
      <c r="J940" s="1849"/>
    </row>
    <row r="941" spans="2:10" s="1824" customFormat="1" ht="16.2">
      <c r="B941" s="1909"/>
      <c r="C941" s="1842"/>
      <c r="D941" s="1834"/>
      <c r="E941" s="1835"/>
      <c r="F941" s="1843"/>
      <c r="G941" s="1844"/>
      <c r="H941" s="1848"/>
      <c r="I941" s="1847"/>
      <c r="J941" s="1849"/>
    </row>
    <row r="942" spans="2:10" s="1824" customFormat="1" ht="16.2">
      <c r="B942" s="1909"/>
      <c r="C942" s="1842"/>
      <c r="D942" s="1834"/>
      <c r="E942" s="1835"/>
      <c r="F942" s="1843"/>
      <c r="G942" s="1844"/>
      <c r="H942" s="1848"/>
      <c r="I942" s="1847"/>
      <c r="J942" s="1849"/>
    </row>
    <row r="943" spans="2:10" s="1824" customFormat="1" ht="16.2">
      <c r="B943" s="1909"/>
      <c r="C943" s="1842"/>
      <c r="D943" s="1834"/>
      <c r="E943" s="1835"/>
      <c r="F943" s="1843"/>
      <c r="G943" s="1844"/>
      <c r="H943" s="1848"/>
      <c r="I943" s="1847"/>
      <c r="J943" s="1849"/>
    </row>
    <row r="944" spans="2:10" s="1824" customFormat="1" ht="16.2">
      <c r="B944" s="1909"/>
      <c r="C944" s="1842"/>
      <c r="D944" s="1834"/>
      <c r="E944" s="1835"/>
      <c r="F944" s="1843"/>
      <c r="G944" s="1844"/>
      <c r="H944" s="1848"/>
      <c r="I944" s="1847"/>
      <c r="J944" s="1849"/>
    </row>
    <row r="945" spans="2:10" s="1824" customFormat="1" ht="16.2">
      <c r="B945" s="1909"/>
      <c r="C945" s="1842"/>
      <c r="D945" s="1834"/>
      <c r="E945" s="1835"/>
      <c r="F945" s="1843"/>
      <c r="G945" s="1844"/>
      <c r="H945" s="1848"/>
      <c r="I945" s="1847"/>
      <c r="J945" s="1849"/>
    </row>
    <row r="946" spans="2:10" s="1824" customFormat="1" ht="16.2">
      <c r="B946" s="1909"/>
      <c r="C946" s="1842"/>
      <c r="D946" s="1834"/>
      <c r="E946" s="1835"/>
      <c r="F946" s="1843"/>
      <c r="G946" s="1844"/>
      <c r="H946" s="1848"/>
      <c r="I946" s="1847"/>
      <c r="J946" s="1849"/>
    </row>
    <row r="947" spans="2:10" s="1824" customFormat="1" ht="16.2">
      <c r="B947" s="1909"/>
      <c r="C947" s="1842"/>
      <c r="D947" s="1834"/>
      <c r="E947" s="1835"/>
      <c r="F947" s="1843"/>
      <c r="G947" s="1844"/>
      <c r="H947" s="1848"/>
      <c r="I947" s="1847"/>
      <c r="J947" s="1849"/>
    </row>
    <row r="948" spans="2:10" s="1824" customFormat="1" ht="16.2">
      <c r="B948" s="1909"/>
      <c r="C948" s="1842"/>
      <c r="D948" s="1834"/>
      <c r="E948" s="1835"/>
      <c r="F948" s="1843"/>
      <c r="G948" s="1844"/>
      <c r="H948" s="1848"/>
      <c r="I948" s="1847"/>
      <c r="J948" s="1849"/>
    </row>
    <row r="949" spans="2:10" s="1824" customFormat="1" ht="16.2">
      <c r="B949" s="1909"/>
      <c r="C949" s="1842"/>
      <c r="D949" s="1834"/>
      <c r="E949" s="1835"/>
      <c r="F949" s="1843"/>
      <c r="G949" s="1844"/>
      <c r="H949" s="1848"/>
      <c r="I949" s="1847"/>
      <c r="J949" s="1849"/>
    </row>
    <row r="950" spans="2:10" s="1824" customFormat="1" ht="16.2">
      <c r="B950" s="1909"/>
      <c r="C950" s="1842"/>
      <c r="D950" s="1834"/>
      <c r="E950" s="1835"/>
      <c r="F950" s="1843"/>
      <c r="G950" s="1844"/>
      <c r="H950" s="1848"/>
      <c r="I950" s="1847"/>
      <c r="J950" s="1849"/>
    </row>
    <row r="951" spans="2:10" s="1824" customFormat="1" ht="16.2">
      <c r="B951" s="1909"/>
      <c r="C951" s="1842"/>
      <c r="D951" s="1834"/>
      <c r="E951" s="1835"/>
      <c r="F951" s="1843"/>
      <c r="G951" s="1844"/>
      <c r="H951" s="1848"/>
      <c r="I951" s="1847"/>
      <c r="J951" s="1849"/>
    </row>
    <row r="952" spans="2:10" s="1824" customFormat="1" ht="16.2">
      <c r="B952" s="1909"/>
      <c r="C952" s="1842"/>
      <c r="D952" s="1834"/>
      <c r="E952" s="1835"/>
      <c r="F952" s="1843"/>
      <c r="G952" s="1844"/>
      <c r="H952" s="1848"/>
      <c r="I952" s="1847"/>
      <c r="J952" s="1849"/>
    </row>
    <row r="953" spans="2:10" s="1824" customFormat="1" ht="16.2">
      <c r="B953" s="1909"/>
      <c r="C953" s="1842"/>
      <c r="D953" s="1834"/>
      <c r="E953" s="1835"/>
      <c r="F953" s="1843"/>
      <c r="G953" s="1844"/>
      <c r="H953" s="1848"/>
      <c r="I953" s="1847"/>
      <c r="J953" s="1849"/>
    </row>
    <row r="954" spans="2:10" s="1824" customFormat="1" ht="16.2">
      <c r="B954" s="1909"/>
      <c r="C954" s="1842"/>
      <c r="D954" s="1834"/>
      <c r="E954" s="1835"/>
      <c r="F954" s="1843"/>
      <c r="G954" s="1844"/>
      <c r="H954" s="1848"/>
      <c r="I954" s="1847"/>
      <c r="J954" s="1849"/>
    </row>
    <row r="955" spans="2:10" s="1824" customFormat="1" ht="16.2">
      <c r="B955" s="1909"/>
      <c r="C955" s="1842"/>
      <c r="D955" s="1834"/>
      <c r="E955" s="1835"/>
      <c r="F955" s="1843"/>
      <c r="G955" s="1844"/>
      <c r="H955" s="1848"/>
      <c r="I955" s="1847"/>
      <c r="J955" s="1849"/>
    </row>
    <row r="956" spans="2:10" s="1824" customFormat="1" ht="16.2">
      <c r="B956" s="1909"/>
      <c r="C956" s="1842"/>
      <c r="D956" s="1834"/>
      <c r="E956" s="1835"/>
      <c r="F956" s="1843"/>
      <c r="G956" s="1844"/>
      <c r="H956" s="1848"/>
      <c r="I956" s="1847"/>
      <c r="J956" s="1849"/>
    </row>
    <row r="957" spans="2:10" s="1824" customFormat="1" ht="16.2">
      <c r="B957" s="1909"/>
      <c r="C957" s="1842"/>
      <c r="D957" s="1834"/>
      <c r="E957" s="1835"/>
      <c r="F957" s="1843"/>
      <c r="G957" s="1844"/>
      <c r="H957" s="1848"/>
      <c r="I957" s="1847"/>
      <c r="J957" s="1849"/>
    </row>
    <row r="958" spans="2:10" s="1824" customFormat="1" ht="16.2">
      <c r="B958" s="1909"/>
      <c r="C958" s="1842"/>
      <c r="D958" s="1834"/>
      <c r="E958" s="1835"/>
      <c r="F958" s="1843"/>
      <c r="G958" s="1844"/>
      <c r="H958" s="1848"/>
      <c r="I958" s="1847"/>
      <c r="J958" s="1849"/>
    </row>
    <row r="959" spans="2:10" s="1824" customFormat="1" ht="16.2">
      <c r="B959" s="1909"/>
      <c r="C959" s="1842"/>
      <c r="D959" s="1834"/>
      <c r="E959" s="1835"/>
      <c r="F959" s="1843"/>
      <c r="G959" s="1844"/>
      <c r="H959" s="1848"/>
      <c r="I959" s="1847"/>
      <c r="J959" s="1849"/>
    </row>
    <row r="960" spans="2:10" s="1824" customFormat="1" ht="16.2">
      <c r="B960" s="1909"/>
      <c r="C960" s="1842"/>
      <c r="D960" s="1834"/>
      <c r="E960" s="1835"/>
      <c r="F960" s="1843"/>
      <c r="G960" s="1844"/>
      <c r="H960" s="1848"/>
      <c r="I960" s="1847"/>
      <c r="J960" s="1849"/>
    </row>
    <row r="961" spans="2:10" s="1824" customFormat="1" ht="16.2">
      <c r="B961" s="1909"/>
      <c r="C961" s="1842"/>
      <c r="D961" s="1834"/>
      <c r="E961" s="1835"/>
      <c r="F961" s="1843"/>
      <c r="G961" s="1844"/>
      <c r="H961" s="1848"/>
      <c r="I961" s="1847"/>
      <c r="J961" s="1849"/>
    </row>
    <row r="962" spans="2:10" s="1824" customFormat="1" ht="16.2">
      <c r="B962" s="1909"/>
      <c r="C962" s="1842"/>
      <c r="D962" s="1834"/>
      <c r="E962" s="1835"/>
      <c r="F962" s="1843"/>
      <c r="G962" s="1844"/>
      <c r="H962" s="1848"/>
      <c r="I962" s="1847"/>
      <c r="J962" s="1849"/>
    </row>
    <row r="963" spans="2:10" s="1824" customFormat="1" ht="16.2">
      <c r="B963" s="1909"/>
      <c r="C963" s="1842"/>
      <c r="D963" s="1834"/>
      <c r="E963" s="1835"/>
      <c r="F963" s="1843"/>
      <c r="G963" s="1844"/>
      <c r="H963" s="1848"/>
      <c r="I963" s="1847"/>
      <c r="J963" s="1849"/>
    </row>
    <row r="964" spans="2:10" s="1824" customFormat="1" ht="16.2">
      <c r="B964" s="1909"/>
      <c r="C964" s="1842"/>
      <c r="D964" s="1834"/>
      <c r="E964" s="1835"/>
      <c r="F964" s="1843"/>
      <c r="G964" s="1844"/>
      <c r="H964" s="1848"/>
      <c r="I964" s="1847"/>
      <c r="J964" s="1849"/>
    </row>
    <row r="965" spans="2:10" s="1824" customFormat="1" ht="16.2">
      <c r="B965" s="1909"/>
      <c r="C965" s="1842"/>
      <c r="D965" s="1834"/>
      <c r="E965" s="1835"/>
      <c r="F965" s="1843"/>
      <c r="G965" s="1844"/>
      <c r="H965" s="1848"/>
      <c r="I965" s="1847"/>
      <c r="J965" s="1849"/>
    </row>
    <row r="966" spans="2:10" s="1824" customFormat="1" ht="16.2">
      <c r="B966" s="1909"/>
      <c r="C966" s="1842"/>
      <c r="D966" s="1834"/>
      <c r="E966" s="1835"/>
      <c r="F966" s="1843"/>
      <c r="G966" s="1844"/>
      <c r="H966" s="1848"/>
      <c r="I966" s="1847"/>
      <c r="J966" s="1849"/>
    </row>
    <row r="967" spans="2:10" s="1824" customFormat="1" ht="16.2">
      <c r="B967" s="1909"/>
      <c r="C967" s="1842"/>
      <c r="D967" s="1834"/>
      <c r="E967" s="1835"/>
      <c r="F967" s="1843"/>
      <c r="G967" s="1844"/>
      <c r="H967" s="1848"/>
      <c r="I967" s="1847"/>
      <c r="J967" s="1849"/>
    </row>
    <row r="968" spans="2:10" s="1824" customFormat="1" ht="16.2">
      <c r="B968" s="1909"/>
      <c r="C968" s="1842"/>
      <c r="D968" s="1834"/>
      <c r="E968" s="1835"/>
      <c r="F968" s="1843"/>
      <c r="G968" s="1844"/>
      <c r="H968" s="1848"/>
      <c r="I968" s="1847"/>
      <c r="J968" s="1849"/>
    </row>
    <row r="969" spans="2:10" s="1824" customFormat="1" ht="16.2">
      <c r="B969" s="1909"/>
      <c r="C969" s="1842"/>
      <c r="D969" s="1834"/>
      <c r="E969" s="1835"/>
      <c r="F969" s="1843"/>
      <c r="G969" s="1844"/>
      <c r="H969" s="1848"/>
      <c r="I969" s="1847"/>
      <c r="J969" s="1849"/>
    </row>
    <row r="970" spans="2:10" s="1824" customFormat="1" ht="16.2">
      <c r="B970" s="1909"/>
      <c r="C970" s="1842"/>
      <c r="D970" s="1834"/>
      <c r="E970" s="1835"/>
      <c r="F970" s="1843"/>
      <c r="G970" s="1844"/>
      <c r="H970" s="1848"/>
      <c r="I970" s="1847"/>
      <c r="J970" s="1849"/>
    </row>
    <row r="971" spans="2:10" s="1824" customFormat="1" ht="16.2">
      <c r="B971" s="1909"/>
      <c r="C971" s="1842"/>
      <c r="D971" s="1834"/>
      <c r="E971" s="1835"/>
      <c r="F971" s="1843"/>
      <c r="G971" s="1844"/>
      <c r="H971" s="1848"/>
      <c r="I971" s="1847"/>
      <c r="J971" s="1849"/>
    </row>
    <row r="972" spans="2:10" s="1824" customFormat="1" ht="16.2">
      <c r="B972" s="1909"/>
      <c r="C972" s="1842"/>
      <c r="D972" s="1834"/>
      <c r="E972" s="1835"/>
      <c r="F972" s="1843"/>
      <c r="G972" s="1844"/>
      <c r="H972" s="1848"/>
      <c r="I972" s="1847"/>
      <c r="J972" s="1849"/>
    </row>
    <row r="973" spans="2:10" s="1824" customFormat="1" ht="16.2">
      <c r="B973" s="1909"/>
      <c r="C973" s="1842"/>
      <c r="D973" s="1834"/>
      <c r="E973" s="1835"/>
      <c r="F973" s="1843"/>
      <c r="G973" s="1844"/>
      <c r="H973" s="1848"/>
      <c r="I973" s="1847"/>
      <c r="J973" s="1849"/>
    </row>
    <row r="974" spans="2:10" s="1824" customFormat="1" ht="16.2">
      <c r="B974" s="1909"/>
      <c r="C974" s="1842"/>
      <c r="D974" s="1834"/>
      <c r="E974" s="1835"/>
      <c r="F974" s="1843"/>
      <c r="G974" s="1844"/>
      <c r="H974" s="1848"/>
      <c r="I974" s="1847"/>
      <c r="J974" s="1849"/>
    </row>
    <row r="975" spans="2:10" s="1824" customFormat="1" ht="16.2">
      <c r="B975" s="1909"/>
      <c r="C975" s="1842"/>
      <c r="D975" s="1834"/>
      <c r="E975" s="1835"/>
      <c r="F975" s="1843"/>
      <c r="G975" s="1844"/>
      <c r="H975" s="1848"/>
      <c r="I975" s="1847"/>
      <c r="J975" s="1849"/>
    </row>
    <row r="976" spans="2:10" s="1824" customFormat="1" ht="16.2">
      <c r="B976" s="1909"/>
      <c r="C976" s="1842"/>
      <c r="D976" s="1834"/>
      <c r="E976" s="1835"/>
      <c r="F976" s="1843"/>
      <c r="G976" s="1844"/>
      <c r="H976" s="1848"/>
      <c r="I976" s="1847"/>
      <c r="J976" s="1849"/>
    </row>
    <row r="977" spans="2:10" s="1824" customFormat="1" ht="16.2">
      <c r="B977" s="1909"/>
      <c r="C977" s="1842"/>
      <c r="D977" s="1834"/>
      <c r="E977" s="1835"/>
      <c r="F977" s="1843"/>
      <c r="G977" s="1844"/>
      <c r="H977" s="1848"/>
      <c r="I977" s="1847"/>
      <c r="J977" s="1849"/>
    </row>
    <row r="978" spans="2:10" s="1824" customFormat="1" ht="16.2">
      <c r="B978" s="1909"/>
      <c r="C978" s="1842"/>
      <c r="D978" s="1834"/>
      <c r="E978" s="1835"/>
      <c r="F978" s="1843"/>
      <c r="G978" s="1844"/>
      <c r="H978" s="1848"/>
      <c r="I978" s="1847"/>
      <c r="J978" s="1849"/>
    </row>
    <row r="979" spans="2:10" s="1824" customFormat="1" ht="16.2">
      <c r="B979" s="1909"/>
      <c r="C979" s="1842"/>
      <c r="D979" s="1834"/>
      <c r="E979" s="1835"/>
      <c r="F979" s="1843"/>
      <c r="G979" s="1844"/>
      <c r="H979" s="1848"/>
      <c r="I979" s="1847"/>
      <c r="J979" s="1849"/>
    </row>
    <row r="980" spans="2:10" s="1824" customFormat="1" ht="16.2">
      <c r="B980" s="1909"/>
      <c r="C980" s="1842"/>
      <c r="D980" s="1834"/>
      <c r="E980" s="1835"/>
      <c r="F980" s="1843"/>
      <c r="G980" s="1844"/>
      <c r="H980" s="1848"/>
      <c r="I980" s="1847"/>
      <c r="J980" s="1849"/>
    </row>
    <row r="981" spans="2:10" s="1824" customFormat="1" ht="16.2">
      <c r="B981" s="1909"/>
      <c r="C981" s="1842"/>
      <c r="D981" s="1834"/>
      <c r="E981" s="1835"/>
      <c r="F981" s="1843"/>
      <c r="G981" s="1844"/>
      <c r="H981" s="1848"/>
      <c r="I981" s="1847"/>
      <c r="J981" s="1849"/>
    </row>
    <row r="982" spans="2:10" s="1824" customFormat="1" ht="16.2">
      <c r="B982" s="1909"/>
      <c r="C982" s="1842"/>
      <c r="D982" s="1834"/>
      <c r="E982" s="1835"/>
      <c r="F982" s="1843"/>
      <c r="G982" s="1844"/>
      <c r="H982" s="1848"/>
      <c r="I982" s="1847"/>
      <c r="J982" s="1849"/>
    </row>
    <row r="983" spans="2:10" s="1824" customFormat="1" ht="16.2">
      <c r="B983" s="1909"/>
      <c r="C983" s="1842"/>
      <c r="D983" s="1834"/>
      <c r="E983" s="1835"/>
      <c r="F983" s="1843"/>
      <c r="G983" s="1844"/>
      <c r="H983" s="1848"/>
      <c r="I983" s="1847"/>
      <c r="J983" s="1849"/>
    </row>
    <row r="984" spans="2:10" s="1824" customFormat="1" ht="16.2">
      <c r="B984" s="1909"/>
      <c r="C984" s="1842"/>
      <c r="D984" s="1834"/>
      <c r="E984" s="1835"/>
      <c r="F984" s="1843"/>
      <c r="G984" s="1844"/>
      <c r="H984" s="1848"/>
      <c r="I984" s="1847"/>
      <c r="J984" s="1849"/>
    </row>
    <row r="985" spans="2:10" s="1824" customFormat="1" ht="16.2">
      <c r="B985" s="1909"/>
      <c r="C985" s="1842"/>
      <c r="D985" s="1834"/>
      <c r="E985" s="1835"/>
      <c r="F985" s="1843"/>
      <c r="G985" s="1844"/>
      <c r="H985" s="1848"/>
      <c r="I985" s="1847"/>
      <c r="J985" s="1849"/>
    </row>
    <row r="986" spans="2:10" s="1824" customFormat="1" ht="16.2">
      <c r="B986" s="1909"/>
      <c r="C986" s="1842"/>
      <c r="D986" s="1834"/>
      <c r="E986" s="1835"/>
      <c r="F986" s="1843"/>
      <c r="G986" s="1844"/>
      <c r="H986" s="1848"/>
      <c r="I986" s="1847"/>
      <c r="J986" s="1849"/>
    </row>
    <row r="987" spans="2:10" s="1824" customFormat="1" ht="16.2">
      <c r="B987" s="1909"/>
      <c r="C987" s="1842"/>
      <c r="D987" s="1834"/>
      <c r="E987" s="1835"/>
      <c r="F987" s="1843"/>
      <c r="G987" s="1844"/>
      <c r="H987" s="1848"/>
      <c r="I987" s="1847"/>
      <c r="J987" s="1849"/>
    </row>
    <row r="988" spans="2:10" s="1824" customFormat="1" ht="16.2">
      <c r="B988" s="1909"/>
      <c r="C988" s="1842"/>
      <c r="D988" s="1834"/>
      <c r="E988" s="1835"/>
      <c r="F988" s="1843"/>
      <c r="G988" s="1844"/>
      <c r="H988" s="1848"/>
      <c r="I988" s="1847"/>
      <c r="J988" s="1849"/>
    </row>
    <row r="989" spans="2:10" s="1824" customFormat="1" ht="16.2">
      <c r="B989" s="1909"/>
      <c r="C989" s="1842"/>
      <c r="D989" s="1834"/>
      <c r="E989" s="1835"/>
      <c r="F989" s="1843"/>
      <c r="G989" s="1844"/>
      <c r="H989" s="1848"/>
      <c r="I989" s="1847"/>
      <c r="J989" s="1849"/>
    </row>
    <row r="990" spans="2:10" s="1824" customFormat="1" ht="16.2">
      <c r="B990" s="1909"/>
      <c r="C990" s="1842"/>
      <c r="D990" s="1834"/>
      <c r="E990" s="1835"/>
      <c r="F990" s="1843"/>
      <c r="G990" s="1844"/>
      <c r="H990" s="1848"/>
      <c r="I990" s="1847"/>
      <c r="J990" s="1849"/>
    </row>
    <row r="991" spans="2:10" s="1824" customFormat="1" ht="16.2">
      <c r="B991" s="1909"/>
      <c r="C991" s="1842"/>
      <c r="D991" s="1834"/>
      <c r="E991" s="1835"/>
      <c r="F991" s="1843"/>
      <c r="G991" s="1844"/>
      <c r="H991" s="1848"/>
      <c r="I991" s="1847"/>
      <c r="J991" s="1849"/>
    </row>
    <row r="992" spans="2:10" s="1824" customFormat="1" ht="16.2">
      <c r="B992" s="1909"/>
      <c r="C992" s="1842"/>
      <c r="D992" s="1834"/>
      <c r="E992" s="1835"/>
      <c r="F992" s="1843"/>
      <c r="G992" s="1844"/>
      <c r="H992" s="1848"/>
      <c r="I992" s="1847"/>
      <c r="J992" s="1849"/>
    </row>
    <row r="993" spans="2:10" s="1824" customFormat="1" ht="16.2">
      <c r="B993" s="1909"/>
      <c r="C993" s="1842"/>
      <c r="D993" s="1834"/>
      <c r="E993" s="1835"/>
      <c r="F993" s="1843"/>
      <c r="G993" s="1844"/>
      <c r="H993" s="1848"/>
      <c r="I993" s="1847"/>
      <c r="J993" s="1849"/>
    </row>
    <row r="994" spans="2:10" s="1824" customFormat="1" ht="16.2">
      <c r="B994" s="1909"/>
      <c r="C994" s="1842"/>
      <c r="D994" s="1834"/>
      <c r="E994" s="1835"/>
      <c r="F994" s="1843"/>
      <c r="G994" s="1844"/>
      <c r="H994" s="1848"/>
      <c r="I994" s="1847"/>
      <c r="J994" s="1849"/>
    </row>
    <row r="995" spans="2:10" s="1824" customFormat="1" ht="16.2">
      <c r="B995" s="1909"/>
      <c r="C995" s="1842"/>
      <c r="D995" s="1834"/>
      <c r="E995" s="1835"/>
      <c r="F995" s="1843"/>
      <c r="G995" s="1844"/>
      <c r="H995" s="1848"/>
      <c r="I995" s="1847"/>
      <c r="J995" s="1849"/>
    </row>
    <row r="996" spans="2:10" s="1824" customFormat="1" ht="16.2">
      <c r="B996" s="1909"/>
      <c r="C996" s="1842"/>
      <c r="D996" s="1834"/>
      <c r="E996" s="1835"/>
      <c r="F996" s="1843"/>
      <c r="G996" s="1844"/>
      <c r="H996" s="1848"/>
      <c r="I996" s="1847"/>
      <c r="J996" s="1849"/>
    </row>
    <row r="997" spans="2:10" s="1824" customFormat="1" ht="16.2">
      <c r="B997" s="1909"/>
      <c r="C997" s="1842"/>
      <c r="D997" s="1834"/>
      <c r="E997" s="1835"/>
      <c r="F997" s="1843"/>
      <c r="G997" s="1844"/>
      <c r="H997" s="1848"/>
      <c r="I997" s="1847"/>
      <c r="J997" s="1849"/>
    </row>
    <row r="998" spans="2:10" s="1824" customFormat="1" ht="16.2">
      <c r="B998" s="1909"/>
      <c r="C998" s="1842"/>
      <c r="D998" s="1834"/>
      <c r="E998" s="1835"/>
      <c r="F998" s="1843"/>
      <c r="G998" s="1844"/>
      <c r="H998" s="1848"/>
      <c r="I998" s="1847"/>
      <c r="J998" s="1849"/>
    </row>
    <row r="999" spans="2:10" s="1824" customFormat="1" ht="16.2">
      <c r="B999" s="1909"/>
      <c r="C999" s="1842"/>
      <c r="D999" s="1834"/>
      <c r="E999" s="1835"/>
      <c r="F999" s="1843"/>
      <c r="G999" s="1844"/>
      <c r="H999" s="1848"/>
      <c r="I999" s="1847"/>
      <c r="J999" s="1849"/>
    </row>
    <row r="1000" spans="2:10" s="1824" customFormat="1" ht="16.2">
      <c r="B1000" s="1909"/>
      <c r="C1000" s="1842"/>
      <c r="D1000" s="1834"/>
      <c r="E1000" s="1835"/>
      <c r="F1000" s="1843"/>
      <c r="G1000" s="1844"/>
      <c r="H1000" s="1848"/>
      <c r="I1000" s="1847"/>
      <c r="J1000" s="1849"/>
    </row>
    <row r="1001" spans="2:10" s="1824" customFormat="1" ht="16.2">
      <c r="B1001" s="1909"/>
      <c r="C1001" s="1842"/>
      <c r="D1001" s="1834"/>
      <c r="E1001" s="1835"/>
      <c r="F1001" s="1843"/>
      <c r="G1001" s="1844"/>
      <c r="H1001" s="1848"/>
      <c r="I1001" s="1847"/>
      <c r="J1001" s="1849"/>
    </row>
    <row r="1002" spans="2:10" s="1824" customFormat="1" ht="16.2">
      <c r="B1002" s="1909"/>
      <c r="C1002" s="1842"/>
      <c r="D1002" s="1834"/>
      <c r="E1002" s="1835"/>
      <c r="F1002" s="1843"/>
      <c r="G1002" s="1844"/>
      <c r="H1002" s="1848"/>
      <c r="I1002" s="1847"/>
      <c r="J1002" s="1849"/>
    </row>
    <row r="1003" spans="2:10" s="1824" customFormat="1" ht="16.2">
      <c r="B1003" s="1909"/>
      <c r="C1003" s="1842"/>
      <c r="D1003" s="1834"/>
      <c r="E1003" s="1835"/>
      <c r="F1003" s="1843"/>
      <c r="G1003" s="1844"/>
      <c r="H1003" s="1848"/>
      <c r="I1003" s="1847"/>
      <c r="J1003" s="1849"/>
    </row>
    <row r="1004" spans="2:10" s="1824" customFormat="1" ht="16.2">
      <c r="B1004" s="1909"/>
      <c r="C1004" s="1842"/>
      <c r="D1004" s="1834"/>
      <c r="E1004" s="1835"/>
      <c r="F1004" s="1843"/>
      <c r="G1004" s="1844"/>
      <c r="H1004" s="1848"/>
      <c r="I1004" s="1847"/>
      <c r="J1004" s="1849"/>
    </row>
    <row r="1005" spans="2:10" s="1824" customFormat="1" ht="16.2">
      <c r="B1005" s="1909"/>
      <c r="C1005" s="1842"/>
      <c r="D1005" s="1834"/>
      <c r="E1005" s="1835"/>
      <c r="F1005" s="1843"/>
      <c r="G1005" s="1844"/>
      <c r="H1005" s="1848"/>
      <c r="I1005" s="1847"/>
      <c r="J1005" s="1849"/>
    </row>
    <row r="1006" spans="2:10" s="1824" customFormat="1" ht="16.2">
      <c r="B1006" s="1909"/>
      <c r="C1006" s="1842"/>
      <c r="D1006" s="1834"/>
      <c r="E1006" s="1835"/>
      <c r="F1006" s="1843"/>
      <c r="G1006" s="1844"/>
      <c r="H1006" s="1848"/>
      <c r="I1006" s="1847"/>
      <c r="J1006" s="1849"/>
    </row>
    <row r="1007" spans="2:10" s="1824" customFormat="1" ht="16.2">
      <c r="B1007" s="1909"/>
      <c r="C1007" s="1842"/>
      <c r="D1007" s="1834"/>
      <c r="E1007" s="1835"/>
      <c r="F1007" s="1843"/>
      <c r="G1007" s="1844"/>
      <c r="H1007" s="1848"/>
      <c r="I1007" s="1847"/>
      <c r="J1007" s="1849"/>
    </row>
    <row r="1008" spans="2:10" s="1824" customFormat="1" ht="16.2">
      <c r="B1008" s="1909"/>
      <c r="C1008" s="1842"/>
      <c r="D1008" s="1834"/>
      <c r="E1008" s="1835"/>
      <c r="F1008" s="1843"/>
      <c r="G1008" s="1844"/>
      <c r="H1008" s="1848"/>
      <c r="I1008" s="1847"/>
      <c r="J1008" s="1849"/>
    </row>
    <row r="1009" spans="2:10" s="1824" customFormat="1" ht="16.2">
      <c r="B1009" s="1909"/>
      <c r="C1009" s="1842"/>
      <c r="D1009" s="1834"/>
      <c r="E1009" s="1835"/>
      <c r="F1009" s="1843"/>
      <c r="G1009" s="1844"/>
      <c r="H1009" s="1848"/>
      <c r="I1009" s="1847"/>
      <c r="J1009" s="1849"/>
    </row>
    <row r="1010" spans="2:10" s="1824" customFormat="1" ht="16.2">
      <c r="B1010" s="1909"/>
      <c r="C1010" s="1842"/>
      <c r="D1010" s="1834"/>
      <c r="E1010" s="1835"/>
      <c r="F1010" s="1843"/>
      <c r="G1010" s="1844"/>
      <c r="H1010" s="1848"/>
      <c r="I1010" s="1847"/>
      <c r="J1010" s="1849"/>
    </row>
    <row r="1011" spans="2:10" s="1824" customFormat="1" ht="16.2">
      <c r="B1011" s="1909"/>
      <c r="C1011" s="1842"/>
      <c r="D1011" s="1834"/>
      <c r="E1011" s="1835"/>
      <c r="F1011" s="1843"/>
      <c r="G1011" s="1844"/>
      <c r="H1011" s="1848"/>
      <c r="I1011" s="1847"/>
      <c r="J1011" s="1849"/>
    </row>
    <row r="1012" spans="2:10" s="1824" customFormat="1" ht="16.2">
      <c r="B1012" s="1909"/>
      <c r="C1012" s="1842"/>
      <c r="D1012" s="1834"/>
      <c r="E1012" s="1835"/>
      <c r="F1012" s="1843"/>
      <c r="G1012" s="1844"/>
      <c r="H1012" s="1848"/>
      <c r="I1012" s="1847"/>
      <c r="J1012" s="1849"/>
    </row>
    <row r="1013" spans="2:10" s="1824" customFormat="1" ht="16.2">
      <c r="B1013" s="1909"/>
      <c r="C1013" s="1842"/>
      <c r="D1013" s="1834"/>
      <c r="E1013" s="1835"/>
      <c r="F1013" s="1843"/>
      <c r="G1013" s="1844"/>
      <c r="H1013" s="1848"/>
      <c r="I1013" s="1847"/>
      <c r="J1013" s="1849"/>
    </row>
    <row r="1014" spans="2:10" s="1824" customFormat="1" ht="16.2">
      <c r="B1014" s="1909"/>
      <c r="C1014" s="1842"/>
      <c r="D1014" s="1834"/>
      <c r="E1014" s="1835"/>
      <c r="F1014" s="1843"/>
      <c r="G1014" s="1844"/>
      <c r="H1014" s="1848"/>
      <c r="I1014" s="1847"/>
      <c r="J1014" s="1849"/>
    </row>
    <row r="1015" spans="2:10" s="1824" customFormat="1" ht="16.2">
      <c r="B1015" s="1909"/>
      <c r="C1015" s="1842"/>
      <c r="D1015" s="1834"/>
      <c r="E1015" s="1835"/>
      <c r="F1015" s="1843"/>
      <c r="G1015" s="1844"/>
      <c r="H1015" s="1848"/>
      <c r="I1015" s="1847"/>
      <c r="J1015" s="1849"/>
    </row>
    <row r="1016" spans="2:10" s="1824" customFormat="1" ht="16.2">
      <c r="B1016" s="1909"/>
      <c r="C1016" s="1842"/>
      <c r="D1016" s="1834"/>
      <c r="E1016" s="1835"/>
      <c r="F1016" s="1843"/>
      <c r="G1016" s="1844"/>
      <c r="H1016" s="1848"/>
      <c r="I1016" s="1847"/>
      <c r="J1016" s="1849"/>
    </row>
    <row r="1017" spans="2:10" s="1824" customFormat="1" ht="16.2">
      <c r="B1017" s="1909"/>
      <c r="C1017" s="1842"/>
      <c r="D1017" s="1834"/>
      <c r="E1017" s="1835"/>
      <c r="F1017" s="1843"/>
      <c r="G1017" s="1844"/>
      <c r="H1017" s="1848"/>
      <c r="I1017" s="1847"/>
      <c r="J1017" s="1849"/>
    </row>
    <row r="1018" spans="2:10" s="1824" customFormat="1" ht="16.2">
      <c r="B1018" s="1909"/>
      <c r="C1018" s="1842"/>
      <c r="D1018" s="1834"/>
      <c r="E1018" s="1835"/>
      <c r="F1018" s="1843"/>
      <c r="G1018" s="1844"/>
      <c r="H1018" s="1848"/>
      <c r="I1018" s="1847"/>
      <c r="J1018" s="1849"/>
    </row>
    <row r="1019" spans="2:10" s="1824" customFormat="1" ht="16.2">
      <c r="B1019" s="1909"/>
      <c r="C1019" s="1842"/>
      <c r="D1019" s="1834"/>
      <c r="E1019" s="1835"/>
      <c r="F1019" s="1843"/>
      <c r="G1019" s="1844"/>
      <c r="H1019" s="1848"/>
      <c r="I1019" s="1847"/>
      <c r="J1019" s="1849"/>
    </row>
    <row r="1020" spans="2:10" s="1824" customFormat="1" ht="16.2">
      <c r="B1020" s="1909"/>
      <c r="C1020" s="1842"/>
      <c r="D1020" s="1834"/>
      <c r="E1020" s="1835"/>
      <c r="F1020" s="1843"/>
      <c r="G1020" s="1844"/>
      <c r="H1020" s="1848"/>
      <c r="I1020" s="1847"/>
      <c r="J1020" s="1849"/>
    </row>
    <row r="1021" spans="2:10" s="1824" customFormat="1" ht="16.2">
      <c r="B1021" s="1909"/>
      <c r="C1021" s="1842"/>
      <c r="D1021" s="1834"/>
      <c r="E1021" s="1835"/>
      <c r="F1021" s="1843"/>
      <c r="G1021" s="1844"/>
      <c r="H1021" s="1848"/>
      <c r="I1021" s="1847"/>
      <c r="J1021" s="1849"/>
    </row>
    <row r="1022" spans="2:10" s="1824" customFormat="1" ht="16.2">
      <c r="B1022" s="1909"/>
      <c r="C1022" s="1842"/>
      <c r="D1022" s="1834"/>
      <c r="E1022" s="1835"/>
      <c r="F1022" s="1843"/>
      <c r="G1022" s="1844"/>
      <c r="H1022" s="1848"/>
      <c r="I1022" s="1847"/>
      <c r="J1022" s="1849"/>
    </row>
    <row r="1023" spans="2:10" s="1824" customFormat="1" ht="16.2">
      <c r="B1023" s="1909"/>
      <c r="C1023" s="1842"/>
      <c r="D1023" s="1834"/>
      <c r="E1023" s="1835"/>
      <c r="F1023" s="1843"/>
      <c r="G1023" s="1844"/>
      <c r="H1023" s="1848"/>
      <c r="I1023" s="1847"/>
      <c r="J1023" s="1849"/>
    </row>
    <row r="1024" spans="2:10" s="1824" customFormat="1" ht="16.2">
      <c r="B1024" s="1909"/>
      <c r="C1024" s="1842"/>
      <c r="D1024" s="1834"/>
      <c r="E1024" s="1835"/>
      <c r="F1024" s="1843"/>
      <c r="G1024" s="1844"/>
      <c r="H1024" s="1848"/>
      <c r="I1024" s="1847"/>
      <c r="J1024" s="1849"/>
    </row>
    <row r="1025" spans="2:10" s="1824" customFormat="1" ht="16.2">
      <c r="B1025" s="1909"/>
      <c r="C1025" s="1842"/>
      <c r="D1025" s="1834"/>
      <c r="E1025" s="1835"/>
      <c r="F1025" s="1843"/>
      <c r="G1025" s="1844"/>
      <c r="H1025" s="1848"/>
      <c r="I1025" s="1847"/>
      <c r="J1025" s="1849"/>
    </row>
    <row r="1026" spans="2:10" s="1824" customFormat="1" ht="16.2">
      <c r="B1026" s="1909"/>
      <c r="C1026" s="1842"/>
      <c r="D1026" s="1834"/>
      <c r="E1026" s="1835"/>
      <c r="F1026" s="1843"/>
      <c r="G1026" s="1844"/>
      <c r="H1026" s="1848"/>
      <c r="I1026" s="1847"/>
      <c r="J1026" s="1849"/>
    </row>
    <row r="1027" spans="2:10" s="1824" customFormat="1" ht="16.2">
      <c r="B1027" s="1909"/>
      <c r="C1027" s="1842"/>
      <c r="D1027" s="1834"/>
      <c r="E1027" s="1835"/>
      <c r="F1027" s="1843"/>
      <c r="G1027" s="1844"/>
      <c r="H1027" s="1848"/>
      <c r="I1027" s="1847"/>
      <c r="J1027" s="1849"/>
    </row>
    <row r="1028" spans="2:10" s="1824" customFormat="1" ht="16.2">
      <c r="B1028" s="1909"/>
      <c r="C1028" s="1842"/>
      <c r="D1028" s="1834"/>
      <c r="E1028" s="1835"/>
      <c r="F1028" s="1843"/>
      <c r="G1028" s="1844"/>
      <c r="H1028" s="1848"/>
      <c r="I1028" s="1847"/>
      <c r="J1028" s="1849"/>
    </row>
    <row r="1029" spans="2:10" s="1824" customFormat="1" ht="16.2">
      <c r="B1029" s="1909"/>
      <c r="C1029" s="1842"/>
      <c r="D1029" s="1834"/>
      <c r="E1029" s="1835"/>
      <c r="F1029" s="1843"/>
      <c r="G1029" s="1844"/>
      <c r="H1029" s="1848"/>
      <c r="I1029" s="1847"/>
      <c r="J1029" s="1849"/>
    </row>
    <row r="1030" spans="2:10" s="1824" customFormat="1" ht="16.2">
      <c r="B1030" s="1909"/>
      <c r="C1030" s="1842"/>
      <c r="D1030" s="1834"/>
      <c r="E1030" s="1835"/>
      <c r="F1030" s="1843"/>
      <c r="G1030" s="1844"/>
      <c r="H1030" s="1848"/>
      <c r="I1030" s="1847"/>
      <c r="J1030" s="1849"/>
    </row>
    <row r="1031" spans="2:10" s="1824" customFormat="1" ht="16.2">
      <c r="B1031" s="1909"/>
      <c r="C1031" s="1842"/>
      <c r="D1031" s="1834"/>
      <c r="E1031" s="1835"/>
      <c r="F1031" s="1843"/>
      <c r="G1031" s="1844"/>
      <c r="H1031" s="1848"/>
      <c r="I1031" s="1847"/>
      <c r="J1031" s="1849"/>
    </row>
    <row r="1032" spans="2:10" s="1824" customFormat="1" ht="16.2">
      <c r="B1032" s="1909"/>
      <c r="C1032" s="1842"/>
      <c r="D1032" s="1834"/>
      <c r="E1032" s="1835"/>
      <c r="F1032" s="1843"/>
      <c r="G1032" s="1844"/>
      <c r="H1032" s="1848"/>
      <c r="I1032" s="1847"/>
      <c r="J1032" s="1849"/>
    </row>
    <row r="1033" spans="2:10" s="1824" customFormat="1" ht="16.2">
      <c r="B1033" s="1909"/>
      <c r="C1033" s="1842"/>
      <c r="D1033" s="1834"/>
      <c r="E1033" s="1835"/>
      <c r="F1033" s="1843"/>
      <c r="G1033" s="1844"/>
      <c r="H1033" s="1848"/>
      <c r="I1033" s="1847"/>
      <c r="J1033" s="1849"/>
    </row>
    <row r="1034" spans="2:10" s="1824" customFormat="1" ht="16.2">
      <c r="B1034" s="1909"/>
      <c r="C1034" s="1842"/>
      <c r="D1034" s="1834"/>
      <c r="E1034" s="1835"/>
      <c r="F1034" s="1843"/>
      <c r="G1034" s="1844"/>
      <c r="H1034" s="1848"/>
      <c r="I1034" s="1847"/>
      <c r="J1034" s="1849"/>
    </row>
    <row r="1035" spans="2:10" s="1824" customFormat="1" ht="16.2">
      <c r="B1035" s="1909"/>
      <c r="C1035" s="1842"/>
      <c r="D1035" s="1834"/>
      <c r="E1035" s="1835"/>
      <c r="F1035" s="1843"/>
      <c r="G1035" s="1844"/>
      <c r="H1035" s="1848"/>
      <c r="I1035" s="1847"/>
      <c r="J1035" s="1849"/>
    </row>
    <row r="1036" spans="2:10" s="1824" customFormat="1" ht="16.2">
      <c r="B1036" s="1909"/>
      <c r="C1036" s="1842"/>
      <c r="D1036" s="1834"/>
      <c r="E1036" s="1835"/>
      <c r="F1036" s="1843"/>
      <c r="G1036" s="1844"/>
      <c r="H1036" s="1848"/>
      <c r="I1036" s="1847"/>
      <c r="J1036" s="1849"/>
    </row>
    <row r="1037" spans="2:10" s="1824" customFormat="1" ht="16.2">
      <c r="B1037" s="1909"/>
      <c r="C1037" s="1842"/>
      <c r="D1037" s="1834"/>
      <c r="E1037" s="1835"/>
      <c r="F1037" s="1843"/>
      <c r="G1037" s="1844"/>
      <c r="H1037" s="1848"/>
      <c r="I1037" s="1847"/>
      <c r="J1037" s="1849"/>
    </row>
    <row r="1038" spans="2:10" s="1824" customFormat="1" ht="16.2">
      <c r="B1038" s="1909"/>
      <c r="C1038" s="1842"/>
      <c r="D1038" s="1834"/>
      <c r="E1038" s="1835"/>
      <c r="F1038" s="1843"/>
      <c r="G1038" s="1844"/>
      <c r="H1038" s="1848"/>
      <c r="I1038" s="1847"/>
      <c r="J1038" s="1849"/>
    </row>
    <row r="1039" spans="2:10" s="1824" customFormat="1" ht="16.2">
      <c r="B1039" s="1909"/>
      <c r="C1039" s="1842"/>
      <c r="D1039" s="1834"/>
      <c r="E1039" s="1835"/>
      <c r="F1039" s="1843"/>
      <c r="G1039" s="1844"/>
      <c r="H1039" s="1848"/>
      <c r="I1039" s="1847"/>
      <c r="J1039" s="1849"/>
    </row>
    <row r="1040" spans="2:10" s="1824" customFormat="1" ht="16.2">
      <c r="B1040" s="1909"/>
      <c r="C1040" s="1842"/>
      <c r="D1040" s="1834"/>
      <c r="E1040" s="1835"/>
      <c r="F1040" s="1843"/>
      <c r="G1040" s="1844"/>
      <c r="H1040" s="1848"/>
      <c r="I1040" s="1847"/>
      <c r="J1040" s="1849"/>
    </row>
    <row r="1041" spans="2:10" s="1824" customFormat="1" ht="16.2">
      <c r="B1041" s="1909"/>
      <c r="C1041" s="1842"/>
      <c r="D1041" s="1834"/>
      <c r="E1041" s="1835"/>
      <c r="F1041" s="1843"/>
      <c r="G1041" s="1844"/>
      <c r="H1041" s="1848"/>
      <c r="I1041" s="1847"/>
      <c r="J1041" s="1849"/>
    </row>
    <row r="1042" spans="2:10" s="1824" customFormat="1" ht="16.2">
      <c r="B1042" s="1909"/>
      <c r="C1042" s="1842"/>
      <c r="D1042" s="1834"/>
      <c r="E1042" s="1835"/>
      <c r="F1042" s="1843"/>
      <c r="G1042" s="1844"/>
      <c r="H1042" s="1848"/>
      <c r="I1042" s="1847"/>
      <c r="J1042" s="1849"/>
    </row>
    <row r="1043" spans="2:10" s="1824" customFormat="1" ht="16.2">
      <c r="B1043" s="1909"/>
      <c r="C1043" s="1842"/>
      <c r="D1043" s="1834"/>
      <c r="E1043" s="1835"/>
      <c r="F1043" s="1843"/>
      <c r="G1043" s="1844"/>
      <c r="H1043" s="1848"/>
      <c r="I1043" s="1847"/>
      <c r="J1043" s="1849"/>
    </row>
    <row r="1044" spans="2:10" s="1824" customFormat="1" ht="16.2">
      <c r="B1044" s="1909"/>
      <c r="C1044" s="1842"/>
      <c r="D1044" s="1834"/>
      <c r="E1044" s="1835"/>
      <c r="F1044" s="1843"/>
      <c r="G1044" s="1844"/>
      <c r="H1044" s="1848"/>
      <c r="I1044" s="1847"/>
      <c r="J1044" s="1849"/>
    </row>
    <row r="1045" spans="2:10" s="1824" customFormat="1" ht="16.2">
      <c r="B1045" s="1909"/>
      <c r="C1045" s="1842"/>
      <c r="D1045" s="1834"/>
      <c r="E1045" s="1835"/>
      <c r="F1045" s="1843"/>
      <c r="G1045" s="1844"/>
      <c r="H1045" s="1848"/>
      <c r="I1045" s="1847"/>
      <c r="J1045" s="1849"/>
    </row>
    <row r="1046" spans="2:10" s="1824" customFormat="1" ht="16.2">
      <c r="B1046" s="1909"/>
      <c r="C1046" s="1842"/>
      <c r="D1046" s="1834"/>
      <c r="E1046" s="1835"/>
      <c r="F1046" s="1843"/>
      <c r="G1046" s="1844"/>
      <c r="H1046" s="1848"/>
      <c r="I1046" s="1847"/>
      <c r="J1046" s="1849"/>
    </row>
    <row r="1047" spans="2:10" s="1824" customFormat="1" ht="16.2">
      <c r="B1047" s="1909"/>
      <c r="C1047" s="1842"/>
      <c r="D1047" s="1834"/>
      <c r="E1047" s="1835"/>
      <c r="F1047" s="1843"/>
      <c r="G1047" s="1844"/>
      <c r="H1047" s="1848"/>
      <c r="I1047" s="1847"/>
      <c r="J1047" s="1849"/>
    </row>
    <row r="1048" spans="2:10" s="1824" customFormat="1" ht="16.2">
      <c r="B1048" s="1909"/>
      <c r="C1048" s="1842"/>
      <c r="D1048" s="1834"/>
      <c r="E1048" s="1835"/>
      <c r="F1048" s="1843"/>
      <c r="G1048" s="1844"/>
      <c r="H1048" s="1848"/>
      <c r="I1048" s="1847"/>
      <c r="J1048" s="1849"/>
    </row>
    <row r="1049" spans="2:10" s="1824" customFormat="1" ht="16.2">
      <c r="B1049" s="1909"/>
      <c r="C1049" s="1842"/>
      <c r="D1049" s="1834"/>
      <c r="E1049" s="1835"/>
      <c r="F1049" s="1843"/>
      <c r="G1049" s="1844"/>
      <c r="H1049" s="1848"/>
      <c r="I1049" s="1847"/>
      <c r="J1049" s="1849"/>
    </row>
    <row r="1050" spans="2:10" s="1824" customFormat="1" ht="16.2">
      <c r="B1050" s="1909"/>
      <c r="C1050" s="1842"/>
      <c r="D1050" s="1834"/>
      <c r="E1050" s="1835"/>
      <c r="F1050" s="1843"/>
      <c r="G1050" s="1844"/>
      <c r="H1050" s="1848"/>
      <c r="I1050" s="1847"/>
      <c r="J1050" s="1849"/>
    </row>
    <row r="1051" spans="2:10" s="1824" customFormat="1" ht="16.2">
      <c r="B1051" s="1909"/>
      <c r="C1051" s="1842"/>
      <c r="D1051" s="1834"/>
      <c r="E1051" s="1835"/>
      <c r="F1051" s="1843"/>
      <c r="G1051" s="1844"/>
      <c r="H1051" s="1848"/>
      <c r="I1051" s="1847"/>
      <c r="J1051" s="1849"/>
    </row>
    <row r="1052" spans="2:10" s="1824" customFormat="1" ht="16.2">
      <c r="B1052" s="1909"/>
      <c r="C1052" s="1842"/>
      <c r="D1052" s="1834"/>
      <c r="E1052" s="1835"/>
      <c r="F1052" s="1843"/>
      <c r="G1052" s="1844"/>
      <c r="H1052" s="1848"/>
      <c r="I1052" s="1847"/>
      <c r="J1052" s="1849"/>
    </row>
    <row r="1053" spans="2:10" s="1824" customFormat="1" ht="16.2">
      <c r="B1053" s="1909"/>
      <c r="C1053" s="1842"/>
      <c r="D1053" s="1834"/>
      <c r="E1053" s="1835"/>
      <c r="F1053" s="1843"/>
      <c r="G1053" s="1844"/>
      <c r="H1053" s="1848"/>
      <c r="I1053" s="1847"/>
      <c r="J1053" s="1849"/>
    </row>
    <row r="1054" spans="2:10" s="1824" customFormat="1" ht="16.2">
      <c r="B1054" s="1909"/>
      <c r="C1054" s="1842"/>
      <c r="D1054" s="1834"/>
      <c r="E1054" s="1835"/>
      <c r="F1054" s="1843"/>
      <c r="G1054" s="1844"/>
      <c r="H1054" s="1848"/>
      <c r="I1054" s="1847"/>
      <c r="J1054" s="1849"/>
    </row>
    <row r="1055" spans="2:10" s="1824" customFormat="1" ht="16.2">
      <c r="B1055" s="1909"/>
      <c r="C1055" s="1842"/>
      <c r="D1055" s="1834"/>
      <c r="E1055" s="1835"/>
      <c r="F1055" s="1843"/>
      <c r="G1055" s="1844"/>
      <c r="H1055" s="1848"/>
      <c r="I1055" s="1847"/>
      <c r="J1055" s="1849"/>
    </row>
    <row r="1056" spans="2:10" s="1824" customFormat="1" ht="16.2">
      <c r="B1056" s="1909"/>
      <c r="C1056" s="1842"/>
      <c r="D1056" s="1834"/>
      <c r="E1056" s="1835"/>
      <c r="F1056" s="1843"/>
      <c r="G1056" s="1844"/>
      <c r="H1056" s="1848"/>
      <c r="I1056" s="1847"/>
      <c r="J1056" s="1849"/>
    </row>
    <row r="1057" spans="2:10" s="1824" customFormat="1" ht="16.2">
      <c r="B1057" s="1909"/>
      <c r="C1057" s="1842"/>
      <c r="D1057" s="1834"/>
      <c r="E1057" s="1835"/>
      <c r="F1057" s="1843"/>
      <c r="G1057" s="1844"/>
      <c r="H1057" s="1848"/>
      <c r="I1057" s="1847"/>
      <c r="J1057" s="1849"/>
    </row>
    <row r="1058" spans="2:10" s="1824" customFormat="1" ht="16.2">
      <c r="B1058" s="1909"/>
      <c r="C1058" s="1842"/>
      <c r="D1058" s="1834"/>
      <c r="E1058" s="1835"/>
      <c r="F1058" s="1843"/>
      <c r="G1058" s="1844"/>
      <c r="H1058" s="1848"/>
      <c r="I1058" s="1847"/>
      <c r="J1058" s="1849"/>
    </row>
    <row r="1059" spans="2:10" s="1824" customFormat="1" ht="16.2">
      <c r="B1059" s="1909"/>
      <c r="C1059" s="1842"/>
      <c r="D1059" s="1834"/>
      <c r="E1059" s="1835"/>
      <c r="F1059" s="1843"/>
      <c r="G1059" s="1844"/>
      <c r="H1059" s="1848"/>
      <c r="I1059" s="1847"/>
      <c r="J1059" s="1849"/>
    </row>
    <row r="1060" spans="2:10" s="1824" customFormat="1" ht="16.2">
      <c r="B1060" s="1909"/>
      <c r="C1060" s="1842"/>
      <c r="D1060" s="1834"/>
      <c r="E1060" s="1835"/>
      <c r="F1060" s="1843"/>
      <c r="G1060" s="1844"/>
      <c r="H1060" s="1848"/>
      <c r="I1060" s="1847"/>
      <c r="J1060" s="1849"/>
    </row>
    <row r="1061" spans="2:10" s="1824" customFormat="1" ht="16.2">
      <c r="B1061" s="1909"/>
      <c r="C1061" s="1842"/>
      <c r="D1061" s="1834"/>
      <c r="E1061" s="1835"/>
      <c r="F1061" s="1843"/>
      <c r="G1061" s="1844"/>
      <c r="H1061" s="1848"/>
      <c r="I1061" s="1847"/>
      <c r="J1061" s="1849"/>
    </row>
    <row r="1062" spans="2:10" s="1824" customFormat="1" ht="16.2">
      <c r="B1062" s="1909"/>
      <c r="C1062" s="1842"/>
      <c r="D1062" s="1834"/>
      <c r="E1062" s="1835"/>
      <c r="F1062" s="1843"/>
      <c r="G1062" s="1844"/>
      <c r="H1062" s="1848"/>
      <c r="I1062" s="1847"/>
      <c r="J1062" s="1849"/>
    </row>
    <row r="1063" spans="2:10" s="1824" customFormat="1" ht="16.2">
      <c r="B1063" s="1909"/>
      <c r="C1063" s="1842"/>
      <c r="D1063" s="1834"/>
      <c r="E1063" s="1835"/>
      <c r="F1063" s="1843"/>
      <c r="G1063" s="1844"/>
      <c r="H1063" s="1848"/>
      <c r="I1063" s="1847"/>
      <c r="J1063" s="1849"/>
    </row>
    <row r="1064" spans="2:10" s="1824" customFormat="1" ht="16.2">
      <c r="B1064" s="1909"/>
      <c r="C1064" s="1842"/>
      <c r="D1064" s="1834"/>
      <c r="E1064" s="1835"/>
      <c r="F1064" s="1843"/>
      <c r="G1064" s="1844"/>
      <c r="H1064" s="1848"/>
      <c r="I1064" s="1847"/>
      <c r="J1064" s="1849"/>
    </row>
    <row r="1065" spans="2:10" s="1824" customFormat="1" ht="16.2">
      <c r="B1065" s="1909"/>
      <c r="C1065" s="1842"/>
      <c r="D1065" s="1834"/>
      <c r="E1065" s="1835"/>
      <c r="F1065" s="1843"/>
      <c r="G1065" s="1844"/>
      <c r="H1065" s="1848"/>
      <c r="I1065" s="1847"/>
      <c r="J1065" s="1849"/>
    </row>
    <row r="1066" spans="2:10" s="1824" customFormat="1" ht="16.2">
      <c r="B1066" s="1909"/>
      <c r="C1066" s="1842"/>
      <c r="D1066" s="1834"/>
      <c r="E1066" s="1835"/>
      <c r="F1066" s="1843"/>
      <c r="G1066" s="1844"/>
      <c r="H1066" s="1848"/>
      <c r="I1066" s="1847"/>
      <c r="J1066" s="1849"/>
    </row>
    <row r="1067" spans="2:10" s="1824" customFormat="1" ht="16.2">
      <c r="B1067" s="1909"/>
      <c r="C1067" s="1842"/>
      <c r="D1067" s="1834"/>
      <c r="E1067" s="1835"/>
      <c r="F1067" s="1843"/>
      <c r="G1067" s="1844"/>
      <c r="H1067" s="1848"/>
      <c r="I1067" s="1847"/>
      <c r="J1067" s="1849"/>
    </row>
    <row r="1068" spans="2:10" s="1824" customFormat="1" ht="16.2">
      <c r="B1068" s="1909"/>
      <c r="C1068" s="1842"/>
      <c r="D1068" s="1834"/>
      <c r="E1068" s="1835"/>
      <c r="F1068" s="1843"/>
      <c r="G1068" s="1844"/>
      <c r="H1068" s="1848"/>
      <c r="I1068" s="1847"/>
      <c r="J1068" s="1849"/>
    </row>
    <row r="1069" spans="2:10" s="1824" customFormat="1" ht="16.2">
      <c r="B1069" s="1909"/>
      <c r="C1069" s="1842"/>
      <c r="D1069" s="1834"/>
      <c r="E1069" s="1835"/>
      <c r="F1069" s="1843"/>
      <c r="G1069" s="1844"/>
      <c r="H1069" s="1848"/>
      <c r="I1069" s="1847"/>
      <c r="J1069" s="1849"/>
    </row>
    <row r="1070" spans="2:10" s="1824" customFormat="1" ht="16.2">
      <c r="B1070" s="1909"/>
      <c r="C1070" s="1842"/>
      <c r="D1070" s="1834"/>
      <c r="E1070" s="1835"/>
      <c r="F1070" s="1843"/>
      <c r="G1070" s="1844"/>
      <c r="H1070" s="1848"/>
      <c r="I1070" s="1847"/>
      <c r="J1070" s="1849"/>
    </row>
    <row r="1071" spans="2:10" s="1824" customFormat="1" ht="16.2">
      <c r="B1071" s="1909"/>
      <c r="C1071" s="1842"/>
      <c r="D1071" s="1834"/>
      <c r="E1071" s="1835"/>
      <c r="F1071" s="1843"/>
      <c r="G1071" s="1844"/>
      <c r="H1071" s="1848"/>
      <c r="I1071" s="1847"/>
      <c r="J1071" s="1849"/>
    </row>
    <row r="1072" spans="2:10" s="1824" customFormat="1" ht="16.2">
      <c r="B1072" s="1909"/>
      <c r="C1072" s="1842"/>
      <c r="D1072" s="1834"/>
      <c r="E1072" s="1835"/>
      <c r="F1072" s="1843"/>
      <c r="G1072" s="1844"/>
      <c r="H1072" s="1848"/>
      <c r="I1072" s="1847"/>
      <c r="J1072" s="1849"/>
    </row>
    <row r="1073" spans="2:10" s="1824" customFormat="1" ht="16.2">
      <c r="B1073" s="1909"/>
      <c r="C1073" s="1842"/>
      <c r="D1073" s="1834"/>
      <c r="E1073" s="1835"/>
      <c r="F1073" s="1843"/>
      <c r="G1073" s="1844"/>
      <c r="H1073" s="1848"/>
      <c r="I1073" s="1847"/>
      <c r="J1073" s="1849"/>
    </row>
    <row r="1074" spans="2:10" s="1824" customFormat="1" ht="16.2">
      <c r="B1074" s="1909"/>
      <c r="C1074" s="1842"/>
      <c r="D1074" s="1834"/>
      <c r="E1074" s="1835"/>
      <c r="F1074" s="1843"/>
      <c r="G1074" s="1844"/>
      <c r="H1074" s="1848"/>
      <c r="I1074" s="1847"/>
      <c r="J1074" s="1849"/>
    </row>
    <row r="1075" spans="2:10" s="1824" customFormat="1" ht="16.2">
      <c r="B1075" s="1909"/>
      <c r="C1075" s="1842"/>
      <c r="D1075" s="1834"/>
      <c r="E1075" s="1835"/>
      <c r="F1075" s="1843"/>
      <c r="G1075" s="1844"/>
      <c r="H1075" s="1848"/>
      <c r="I1075" s="1847"/>
      <c r="J1075" s="1849"/>
    </row>
    <row r="1076" spans="2:10" s="1824" customFormat="1" ht="16.2">
      <c r="B1076" s="1909"/>
      <c r="C1076" s="1842"/>
      <c r="D1076" s="1834"/>
      <c r="E1076" s="1835"/>
      <c r="F1076" s="1843"/>
      <c r="G1076" s="1844"/>
      <c r="H1076" s="1848"/>
      <c r="I1076" s="1847"/>
      <c r="J1076" s="1849"/>
    </row>
    <row r="1077" spans="2:10" s="1824" customFormat="1" ht="16.2">
      <c r="B1077" s="1909"/>
      <c r="C1077" s="1842"/>
      <c r="D1077" s="1834"/>
      <c r="E1077" s="1835"/>
      <c r="F1077" s="1843"/>
      <c r="G1077" s="1844"/>
      <c r="H1077" s="1848"/>
      <c r="I1077" s="1847"/>
      <c r="J1077" s="1849"/>
    </row>
    <row r="1078" spans="2:10" s="1824" customFormat="1" ht="16.2">
      <c r="B1078" s="1909"/>
      <c r="C1078" s="1842"/>
      <c r="D1078" s="1834"/>
      <c r="E1078" s="1835"/>
      <c r="F1078" s="1843"/>
      <c r="G1078" s="1844"/>
      <c r="H1078" s="1848"/>
      <c r="I1078" s="1847"/>
      <c r="J1078" s="1849"/>
    </row>
    <row r="1079" spans="2:10" s="1824" customFormat="1" ht="16.2">
      <c r="B1079" s="1909"/>
      <c r="C1079" s="1842"/>
      <c r="D1079" s="1834"/>
      <c r="E1079" s="1835"/>
      <c r="F1079" s="1843"/>
      <c r="G1079" s="1844"/>
      <c r="H1079" s="1848"/>
      <c r="I1079" s="1847"/>
      <c r="J1079" s="1849"/>
    </row>
    <row r="1080" spans="2:10" s="1824" customFormat="1" ht="16.2">
      <c r="B1080" s="1909"/>
      <c r="C1080" s="1842"/>
      <c r="D1080" s="1834"/>
      <c r="E1080" s="1835"/>
      <c r="F1080" s="1843"/>
      <c r="G1080" s="1844"/>
      <c r="H1080" s="1848"/>
      <c r="I1080" s="1847"/>
      <c r="J1080" s="1849"/>
    </row>
    <row r="1081" spans="2:10" s="1824" customFormat="1" ht="16.2">
      <c r="B1081" s="1909"/>
      <c r="C1081" s="1842"/>
      <c r="D1081" s="1834"/>
      <c r="E1081" s="1835"/>
      <c r="F1081" s="1843"/>
      <c r="G1081" s="1844"/>
      <c r="H1081" s="1848"/>
      <c r="I1081" s="1847"/>
      <c r="J1081" s="1849"/>
    </row>
    <row r="1082" spans="2:10" s="1824" customFormat="1" ht="16.2">
      <c r="B1082" s="1909"/>
      <c r="C1082" s="1842"/>
      <c r="D1082" s="1834"/>
      <c r="E1082" s="1835"/>
      <c r="F1082" s="1843"/>
      <c r="G1082" s="1844"/>
      <c r="H1082" s="1848"/>
      <c r="I1082" s="1847"/>
      <c r="J1082" s="1849"/>
    </row>
    <row r="1083" spans="2:10" s="1824" customFormat="1" ht="16.2">
      <c r="B1083" s="1909"/>
      <c r="C1083" s="1842"/>
      <c r="D1083" s="1834"/>
      <c r="E1083" s="1835"/>
      <c r="F1083" s="1843"/>
      <c r="G1083" s="1844"/>
      <c r="H1083" s="1848"/>
      <c r="I1083" s="1847"/>
      <c r="J1083" s="1849"/>
    </row>
    <row r="1084" spans="2:10" s="1824" customFormat="1" ht="16.2">
      <c r="B1084" s="1909"/>
      <c r="C1084" s="1842"/>
      <c r="D1084" s="1834"/>
      <c r="E1084" s="1835"/>
      <c r="F1084" s="1843"/>
      <c r="G1084" s="1844"/>
      <c r="H1084" s="1848"/>
      <c r="I1084" s="1847"/>
      <c r="J1084" s="1849"/>
    </row>
    <row r="1085" spans="2:10" s="1824" customFormat="1" ht="16.2">
      <c r="B1085" s="1909"/>
      <c r="C1085" s="1842"/>
      <c r="D1085" s="1834"/>
      <c r="E1085" s="1835"/>
      <c r="F1085" s="1843"/>
      <c r="G1085" s="1844"/>
      <c r="H1085" s="1848"/>
      <c r="I1085" s="1847"/>
      <c r="J1085" s="1849"/>
    </row>
    <row r="1086" spans="2:10" s="1824" customFormat="1" ht="16.2">
      <c r="B1086" s="1909"/>
      <c r="C1086" s="1842"/>
      <c r="D1086" s="1834"/>
      <c r="E1086" s="1835"/>
      <c r="F1086" s="1843"/>
      <c r="G1086" s="1844"/>
      <c r="H1086" s="1848"/>
      <c r="I1086" s="1847"/>
      <c r="J1086" s="1849"/>
    </row>
    <row r="1087" spans="2:10" s="1824" customFormat="1" ht="16.2">
      <c r="B1087" s="1909"/>
      <c r="C1087" s="1842"/>
      <c r="D1087" s="1834"/>
      <c r="E1087" s="1835"/>
      <c r="F1087" s="1843"/>
      <c r="G1087" s="1844"/>
      <c r="H1087" s="1848"/>
      <c r="I1087" s="1847"/>
      <c r="J1087" s="1849"/>
    </row>
    <row r="1088" spans="2:10" s="1824" customFormat="1" ht="16.2">
      <c r="B1088" s="1909"/>
      <c r="C1088" s="1842"/>
      <c r="D1088" s="1834"/>
      <c r="E1088" s="1835"/>
      <c r="F1088" s="1843"/>
      <c r="G1088" s="1844"/>
      <c r="H1088" s="1848"/>
      <c r="I1088" s="1847"/>
      <c r="J1088" s="1849"/>
    </row>
    <row r="1089" spans="2:10" s="1824" customFormat="1" ht="16.2">
      <c r="B1089" s="1909"/>
      <c r="C1089" s="1842"/>
      <c r="D1089" s="1834"/>
      <c r="E1089" s="1835"/>
      <c r="F1089" s="1843"/>
      <c r="G1089" s="1844"/>
      <c r="H1089" s="1848"/>
      <c r="I1089" s="1847"/>
      <c r="J1089" s="1849"/>
    </row>
    <row r="1090" spans="2:10" s="1824" customFormat="1" ht="16.2">
      <c r="B1090" s="1909"/>
      <c r="C1090" s="1842"/>
      <c r="D1090" s="1834"/>
      <c r="E1090" s="1835"/>
      <c r="F1090" s="1843"/>
      <c r="G1090" s="1844"/>
      <c r="H1090" s="1848"/>
      <c r="I1090" s="1847"/>
      <c r="J1090" s="1849"/>
    </row>
    <row r="1091" spans="2:10" s="1824" customFormat="1" ht="16.2">
      <c r="B1091" s="1909"/>
      <c r="C1091" s="1842"/>
      <c r="D1091" s="1834"/>
      <c r="E1091" s="1835"/>
      <c r="F1091" s="1843"/>
      <c r="G1091" s="1844"/>
      <c r="H1091" s="1848"/>
      <c r="I1091" s="1847"/>
      <c r="J1091" s="1849"/>
    </row>
    <row r="1092" spans="2:10" s="1824" customFormat="1" ht="16.2">
      <c r="B1092" s="1909"/>
      <c r="C1092" s="1842"/>
      <c r="D1092" s="1834"/>
      <c r="E1092" s="1835"/>
      <c r="F1092" s="1843"/>
      <c r="G1092" s="1844"/>
      <c r="H1092" s="1848"/>
      <c r="I1092" s="1847"/>
      <c r="J1092" s="1849"/>
    </row>
    <row r="1093" spans="2:10" s="1824" customFormat="1" ht="16.2">
      <c r="B1093" s="1909"/>
      <c r="C1093" s="1842"/>
      <c r="D1093" s="1834"/>
      <c r="E1093" s="1835"/>
      <c r="F1093" s="1843"/>
      <c r="G1093" s="1844"/>
      <c r="H1093" s="1848"/>
      <c r="I1093" s="1847"/>
      <c r="J1093" s="1849"/>
    </row>
    <row r="1094" spans="2:10" s="1824" customFormat="1" ht="16.2">
      <c r="B1094" s="1909"/>
      <c r="C1094" s="1842"/>
      <c r="D1094" s="1834"/>
      <c r="E1094" s="1835"/>
      <c r="F1094" s="1843"/>
      <c r="G1094" s="1844"/>
      <c r="H1094" s="1848"/>
      <c r="I1094" s="1847"/>
      <c r="J1094" s="1849"/>
    </row>
    <row r="1095" spans="2:10" s="1824" customFormat="1" ht="16.2">
      <c r="B1095" s="1909"/>
      <c r="C1095" s="1842"/>
      <c r="D1095" s="1834"/>
      <c r="E1095" s="1835"/>
      <c r="F1095" s="1843"/>
      <c r="G1095" s="1844"/>
      <c r="H1095" s="1848"/>
      <c r="I1095" s="1847"/>
      <c r="J1095" s="1849"/>
    </row>
    <row r="1096" spans="2:10" s="1824" customFormat="1" ht="16.2">
      <c r="B1096" s="1909"/>
      <c r="C1096" s="1842"/>
      <c r="D1096" s="1834"/>
      <c r="E1096" s="1835"/>
      <c r="F1096" s="1843"/>
      <c r="G1096" s="1844"/>
      <c r="H1096" s="1848"/>
      <c r="I1096" s="1847"/>
      <c r="J1096" s="1849"/>
    </row>
    <row r="1097" spans="2:10" s="1824" customFormat="1" ht="16.2">
      <c r="B1097" s="1909"/>
      <c r="C1097" s="1842"/>
      <c r="D1097" s="1834"/>
      <c r="E1097" s="1835"/>
      <c r="F1097" s="1843"/>
      <c r="G1097" s="1844"/>
      <c r="H1097" s="1848"/>
      <c r="I1097" s="1847"/>
      <c r="J1097" s="1849"/>
    </row>
    <row r="1098" spans="2:10" s="1824" customFormat="1" ht="16.2">
      <c r="B1098" s="1909"/>
      <c r="C1098" s="1842"/>
      <c r="D1098" s="1834"/>
      <c r="E1098" s="1835"/>
      <c r="F1098" s="1843"/>
      <c r="G1098" s="1844"/>
      <c r="H1098" s="1848"/>
      <c r="I1098" s="1847"/>
      <c r="J1098" s="1849"/>
    </row>
    <row r="1099" spans="2:10" s="1824" customFormat="1" ht="16.2">
      <c r="B1099" s="1909"/>
      <c r="C1099" s="1842"/>
      <c r="D1099" s="1834"/>
      <c r="E1099" s="1835"/>
      <c r="F1099" s="1843"/>
      <c r="G1099" s="1844"/>
      <c r="H1099" s="1848"/>
      <c r="I1099" s="1847"/>
      <c r="J1099" s="1849"/>
    </row>
    <row r="1100" spans="2:10" s="1824" customFormat="1" ht="16.2">
      <c r="B1100" s="1909"/>
      <c r="C1100" s="1842"/>
      <c r="D1100" s="1834"/>
      <c r="E1100" s="1835"/>
      <c r="F1100" s="1843"/>
      <c r="G1100" s="1844"/>
      <c r="H1100" s="1848"/>
      <c r="I1100" s="1847"/>
      <c r="J1100" s="1849"/>
    </row>
    <row r="1101" spans="2:10" s="1824" customFormat="1" ht="16.2">
      <c r="B1101" s="1909"/>
      <c r="C1101" s="1842"/>
      <c r="D1101" s="1834"/>
      <c r="E1101" s="1835"/>
      <c r="F1101" s="1843"/>
      <c r="G1101" s="1844"/>
      <c r="H1101" s="1848"/>
      <c r="I1101" s="1847"/>
      <c r="J1101" s="1849"/>
    </row>
    <row r="1102" spans="2:10" s="1824" customFormat="1" ht="16.2">
      <c r="B1102" s="1909"/>
      <c r="C1102" s="1842"/>
      <c r="D1102" s="1834"/>
      <c r="E1102" s="1835"/>
      <c r="F1102" s="1843"/>
      <c r="G1102" s="1844"/>
      <c r="H1102" s="1848"/>
      <c r="I1102" s="1847"/>
      <c r="J1102" s="1849"/>
    </row>
    <row r="1103" spans="2:10" s="1824" customFormat="1" ht="16.2">
      <c r="B1103" s="1909"/>
      <c r="C1103" s="1842"/>
      <c r="D1103" s="1834"/>
      <c r="E1103" s="1835"/>
      <c r="F1103" s="1843"/>
      <c r="G1103" s="1844"/>
      <c r="H1103" s="1848"/>
      <c r="I1103" s="1847"/>
      <c r="J1103" s="1849"/>
    </row>
    <row r="1104" spans="2:10" s="1824" customFormat="1" ht="16.2">
      <c r="B1104" s="1909"/>
      <c r="C1104" s="1842"/>
      <c r="D1104" s="1834"/>
      <c r="E1104" s="1835"/>
      <c r="F1104" s="1843"/>
      <c r="G1104" s="1844"/>
      <c r="H1104" s="1848"/>
      <c r="I1104" s="1847"/>
      <c r="J1104" s="1849"/>
    </row>
    <row r="1105" spans="2:10" s="1824" customFormat="1" ht="16.2">
      <c r="B1105" s="1909"/>
      <c r="C1105" s="1842"/>
      <c r="D1105" s="1834"/>
      <c r="E1105" s="1835"/>
      <c r="F1105" s="1843"/>
      <c r="G1105" s="1844"/>
      <c r="H1105" s="1848"/>
      <c r="I1105" s="1847"/>
      <c r="J1105" s="1849"/>
    </row>
    <row r="1106" spans="2:10" s="1824" customFormat="1" ht="16.2">
      <c r="B1106" s="1909"/>
      <c r="C1106" s="1842"/>
      <c r="D1106" s="1834"/>
      <c r="E1106" s="1835"/>
      <c r="F1106" s="1843"/>
      <c r="G1106" s="1844"/>
      <c r="H1106" s="1848"/>
      <c r="I1106" s="1847"/>
      <c r="J1106" s="1849"/>
    </row>
    <row r="1107" spans="2:10" s="1824" customFormat="1" ht="16.2">
      <c r="B1107" s="1909"/>
      <c r="C1107" s="1842"/>
      <c r="D1107" s="1834"/>
      <c r="E1107" s="1835"/>
      <c r="F1107" s="1843"/>
      <c r="G1107" s="1844"/>
      <c r="H1107" s="1848"/>
      <c r="I1107" s="1847"/>
      <c r="J1107" s="1849"/>
    </row>
    <row r="1108" spans="2:10" s="1824" customFormat="1" ht="16.2">
      <c r="B1108" s="1909"/>
      <c r="C1108" s="1842"/>
      <c r="D1108" s="1834"/>
      <c r="E1108" s="1835"/>
      <c r="F1108" s="1843"/>
      <c r="G1108" s="1844"/>
      <c r="H1108" s="1848"/>
      <c r="I1108" s="1847"/>
      <c r="J1108" s="1849"/>
    </row>
    <row r="1109" spans="2:10" s="1824" customFormat="1" ht="16.2">
      <c r="B1109" s="1909"/>
      <c r="C1109" s="1842"/>
      <c r="D1109" s="1834"/>
      <c r="E1109" s="1835"/>
      <c r="F1109" s="1843"/>
      <c r="G1109" s="1844"/>
      <c r="H1109" s="1848"/>
      <c r="I1109" s="1847"/>
      <c r="J1109" s="1849"/>
    </row>
    <row r="1110" spans="2:10" s="1824" customFormat="1" ht="16.2">
      <c r="B1110" s="1909"/>
      <c r="C1110" s="1842"/>
      <c r="D1110" s="1834"/>
      <c r="E1110" s="1835"/>
      <c r="F1110" s="1843"/>
      <c r="G1110" s="1844"/>
      <c r="H1110" s="1848"/>
      <c r="I1110" s="1847"/>
      <c r="J1110" s="1849"/>
    </row>
    <row r="1111" spans="2:10" s="1824" customFormat="1" ht="16.2">
      <c r="B1111" s="1909"/>
      <c r="C1111" s="1842"/>
      <c r="D1111" s="1834"/>
      <c r="E1111" s="1835"/>
      <c r="F1111" s="1843"/>
      <c r="G1111" s="1844"/>
      <c r="H1111" s="1848"/>
      <c r="I1111" s="1847"/>
      <c r="J1111" s="1849"/>
    </row>
    <row r="1112" spans="2:10" s="1824" customFormat="1" ht="16.2">
      <c r="B1112" s="1909"/>
      <c r="C1112" s="1842"/>
      <c r="D1112" s="1834"/>
      <c r="E1112" s="1835"/>
      <c r="F1112" s="1843"/>
      <c r="G1112" s="1844"/>
      <c r="H1112" s="1848"/>
      <c r="I1112" s="1847" t="str">
        <f>IF(D1112="","",IF(H1112&lt;&gt;"","CLOSED",IF(G1112="","NO DUE DATE",IF(AND(#REF!&lt;1,#REF!&gt;0),"DUE TODAY",IF(#REF!&gt;1,"OVERDUE",IF(H1112&lt;&gt;"","CLOSED","OPEN"))))))</f>
        <v/>
      </c>
      <c r="J1112" s="1849"/>
    </row>
    <row r="1113" spans="2:10" s="1824" customFormat="1" ht="16.2">
      <c r="B1113" s="1909"/>
      <c r="C1113" s="1842"/>
      <c r="D1113" s="1834"/>
      <c r="E1113" s="1835"/>
      <c r="F1113" s="1843"/>
      <c r="G1113" s="1844"/>
      <c r="H1113" s="1848"/>
      <c r="I1113" s="1847" t="str">
        <f>IF(D1113="","",IF(H1113&lt;&gt;"","CLOSED",IF(G1113="","NO DUE DATE",IF(AND(#REF!&lt;1,#REF!&gt;0),"DUE TODAY",IF(#REF!&gt;1,"OVERDUE",IF(H1113&lt;&gt;"","CLOSED","OPEN"))))))</f>
        <v/>
      </c>
      <c r="J1113" s="1849"/>
    </row>
    <row r="1114" spans="2:10" s="1824" customFormat="1" ht="16.2">
      <c r="B1114" s="1909"/>
      <c r="C1114" s="1842"/>
      <c r="D1114" s="1834"/>
      <c r="E1114" s="1835"/>
      <c r="F1114" s="1843"/>
      <c r="G1114" s="1844"/>
      <c r="H1114" s="1848"/>
      <c r="I1114" s="1847" t="str">
        <f>IF(D1114="","",IF(H1114&lt;&gt;"","CLOSED",IF(G1114="","NO DUE DATE",IF(AND(#REF!&lt;1,#REF!&gt;0),"DUE TODAY",IF(#REF!&gt;1,"OVERDUE",IF(H1114&lt;&gt;"","CLOSED","OPEN"))))))</f>
        <v/>
      </c>
      <c r="J1114" s="1849"/>
    </row>
    <row r="1115" spans="2:10" s="1824" customFormat="1" ht="16.2">
      <c r="B1115" s="1909"/>
      <c r="C1115" s="1842"/>
      <c r="D1115" s="1834"/>
      <c r="E1115" s="1835"/>
      <c r="F1115" s="1843"/>
      <c r="G1115" s="1844"/>
      <c r="H1115" s="1848"/>
      <c r="I1115" s="1847" t="str">
        <f>IF(D1115="","",IF(H1115&lt;&gt;"","CLOSED",IF(G1115="","NO DUE DATE",IF(AND(#REF!&lt;1,#REF!&gt;0),"DUE TODAY",IF(#REF!&gt;1,"OVERDUE",IF(H1115&lt;&gt;"","CLOSED","OPEN"))))))</f>
        <v/>
      </c>
      <c r="J1115" s="1849"/>
    </row>
    <row r="1116" spans="2:10" s="1824" customFormat="1" ht="16.2">
      <c r="B1116" s="1909"/>
      <c r="C1116" s="1842"/>
      <c r="D1116" s="1834"/>
      <c r="E1116" s="1835"/>
      <c r="F1116" s="1843"/>
      <c r="G1116" s="1844"/>
      <c r="H1116" s="1848"/>
      <c r="I1116" s="1847" t="str">
        <f>IF(D1116="","",IF(H1116&lt;&gt;"","CLOSED",IF(G1116="","NO DUE DATE",IF(AND(#REF!&lt;1,#REF!&gt;0),"DUE TODAY",IF(#REF!&gt;1,"OVERDUE",IF(H1116&lt;&gt;"","CLOSED","OPEN"))))))</f>
        <v/>
      </c>
      <c r="J1116" s="1849"/>
    </row>
    <row r="1117" spans="2:10" s="1824" customFormat="1" ht="16.2">
      <c r="B1117" s="1909"/>
      <c r="C1117" s="1842"/>
      <c r="D1117" s="1834"/>
      <c r="E1117" s="1835"/>
      <c r="F1117" s="1843"/>
      <c r="G1117" s="1844"/>
      <c r="H1117" s="1848"/>
      <c r="I1117" s="1847" t="str">
        <f>IF(D1117="","",IF(H1117&lt;&gt;"","CLOSED",IF(G1117="","NO DUE DATE",IF(AND(#REF!&lt;1,#REF!&gt;0),"DUE TODAY",IF(#REF!&gt;1,"OVERDUE",IF(H1117&lt;&gt;"","CLOSED","OPEN"))))))</f>
        <v/>
      </c>
      <c r="J1117" s="1849"/>
    </row>
    <row r="1118" spans="2:10" s="1824" customFormat="1" ht="16.2">
      <c r="B1118" s="1909"/>
      <c r="C1118" s="1842"/>
      <c r="D1118" s="1834"/>
      <c r="E1118" s="1835"/>
      <c r="F1118" s="1843"/>
      <c r="G1118" s="1844"/>
      <c r="H1118" s="1848"/>
      <c r="I1118" s="1847" t="str">
        <f>IF(D1118="","",IF(H1118&lt;&gt;"","CLOSED",IF(G1118="","NO DUE DATE",IF(AND(#REF!&lt;1,#REF!&gt;0),"DUE TODAY",IF(#REF!&gt;1,"OVERDUE",IF(H1118&lt;&gt;"","CLOSED","OPEN"))))))</f>
        <v/>
      </c>
      <c r="J1118" s="1849"/>
    </row>
    <row r="1119" spans="2:10" s="1824" customFormat="1" ht="16.2">
      <c r="B1119" s="1909"/>
      <c r="C1119" s="1842"/>
      <c r="D1119" s="1834"/>
      <c r="E1119" s="1835"/>
      <c r="F1119" s="1843"/>
      <c r="G1119" s="1844"/>
      <c r="H1119" s="1848"/>
      <c r="I1119" s="1847" t="str">
        <f>IF(D1119="","",IF(H1119&lt;&gt;"","CLOSED",IF(G1119="","NO DUE DATE",IF(AND(#REF!&lt;1,#REF!&gt;0),"DUE TODAY",IF(#REF!&gt;1,"OVERDUE",IF(H1119&lt;&gt;"","CLOSED","OPEN"))))))</f>
        <v/>
      </c>
      <c r="J1119" s="1849"/>
    </row>
    <row r="1120" spans="2:10" s="1824" customFormat="1" ht="16.2">
      <c r="B1120" s="1909"/>
      <c r="C1120" s="1842"/>
      <c r="D1120" s="1834"/>
      <c r="E1120" s="1835"/>
      <c r="F1120" s="1843"/>
      <c r="G1120" s="1844"/>
      <c r="H1120" s="1848"/>
      <c r="I1120" s="1847" t="str">
        <f>IF(D1120="","",IF(H1120&lt;&gt;"","CLOSED",IF(G1120="","NO DUE DATE",IF(AND(#REF!&lt;1,#REF!&gt;0),"DUE TODAY",IF(#REF!&gt;1,"OVERDUE",IF(H1120&lt;&gt;"","CLOSED","OPEN"))))))</f>
        <v/>
      </c>
      <c r="J1120" s="1849"/>
    </row>
    <row r="1121" spans="2:10" s="1824" customFormat="1" ht="16.2">
      <c r="B1121" s="1909"/>
      <c r="C1121" s="1842"/>
      <c r="D1121" s="1834"/>
      <c r="E1121" s="1835"/>
      <c r="F1121" s="1843"/>
      <c r="G1121" s="1844"/>
      <c r="H1121" s="1848"/>
      <c r="I1121" s="1847" t="str">
        <f>IF(D1121="","",IF(H1121&lt;&gt;"","CLOSED",IF(G1121="","NO DUE DATE",IF(AND(#REF!&lt;1,#REF!&gt;0),"DUE TODAY",IF(#REF!&gt;1,"OVERDUE",IF(H1121&lt;&gt;"","CLOSED","OPEN"))))))</f>
        <v/>
      </c>
      <c r="J1121" s="1849"/>
    </row>
    <row r="1122" spans="2:10" s="1824" customFormat="1" ht="16.2">
      <c r="B1122" s="1909"/>
      <c r="C1122" s="1842"/>
      <c r="D1122" s="1834"/>
      <c r="E1122" s="1835"/>
      <c r="F1122" s="1843"/>
      <c r="G1122" s="1844"/>
      <c r="H1122" s="1848"/>
      <c r="I1122" s="1847" t="str">
        <f>IF(D1122="","",IF(H1122&lt;&gt;"","CLOSED",IF(G1122="","NO DUE DATE",IF(AND(#REF!&lt;1,#REF!&gt;0),"DUE TODAY",IF(#REF!&gt;1,"OVERDUE",IF(H1122&lt;&gt;"","CLOSED","OPEN"))))))</f>
        <v/>
      </c>
      <c r="J1122" s="1849"/>
    </row>
    <row r="1123" spans="2:10" s="1824" customFormat="1" ht="16.2">
      <c r="B1123" s="1909"/>
      <c r="C1123" s="1842"/>
      <c r="D1123" s="1834"/>
      <c r="E1123" s="1835"/>
      <c r="F1123" s="1843"/>
      <c r="G1123" s="1844"/>
      <c r="H1123" s="1848"/>
      <c r="I1123" s="1847" t="str">
        <f>IF(D1123="","",IF(H1123&lt;&gt;"","CLOSED",IF(G1123="","NO DUE DATE",IF(AND(#REF!&lt;1,#REF!&gt;0),"DUE TODAY",IF(#REF!&gt;1,"OVERDUE",IF(H1123&lt;&gt;"","CLOSED","OPEN"))))))</f>
        <v/>
      </c>
      <c r="J1123" s="1849"/>
    </row>
    <row r="1124" spans="2:10" s="1824" customFormat="1" ht="16.2">
      <c r="B1124" s="1909"/>
      <c r="C1124" s="1842"/>
      <c r="D1124" s="1834"/>
      <c r="E1124" s="1835"/>
      <c r="F1124" s="1843"/>
      <c r="G1124" s="1844"/>
      <c r="H1124" s="1848"/>
      <c r="I1124" s="1847" t="str">
        <f>IF(D1124="","",IF(H1124&lt;&gt;"","CLOSED",IF(G1124="","NO DUE DATE",IF(AND(#REF!&lt;1,#REF!&gt;0),"DUE TODAY",IF(#REF!&gt;1,"OVERDUE",IF(H1124&lt;&gt;"","CLOSED","OPEN"))))))</f>
        <v/>
      </c>
      <c r="J1124" s="1849"/>
    </row>
    <row r="1125" spans="2:10" s="1824" customFormat="1" ht="16.2">
      <c r="B1125" s="1909"/>
      <c r="C1125" s="1842"/>
      <c r="D1125" s="1834"/>
      <c r="E1125" s="1835"/>
      <c r="F1125" s="1843"/>
      <c r="G1125" s="1844"/>
      <c r="H1125" s="1848"/>
      <c r="I1125" s="1847" t="str">
        <f>IF(D1125="","",IF(H1125&lt;&gt;"","CLOSED",IF(G1125="","NO DUE DATE",IF(AND(#REF!&lt;1,#REF!&gt;0),"DUE TODAY",IF(#REF!&gt;1,"OVERDUE",IF(H1125&lt;&gt;"","CLOSED","OPEN"))))))</f>
        <v/>
      </c>
      <c r="J1125" s="1849"/>
    </row>
    <row r="1126" spans="2:10" s="1824" customFormat="1" ht="16.2">
      <c r="B1126" s="1909"/>
      <c r="C1126" s="1842"/>
      <c r="D1126" s="1834"/>
      <c r="E1126" s="1835"/>
      <c r="F1126" s="1843"/>
      <c r="G1126" s="1844"/>
      <c r="H1126" s="1848"/>
      <c r="I1126" s="1847" t="str">
        <f>IF(D1126="","",IF(H1126&lt;&gt;"","CLOSED",IF(G1126="","NO DUE DATE",IF(AND(#REF!&lt;1,#REF!&gt;0),"DUE TODAY",IF(#REF!&gt;1,"OVERDUE",IF(H1126&lt;&gt;"","CLOSED","OPEN"))))))</f>
        <v/>
      </c>
      <c r="J1126" s="1849"/>
    </row>
    <row r="1127" spans="2:10" s="1824" customFormat="1" ht="16.2">
      <c r="B1127" s="1909"/>
      <c r="C1127" s="1842"/>
      <c r="D1127" s="1834"/>
      <c r="E1127" s="1835"/>
      <c r="F1127" s="1843"/>
      <c r="G1127" s="1844"/>
      <c r="H1127" s="1848"/>
      <c r="I1127" s="1847" t="str">
        <f>IF(D1127="","",IF(H1127&lt;&gt;"","CLOSED",IF(G1127="","NO DUE DATE",IF(AND(#REF!&lt;1,#REF!&gt;0),"DUE TODAY",IF(#REF!&gt;1,"OVERDUE",IF(H1127&lt;&gt;"","CLOSED","OPEN"))))))</f>
        <v/>
      </c>
      <c r="J1127" s="1849"/>
    </row>
    <row r="1128" spans="2:10" s="1824" customFormat="1" ht="16.2">
      <c r="B1128" s="1909"/>
      <c r="C1128" s="1842"/>
      <c r="D1128" s="1834"/>
      <c r="E1128" s="1835"/>
      <c r="F1128" s="1843"/>
      <c r="G1128" s="1844"/>
      <c r="H1128" s="1848"/>
      <c r="I1128" s="1847" t="str">
        <f>IF(D1128="","",IF(H1128&lt;&gt;"","CLOSED",IF(G1128="","NO DUE DATE",IF(AND(#REF!&lt;1,#REF!&gt;0),"DUE TODAY",IF(#REF!&gt;1,"OVERDUE",IF(H1128&lt;&gt;"","CLOSED","OPEN"))))))</f>
        <v/>
      </c>
      <c r="J1128" s="1849"/>
    </row>
    <row r="1129" spans="2:10" s="1824" customFormat="1" ht="16.2">
      <c r="B1129" s="1909"/>
      <c r="C1129" s="1842"/>
      <c r="D1129" s="1834"/>
      <c r="E1129" s="1835"/>
      <c r="F1129" s="1843"/>
      <c r="G1129" s="1844"/>
      <c r="H1129" s="1848"/>
      <c r="I1129" s="1847" t="str">
        <f>IF(D1129="","",IF(H1129&lt;&gt;"","CLOSED",IF(G1129="","NO DUE DATE",IF(AND(#REF!&lt;1,#REF!&gt;0),"DUE TODAY",IF(#REF!&gt;1,"OVERDUE",IF(H1129&lt;&gt;"","CLOSED","OPEN"))))))</f>
        <v/>
      </c>
      <c r="J1129" s="1849"/>
    </row>
    <row r="1130" spans="2:10" s="1824" customFormat="1" ht="16.2">
      <c r="B1130" s="1909"/>
      <c r="C1130" s="1842"/>
      <c r="D1130" s="1834"/>
      <c r="E1130" s="1835"/>
      <c r="F1130" s="1843"/>
      <c r="G1130" s="1844"/>
      <c r="H1130" s="1848"/>
      <c r="I1130" s="1847" t="str">
        <f>IF(D1130="","",IF(H1130&lt;&gt;"","CLOSED",IF(G1130="","NO DUE DATE",IF(AND(#REF!&lt;1,#REF!&gt;0),"DUE TODAY",IF(#REF!&gt;1,"OVERDUE",IF(H1130&lt;&gt;"","CLOSED","OPEN"))))))</f>
        <v/>
      </c>
      <c r="J1130" s="1849"/>
    </row>
    <row r="1131" spans="2:10" s="1824" customFormat="1" ht="16.2">
      <c r="B1131" s="1909"/>
      <c r="C1131" s="1842"/>
      <c r="D1131" s="1834"/>
      <c r="E1131" s="1835"/>
      <c r="F1131" s="1843"/>
      <c r="G1131" s="1844"/>
      <c r="H1131" s="1848"/>
      <c r="I1131" s="1847" t="str">
        <f>IF(D1131="","",IF(H1131&lt;&gt;"","CLOSED",IF(G1131="","NO DUE DATE",IF(AND(#REF!&lt;1,#REF!&gt;0),"DUE TODAY",IF(#REF!&gt;1,"OVERDUE",IF(H1131&lt;&gt;"","CLOSED","OPEN"))))))</f>
        <v/>
      </c>
      <c r="J1131" s="1849"/>
    </row>
    <row r="1132" spans="2:10" s="1824" customFormat="1" ht="16.2">
      <c r="B1132" s="1909"/>
      <c r="C1132" s="1842"/>
      <c r="D1132" s="1834"/>
      <c r="E1132" s="1835"/>
      <c r="F1132" s="1843"/>
      <c r="G1132" s="1844"/>
      <c r="H1132" s="1848"/>
      <c r="I1132" s="1847" t="str">
        <f>IF(D1132="","",IF(H1132&lt;&gt;"","CLOSED",IF(G1132="","NO DUE DATE",IF(AND(#REF!&lt;1,#REF!&gt;0),"DUE TODAY",IF(#REF!&gt;1,"OVERDUE",IF(H1132&lt;&gt;"","CLOSED","OPEN"))))))</f>
        <v/>
      </c>
      <c r="J1132" s="1849"/>
    </row>
    <row r="1133" spans="2:10" s="1824" customFormat="1" ht="16.2">
      <c r="B1133" s="1909"/>
      <c r="C1133" s="1842"/>
      <c r="D1133" s="1834"/>
      <c r="E1133" s="1835"/>
      <c r="F1133" s="1843"/>
      <c r="G1133" s="1844"/>
      <c r="H1133" s="1848"/>
      <c r="I1133" s="1847" t="str">
        <f>IF(D1133="","",IF(H1133&lt;&gt;"","CLOSED",IF(G1133="","NO DUE DATE",IF(AND(#REF!&lt;1,#REF!&gt;0),"DUE TODAY",IF(#REF!&gt;1,"OVERDUE",IF(H1133&lt;&gt;"","CLOSED","OPEN"))))))</f>
        <v/>
      </c>
      <c r="J1133" s="1849"/>
    </row>
    <row r="1134" spans="2:10" s="1824" customFormat="1" ht="16.2">
      <c r="B1134" s="1909"/>
      <c r="C1134" s="1842"/>
      <c r="D1134" s="1834"/>
      <c r="E1134" s="1835"/>
      <c r="F1134" s="1843"/>
      <c r="G1134" s="1844"/>
      <c r="H1134" s="1848"/>
      <c r="I1134" s="1847" t="str">
        <f>IF(D1134="","",IF(H1134&lt;&gt;"","CLOSED",IF(G1134="","NO DUE DATE",IF(AND(#REF!&lt;1,#REF!&gt;0),"DUE TODAY",IF(#REF!&gt;1,"OVERDUE",IF(H1134&lt;&gt;"","CLOSED","OPEN"))))))</f>
        <v/>
      </c>
      <c r="J1134" s="1849"/>
    </row>
    <row r="1135" spans="2:10" s="1824" customFormat="1" ht="16.2">
      <c r="B1135" s="1909"/>
      <c r="C1135" s="1842"/>
      <c r="D1135" s="1834"/>
      <c r="E1135" s="1835"/>
      <c r="F1135" s="1843"/>
      <c r="G1135" s="1844"/>
      <c r="H1135" s="1848"/>
      <c r="I1135" s="1847" t="str">
        <f>IF(D1135="","",IF(H1135&lt;&gt;"","CLOSED",IF(G1135="","NO DUE DATE",IF(AND(#REF!&lt;1,#REF!&gt;0),"DUE TODAY",IF(#REF!&gt;1,"OVERDUE",IF(H1135&lt;&gt;"","CLOSED","OPEN"))))))</f>
        <v/>
      </c>
      <c r="J1135" s="1849"/>
    </row>
    <row r="1136" spans="2:10" s="1824" customFormat="1" ht="16.2">
      <c r="B1136" s="1909"/>
      <c r="C1136" s="1842"/>
      <c r="D1136" s="1834"/>
      <c r="E1136" s="1835"/>
      <c r="F1136" s="1843"/>
      <c r="G1136" s="1844"/>
      <c r="H1136" s="1848"/>
      <c r="I1136" s="1847" t="str">
        <f>IF(D1136="","",IF(H1136&lt;&gt;"","CLOSED",IF(G1136="","NO DUE DATE",IF(AND(#REF!&lt;1,#REF!&gt;0),"DUE TODAY",IF(#REF!&gt;1,"OVERDUE",IF(H1136&lt;&gt;"","CLOSED","OPEN"))))))</f>
        <v/>
      </c>
      <c r="J1136" s="1849"/>
    </row>
    <row r="1137" spans="2:10" s="1824" customFormat="1" ht="16.2">
      <c r="B1137" s="1909"/>
      <c r="C1137" s="1842"/>
      <c r="D1137" s="1834"/>
      <c r="E1137" s="1835"/>
      <c r="F1137" s="1843"/>
      <c r="G1137" s="1844"/>
      <c r="H1137" s="1848"/>
      <c r="I1137" s="1847" t="str">
        <f>IF(D1137="","",IF(H1137&lt;&gt;"","CLOSED",IF(G1137="","NO DUE DATE",IF(AND(#REF!&lt;1,#REF!&gt;0),"DUE TODAY",IF(#REF!&gt;1,"OVERDUE",IF(H1137&lt;&gt;"","CLOSED","OPEN"))))))</f>
        <v/>
      </c>
      <c r="J1137" s="1849"/>
    </row>
    <row r="1138" spans="2:10" s="1824" customFormat="1" ht="16.2">
      <c r="B1138" s="1909"/>
      <c r="C1138" s="1842"/>
      <c r="D1138" s="1834"/>
      <c r="E1138" s="1835"/>
      <c r="F1138" s="1843"/>
      <c r="G1138" s="1844"/>
      <c r="H1138" s="1848"/>
      <c r="I1138" s="1847" t="str">
        <f>IF(D1138="","",IF(H1138&lt;&gt;"","CLOSED",IF(G1138="","NO DUE DATE",IF(AND(#REF!&lt;1,#REF!&gt;0),"DUE TODAY",IF(#REF!&gt;1,"OVERDUE",IF(H1138&lt;&gt;"","CLOSED","OPEN"))))))</f>
        <v/>
      </c>
      <c r="J1138" s="1849"/>
    </row>
    <row r="1139" spans="2:10" s="1824" customFormat="1" ht="16.2">
      <c r="B1139" s="1909"/>
      <c r="C1139" s="1842"/>
      <c r="D1139" s="1834"/>
      <c r="E1139" s="1835"/>
      <c r="F1139" s="1843"/>
      <c r="G1139" s="1844"/>
      <c r="H1139" s="1848"/>
      <c r="I1139" s="1847" t="str">
        <f>IF(D1139="","",IF(H1139&lt;&gt;"","CLOSED",IF(G1139="","NO DUE DATE",IF(AND(#REF!&lt;1,#REF!&gt;0),"DUE TODAY",IF(#REF!&gt;1,"OVERDUE",IF(H1139&lt;&gt;"","CLOSED","OPEN"))))))</f>
        <v/>
      </c>
      <c r="J1139" s="1849"/>
    </row>
    <row r="1140" spans="2:10" s="1824" customFormat="1" ht="16.2">
      <c r="B1140" s="1909"/>
      <c r="C1140" s="1842"/>
      <c r="D1140" s="1834"/>
      <c r="E1140" s="1835"/>
      <c r="F1140" s="1843"/>
      <c r="G1140" s="1844"/>
      <c r="H1140" s="1848"/>
      <c r="I1140" s="1847" t="str">
        <f>IF(D1140="","",IF(H1140&lt;&gt;"","CLOSED",IF(G1140="","NO DUE DATE",IF(AND(#REF!&lt;1,#REF!&gt;0),"DUE TODAY",IF(#REF!&gt;1,"OVERDUE",IF(H1140&lt;&gt;"","CLOSED","OPEN"))))))</f>
        <v/>
      </c>
      <c r="J1140" s="1849"/>
    </row>
    <row r="1141" spans="2:10" s="1824" customFormat="1" ht="16.2">
      <c r="B1141" s="1909"/>
      <c r="C1141" s="1842"/>
      <c r="D1141" s="1834"/>
      <c r="E1141" s="1835"/>
      <c r="F1141" s="1843"/>
      <c r="G1141" s="1844"/>
      <c r="H1141" s="1848"/>
      <c r="I1141" s="1847" t="str">
        <f>IF(D1141="","",IF(H1141&lt;&gt;"","CLOSED",IF(G1141="","NO DUE DATE",IF(AND(#REF!&lt;1,#REF!&gt;0),"DUE TODAY",IF(#REF!&gt;1,"OVERDUE",IF(H1141&lt;&gt;"","CLOSED","OPEN"))))))</f>
        <v/>
      </c>
      <c r="J1141" s="1849"/>
    </row>
    <row r="1142" spans="2:10" s="1824" customFormat="1" ht="16.2">
      <c r="B1142" s="1909"/>
      <c r="C1142" s="1842"/>
      <c r="D1142" s="1834"/>
      <c r="E1142" s="1835"/>
      <c r="F1142" s="1843"/>
      <c r="G1142" s="1844"/>
      <c r="H1142" s="1848"/>
      <c r="I1142" s="1847" t="str">
        <f>IF(D1142="","",IF(H1142&lt;&gt;"","CLOSED",IF(G1142="","NO DUE DATE",IF(AND(#REF!&lt;1,#REF!&gt;0),"DUE TODAY",IF(#REF!&gt;1,"OVERDUE",IF(H1142&lt;&gt;"","CLOSED","OPEN"))))))</f>
        <v/>
      </c>
      <c r="J1142" s="1849"/>
    </row>
    <row r="1143" spans="2:10" s="1824" customFormat="1" ht="16.2">
      <c r="B1143" s="1909"/>
      <c r="C1143" s="1842"/>
      <c r="D1143" s="1834"/>
      <c r="E1143" s="1835"/>
      <c r="F1143" s="1843"/>
      <c r="G1143" s="1844"/>
      <c r="H1143" s="1848"/>
      <c r="I1143" s="1847" t="str">
        <f>IF(D1143="","",IF(H1143&lt;&gt;"","CLOSED",IF(G1143="","NO DUE DATE",IF(AND(#REF!&lt;1,#REF!&gt;0),"DUE TODAY",IF(#REF!&gt;1,"OVERDUE",IF(H1143&lt;&gt;"","CLOSED","OPEN"))))))</f>
        <v/>
      </c>
      <c r="J1143" s="1849"/>
    </row>
    <row r="1144" spans="2:10" s="1824" customFormat="1" ht="16.2">
      <c r="B1144" s="1909"/>
      <c r="C1144" s="1842"/>
      <c r="D1144" s="1834"/>
      <c r="E1144" s="1835"/>
      <c r="F1144" s="1843"/>
      <c r="G1144" s="1844"/>
      <c r="H1144" s="1848"/>
      <c r="I1144" s="1847" t="str">
        <f>IF(D1144="","",IF(H1144&lt;&gt;"","CLOSED",IF(G1144="","NO DUE DATE",IF(AND(#REF!&lt;1,#REF!&gt;0),"DUE TODAY",IF(#REF!&gt;1,"OVERDUE",IF(H1144&lt;&gt;"","CLOSED","OPEN"))))))</f>
        <v/>
      </c>
      <c r="J1144" s="1849"/>
    </row>
    <row r="1145" spans="2:10" s="1824" customFormat="1" ht="16.2">
      <c r="B1145" s="1909"/>
      <c r="C1145" s="1842"/>
      <c r="D1145" s="1834"/>
      <c r="E1145" s="1835"/>
      <c r="F1145" s="1843"/>
      <c r="G1145" s="1844"/>
      <c r="H1145" s="1848"/>
      <c r="I1145" s="1847" t="str">
        <f>IF(D1145="","",IF(H1145&lt;&gt;"","CLOSED",IF(G1145="","NO DUE DATE",IF(AND(#REF!&lt;1,#REF!&gt;0),"DUE TODAY",IF(#REF!&gt;1,"OVERDUE",IF(H1145&lt;&gt;"","CLOSED","OPEN"))))))</f>
        <v/>
      </c>
      <c r="J1145" s="1849"/>
    </row>
    <row r="1146" spans="2:10" s="1824" customFormat="1" ht="16.2">
      <c r="B1146" s="1909"/>
      <c r="C1146" s="1842"/>
      <c r="D1146" s="1834"/>
      <c r="E1146" s="1835"/>
      <c r="F1146" s="1843"/>
      <c r="G1146" s="1844"/>
      <c r="H1146" s="1848"/>
      <c r="I1146" s="1847" t="str">
        <f>IF(D1146="","",IF(H1146&lt;&gt;"","CLOSED",IF(G1146="","NO DUE DATE",IF(AND(#REF!&lt;1,#REF!&gt;0),"DUE TODAY",IF(#REF!&gt;1,"OVERDUE",IF(H1146&lt;&gt;"","CLOSED","OPEN"))))))</f>
        <v/>
      </c>
      <c r="J1146" s="1849"/>
    </row>
    <row r="1147" spans="2:10" s="1824" customFormat="1" ht="16.2">
      <c r="B1147" s="1909"/>
      <c r="C1147" s="1842"/>
      <c r="D1147" s="1834"/>
      <c r="E1147" s="1835"/>
      <c r="F1147" s="1843"/>
      <c r="G1147" s="1844"/>
      <c r="H1147" s="1848"/>
      <c r="I1147" s="1847" t="str">
        <f>IF(D1147="","",IF(H1147&lt;&gt;"","CLOSED",IF(G1147="","NO DUE DATE",IF(AND(#REF!&lt;1,#REF!&gt;0),"DUE TODAY",IF(#REF!&gt;1,"OVERDUE",IF(H1147&lt;&gt;"","CLOSED","OPEN"))))))</f>
        <v/>
      </c>
      <c r="J1147" s="1849"/>
    </row>
    <row r="1148" spans="2:10" s="1824" customFormat="1" ht="16.2">
      <c r="B1148" s="1909"/>
      <c r="C1148" s="1842"/>
      <c r="D1148" s="1834"/>
      <c r="E1148" s="1835"/>
      <c r="F1148" s="1843"/>
      <c r="G1148" s="1844"/>
      <c r="H1148" s="1848"/>
      <c r="I1148" s="1847" t="str">
        <f>IF(D1148="","",IF(H1148&lt;&gt;"","CLOSED",IF(G1148="","NO DUE DATE",IF(AND(#REF!&lt;1,#REF!&gt;0),"DUE TODAY",IF(#REF!&gt;1,"OVERDUE",IF(H1148&lt;&gt;"","CLOSED","OPEN"))))))</f>
        <v/>
      </c>
      <c r="J1148" s="1849"/>
    </row>
    <row r="1149" spans="2:10" s="1824" customFormat="1" ht="16.2">
      <c r="B1149" s="1909"/>
      <c r="C1149" s="1842"/>
      <c r="D1149" s="1834"/>
      <c r="E1149" s="1835"/>
      <c r="F1149" s="1843"/>
      <c r="G1149" s="1844"/>
      <c r="H1149" s="1848"/>
      <c r="I1149" s="1847" t="str">
        <f>IF(D1149="","",IF(H1149&lt;&gt;"","CLOSED",IF(G1149="","NO DUE DATE",IF(AND(#REF!&lt;1,#REF!&gt;0),"DUE TODAY",IF(#REF!&gt;1,"OVERDUE",IF(H1149&lt;&gt;"","CLOSED","OPEN"))))))</f>
        <v/>
      </c>
      <c r="J1149" s="1849"/>
    </row>
    <row r="1150" spans="2:10" s="1824" customFormat="1" ht="16.2">
      <c r="B1150" s="1909"/>
      <c r="C1150" s="1842"/>
      <c r="D1150" s="1834"/>
      <c r="E1150" s="1835"/>
      <c r="F1150" s="1843"/>
      <c r="G1150" s="1844"/>
      <c r="H1150" s="1848"/>
      <c r="I1150" s="1847" t="str">
        <f>IF(D1150="","",IF(H1150&lt;&gt;"","CLOSED",IF(G1150="","NO DUE DATE",IF(AND(#REF!&lt;1,#REF!&gt;0),"DUE TODAY",IF(#REF!&gt;1,"OVERDUE",IF(H1150&lt;&gt;"","CLOSED","OPEN"))))))</f>
        <v/>
      </c>
      <c r="J1150" s="1849"/>
    </row>
    <row r="1151" spans="2:10" s="1824" customFormat="1" ht="16.2">
      <c r="B1151" s="1909"/>
      <c r="C1151" s="1842"/>
      <c r="D1151" s="1834"/>
      <c r="E1151" s="1835"/>
      <c r="F1151" s="1843"/>
      <c r="G1151" s="1844"/>
      <c r="H1151" s="1848"/>
      <c r="I1151" s="1847" t="str">
        <f>IF(D1151="","",IF(H1151&lt;&gt;"","CLOSED",IF(G1151="","NO DUE DATE",IF(AND(#REF!&lt;1,#REF!&gt;0),"DUE TODAY",IF(#REF!&gt;1,"OVERDUE",IF(H1151&lt;&gt;"","CLOSED","OPEN"))))))</f>
        <v/>
      </c>
      <c r="J1151" s="1849"/>
    </row>
    <row r="1152" spans="2:10" s="1824" customFormat="1" ht="16.2">
      <c r="B1152" s="1909"/>
      <c r="C1152" s="1842"/>
      <c r="D1152" s="1834"/>
      <c r="E1152" s="1835"/>
      <c r="F1152" s="1843"/>
      <c r="G1152" s="1844"/>
      <c r="H1152" s="1848"/>
      <c r="I1152" s="1847" t="str">
        <f>IF(D1152="","",IF(H1152&lt;&gt;"","CLOSED",IF(G1152="","NO DUE DATE",IF(AND(#REF!&lt;1,#REF!&gt;0),"DUE TODAY",IF(#REF!&gt;1,"OVERDUE",IF(H1152&lt;&gt;"","CLOSED","OPEN"))))))</f>
        <v/>
      </c>
      <c r="J1152" s="1849"/>
    </row>
    <row r="1153" spans="2:10" s="1824" customFormat="1" ht="16.2">
      <c r="B1153" s="1909"/>
      <c r="C1153" s="1842"/>
      <c r="D1153" s="1834"/>
      <c r="E1153" s="1835"/>
      <c r="F1153" s="1843"/>
      <c r="G1153" s="1844"/>
      <c r="H1153" s="1848"/>
      <c r="I1153" s="1847" t="str">
        <f>IF(D1153="","",IF(H1153&lt;&gt;"","CLOSED",IF(G1153="","NO DUE DATE",IF(AND(#REF!&lt;1,#REF!&gt;0),"DUE TODAY",IF(#REF!&gt;1,"OVERDUE",IF(H1153&lt;&gt;"","CLOSED","OPEN"))))))</f>
        <v/>
      </c>
      <c r="J1153" s="1849"/>
    </row>
    <row r="1154" spans="2:10" s="1824" customFormat="1" ht="16.2">
      <c r="B1154" s="1909"/>
      <c r="C1154" s="1842"/>
      <c r="D1154" s="1834"/>
      <c r="E1154" s="1835"/>
      <c r="F1154" s="1843"/>
      <c r="G1154" s="1844"/>
      <c r="H1154" s="1848"/>
      <c r="I1154" s="1847" t="str">
        <f>IF(D1154="","",IF(H1154&lt;&gt;"","CLOSED",IF(G1154="","NO DUE DATE",IF(AND(#REF!&lt;1,#REF!&gt;0),"DUE TODAY",IF(#REF!&gt;1,"OVERDUE",IF(H1154&lt;&gt;"","CLOSED","OPEN"))))))</f>
        <v/>
      </c>
      <c r="J1154" s="1849"/>
    </row>
    <row r="1155" spans="2:10" s="1824" customFormat="1" ht="16.2">
      <c r="B1155" s="1909"/>
      <c r="C1155" s="1842"/>
      <c r="D1155" s="1834"/>
      <c r="E1155" s="1835"/>
      <c r="F1155" s="1843"/>
      <c r="G1155" s="1844"/>
      <c r="H1155" s="1848"/>
      <c r="I1155" s="1847" t="str">
        <f>IF(D1155="","",IF(H1155&lt;&gt;"","CLOSED",IF(G1155="","NO DUE DATE",IF(AND(#REF!&lt;1,#REF!&gt;0),"DUE TODAY",IF(#REF!&gt;1,"OVERDUE",IF(H1155&lt;&gt;"","CLOSED","OPEN"))))))</f>
        <v/>
      </c>
      <c r="J1155" s="1849"/>
    </row>
    <row r="1156" spans="2:10" s="1824" customFormat="1" ht="16.2">
      <c r="B1156" s="1909"/>
      <c r="C1156" s="1842"/>
      <c r="D1156" s="1834"/>
      <c r="E1156" s="1835"/>
      <c r="F1156" s="1843"/>
      <c r="G1156" s="1844"/>
      <c r="H1156" s="1848"/>
      <c r="I1156" s="1847" t="str">
        <f>IF(D1156="","",IF(H1156&lt;&gt;"","CLOSED",IF(G1156="","NO DUE DATE",IF(AND(#REF!&lt;1,#REF!&gt;0),"DUE TODAY",IF(#REF!&gt;1,"OVERDUE",IF(H1156&lt;&gt;"","CLOSED","OPEN"))))))</f>
        <v/>
      </c>
      <c r="J1156" s="1849"/>
    </row>
    <row r="1157" spans="2:10" s="1824" customFormat="1" ht="16.2">
      <c r="B1157" s="1909"/>
      <c r="C1157" s="1842"/>
      <c r="D1157" s="1834"/>
      <c r="E1157" s="1835"/>
      <c r="F1157" s="1843"/>
      <c r="G1157" s="1844"/>
      <c r="H1157" s="1848"/>
      <c r="I1157" s="1847" t="str">
        <f>IF(D1157="","",IF(H1157&lt;&gt;"","CLOSED",IF(G1157="","NO DUE DATE",IF(AND(#REF!&lt;1,#REF!&gt;0),"DUE TODAY",IF(#REF!&gt;1,"OVERDUE",IF(H1157&lt;&gt;"","CLOSED","OPEN"))))))</f>
        <v/>
      </c>
      <c r="J1157" s="1849"/>
    </row>
    <row r="1158" spans="2:10" s="1824" customFormat="1" ht="16.2">
      <c r="B1158" s="1909"/>
      <c r="C1158" s="1842"/>
      <c r="D1158" s="1834"/>
      <c r="E1158" s="1835"/>
      <c r="F1158" s="1843"/>
      <c r="G1158" s="1844"/>
      <c r="H1158" s="1848"/>
      <c r="I1158" s="1847" t="str">
        <f>IF(D1158="","",IF(H1158&lt;&gt;"","CLOSED",IF(G1158="","NO DUE DATE",IF(AND(#REF!&lt;1,#REF!&gt;0),"DUE TODAY",IF(#REF!&gt;1,"OVERDUE",IF(H1158&lt;&gt;"","CLOSED","OPEN"))))))</f>
        <v/>
      </c>
      <c r="J1158" s="1849"/>
    </row>
    <row r="1159" spans="2:10" s="1824" customFormat="1" ht="16.2">
      <c r="B1159" s="1909"/>
      <c r="C1159" s="1842"/>
      <c r="D1159" s="1834"/>
      <c r="E1159" s="1835"/>
      <c r="F1159" s="1843"/>
      <c r="G1159" s="1844"/>
      <c r="H1159" s="1848"/>
      <c r="I1159" s="1847" t="str">
        <f>IF(D1159="","",IF(H1159&lt;&gt;"","CLOSED",IF(G1159="","NO DUE DATE",IF(AND(#REF!&lt;1,#REF!&gt;0),"DUE TODAY",IF(#REF!&gt;1,"OVERDUE",IF(H1159&lt;&gt;"","CLOSED","OPEN"))))))</f>
        <v/>
      </c>
      <c r="J1159" s="1849"/>
    </row>
    <row r="1160" spans="2:10" s="1824" customFormat="1" ht="16.2">
      <c r="B1160" s="1909"/>
      <c r="C1160" s="1842"/>
      <c r="D1160" s="1834"/>
      <c r="E1160" s="1835"/>
      <c r="F1160" s="1843"/>
      <c r="G1160" s="1844"/>
      <c r="H1160" s="1848"/>
      <c r="I1160" s="1847" t="str">
        <f>IF(D1160="","",IF(H1160&lt;&gt;"","CLOSED",IF(G1160="","NO DUE DATE",IF(AND(#REF!&lt;1,#REF!&gt;0),"DUE TODAY",IF(#REF!&gt;1,"OVERDUE",IF(H1160&lt;&gt;"","CLOSED","OPEN"))))))</f>
        <v/>
      </c>
      <c r="J1160" s="1849"/>
    </row>
    <row r="1161" spans="2:10" s="1824" customFormat="1" ht="16.2">
      <c r="B1161" s="1909"/>
      <c r="C1161" s="1842"/>
      <c r="D1161" s="1834"/>
      <c r="E1161" s="1835"/>
      <c r="F1161" s="1843"/>
      <c r="G1161" s="1844"/>
      <c r="H1161" s="1848"/>
      <c r="I1161" s="1847" t="str">
        <f>IF(D1161="","",IF(H1161&lt;&gt;"","CLOSED",IF(G1161="","NO DUE DATE",IF(AND(#REF!&lt;1,#REF!&gt;0),"DUE TODAY",IF(#REF!&gt;1,"OVERDUE",IF(H1161&lt;&gt;"","CLOSED","OPEN"))))))</f>
        <v/>
      </c>
      <c r="J1161" s="1849"/>
    </row>
    <row r="1162" spans="2:10" s="1824" customFormat="1" ht="16.2">
      <c r="B1162" s="1909"/>
      <c r="C1162" s="1842"/>
      <c r="D1162" s="1834"/>
      <c r="E1162" s="1835"/>
      <c r="F1162" s="1843"/>
      <c r="G1162" s="1844"/>
      <c r="H1162" s="1848"/>
      <c r="I1162" s="1847" t="str">
        <f>IF(D1162="","",IF(H1162&lt;&gt;"","CLOSED",IF(G1162="","NO DUE DATE",IF(AND(#REF!&lt;1,#REF!&gt;0),"DUE TODAY",IF(#REF!&gt;1,"OVERDUE",IF(H1162&lt;&gt;"","CLOSED","OPEN"))))))</f>
        <v/>
      </c>
      <c r="J1162" s="1849"/>
    </row>
    <row r="1163" spans="2:10" s="1824" customFormat="1" ht="16.2">
      <c r="B1163" s="1909"/>
      <c r="C1163" s="1842"/>
      <c r="D1163" s="1834"/>
      <c r="E1163" s="1835"/>
      <c r="F1163" s="1843"/>
      <c r="G1163" s="1844"/>
      <c r="H1163" s="1848"/>
      <c r="I1163" s="1847" t="str">
        <f>IF(D1163="","",IF(H1163&lt;&gt;"","CLOSED",IF(G1163="","NO DUE DATE",IF(AND(#REF!&lt;1,#REF!&gt;0),"DUE TODAY",IF(#REF!&gt;1,"OVERDUE",IF(H1163&lt;&gt;"","CLOSED","OPEN"))))))</f>
        <v/>
      </c>
      <c r="J1163" s="1849"/>
    </row>
    <row r="1164" spans="2:10" s="1824" customFormat="1" ht="16.2">
      <c r="B1164" s="1909"/>
      <c r="C1164" s="1842"/>
      <c r="D1164" s="1834"/>
      <c r="E1164" s="1835"/>
      <c r="F1164" s="1843"/>
      <c r="G1164" s="1844"/>
      <c r="H1164" s="1848"/>
      <c r="I1164" s="1847" t="str">
        <f>IF(D1164="","",IF(H1164&lt;&gt;"","CLOSED",IF(G1164="","NO DUE DATE",IF(AND(#REF!&lt;1,#REF!&gt;0),"DUE TODAY",IF(#REF!&gt;1,"OVERDUE",IF(H1164&lt;&gt;"","CLOSED","OPEN"))))))</f>
        <v/>
      </c>
      <c r="J1164" s="1849"/>
    </row>
    <row r="1165" spans="2:10" s="1824" customFormat="1" ht="16.2">
      <c r="B1165" s="1909"/>
      <c r="C1165" s="1842"/>
      <c r="D1165" s="1834"/>
      <c r="E1165" s="1835"/>
      <c r="F1165" s="1843"/>
      <c r="G1165" s="1844"/>
      <c r="H1165" s="1848"/>
      <c r="I1165" s="1847" t="str">
        <f>IF(D1165="","",IF(H1165&lt;&gt;"","CLOSED",IF(G1165="","NO DUE DATE",IF(AND(#REF!&lt;1,#REF!&gt;0),"DUE TODAY",IF(#REF!&gt;1,"OVERDUE",IF(H1165&lt;&gt;"","CLOSED","OPEN"))))))</f>
        <v/>
      </c>
      <c r="J1165" s="1849"/>
    </row>
    <row r="1166" spans="2:10" s="1824" customFormat="1" ht="16.2">
      <c r="B1166" s="1909"/>
      <c r="C1166" s="1842"/>
      <c r="D1166" s="1834"/>
      <c r="E1166" s="1835"/>
      <c r="F1166" s="1843"/>
      <c r="G1166" s="1844"/>
      <c r="H1166" s="1848"/>
      <c r="I1166" s="1847" t="str">
        <f>IF(D1166="","",IF(H1166&lt;&gt;"","CLOSED",IF(G1166="","NO DUE DATE",IF(AND(#REF!&lt;1,#REF!&gt;0),"DUE TODAY",IF(#REF!&gt;1,"OVERDUE",IF(H1166&lt;&gt;"","CLOSED","OPEN"))))))</f>
        <v/>
      </c>
      <c r="J1166" s="1849"/>
    </row>
    <row r="1167" spans="2:10" s="1824" customFormat="1" ht="16.2">
      <c r="B1167" s="1909"/>
      <c r="C1167" s="1842"/>
      <c r="D1167" s="1834"/>
      <c r="E1167" s="1835"/>
      <c r="F1167" s="1843"/>
      <c r="G1167" s="1844"/>
      <c r="H1167" s="1848"/>
      <c r="I1167" s="1847" t="str">
        <f>IF(D1167="","",IF(H1167&lt;&gt;"","CLOSED",IF(G1167="","NO DUE DATE",IF(AND(#REF!&lt;1,#REF!&gt;0),"DUE TODAY",IF(#REF!&gt;1,"OVERDUE",IF(H1167&lt;&gt;"","CLOSED","OPEN"))))))</f>
        <v/>
      </c>
      <c r="J1167" s="1849"/>
    </row>
    <row r="1168" spans="2:10" s="1824" customFormat="1" ht="16.2">
      <c r="B1168" s="1909"/>
      <c r="C1168" s="1842"/>
      <c r="D1168" s="1834"/>
      <c r="E1168" s="1835"/>
      <c r="F1168" s="1843"/>
      <c r="G1168" s="1844"/>
      <c r="H1168" s="1848"/>
      <c r="I1168" s="1847" t="str">
        <f>IF(D1168="","",IF(H1168&lt;&gt;"","CLOSED",IF(G1168="","NO DUE DATE",IF(AND(#REF!&lt;1,#REF!&gt;0),"DUE TODAY",IF(#REF!&gt;1,"OVERDUE",IF(H1168&lt;&gt;"","CLOSED","OPEN"))))))</f>
        <v/>
      </c>
      <c r="J1168" s="1849"/>
    </row>
    <row r="1169" spans="2:10" s="1824" customFormat="1" ht="16.2">
      <c r="B1169" s="1909"/>
      <c r="C1169" s="1842"/>
      <c r="D1169" s="1834"/>
      <c r="E1169" s="1835"/>
      <c r="F1169" s="1843"/>
      <c r="G1169" s="1844"/>
      <c r="H1169" s="1848"/>
      <c r="I1169" s="1847" t="str">
        <f>IF(D1169="","",IF(H1169&lt;&gt;"","CLOSED",IF(G1169="","NO DUE DATE",IF(AND(#REF!&lt;1,#REF!&gt;0),"DUE TODAY",IF(#REF!&gt;1,"OVERDUE",IF(H1169&lt;&gt;"","CLOSED","OPEN"))))))</f>
        <v/>
      </c>
      <c r="J1169" s="1849"/>
    </row>
    <row r="1170" spans="2:10" s="1824" customFormat="1" ht="16.2">
      <c r="B1170" s="1909"/>
      <c r="C1170" s="1842"/>
      <c r="D1170" s="1834"/>
      <c r="E1170" s="1835"/>
      <c r="F1170" s="1843"/>
      <c r="G1170" s="1844"/>
      <c r="H1170" s="1848"/>
      <c r="I1170" s="1847" t="str">
        <f>IF(D1170="","",IF(H1170&lt;&gt;"","CLOSED",IF(G1170="","NO DUE DATE",IF(AND(#REF!&lt;1,#REF!&gt;0),"DUE TODAY",IF(#REF!&gt;1,"OVERDUE",IF(H1170&lt;&gt;"","CLOSED","OPEN"))))))</f>
        <v/>
      </c>
      <c r="J1170" s="1849"/>
    </row>
    <row r="1171" spans="2:10" s="1824" customFormat="1" ht="16.2">
      <c r="B1171" s="1909"/>
      <c r="C1171" s="1842"/>
      <c r="D1171" s="1834"/>
      <c r="E1171" s="1835"/>
      <c r="F1171" s="1843"/>
      <c r="G1171" s="1844"/>
      <c r="H1171" s="1848"/>
      <c r="I1171" s="1847" t="str">
        <f>IF(D1171="","",IF(H1171&lt;&gt;"","CLOSED",IF(G1171="","NO DUE DATE",IF(AND(#REF!&lt;1,#REF!&gt;0),"DUE TODAY",IF(#REF!&gt;1,"OVERDUE",IF(H1171&lt;&gt;"","CLOSED","OPEN"))))))</f>
        <v/>
      </c>
      <c r="J1171" s="1849"/>
    </row>
    <row r="1172" spans="2:10" s="1824" customFormat="1" ht="16.2">
      <c r="B1172" s="1909"/>
      <c r="C1172" s="1842"/>
      <c r="D1172" s="1834"/>
      <c r="E1172" s="1835"/>
      <c r="F1172" s="1843"/>
      <c r="G1172" s="1844"/>
      <c r="H1172" s="1848"/>
      <c r="I1172" s="1847" t="str">
        <f>IF(D1172="","",IF(H1172&lt;&gt;"","CLOSED",IF(G1172="","NO DUE DATE",IF(AND(#REF!&lt;1,#REF!&gt;0),"DUE TODAY",IF(#REF!&gt;1,"OVERDUE",IF(H1172&lt;&gt;"","CLOSED","OPEN"))))))</f>
        <v/>
      </c>
      <c r="J1172" s="1849"/>
    </row>
    <row r="1173" spans="2:10" s="1824" customFormat="1" ht="16.2">
      <c r="B1173" s="1909"/>
      <c r="C1173" s="1842"/>
      <c r="D1173" s="1834"/>
      <c r="E1173" s="1835"/>
      <c r="F1173" s="1843"/>
      <c r="G1173" s="1844"/>
      <c r="H1173" s="1848"/>
      <c r="I1173" s="1847" t="str">
        <f>IF(D1173="","",IF(H1173&lt;&gt;"","CLOSED",IF(G1173="","NO DUE DATE",IF(AND(#REF!&lt;1,#REF!&gt;0),"DUE TODAY",IF(#REF!&gt;1,"OVERDUE",IF(H1173&lt;&gt;"","CLOSED","OPEN"))))))</f>
        <v/>
      </c>
      <c r="J1173" s="1849"/>
    </row>
    <row r="1174" spans="2:10" s="1824" customFormat="1" ht="16.2">
      <c r="B1174" s="1909"/>
      <c r="C1174" s="1842"/>
      <c r="D1174" s="1834"/>
      <c r="E1174" s="1835"/>
      <c r="F1174" s="1843"/>
      <c r="G1174" s="1844"/>
      <c r="H1174" s="1848"/>
      <c r="I1174" s="1847" t="str">
        <f>IF(D1174="","",IF(H1174&lt;&gt;"","CLOSED",IF(G1174="","NO DUE DATE",IF(AND(#REF!&lt;1,#REF!&gt;0),"DUE TODAY",IF(#REF!&gt;1,"OVERDUE",IF(H1174&lt;&gt;"","CLOSED","OPEN"))))))</f>
        <v/>
      </c>
      <c r="J1174" s="1849"/>
    </row>
    <row r="1175" spans="2:10" s="1824" customFormat="1" ht="16.2">
      <c r="B1175" s="1909"/>
      <c r="C1175" s="1842"/>
      <c r="D1175" s="1834"/>
      <c r="E1175" s="1835"/>
      <c r="F1175" s="1843"/>
      <c r="G1175" s="1844"/>
      <c r="H1175" s="1848"/>
      <c r="I1175" s="1847" t="str">
        <f>IF(D1175="","",IF(H1175&lt;&gt;"","CLOSED",IF(G1175="","NO DUE DATE",IF(AND(#REF!&lt;1,#REF!&gt;0),"DUE TODAY",IF(#REF!&gt;1,"OVERDUE",IF(H1175&lt;&gt;"","CLOSED","OPEN"))))))</f>
        <v/>
      </c>
      <c r="J1175" s="1849"/>
    </row>
    <row r="1176" spans="2:10" s="1824" customFormat="1" ht="16.2">
      <c r="B1176" s="1909"/>
      <c r="C1176" s="1842"/>
      <c r="D1176" s="1834"/>
      <c r="E1176" s="1835"/>
      <c r="F1176" s="1843"/>
      <c r="G1176" s="1844"/>
      <c r="H1176" s="1848"/>
      <c r="I1176" s="1847" t="str">
        <f>IF(D1176="","",IF(H1176&lt;&gt;"","CLOSED",IF(G1176="","NO DUE DATE",IF(AND(#REF!&lt;1,#REF!&gt;0),"DUE TODAY",IF(#REF!&gt;1,"OVERDUE",IF(H1176&lt;&gt;"","CLOSED","OPEN"))))))</f>
        <v/>
      </c>
      <c r="J1176" s="1849"/>
    </row>
    <row r="1177" spans="2:10" s="1824" customFormat="1" ht="16.2">
      <c r="B1177" s="1909"/>
      <c r="C1177" s="1842"/>
      <c r="D1177" s="1834"/>
      <c r="E1177" s="1835"/>
      <c r="F1177" s="1843"/>
      <c r="G1177" s="1844"/>
      <c r="H1177" s="1848"/>
      <c r="I1177" s="1847" t="str">
        <f>IF(D1177="","",IF(H1177&lt;&gt;"","CLOSED",IF(G1177="","NO DUE DATE",IF(AND(#REF!&lt;1,#REF!&gt;0),"DUE TODAY",IF(#REF!&gt;1,"OVERDUE",IF(H1177&lt;&gt;"","CLOSED","OPEN"))))))</f>
        <v/>
      </c>
      <c r="J1177" s="1849"/>
    </row>
    <row r="1178" spans="2:10" s="1824" customFormat="1" ht="16.2">
      <c r="B1178" s="1909"/>
      <c r="C1178" s="1842"/>
      <c r="D1178" s="1834"/>
      <c r="E1178" s="1835"/>
      <c r="F1178" s="1843"/>
      <c r="G1178" s="1844"/>
      <c r="H1178" s="1848"/>
      <c r="I1178" s="1847" t="str">
        <f>IF(D1178="","",IF(H1178&lt;&gt;"","CLOSED",IF(G1178="","NO DUE DATE",IF(AND(#REF!&lt;1,#REF!&gt;0),"DUE TODAY",IF(#REF!&gt;1,"OVERDUE",IF(H1178&lt;&gt;"","CLOSED","OPEN"))))))</f>
        <v/>
      </c>
      <c r="J1178" s="1849"/>
    </row>
    <row r="1179" spans="2:10" s="1824" customFormat="1" ht="16.2">
      <c r="B1179" s="1909"/>
      <c r="C1179" s="1842"/>
      <c r="D1179" s="1834"/>
      <c r="E1179" s="1835"/>
      <c r="F1179" s="1843"/>
      <c r="G1179" s="1844"/>
      <c r="H1179" s="1848"/>
      <c r="I1179" s="1847" t="str">
        <f>IF(D1179="","",IF(H1179&lt;&gt;"","CLOSED",IF(G1179="","NO DUE DATE",IF(AND(#REF!&lt;1,#REF!&gt;0),"DUE TODAY",IF(#REF!&gt;1,"OVERDUE",IF(H1179&lt;&gt;"","CLOSED","OPEN"))))))</f>
        <v/>
      </c>
      <c r="J1179" s="1849"/>
    </row>
    <row r="1180" spans="2:10" s="1824" customFormat="1" ht="16.2">
      <c r="B1180" s="1909"/>
      <c r="C1180" s="1842"/>
      <c r="D1180" s="1834"/>
      <c r="E1180" s="1835"/>
      <c r="F1180" s="1843"/>
      <c r="G1180" s="1844"/>
      <c r="H1180" s="1848"/>
      <c r="I1180" s="1847" t="str">
        <f>IF(D1180="","",IF(H1180&lt;&gt;"","CLOSED",IF(G1180="","NO DUE DATE",IF(AND(#REF!&lt;1,#REF!&gt;0),"DUE TODAY",IF(#REF!&gt;1,"OVERDUE",IF(H1180&lt;&gt;"","CLOSED","OPEN"))))))</f>
        <v/>
      </c>
      <c r="J1180" s="1849"/>
    </row>
    <row r="1181" spans="2:10" s="1824" customFormat="1" ht="16.2">
      <c r="B1181" s="1909"/>
      <c r="C1181" s="1842"/>
      <c r="D1181" s="1834"/>
      <c r="E1181" s="1835"/>
      <c r="F1181" s="1843"/>
      <c r="G1181" s="1844"/>
      <c r="H1181" s="1848"/>
      <c r="I1181" s="1847" t="str">
        <f>IF(D1181="","",IF(H1181&lt;&gt;"","CLOSED",IF(G1181="","NO DUE DATE",IF(AND(#REF!&lt;1,#REF!&gt;0),"DUE TODAY",IF(#REF!&gt;1,"OVERDUE",IF(H1181&lt;&gt;"","CLOSED","OPEN"))))))</f>
        <v/>
      </c>
      <c r="J1181" s="1849"/>
    </row>
    <row r="1182" spans="2:10" s="1824" customFormat="1" ht="16.2">
      <c r="B1182" s="1909"/>
      <c r="C1182" s="1842"/>
      <c r="D1182" s="1834"/>
      <c r="E1182" s="1835"/>
      <c r="F1182" s="1843"/>
      <c r="G1182" s="1844"/>
      <c r="H1182" s="1848"/>
      <c r="I1182" s="1847" t="str">
        <f>IF(D1182="","",IF(H1182&lt;&gt;"","CLOSED",IF(G1182="","NO DUE DATE",IF(AND(#REF!&lt;1,#REF!&gt;0),"DUE TODAY",IF(#REF!&gt;1,"OVERDUE",IF(H1182&lt;&gt;"","CLOSED","OPEN"))))))</f>
        <v/>
      </c>
      <c r="J1182" s="1849"/>
    </row>
    <row r="1183" spans="2:10" s="1824" customFormat="1" ht="16.2">
      <c r="B1183" s="1909"/>
      <c r="C1183" s="1842"/>
      <c r="D1183" s="1834"/>
      <c r="E1183" s="1835"/>
      <c r="F1183" s="1843"/>
      <c r="G1183" s="1844"/>
      <c r="H1183" s="1848"/>
      <c r="I1183" s="1847" t="str">
        <f>IF(D1183="","",IF(H1183&lt;&gt;"","CLOSED",IF(G1183="","NO DUE DATE",IF(AND(#REF!&lt;1,#REF!&gt;0),"DUE TODAY",IF(#REF!&gt;1,"OVERDUE",IF(H1183&lt;&gt;"","CLOSED","OPEN"))))))</f>
        <v/>
      </c>
      <c r="J1183" s="1849"/>
    </row>
    <row r="1184" spans="2:10" s="1824" customFormat="1" ht="16.2">
      <c r="B1184" s="1909"/>
      <c r="C1184" s="1842"/>
      <c r="D1184" s="1834"/>
      <c r="E1184" s="1835"/>
      <c r="F1184" s="1843"/>
      <c r="G1184" s="1844"/>
      <c r="H1184" s="1848"/>
      <c r="I1184" s="1847" t="str">
        <f>IF(D1184="","",IF(H1184&lt;&gt;"","CLOSED",IF(G1184="","NO DUE DATE",IF(AND(#REF!&lt;1,#REF!&gt;0),"DUE TODAY",IF(#REF!&gt;1,"OVERDUE",IF(H1184&lt;&gt;"","CLOSED","OPEN"))))))</f>
        <v/>
      </c>
      <c r="J1184" s="1849"/>
    </row>
    <row r="1185" spans="2:10" s="1824" customFormat="1" ht="16.2">
      <c r="B1185" s="1909"/>
      <c r="C1185" s="1842"/>
      <c r="D1185" s="1834"/>
      <c r="E1185" s="1835"/>
      <c r="F1185" s="1843"/>
      <c r="G1185" s="1844"/>
      <c r="H1185" s="1848"/>
      <c r="I1185" s="1847" t="str">
        <f>IF(D1185="","",IF(H1185&lt;&gt;"","CLOSED",IF(G1185="","NO DUE DATE",IF(AND(#REF!&lt;1,#REF!&gt;0),"DUE TODAY",IF(#REF!&gt;1,"OVERDUE",IF(H1185&lt;&gt;"","CLOSED","OPEN"))))))</f>
        <v/>
      </c>
      <c r="J1185" s="1849"/>
    </row>
    <row r="1186" spans="2:10" s="1824" customFormat="1" ht="16.2">
      <c r="B1186" s="1909"/>
      <c r="C1186" s="1842"/>
      <c r="D1186" s="1834"/>
      <c r="E1186" s="1835"/>
      <c r="F1186" s="1843"/>
      <c r="G1186" s="1844"/>
      <c r="H1186" s="1848"/>
      <c r="I1186" s="1847" t="str">
        <f>IF(D1186="","",IF(H1186&lt;&gt;"","CLOSED",IF(G1186="","NO DUE DATE",IF(AND(#REF!&lt;1,#REF!&gt;0),"DUE TODAY",IF(#REF!&gt;1,"OVERDUE",IF(H1186&lt;&gt;"","CLOSED","OPEN"))))))</f>
        <v/>
      </c>
      <c r="J1186" s="1849"/>
    </row>
    <row r="1187" spans="2:10" s="1824" customFormat="1" ht="16.2">
      <c r="B1187" s="1909"/>
      <c r="C1187" s="1842"/>
      <c r="D1187" s="1834"/>
      <c r="E1187" s="1835"/>
      <c r="F1187" s="1843"/>
      <c r="G1187" s="1844"/>
      <c r="H1187" s="1848"/>
      <c r="I1187" s="1847" t="str">
        <f>IF(D1187="","",IF(H1187&lt;&gt;"","CLOSED",IF(G1187="","NO DUE DATE",IF(AND(#REF!&lt;1,#REF!&gt;0),"DUE TODAY",IF(#REF!&gt;1,"OVERDUE",IF(H1187&lt;&gt;"","CLOSED","OPEN"))))))</f>
        <v/>
      </c>
      <c r="J1187" s="1849"/>
    </row>
    <row r="1188" spans="2:10" s="1824" customFormat="1" ht="16.2">
      <c r="B1188" s="1909"/>
      <c r="C1188" s="1842"/>
      <c r="D1188" s="1834"/>
      <c r="E1188" s="1835"/>
      <c r="F1188" s="1843"/>
      <c r="G1188" s="1844"/>
      <c r="H1188" s="1848"/>
      <c r="I1188" s="1847" t="str">
        <f>IF(D1188="","",IF(H1188&lt;&gt;"","CLOSED",IF(G1188="","NO DUE DATE",IF(AND(#REF!&lt;1,#REF!&gt;0),"DUE TODAY",IF(#REF!&gt;1,"OVERDUE",IF(H1188&lt;&gt;"","CLOSED","OPEN"))))))</f>
        <v/>
      </c>
      <c r="J1188" s="1849"/>
    </row>
    <row r="1189" spans="2:10" s="1824" customFormat="1" ht="16.2">
      <c r="B1189" s="1909"/>
      <c r="C1189" s="1842"/>
      <c r="D1189" s="1834"/>
      <c r="E1189" s="1835"/>
      <c r="F1189" s="1843"/>
      <c r="G1189" s="1844"/>
      <c r="H1189" s="1848"/>
      <c r="I1189" s="1847" t="str">
        <f>IF(D1189="","",IF(H1189&lt;&gt;"","CLOSED",IF(G1189="","NO DUE DATE",IF(AND(#REF!&lt;1,#REF!&gt;0),"DUE TODAY",IF(#REF!&gt;1,"OVERDUE",IF(H1189&lt;&gt;"","CLOSED","OPEN"))))))</f>
        <v/>
      </c>
      <c r="J1189" s="1849"/>
    </row>
    <row r="1190" spans="2:10" s="1824" customFormat="1" ht="16.2">
      <c r="B1190" s="1909"/>
      <c r="C1190" s="1842"/>
      <c r="D1190" s="1834"/>
      <c r="E1190" s="1835"/>
      <c r="F1190" s="1843"/>
      <c r="G1190" s="1844"/>
      <c r="H1190" s="1848"/>
      <c r="I1190" s="1847" t="str">
        <f>IF(D1190="","",IF(H1190&lt;&gt;"","CLOSED",IF(G1190="","NO DUE DATE",IF(AND(#REF!&lt;1,#REF!&gt;0),"DUE TODAY",IF(#REF!&gt;1,"OVERDUE",IF(H1190&lt;&gt;"","CLOSED","OPEN"))))))</f>
        <v/>
      </c>
      <c r="J1190" s="1849"/>
    </row>
    <row r="1191" spans="2:10" s="1824" customFormat="1" ht="16.2">
      <c r="B1191" s="1909"/>
      <c r="C1191" s="1842"/>
      <c r="D1191" s="1834"/>
      <c r="E1191" s="1835"/>
      <c r="F1191" s="1843"/>
      <c r="G1191" s="1844"/>
      <c r="H1191" s="1848"/>
      <c r="I1191" s="1847" t="str">
        <f>IF(D1191="","",IF(H1191&lt;&gt;"","CLOSED",IF(G1191="","NO DUE DATE",IF(AND(#REF!&lt;1,#REF!&gt;0),"DUE TODAY",IF(#REF!&gt;1,"OVERDUE",IF(H1191&lt;&gt;"","CLOSED","OPEN"))))))</f>
        <v/>
      </c>
      <c r="J1191" s="1849"/>
    </row>
    <row r="1192" spans="2:10" s="1824" customFormat="1" ht="16.2">
      <c r="B1192" s="1909"/>
      <c r="C1192" s="1842"/>
      <c r="D1192" s="1834"/>
      <c r="E1192" s="1835"/>
      <c r="F1192" s="1843"/>
      <c r="G1192" s="1844"/>
      <c r="H1192" s="1848"/>
      <c r="I1192" s="1847" t="str">
        <f>IF(D1192="","",IF(H1192&lt;&gt;"","CLOSED",IF(G1192="","NO DUE DATE",IF(AND(#REF!&lt;1,#REF!&gt;0),"DUE TODAY",IF(#REF!&gt;1,"OVERDUE",IF(H1192&lt;&gt;"","CLOSED","OPEN"))))))</f>
        <v/>
      </c>
      <c r="J1192" s="1849"/>
    </row>
    <row r="1193" spans="2:10" s="1824" customFormat="1" ht="16.2">
      <c r="B1193" s="1909"/>
      <c r="C1193" s="1842"/>
      <c r="D1193" s="1834"/>
      <c r="E1193" s="1835"/>
      <c r="F1193" s="1843"/>
      <c r="G1193" s="1844"/>
      <c r="H1193" s="1848"/>
      <c r="I1193" s="1847" t="str">
        <f>IF(D1193="","",IF(H1193&lt;&gt;"","CLOSED",IF(G1193="","NO DUE DATE",IF(AND(#REF!&lt;1,#REF!&gt;0),"DUE TODAY",IF(#REF!&gt;1,"OVERDUE",IF(H1193&lt;&gt;"","CLOSED","OPEN"))))))</f>
        <v/>
      </c>
      <c r="J1193" s="1849"/>
    </row>
    <row r="1194" spans="2:10" s="1824" customFormat="1" ht="16.2">
      <c r="B1194" s="1909"/>
      <c r="C1194" s="1842"/>
      <c r="D1194" s="1834"/>
      <c r="E1194" s="1835"/>
      <c r="F1194" s="1843"/>
      <c r="G1194" s="1844"/>
      <c r="H1194" s="1848"/>
      <c r="I1194" s="1847" t="str">
        <f>IF(D1194="","",IF(H1194&lt;&gt;"","CLOSED",IF(G1194="","NO DUE DATE",IF(AND(#REF!&lt;1,#REF!&gt;0),"DUE TODAY",IF(#REF!&gt;1,"OVERDUE",IF(H1194&lt;&gt;"","CLOSED","OPEN"))))))</f>
        <v/>
      </c>
      <c r="J1194" s="1849"/>
    </row>
    <row r="1195" spans="2:10" s="1824" customFormat="1" ht="16.2">
      <c r="B1195" s="1909"/>
      <c r="C1195" s="1842"/>
      <c r="D1195" s="1834"/>
      <c r="E1195" s="1835"/>
      <c r="F1195" s="1843"/>
      <c r="G1195" s="1844"/>
      <c r="H1195" s="1848"/>
      <c r="I1195" s="1847" t="str">
        <f>IF(D1195="","",IF(H1195&lt;&gt;"","CLOSED",IF(G1195="","NO DUE DATE",IF(AND(#REF!&lt;1,#REF!&gt;0),"DUE TODAY",IF(#REF!&gt;1,"OVERDUE",IF(H1195&lt;&gt;"","CLOSED","OPEN"))))))</f>
        <v/>
      </c>
      <c r="J1195" s="1849"/>
    </row>
    <row r="1196" spans="2:10" s="1824" customFormat="1" ht="16.2">
      <c r="B1196" s="1909"/>
      <c r="C1196" s="1842"/>
      <c r="D1196" s="1834"/>
      <c r="E1196" s="1835"/>
      <c r="F1196" s="1843"/>
      <c r="G1196" s="1844"/>
      <c r="H1196" s="1848"/>
      <c r="I1196" s="1847" t="str">
        <f>IF(D1196="","",IF(H1196&lt;&gt;"","CLOSED",IF(G1196="","NO DUE DATE",IF(AND(#REF!&lt;1,#REF!&gt;0),"DUE TODAY",IF(#REF!&gt;1,"OVERDUE",IF(H1196&lt;&gt;"","CLOSED","OPEN"))))))</f>
        <v/>
      </c>
      <c r="J1196" s="1849"/>
    </row>
    <row r="1197" spans="2:10" s="1824" customFormat="1" ht="16.2">
      <c r="B1197" s="1909"/>
      <c r="C1197" s="1842"/>
      <c r="D1197" s="1834"/>
      <c r="E1197" s="1835"/>
      <c r="F1197" s="1843"/>
      <c r="G1197" s="1844"/>
      <c r="H1197" s="1848"/>
      <c r="I1197" s="1847" t="str">
        <f>IF(D1197="","",IF(H1197&lt;&gt;"","CLOSED",IF(G1197="","NO DUE DATE",IF(AND(#REF!&lt;1,#REF!&gt;0),"DUE TODAY",IF(#REF!&gt;1,"OVERDUE",IF(H1197&lt;&gt;"","CLOSED","OPEN"))))))</f>
        <v/>
      </c>
      <c r="J1197" s="1849"/>
    </row>
    <row r="1198" spans="2:10" s="1824" customFormat="1" ht="16.2">
      <c r="B1198" s="1909"/>
      <c r="C1198" s="1842"/>
      <c r="D1198" s="1834"/>
      <c r="E1198" s="1835"/>
      <c r="F1198" s="1843"/>
      <c r="G1198" s="1844"/>
      <c r="H1198" s="1848"/>
      <c r="I1198" s="1847" t="str">
        <f>IF(D1198="","",IF(H1198&lt;&gt;"","CLOSED",IF(G1198="","NO DUE DATE",IF(AND(#REF!&lt;1,#REF!&gt;0),"DUE TODAY",IF(#REF!&gt;1,"OVERDUE",IF(H1198&lt;&gt;"","CLOSED","OPEN"))))))</f>
        <v/>
      </c>
      <c r="J1198" s="1849"/>
    </row>
    <row r="1199" spans="2:10" s="1824" customFormat="1" ht="16.2">
      <c r="B1199" s="1909"/>
      <c r="C1199" s="1842"/>
      <c r="D1199" s="1834"/>
      <c r="E1199" s="1835"/>
      <c r="F1199" s="1843"/>
      <c r="G1199" s="1844"/>
      <c r="H1199" s="1848"/>
      <c r="I1199" s="1847" t="str">
        <f>IF(D1199="","",IF(H1199&lt;&gt;"","CLOSED",IF(G1199="","NO DUE DATE",IF(AND(#REF!&lt;1,#REF!&gt;0),"DUE TODAY",IF(#REF!&gt;1,"OVERDUE",IF(H1199&lt;&gt;"","CLOSED","OPEN"))))))</f>
        <v/>
      </c>
      <c r="J1199" s="1849"/>
    </row>
    <row r="1200" spans="2:10" s="1824" customFormat="1" ht="16.2">
      <c r="B1200" s="1909"/>
      <c r="C1200" s="1842"/>
      <c r="D1200" s="1834"/>
      <c r="E1200" s="1835"/>
      <c r="F1200" s="1843"/>
      <c r="G1200" s="1844"/>
      <c r="H1200" s="1848"/>
      <c r="I1200" s="1847" t="str">
        <f>IF(D1200="","",IF(H1200&lt;&gt;"","CLOSED",IF(G1200="","NO DUE DATE",IF(AND(#REF!&lt;1,#REF!&gt;0),"DUE TODAY",IF(#REF!&gt;1,"OVERDUE",IF(H1200&lt;&gt;"","CLOSED","OPEN"))))))</f>
        <v/>
      </c>
      <c r="J1200" s="1849"/>
    </row>
    <row r="1201" spans="2:10" s="1824" customFormat="1" ht="16.2">
      <c r="B1201" s="1909"/>
      <c r="C1201" s="1842"/>
      <c r="D1201" s="1834"/>
      <c r="E1201" s="1835"/>
      <c r="F1201" s="1843"/>
      <c r="G1201" s="1844"/>
      <c r="H1201" s="1848"/>
      <c r="I1201" s="1847" t="str">
        <f>IF(D1201="","",IF(H1201&lt;&gt;"","CLOSED",IF(G1201="","NO DUE DATE",IF(AND(#REF!&lt;1,#REF!&gt;0),"DUE TODAY",IF(#REF!&gt;1,"OVERDUE",IF(H1201&lt;&gt;"","CLOSED","OPEN"))))))</f>
        <v/>
      </c>
      <c r="J1201" s="1849"/>
    </row>
    <row r="1202" spans="2:10" s="1824" customFormat="1" ht="16.2">
      <c r="B1202" s="1909"/>
      <c r="C1202" s="1842"/>
      <c r="D1202" s="1834"/>
      <c r="E1202" s="1835"/>
      <c r="F1202" s="1843"/>
      <c r="G1202" s="1844"/>
      <c r="H1202" s="1848"/>
      <c r="I1202" s="1847" t="str">
        <f>IF(D1202="","",IF(H1202&lt;&gt;"","CLOSED",IF(G1202="","NO DUE DATE",IF(AND(#REF!&lt;1,#REF!&gt;0),"DUE TODAY",IF(#REF!&gt;1,"OVERDUE",IF(H1202&lt;&gt;"","CLOSED","OPEN"))))))</f>
        <v/>
      </c>
      <c r="J1202" s="1849"/>
    </row>
    <row r="1203" spans="2:10" s="1824" customFormat="1" ht="16.2">
      <c r="B1203" s="1909"/>
      <c r="C1203" s="1842"/>
      <c r="D1203" s="1834"/>
      <c r="E1203" s="1835"/>
      <c r="F1203" s="1843"/>
      <c r="G1203" s="1844"/>
      <c r="H1203" s="1848"/>
      <c r="I1203" s="1847" t="str">
        <f>IF(D1203="","",IF(H1203&lt;&gt;"","CLOSED",IF(G1203="","NO DUE DATE",IF(AND(#REF!&lt;1,#REF!&gt;0),"DUE TODAY",IF(#REF!&gt;1,"OVERDUE",IF(H1203&lt;&gt;"","CLOSED","OPEN"))))))</f>
        <v/>
      </c>
      <c r="J1203" s="1849"/>
    </row>
    <row r="1204" spans="2:10" s="1824" customFormat="1" ht="16.2">
      <c r="B1204" s="1909"/>
      <c r="C1204" s="1842"/>
      <c r="D1204" s="1834"/>
      <c r="E1204" s="1835"/>
      <c r="F1204" s="1843"/>
      <c r="G1204" s="1844"/>
      <c r="H1204" s="1848"/>
      <c r="I1204" s="1847" t="str">
        <f>IF(D1204="","",IF(H1204&lt;&gt;"","CLOSED",IF(G1204="","NO DUE DATE",IF(AND(#REF!&lt;1,#REF!&gt;0),"DUE TODAY",IF(#REF!&gt;1,"OVERDUE",IF(H1204&lt;&gt;"","CLOSED","OPEN"))))))</f>
        <v/>
      </c>
      <c r="J1204" s="1849"/>
    </row>
    <row r="1205" spans="2:10" s="1824" customFormat="1" ht="16.2">
      <c r="B1205" s="1909"/>
      <c r="C1205" s="1842"/>
      <c r="D1205" s="1834"/>
      <c r="E1205" s="1835"/>
      <c r="F1205" s="1843"/>
      <c r="G1205" s="1844"/>
      <c r="H1205" s="1848"/>
      <c r="I1205" s="1847" t="str">
        <f>IF(D1205="","",IF(H1205&lt;&gt;"","CLOSED",IF(G1205="","NO DUE DATE",IF(AND(#REF!&lt;1,#REF!&gt;0),"DUE TODAY",IF(#REF!&gt;1,"OVERDUE",IF(H1205&lt;&gt;"","CLOSED","OPEN"))))))</f>
        <v/>
      </c>
      <c r="J1205" s="1849"/>
    </row>
    <row r="1206" spans="2:10" s="1824" customFormat="1" ht="16.2">
      <c r="B1206" s="1909"/>
      <c r="C1206" s="1842"/>
      <c r="D1206" s="1834"/>
      <c r="E1206" s="1835"/>
      <c r="F1206" s="1843"/>
      <c r="G1206" s="1844"/>
      <c r="H1206" s="1848"/>
      <c r="I1206" s="1847" t="str">
        <f>IF(D1206="","",IF(H1206&lt;&gt;"","CLOSED",IF(G1206="","NO DUE DATE",IF(AND(#REF!&lt;1,#REF!&gt;0),"DUE TODAY",IF(#REF!&gt;1,"OVERDUE",IF(H1206&lt;&gt;"","CLOSED","OPEN"))))))</f>
        <v/>
      </c>
      <c r="J1206" s="1849"/>
    </row>
    <row r="1207" spans="2:10" s="1824" customFormat="1" ht="16.2">
      <c r="B1207" s="1909"/>
      <c r="C1207" s="1842"/>
      <c r="D1207" s="1834"/>
      <c r="E1207" s="1835"/>
      <c r="F1207" s="1843"/>
      <c r="G1207" s="1844"/>
      <c r="H1207" s="1848"/>
      <c r="I1207" s="1847" t="str">
        <f>IF(D1207="","",IF(H1207&lt;&gt;"","CLOSED",IF(G1207="","NO DUE DATE",IF(AND(#REF!&lt;1,#REF!&gt;0),"DUE TODAY",IF(#REF!&gt;1,"OVERDUE",IF(H1207&lt;&gt;"","CLOSED","OPEN"))))))</f>
        <v/>
      </c>
      <c r="J1207" s="1849"/>
    </row>
    <row r="1208" spans="2:10" s="1824" customFormat="1" ht="16.2">
      <c r="B1208" s="1909"/>
      <c r="C1208" s="1842"/>
      <c r="D1208" s="1834"/>
      <c r="E1208" s="1835"/>
      <c r="F1208" s="1843"/>
      <c r="G1208" s="1844"/>
      <c r="H1208" s="1848"/>
      <c r="I1208" s="1847" t="str">
        <f>IF(D1208="","",IF(H1208&lt;&gt;"","CLOSED",IF(G1208="","NO DUE DATE",IF(AND(#REF!&lt;1,#REF!&gt;0),"DUE TODAY",IF(#REF!&gt;1,"OVERDUE",IF(H1208&lt;&gt;"","CLOSED","OPEN"))))))</f>
        <v/>
      </c>
      <c r="J1208" s="1849"/>
    </row>
    <row r="1209" spans="2:10" s="1824" customFormat="1" ht="16.2">
      <c r="B1209" s="1909"/>
      <c r="C1209" s="1842"/>
      <c r="D1209" s="1834"/>
      <c r="E1209" s="1835"/>
      <c r="F1209" s="1843"/>
      <c r="G1209" s="1844"/>
      <c r="H1209" s="1848"/>
      <c r="I1209" s="1847" t="str">
        <f>IF(D1209="","",IF(H1209&lt;&gt;"","CLOSED",IF(G1209="","NO DUE DATE",IF(AND(#REF!&lt;1,#REF!&gt;0),"DUE TODAY",IF(#REF!&gt;1,"OVERDUE",IF(H1209&lt;&gt;"","CLOSED","OPEN"))))))</f>
        <v/>
      </c>
      <c r="J1209" s="1849"/>
    </row>
    <row r="1210" spans="2:10" s="1824" customFormat="1" ht="16.2">
      <c r="B1210" s="1909"/>
      <c r="C1210" s="1842"/>
      <c r="D1210" s="1834"/>
      <c r="E1210" s="1835"/>
      <c r="F1210" s="1843"/>
      <c r="G1210" s="1844"/>
      <c r="H1210" s="1848"/>
      <c r="I1210" s="1847" t="str">
        <f>IF(D1210="","",IF(H1210&lt;&gt;"","CLOSED",IF(G1210="","NO DUE DATE",IF(AND(#REF!&lt;1,#REF!&gt;0),"DUE TODAY",IF(#REF!&gt;1,"OVERDUE",IF(H1210&lt;&gt;"","CLOSED","OPEN"))))))</f>
        <v/>
      </c>
      <c r="J1210" s="1849"/>
    </row>
    <row r="1211" spans="2:10" s="1824" customFormat="1" ht="16.2">
      <c r="B1211" s="1909"/>
      <c r="C1211" s="1842"/>
      <c r="D1211" s="1834"/>
      <c r="E1211" s="1835"/>
      <c r="F1211" s="1843"/>
      <c r="G1211" s="1844"/>
      <c r="H1211" s="1848"/>
      <c r="I1211" s="1847" t="str">
        <f>IF(D1211="","",IF(H1211&lt;&gt;"","CLOSED",IF(G1211="","NO DUE DATE",IF(AND(#REF!&lt;1,#REF!&gt;0),"DUE TODAY",IF(#REF!&gt;1,"OVERDUE",IF(H1211&lt;&gt;"","CLOSED","OPEN"))))))</f>
        <v/>
      </c>
      <c r="J1211" s="1849"/>
    </row>
    <row r="1212" spans="2:10" s="1824" customFormat="1" ht="16.2">
      <c r="B1212" s="1909"/>
      <c r="C1212" s="1842"/>
      <c r="D1212" s="1834"/>
      <c r="E1212" s="1835"/>
      <c r="F1212" s="1843"/>
      <c r="G1212" s="1844"/>
      <c r="H1212" s="1848"/>
      <c r="I1212" s="1847" t="str">
        <f>IF(D1212="","",IF(H1212&lt;&gt;"","CLOSED",IF(G1212="","NO DUE DATE",IF(AND(#REF!&lt;1,#REF!&gt;0),"DUE TODAY",IF(#REF!&gt;1,"OVERDUE",IF(H1212&lt;&gt;"","CLOSED","OPEN"))))))</f>
        <v/>
      </c>
      <c r="J1212" s="1849"/>
    </row>
    <row r="1213" spans="2:10" s="1824" customFormat="1" ht="16.2">
      <c r="B1213" s="1909"/>
      <c r="C1213" s="1842"/>
      <c r="D1213" s="1834"/>
      <c r="E1213" s="1835"/>
      <c r="F1213" s="1843"/>
      <c r="G1213" s="1844"/>
      <c r="H1213" s="1848"/>
      <c r="I1213" s="1847" t="str">
        <f>IF(D1213="","",IF(H1213&lt;&gt;"","CLOSED",IF(G1213="","NO DUE DATE",IF(AND(#REF!&lt;1,#REF!&gt;0),"DUE TODAY",IF(#REF!&gt;1,"OVERDUE",IF(H1213&lt;&gt;"","CLOSED","OPEN"))))))</f>
        <v/>
      </c>
      <c r="J1213" s="1849"/>
    </row>
    <row r="1214" spans="2:10" s="1824" customFormat="1" ht="16.2">
      <c r="B1214" s="1909"/>
      <c r="C1214" s="1842"/>
      <c r="D1214" s="1834"/>
      <c r="E1214" s="1835"/>
      <c r="F1214" s="1843"/>
      <c r="G1214" s="1844"/>
      <c r="H1214" s="1848"/>
      <c r="I1214" s="1847" t="str">
        <f>IF(D1214="","",IF(H1214&lt;&gt;"","CLOSED",IF(G1214="","NO DUE DATE",IF(AND(#REF!&lt;1,#REF!&gt;0),"DUE TODAY",IF(#REF!&gt;1,"OVERDUE",IF(H1214&lt;&gt;"","CLOSED","OPEN"))))))</f>
        <v/>
      </c>
      <c r="J1214" s="1849"/>
    </row>
    <row r="1215" spans="2:10" s="1824" customFormat="1" ht="16.2">
      <c r="B1215" s="1909"/>
      <c r="C1215" s="1842"/>
      <c r="D1215" s="1834"/>
      <c r="E1215" s="1835"/>
      <c r="F1215" s="1843"/>
      <c r="G1215" s="1844"/>
      <c r="H1215" s="1848"/>
      <c r="I1215" s="1847" t="str">
        <f>IF(D1215="","",IF(H1215&lt;&gt;"","CLOSED",IF(G1215="","NO DUE DATE",IF(AND(#REF!&lt;1,#REF!&gt;0),"DUE TODAY",IF(#REF!&gt;1,"OVERDUE",IF(H1215&lt;&gt;"","CLOSED","OPEN"))))))</f>
        <v/>
      </c>
      <c r="J1215" s="1849"/>
    </row>
    <row r="1216" spans="2:10" s="1824" customFormat="1" ht="16.2">
      <c r="B1216" s="1909"/>
      <c r="C1216" s="1842"/>
      <c r="D1216" s="1834"/>
      <c r="E1216" s="1835"/>
      <c r="F1216" s="1843"/>
      <c r="G1216" s="1844"/>
      <c r="H1216" s="1848"/>
      <c r="I1216" s="1847" t="str">
        <f>IF(D1216="","",IF(H1216&lt;&gt;"","CLOSED",IF(G1216="","NO DUE DATE",IF(AND(#REF!&lt;1,#REF!&gt;0),"DUE TODAY",IF(#REF!&gt;1,"OVERDUE",IF(H1216&lt;&gt;"","CLOSED","OPEN"))))))</f>
        <v/>
      </c>
      <c r="J1216" s="1849"/>
    </row>
    <row r="1217" spans="2:10" s="1824" customFormat="1" ht="16.2">
      <c r="B1217" s="1909"/>
      <c r="C1217" s="1842"/>
      <c r="D1217" s="1834"/>
      <c r="E1217" s="1835"/>
      <c r="F1217" s="1843"/>
      <c r="G1217" s="1844"/>
      <c r="H1217" s="1848"/>
      <c r="I1217" s="1847" t="str">
        <f>IF(D1217="","",IF(H1217&lt;&gt;"","CLOSED",IF(G1217="","NO DUE DATE",IF(AND(#REF!&lt;1,#REF!&gt;0),"DUE TODAY",IF(#REF!&gt;1,"OVERDUE",IF(H1217&lt;&gt;"","CLOSED","OPEN"))))))</f>
        <v/>
      </c>
      <c r="J1217" s="1849"/>
    </row>
    <row r="1218" spans="2:10" s="1824" customFormat="1" ht="16.2">
      <c r="B1218" s="1909"/>
      <c r="C1218" s="1842"/>
      <c r="D1218" s="1834"/>
      <c r="E1218" s="1835"/>
      <c r="F1218" s="1843"/>
      <c r="G1218" s="1844"/>
      <c r="H1218" s="1848"/>
      <c r="I1218" s="1847" t="str">
        <f>IF(D1218="","",IF(H1218&lt;&gt;"","CLOSED",IF(G1218="","NO DUE DATE",IF(AND(#REF!&lt;1,#REF!&gt;0),"DUE TODAY",IF(#REF!&gt;1,"OVERDUE",IF(H1218&lt;&gt;"","CLOSED","OPEN"))))))</f>
        <v/>
      </c>
      <c r="J1218" s="1849"/>
    </row>
    <row r="1219" spans="2:10" s="1824" customFormat="1" ht="16.2">
      <c r="B1219" s="1909"/>
      <c r="C1219" s="1842"/>
      <c r="D1219" s="1834"/>
      <c r="E1219" s="1835"/>
      <c r="F1219" s="1843"/>
      <c r="G1219" s="1844"/>
      <c r="H1219" s="1848"/>
      <c r="I1219" s="1847" t="str">
        <f>IF(D1219="","",IF(H1219&lt;&gt;"","CLOSED",IF(G1219="","NO DUE DATE",IF(AND(#REF!&lt;1,#REF!&gt;0),"DUE TODAY",IF(#REF!&gt;1,"OVERDUE",IF(H1219&lt;&gt;"","CLOSED","OPEN"))))))</f>
        <v/>
      </c>
      <c r="J1219" s="1849"/>
    </row>
    <row r="1220" spans="2:10" s="1824" customFormat="1" ht="16.2">
      <c r="B1220" s="1909"/>
      <c r="C1220" s="1842"/>
      <c r="D1220" s="1834"/>
      <c r="E1220" s="1835"/>
      <c r="F1220" s="1843"/>
      <c r="G1220" s="1844"/>
      <c r="H1220" s="1848"/>
      <c r="I1220" s="1847" t="str">
        <f>IF(D1220="","",IF(H1220&lt;&gt;"","CLOSED",IF(G1220="","NO DUE DATE",IF(AND(#REF!&lt;1,#REF!&gt;0),"DUE TODAY",IF(#REF!&gt;1,"OVERDUE",IF(H1220&lt;&gt;"","CLOSED","OPEN"))))))</f>
        <v/>
      </c>
      <c r="J1220" s="1849"/>
    </row>
    <row r="1221" spans="2:10" s="1824" customFormat="1" ht="16.2">
      <c r="B1221" s="1909"/>
      <c r="C1221" s="1842"/>
      <c r="D1221" s="1834"/>
      <c r="E1221" s="1835"/>
      <c r="F1221" s="1843"/>
      <c r="G1221" s="1844"/>
      <c r="H1221" s="1848"/>
      <c r="I1221" s="1847" t="str">
        <f>IF(D1221="","",IF(H1221&lt;&gt;"","CLOSED",IF(G1221="","NO DUE DATE",IF(AND(#REF!&lt;1,#REF!&gt;0),"DUE TODAY",IF(#REF!&gt;1,"OVERDUE",IF(H1221&lt;&gt;"","CLOSED","OPEN"))))))</f>
        <v/>
      </c>
      <c r="J1221" s="1849"/>
    </row>
    <row r="1222" spans="2:10" s="1824" customFormat="1" ht="16.2">
      <c r="B1222" s="1909"/>
      <c r="C1222" s="1842"/>
      <c r="D1222" s="1834"/>
      <c r="E1222" s="1835"/>
      <c r="F1222" s="1843"/>
      <c r="G1222" s="1844"/>
      <c r="H1222" s="1848"/>
      <c r="I1222" s="1847" t="str">
        <f>IF(D1222="","",IF(H1222&lt;&gt;"","CLOSED",IF(G1222="","NO DUE DATE",IF(AND(#REF!&lt;1,#REF!&gt;0),"DUE TODAY",IF(#REF!&gt;1,"OVERDUE",IF(H1222&lt;&gt;"","CLOSED","OPEN"))))))</f>
        <v/>
      </c>
      <c r="J1222" s="1849"/>
    </row>
    <row r="1223" spans="2:10" s="1824" customFormat="1" ht="16.2">
      <c r="B1223" s="1909"/>
      <c r="C1223" s="1842"/>
      <c r="D1223" s="1834"/>
      <c r="E1223" s="1835"/>
      <c r="F1223" s="1843"/>
      <c r="G1223" s="1844"/>
      <c r="H1223" s="1848"/>
      <c r="I1223" s="1847" t="str">
        <f>IF(D1223="","",IF(H1223&lt;&gt;"","CLOSED",IF(G1223="","NO DUE DATE",IF(AND(#REF!&lt;1,#REF!&gt;0),"DUE TODAY",IF(#REF!&gt;1,"OVERDUE",IF(H1223&lt;&gt;"","CLOSED","OPEN"))))))</f>
        <v/>
      </c>
      <c r="J1223" s="1849"/>
    </row>
    <row r="1224" spans="2:10" s="1824" customFormat="1" ht="16.2">
      <c r="B1224" s="1909"/>
      <c r="C1224" s="1842"/>
      <c r="D1224" s="1834"/>
      <c r="E1224" s="1835"/>
      <c r="F1224" s="1843"/>
      <c r="G1224" s="1844"/>
      <c r="H1224" s="1848"/>
      <c r="I1224" s="1847" t="str">
        <f>IF(D1224="","",IF(H1224&lt;&gt;"","CLOSED",IF(G1224="","NO DUE DATE",IF(AND(#REF!&lt;1,#REF!&gt;0),"DUE TODAY",IF(#REF!&gt;1,"OVERDUE",IF(H1224&lt;&gt;"","CLOSED","OPEN"))))))</f>
        <v/>
      </c>
      <c r="J1224" s="1849"/>
    </row>
    <row r="1225" spans="2:10" s="1824" customFormat="1" ht="16.2">
      <c r="B1225" s="1909"/>
      <c r="C1225" s="1842"/>
      <c r="D1225" s="1834"/>
      <c r="E1225" s="1835"/>
      <c r="F1225" s="1843"/>
      <c r="G1225" s="1844"/>
      <c r="H1225" s="1848"/>
      <c r="I1225" s="1847" t="str">
        <f>IF(D1225="","",IF(H1225&lt;&gt;"","CLOSED",IF(G1225="","NO DUE DATE",IF(AND(#REF!&lt;1,#REF!&gt;0),"DUE TODAY",IF(#REF!&gt;1,"OVERDUE",IF(H1225&lt;&gt;"","CLOSED","OPEN"))))))</f>
        <v/>
      </c>
      <c r="J1225" s="1849"/>
    </row>
    <row r="1226" spans="2:10" s="1824" customFormat="1" ht="16.2">
      <c r="B1226" s="1909"/>
      <c r="C1226" s="1842"/>
      <c r="D1226" s="1834"/>
      <c r="E1226" s="1835"/>
      <c r="F1226" s="1843"/>
      <c r="G1226" s="1844"/>
      <c r="H1226" s="1848"/>
      <c r="I1226" s="1847" t="str">
        <f>IF(D1226="","",IF(H1226&lt;&gt;"","CLOSED",IF(G1226="","NO DUE DATE",IF(AND(#REF!&lt;1,#REF!&gt;0),"DUE TODAY",IF(#REF!&gt;1,"OVERDUE",IF(H1226&lt;&gt;"","CLOSED","OPEN"))))))</f>
        <v/>
      </c>
      <c r="J1226" s="1849"/>
    </row>
    <row r="1227" spans="2:10" s="1824" customFormat="1" ht="16.2">
      <c r="B1227" s="1909"/>
      <c r="C1227" s="1842"/>
      <c r="D1227" s="1834"/>
      <c r="E1227" s="1835"/>
      <c r="F1227" s="1843"/>
      <c r="G1227" s="1844"/>
      <c r="H1227" s="1848"/>
      <c r="I1227" s="1847" t="str">
        <f>IF(D1227="","",IF(H1227&lt;&gt;"","CLOSED",IF(G1227="","NO DUE DATE",IF(AND(#REF!&lt;1,#REF!&gt;0),"DUE TODAY",IF(#REF!&gt;1,"OVERDUE",IF(H1227&lt;&gt;"","CLOSED","OPEN"))))))</f>
        <v/>
      </c>
      <c r="J1227" s="1849"/>
    </row>
    <row r="1228" spans="2:10" s="1824" customFormat="1" ht="16.2">
      <c r="B1228" s="1909"/>
      <c r="C1228" s="1842"/>
      <c r="D1228" s="1834"/>
      <c r="E1228" s="1835"/>
      <c r="F1228" s="1843"/>
      <c r="G1228" s="1844"/>
      <c r="H1228" s="1848"/>
      <c r="I1228" s="1847" t="str">
        <f>IF(D1228="","",IF(H1228&lt;&gt;"","CLOSED",IF(G1228="","NO DUE DATE",IF(AND(#REF!&lt;1,#REF!&gt;0),"DUE TODAY",IF(#REF!&gt;1,"OVERDUE",IF(H1228&lt;&gt;"","CLOSED","OPEN"))))))</f>
        <v/>
      </c>
      <c r="J1228" s="1849"/>
    </row>
    <row r="1229" spans="2:10" s="1824" customFormat="1" ht="16.2">
      <c r="B1229" s="1909"/>
      <c r="C1229" s="1842"/>
      <c r="D1229" s="1834"/>
      <c r="E1229" s="1835"/>
      <c r="F1229" s="1843"/>
      <c r="G1229" s="1844"/>
      <c r="H1229" s="1848"/>
      <c r="I1229" s="1847" t="str">
        <f>IF(D1229="","",IF(H1229&lt;&gt;"","CLOSED",IF(G1229="","NO DUE DATE",IF(AND(#REF!&lt;1,#REF!&gt;0),"DUE TODAY",IF(#REF!&gt;1,"OVERDUE",IF(H1229&lt;&gt;"","CLOSED","OPEN"))))))</f>
        <v/>
      </c>
      <c r="J1229" s="1849"/>
    </row>
    <row r="1230" spans="2:10" s="1824" customFormat="1" ht="16.2">
      <c r="B1230" s="1909"/>
      <c r="C1230" s="1842"/>
      <c r="D1230" s="1834"/>
      <c r="E1230" s="1835"/>
      <c r="F1230" s="1843"/>
      <c r="G1230" s="1844"/>
      <c r="H1230" s="1848"/>
      <c r="I1230" s="1847" t="str">
        <f>IF(D1230="","",IF(H1230&lt;&gt;"","CLOSED",IF(G1230="","NO DUE DATE",IF(AND(#REF!&lt;1,#REF!&gt;0),"DUE TODAY",IF(#REF!&gt;1,"OVERDUE",IF(H1230&lt;&gt;"","CLOSED","OPEN"))))))</f>
        <v/>
      </c>
      <c r="J1230" s="1849"/>
    </row>
    <row r="1231" spans="2:10" s="1824" customFormat="1" ht="16.2">
      <c r="B1231" s="1909"/>
      <c r="C1231" s="1842"/>
      <c r="D1231" s="1834"/>
      <c r="E1231" s="1835"/>
      <c r="F1231" s="1843"/>
      <c r="G1231" s="1844"/>
      <c r="H1231" s="1848"/>
      <c r="I1231" s="1847" t="str">
        <f>IF(D1231="","",IF(H1231&lt;&gt;"","CLOSED",IF(G1231="","NO DUE DATE",IF(AND(#REF!&lt;1,#REF!&gt;0),"DUE TODAY",IF(#REF!&gt;1,"OVERDUE",IF(H1231&lt;&gt;"","CLOSED","OPEN"))))))</f>
        <v/>
      </c>
      <c r="J1231" s="1849"/>
    </row>
    <row r="1232" spans="2:10" s="1824" customFormat="1" ht="16.2">
      <c r="B1232" s="1909"/>
      <c r="C1232" s="1842"/>
      <c r="D1232" s="1834"/>
      <c r="E1232" s="1835"/>
      <c r="F1232" s="1843"/>
      <c r="G1232" s="1844"/>
      <c r="H1232" s="1848"/>
      <c r="I1232" s="1847" t="str">
        <f>IF(D1232="","",IF(H1232&lt;&gt;"","CLOSED",IF(G1232="","NO DUE DATE",IF(AND(#REF!&lt;1,#REF!&gt;0),"DUE TODAY",IF(#REF!&gt;1,"OVERDUE",IF(H1232&lt;&gt;"","CLOSED","OPEN"))))))</f>
        <v/>
      </c>
      <c r="J1232" s="1849"/>
    </row>
    <row r="1233" spans="2:10" s="1824" customFormat="1" ht="16.2">
      <c r="B1233" s="1909"/>
      <c r="C1233" s="1842"/>
      <c r="D1233" s="1834"/>
      <c r="E1233" s="1835"/>
      <c r="F1233" s="1843"/>
      <c r="G1233" s="1844"/>
      <c r="H1233" s="1848"/>
      <c r="I1233" s="1847" t="str">
        <f>IF(D1233="","",IF(H1233&lt;&gt;"","CLOSED",IF(G1233="","NO DUE DATE",IF(AND(#REF!&lt;1,#REF!&gt;0),"DUE TODAY",IF(#REF!&gt;1,"OVERDUE",IF(H1233&lt;&gt;"","CLOSED","OPEN"))))))</f>
        <v/>
      </c>
      <c r="J1233" s="1849"/>
    </row>
    <row r="1234" spans="2:10" s="1824" customFormat="1" ht="16.2">
      <c r="B1234" s="1909"/>
      <c r="C1234" s="1842"/>
      <c r="D1234" s="1834"/>
      <c r="E1234" s="1835"/>
      <c r="F1234" s="1843"/>
      <c r="G1234" s="1844"/>
      <c r="H1234" s="1848"/>
      <c r="I1234" s="1847" t="str">
        <f>IF(D1234="","",IF(H1234&lt;&gt;"","CLOSED",IF(G1234="","NO DUE DATE",IF(AND(#REF!&lt;1,#REF!&gt;0),"DUE TODAY",IF(#REF!&gt;1,"OVERDUE",IF(H1234&lt;&gt;"","CLOSED","OPEN"))))))</f>
        <v/>
      </c>
      <c r="J1234" s="1849"/>
    </row>
    <row r="1235" spans="2:10" s="1824" customFormat="1" ht="16.2">
      <c r="B1235" s="1909"/>
      <c r="C1235" s="1842"/>
      <c r="D1235" s="1834"/>
      <c r="E1235" s="1835"/>
      <c r="F1235" s="1843"/>
      <c r="G1235" s="1844"/>
      <c r="H1235" s="1848"/>
      <c r="I1235" s="1847" t="str">
        <f>IF(D1235="","",IF(H1235&lt;&gt;"","CLOSED",IF(G1235="","NO DUE DATE",IF(AND(#REF!&lt;1,#REF!&gt;0),"DUE TODAY",IF(#REF!&gt;1,"OVERDUE",IF(H1235&lt;&gt;"","CLOSED","OPEN"))))))</f>
        <v/>
      </c>
      <c r="J1235" s="1849"/>
    </row>
    <row r="1236" spans="2:10" s="1824" customFormat="1" ht="16.2">
      <c r="B1236" s="1909"/>
      <c r="C1236" s="1842"/>
      <c r="D1236" s="1834"/>
      <c r="E1236" s="1835"/>
      <c r="F1236" s="1843"/>
      <c r="G1236" s="1844"/>
      <c r="H1236" s="1848"/>
      <c r="I1236" s="1847" t="str">
        <f>IF(D1236="","",IF(H1236&lt;&gt;"","CLOSED",IF(G1236="","NO DUE DATE",IF(AND(#REF!&lt;1,#REF!&gt;0),"DUE TODAY",IF(#REF!&gt;1,"OVERDUE",IF(H1236&lt;&gt;"","CLOSED","OPEN"))))))</f>
        <v/>
      </c>
      <c r="J1236" s="1849"/>
    </row>
    <row r="1237" spans="2:10" s="1824" customFormat="1" ht="16.2">
      <c r="B1237" s="1909"/>
      <c r="C1237" s="1842"/>
      <c r="D1237" s="1834"/>
      <c r="E1237" s="1835"/>
      <c r="F1237" s="1843"/>
      <c r="G1237" s="1844"/>
      <c r="H1237" s="1848"/>
      <c r="I1237" s="1847" t="str">
        <f>IF(D1237="","",IF(H1237&lt;&gt;"","CLOSED",IF(G1237="","NO DUE DATE",IF(AND(#REF!&lt;1,#REF!&gt;0),"DUE TODAY",IF(#REF!&gt;1,"OVERDUE",IF(H1237&lt;&gt;"","CLOSED","OPEN"))))))</f>
        <v/>
      </c>
      <c r="J1237" s="1849"/>
    </row>
    <row r="1238" spans="2:10" s="1824" customFormat="1" ht="16.2">
      <c r="B1238" s="1909"/>
      <c r="C1238" s="1842"/>
      <c r="D1238" s="1834"/>
      <c r="E1238" s="1835"/>
      <c r="F1238" s="1843"/>
      <c r="G1238" s="1844"/>
      <c r="H1238" s="1848"/>
      <c r="I1238" s="1847" t="str">
        <f>IF(D1238="","",IF(H1238&lt;&gt;"","CLOSED",IF(G1238="","NO DUE DATE",IF(AND(#REF!&lt;1,#REF!&gt;0),"DUE TODAY",IF(#REF!&gt;1,"OVERDUE",IF(H1238&lt;&gt;"","CLOSED","OPEN"))))))</f>
        <v/>
      </c>
      <c r="J1238" s="1849"/>
    </row>
    <row r="1239" spans="2:10" s="1824" customFormat="1" ht="16.2">
      <c r="B1239" s="1909"/>
      <c r="C1239" s="1842"/>
      <c r="D1239" s="1834"/>
      <c r="E1239" s="1835"/>
      <c r="F1239" s="1843"/>
      <c r="G1239" s="1844"/>
      <c r="H1239" s="1848"/>
      <c r="I1239" s="1847" t="str">
        <f>IF(D1239="","",IF(H1239&lt;&gt;"","CLOSED",IF(G1239="","NO DUE DATE",IF(AND(#REF!&lt;1,#REF!&gt;0),"DUE TODAY",IF(#REF!&gt;1,"OVERDUE",IF(H1239&lt;&gt;"","CLOSED","OPEN"))))))</f>
        <v/>
      </c>
      <c r="J1239" s="1849"/>
    </row>
    <row r="1240" spans="2:10" s="1824" customFormat="1" ht="16.2">
      <c r="B1240" s="1909"/>
      <c r="C1240" s="1842"/>
      <c r="D1240" s="1834"/>
      <c r="E1240" s="1835"/>
      <c r="F1240" s="1843"/>
      <c r="G1240" s="1844"/>
      <c r="H1240" s="1848"/>
      <c r="I1240" s="1847" t="str">
        <f>IF(D1240="","",IF(H1240&lt;&gt;"","CLOSED",IF(G1240="","NO DUE DATE",IF(AND(#REF!&lt;1,#REF!&gt;0),"DUE TODAY",IF(#REF!&gt;1,"OVERDUE",IF(H1240&lt;&gt;"","CLOSED","OPEN"))))))</f>
        <v/>
      </c>
      <c r="J1240" s="1849"/>
    </row>
    <row r="1241" spans="2:10" s="1824" customFormat="1" ht="16.2">
      <c r="B1241" s="1909"/>
      <c r="C1241" s="1842"/>
      <c r="D1241" s="1834"/>
      <c r="E1241" s="1835"/>
      <c r="F1241" s="1843"/>
      <c r="G1241" s="1844"/>
      <c r="H1241" s="1848"/>
      <c r="I1241" s="1847" t="str">
        <f>IF(D1241="","",IF(H1241&lt;&gt;"","CLOSED",IF(G1241="","NO DUE DATE",IF(AND(#REF!&lt;1,#REF!&gt;0),"DUE TODAY",IF(#REF!&gt;1,"OVERDUE",IF(H1241&lt;&gt;"","CLOSED","OPEN"))))))</f>
        <v/>
      </c>
      <c r="J1241" s="1849"/>
    </row>
    <row r="1242" spans="2:10" s="1824" customFormat="1" ht="16.2">
      <c r="B1242" s="1909"/>
      <c r="C1242" s="1842"/>
      <c r="D1242" s="1834"/>
      <c r="E1242" s="1835"/>
      <c r="F1242" s="1843"/>
      <c r="G1242" s="1844"/>
      <c r="H1242" s="1848"/>
      <c r="I1242" s="1847" t="str">
        <f>IF(D1242="","",IF(H1242&lt;&gt;"","CLOSED",IF(G1242="","NO DUE DATE",IF(AND(#REF!&lt;1,#REF!&gt;0),"DUE TODAY",IF(#REF!&gt;1,"OVERDUE",IF(H1242&lt;&gt;"","CLOSED","OPEN"))))))</f>
        <v/>
      </c>
      <c r="J1242" s="1849"/>
    </row>
    <row r="1243" spans="2:10" s="1824" customFormat="1" ht="16.2">
      <c r="B1243" s="1909"/>
      <c r="C1243" s="1842"/>
      <c r="D1243" s="1834"/>
      <c r="E1243" s="1835"/>
      <c r="F1243" s="1843"/>
      <c r="G1243" s="1844"/>
      <c r="H1243" s="1848"/>
      <c r="I1243" s="1847" t="str">
        <f>IF(D1243="","",IF(H1243&lt;&gt;"","CLOSED",IF(G1243="","NO DUE DATE",IF(AND(#REF!&lt;1,#REF!&gt;0),"DUE TODAY",IF(#REF!&gt;1,"OVERDUE",IF(H1243&lt;&gt;"","CLOSED","OPEN"))))))</f>
        <v/>
      </c>
      <c r="J1243" s="1849"/>
    </row>
    <row r="1244" spans="2:10" s="1824" customFormat="1" ht="16.2">
      <c r="B1244" s="1909"/>
      <c r="C1244" s="1842"/>
      <c r="D1244" s="1834"/>
      <c r="E1244" s="1835"/>
      <c r="F1244" s="1843"/>
      <c r="G1244" s="1844"/>
      <c r="H1244" s="1848"/>
      <c r="I1244" s="1847" t="str">
        <f>IF(D1244="","",IF(H1244&lt;&gt;"","CLOSED",IF(G1244="","NO DUE DATE",IF(AND(#REF!&lt;1,#REF!&gt;0),"DUE TODAY",IF(#REF!&gt;1,"OVERDUE",IF(H1244&lt;&gt;"","CLOSED","OPEN"))))))</f>
        <v/>
      </c>
      <c r="J1244" s="1849"/>
    </row>
    <row r="1245" spans="2:10" s="1824" customFormat="1" ht="16.2">
      <c r="B1245" s="1909"/>
      <c r="C1245" s="1842"/>
      <c r="D1245" s="1834"/>
      <c r="E1245" s="1835"/>
      <c r="F1245" s="1843"/>
      <c r="G1245" s="1844"/>
      <c r="H1245" s="1848"/>
      <c r="I1245" s="1847" t="str">
        <f>IF(D1245="","",IF(H1245&lt;&gt;"","CLOSED",IF(G1245="","NO DUE DATE",IF(AND(#REF!&lt;1,#REF!&gt;0),"DUE TODAY",IF(#REF!&gt;1,"OVERDUE",IF(H1245&lt;&gt;"","CLOSED","OPEN"))))))</f>
        <v/>
      </c>
      <c r="J1245" s="1849"/>
    </row>
    <row r="1246" spans="2:10" s="1824" customFormat="1" ht="16.2">
      <c r="B1246" s="1909"/>
      <c r="C1246" s="1842"/>
      <c r="D1246" s="1834"/>
      <c r="E1246" s="1835"/>
      <c r="F1246" s="1843"/>
      <c r="G1246" s="1844"/>
      <c r="H1246" s="1848"/>
      <c r="I1246" s="1847" t="str">
        <f>IF(D1246="","",IF(H1246&lt;&gt;"","CLOSED",IF(G1246="","NO DUE DATE",IF(AND(#REF!&lt;1,#REF!&gt;0),"DUE TODAY",IF(#REF!&gt;1,"OVERDUE",IF(H1246&lt;&gt;"","CLOSED","OPEN"))))))</f>
        <v/>
      </c>
      <c r="J1246" s="1849"/>
    </row>
    <row r="1247" spans="2:10" s="1824" customFormat="1" ht="16.2">
      <c r="B1247" s="1909"/>
      <c r="C1247" s="1842"/>
      <c r="D1247" s="1834"/>
      <c r="E1247" s="1835"/>
      <c r="F1247" s="1843"/>
      <c r="G1247" s="1844"/>
      <c r="H1247" s="1848"/>
      <c r="I1247" s="1847" t="str">
        <f>IF(D1247="","",IF(H1247&lt;&gt;"","CLOSED",IF(G1247="","NO DUE DATE",IF(AND(#REF!&lt;1,#REF!&gt;0),"DUE TODAY",IF(#REF!&gt;1,"OVERDUE",IF(H1247&lt;&gt;"","CLOSED","OPEN"))))))</f>
        <v/>
      </c>
      <c r="J1247" s="1849"/>
    </row>
    <row r="1248" spans="2:10" s="1824" customFormat="1" ht="16.2">
      <c r="B1248" s="1909"/>
      <c r="C1248" s="1842"/>
      <c r="D1248" s="1834"/>
      <c r="E1248" s="1835"/>
      <c r="F1248" s="1843"/>
      <c r="G1248" s="1844"/>
      <c r="H1248" s="1848"/>
      <c r="I1248" s="1847" t="str">
        <f>IF(D1248="","",IF(H1248&lt;&gt;"","CLOSED",IF(G1248="","NO DUE DATE",IF(AND(#REF!&lt;1,#REF!&gt;0),"DUE TODAY",IF(#REF!&gt;1,"OVERDUE",IF(H1248&lt;&gt;"","CLOSED","OPEN"))))))</f>
        <v/>
      </c>
      <c r="J1248" s="1849"/>
    </row>
    <row r="1249" spans="2:10" s="1824" customFormat="1" ht="16.2">
      <c r="B1249" s="1909"/>
      <c r="C1249" s="1842"/>
      <c r="D1249" s="1834"/>
      <c r="E1249" s="1835"/>
      <c r="F1249" s="1843"/>
      <c r="G1249" s="1844"/>
      <c r="H1249" s="1848"/>
      <c r="I1249" s="1847" t="str">
        <f>IF(D1249="","",IF(H1249&lt;&gt;"","CLOSED",IF(G1249="","NO DUE DATE",IF(AND(#REF!&lt;1,#REF!&gt;0),"DUE TODAY",IF(#REF!&gt;1,"OVERDUE",IF(H1249&lt;&gt;"","CLOSED","OPEN"))))))</f>
        <v/>
      </c>
      <c r="J1249" s="1849"/>
    </row>
    <row r="1250" spans="2:10" s="1824" customFormat="1" ht="16.2">
      <c r="B1250" s="1909"/>
      <c r="C1250" s="1842"/>
      <c r="D1250" s="1834"/>
      <c r="E1250" s="1835"/>
      <c r="F1250" s="1843"/>
      <c r="G1250" s="1844"/>
      <c r="H1250" s="1848"/>
      <c r="I1250" s="1847" t="str">
        <f>IF(D1250="","",IF(H1250&lt;&gt;"","CLOSED",IF(G1250="","NO DUE DATE",IF(AND(#REF!&lt;1,#REF!&gt;0),"DUE TODAY",IF(#REF!&gt;1,"OVERDUE",IF(H1250&lt;&gt;"","CLOSED","OPEN"))))))</f>
        <v/>
      </c>
      <c r="J1250" s="1849"/>
    </row>
    <row r="1251" spans="2:10" s="1824" customFormat="1" ht="16.2">
      <c r="B1251" s="1909"/>
      <c r="C1251" s="1842"/>
      <c r="D1251" s="1834"/>
      <c r="E1251" s="1835"/>
      <c r="F1251" s="1843"/>
      <c r="G1251" s="1844"/>
      <c r="H1251" s="1848"/>
      <c r="I1251" s="1847" t="str">
        <f>IF(D1251="","",IF(H1251&lt;&gt;"","CLOSED",IF(G1251="","NO DUE DATE",IF(AND(#REF!&lt;1,#REF!&gt;0),"DUE TODAY",IF(#REF!&gt;1,"OVERDUE",IF(H1251&lt;&gt;"","CLOSED","OPEN"))))))</f>
        <v/>
      </c>
      <c r="J1251" s="1849"/>
    </row>
    <row r="1252" spans="2:10" s="1824" customFormat="1" ht="16.2">
      <c r="B1252" s="1909"/>
      <c r="C1252" s="1842"/>
      <c r="D1252" s="1834"/>
      <c r="E1252" s="1835"/>
      <c r="F1252" s="1843"/>
      <c r="G1252" s="1844"/>
      <c r="H1252" s="1848"/>
      <c r="I1252" s="1847" t="str">
        <f>IF(D1252="","",IF(H1252&lt;&gt;"","CLOSED",IF(G1252="","NO DUE DATE",IF(AND(#REF!&lt;1,#REF!&gt;0),"DUE TODAY",IF(#REF!&gt;1,"OVERDUE",IF(H1252&lt;&gt;"","CLOSED","OPEN"))))))</f>
        <v/>
      </c>
      <c r="J1252" s="1849"/>
    </row>
    <row r="1253" spans="2:10" s="1824" customFormat="1" ht="16.2">
      <c r="B1253" s="1909"/>
      <c r="C1253" s="1842"/>
      <c r="D1253" s="1834"/>
      <c r="E1253" s="1835"/>
      <c r="F1253" s="1843"/>
      <c r="G1253" s="1844"/>
      <c r="H1253" s="1848"/>
      <c r="I1253" s="1847" t="str">
        <f>IF(D1253="","",IF(H1253&lt;&gt;"","CLOSED",IF(G1253="","NO DUE DATE",IF(AND(#REF!&lt;1,#REF!&gt;0),"DUE TODAY",IF(#REF!&gt;1,"OVERDUE",IF(H1253&lt;&gt;"","CLOSED","OPEN"))))))</f>
        <v/>
      </c>
      <c r="J1253" s="1849"/>
    </row>
    <row r="1254" spans="2:10" s="1824" customFormat="1" ht="16.2">
      <c r="B1254" s="1909"/>
      <c r="C1254" s="1842"/>
      <c r="D1254" s="1834"/>
      <c r="E1254" s="1835"/>
      <c r="F1254" s="1843"/>
      <c r="G1254" s="1844"/>
      <c r="H1254" s="1848"/>
      <c r="I1254" s="1847" t="str">
        <f>IF(D1254="","",IF(H1254&lt;&gt;"","CLOSED",IF(G1254="","NO DUE DATE",IF(AND(#REF!&lt;1,#REF!&gt;0),"DUE TODAY",IF(#REF!&gt;1,"OVERDUE",IF(H1254&lt;&gt;"","CLOSED","OPEN"))))))</f>
        <v/>
      </c>
      <c r="J1254" s="1849"/>
    </row>
    <row r="1255" spans="2:10" s="1824" customFormat="1" ht="16.2">
      <c r="B1255" s="1909"/>
      <c r="C1255" s="1842"/>
      <c r="D1255" s="1834"/>
      <c r="E1255" s="1835"/>
      <c r="F1255" s="1843"/>
      <c r="G1255" s="1844"/>
      <c r="H1255" s="1848"/>
      <c r="I1255" s="1847" t="str">
        <f>IF(D1255="","",IF(H1255&lt;&gt;"","CLOSED",IF(G1255="","NO DUE DATE",IF(AND(#REF!&lt;1,#REF!&gt;0),"DUE TODAY",IF(#REF!&gt;1,"OVERDUE",IF(H1255&lt;&gt;"","CLOSED","OPEN"))))))</f>
        <v/>
      </c>
      <c r="J1255" s="1849"/>
    </row>
    <row r="1256" spans="2:10" s="1824" customFormat="1" ht="16.2">
      <c r="B1256" s="1909"/>
      <c r="C1256" s="1842"/>
      <c r="D1256" s="1834"/>
      <c r="E1256" s="1835"/>
      <c r="F1256" s="1843"/>
      <c r="G1256" s="1844"/>
      <c r="H1256" s="1848"/>
      <c r="I1256" s="1847" t="str">
        <f>IF(D1256="","",IF(H1256&lt;&gt;"","CLOSED",IF(G1256="","NO DUE DATE",IF(AND(#REF!&lt;1,#REF!&gt;0),"DUE TODAY",IF(#REF!&gt;1,"OVERDUE",IF(H1256&lt;&gt;"","CLOSED","OPEN"))))))</f>
        <v/>
      </c>
      <c r="J1256" s="1849"/>
    </row>
    <row r="1257" spans="2:10" s="1824" customFormat="1" ht="16.2">
      <c r="B1257" s="1909"/>
      <c r="C1257" s="1842"/>
      <c r="D1257" s="1834"/>
      <c r="E1257" s="1835"/>
      <c r="F1257" s="1843"/>
      <c r="G1257" s="1844"/>
      <c r="H1257" s="1848"/>
      <c r="I1257" s="1847" t="str">
        <f>IF(D1257="","",IF(H1257&lt;&gt;"","CLOSED",IF(G1257="","NO DUE DATE",IF(AND(#REF!&lt;1,#REF!&gt;0),"DUE TODAY",IF(#REF!&gt;1,"OVERDUE",IF(H1257&lt;&gt;"","CLOSED","OPEN"))))))</f>
        <v/>
      </c>
      <c r="J1257" s="1849"/>
    </row>
    <row r="1258" spans="2:10" s="1824" customFormat="1" ht="16.2">
      <c r="B1258" s="1909"/>
      <c r="C1258" s="1842"/>
      <c r="D1258" s="1834"/>
      <c r="E1258" s="1835"/>
      <c r="F1258" s="1843"/>
      <c r="G1258" s="1844"/>
      <c r="H1258" s="1848"/>
      <c r="I1258" s="1847" t="str">
        <f>IF(D1258="","",IF(H1258&lt;&gt;"","CLOSED",IF(G1258="","NO DUE DATE",IF(AND(#REF!&lt;1,#REF!&gt;0),"DUE TODAY",IF(#REF!&gt;1,"OVERDUE",IF(H1258&lt;&gt;"","CLOSED","OPEN"))))))</f>
        <v/>
      </c>
      <c r="J1258" s="1849"/>
    </row>
    <row r="1259" spans="2:10" s="1824" customFormat="1" ht="16.2">
      <c r="B1259" s="1909"/>
      <c r="C1259" s="1842"/>
      <c r="D1259" s="1834"/>
      <c r="E1259" s="1835"/>
      <c r="F1259" s="1843"/>
      <c r="G1259" s="1844"/>
      <c r="H1259" s="1848"/>
      <c r="I1259" s="1847" t="str">
        <f>IF(D1259="","",IF(H1259&lt;&gt;"","CLOSED",IF(G1259="","NO DUE DATE",IF(AND(#REF!&lt;1,#REF!&gt;0),"DUE TODAY",IF(#REF!&gt;1,"OVERDUE",IF(H1259&lt;&gt;"","CLOSED","OPEN"))))))</f>
        <v/>
      </c>
      <c r="J1259" s="1849"/>
    </row>
    <row r="1260" spans="2:10" s="1824" customFormat="1" ht="16.2">
      <c r="B1260" s="1909"/>
      <c r="C1260" s="1842"/>
      <c r="D1260" s="1834"/>
      <c r="E1260" s="1835"/>
      <c r="F1260" s="1843"/>
      <c r="G1260" s="1844"/>
      <c r="H1260" s="1848"/>
      <c r="I1260" s="1847" t="str">
        <f>IF(D1260="","",IF(H1260&lt;&gt;"","CLOSED",IF(G1260="","NO DUE DATE",IF(AND(#REF!&lt;1,#REF!&gt;0),"DUE TODAY",IF(#REF!&gt;1,"OVERDUE",IF(H1260&lt;&gt;"","CLOSED","OPEN"))))))</f>
        <v/>
      </c>
      <c r="J1260" s="1849"/>
    </row>
    <row r="1261" spans="2:10" s="1824" customFormat="1" ht="16.2">
      <c r="B1261" s="1909"/>
      <c r="C1261" s="1842"/>
      <c r="D1261" s="1834"/>
      <c r="E1261" s="1835"/>
      <c r="F1261" s="1843"/>
      <c r="G1261" s="1844"/>
      <c r="H1261" s="1848"/>
      <c r="I1261" s="1847" t="str">
        <f>IF(D1261="","",IF(H1261&lt;&gt;"","CLOSED",IF(G1261="","NO DUE DATE",IF(AND(#REF!&lt;1,#REF!&gt;0),"DUE TODAY",IF(#REF!&gt;1,"OVERDUE",IF(H1261&lt;&gt;"","CLOSED","OPEN"))))))</f>
        <v/>
      </c>
      <c r="J1261" s="1849"/>
    </row>
    <row r="1262" spans="2:10" s="1824" customFormat="1" ht="16.2">
      <c r="B1262" s="1909"/>
      <c r="C1262" s="1842"/>
      <c r="D1262" s="1834"/>
      <c r="E1262" s="1835"/>
      <c r="F1262" s="1843"/>
      <c r="G1262" s="1844"/>
      <c r="H1262" s="1848"/>
      <c r="I1262" s="1847" t="str">
        <f>IF(D1262="","",IF(H1262&lt;&gt;"","CLOSED",IF(G1262="","NO DUE DATE",IF(AND(#REF!&lt;1,#REF!&gt;0),"DUE TODAY",IF(#REF!&gt;1,"OVERDUE",IF(H1262&lt;&gt;"","CLOSED","OPEN"))))))</f>
        <v/>
      </c>
      <c r="J1262" s="1849"/>
    </row>
    <row r="1263" spans="2:10" s="1824" customFormat="1" ht="16.2">
      <c r="B1263" s="1909"/>
      <c r="C1263" s="1842"/>
      <c r="D1263" s="1834"/>
      <c r="E1263" s="1835"/>
      <c r="F1263" s="1843"/>
      <c r="G1263" s="1844"/>
      <c r="H1263" s="1848"/>
      <c r="I1263" s="1847" t="str">
        <f>IF(D1263="","",IF(H1263&lt;&gt;"","CLOSED",IF(G1263="","NO DUE DATE",IF(AND(#REF!&lt;1,#REF!&gt;0),"DUE TODAY",IF(#REF!&gt;1,"OVERDUE",IF(H1263&lt;&gt;"","CLOSED","OPEN"))))))</f>
        <v/>
      </c>
      <c r="J1263" s="1849"/>
    </row>
    <row r="1264" spans="2:10" s="1824" customFormat="1" ht="16.2">
      <c r="B1264" s="1909"/>
      <c r="C1264" s="1842"/>
      <c r="D1264" s="1834"/>
      <c r="E1264" s="1835"/>
      <c r="F1264" s="1843"/>
      <c r="G1264" s="1844"/>
      <c r="H1264" s="1848"/>
      <c r="I1264" s="1847" t="str">
        <f>IF(D1264="","",IF(H1264&lt;&gt;"","CLOSED",IF(G1264="","NO DUE DATE",IF(AND(#REF!&lt;1,#REF!&gt;0),"DUE TODAY",IF(#REF!&gt;1,"OVERDUE",IF(H1264&lt;&gt;"","CLOSED","OPEN"))))))</f>
        <v/>
      </c>
      <c r="J1264" s="1849"/>
    </row>
    <row r="1265" spans="2:10" s="1824" customFormat="1" ht="16.2">
      <c r="B1265" s="1909"/>
      <c r="C1265" s="1842"/>
      <c r="D1265" s="1834"/>
      <c r="E1265" s="1835"/>
      <c r="F1265" s="1843"/>
      <c r="G1265" s="1844"/>
      <c r="H1265" s="1848"/>
      <c r="I1265" s="1847" t="str">
        <f>IF(D1265="","",IF(H1265&lt;&gt;"","CLOSED",IF(G1265="","NO DUE DATE",IF(AND(#REF!&lt;1,#REF!&gt;0),"DUE TODAY",IF(#REF!&gt;1,"OVERDUE",IF(H1265&lt;&gt;"","CLOSED","OPEN"))))))</f>
        <v/>
      </c>
      <c r="J1265" s="1849"/>
    </row>
    <row r="1266" spans="2:10" s="1824" customFormat="1" ht="16.2">
      <c r="B1266" s="1909"/>
      <c r="C1266" s="1842"/>
      <c r="D1266" s="1834"/>
      <c r="E1266" s="1835"/>
      <c r="F1266" s="1843"/>
      <c r="G1266" s="1844"/>
      <c r="H1266" s="1848"/>
      <c r="I1266" s="1847" t="str">
        <f>IF(D1266="","",IF(H1266&lt;&gt;"","CLOSED",IF(G1266="","NO DUE DATE",IF(AND(#REF!&lt;1,#REF!&gt;0),"DUE TODAY",IF(#REF!&gt;1,"OVERDUE",IF(H1266&lt;&gt;"","CLOSED","OPEN"))))))</f>
        <v/>
      </c>
      <c r="J1266" s="1849"/>
    </row>
    <row r="1267" spans="2:10" s="1824" customFormat="1" ht="16.2">
      <c r="B1267" s="1909"/>
      <c r="C1267" s="1842"/>
      <c r="D1267" s="1834"/>
      <c r="E1267" s="1835"/>
      <c r="F1267" s="1843"/>
      <c r="G1267" s="1844"/>
      <c r="H1267" s="1848"/>
      <c r="I1267" s="1847" t="str">
        <f>IF(D1267="","",IF(H1267&lt;&gt;"","CLOSED",IF(G1267="","NO DUE DATE",IF(AND(#REF!&lt;1,#REF!&gt;0),"DUE TODAY",IF(#REF!&gt;1,"OVERDUE",IF(H1267&lt;&gt;"","CLOSED","OPEN"))))))</f>
        <v/>
      </c>
      <c r="J1267" s="1849"/>
    </row>
    <row r="1268" spans="2:10" s="1824" customFormat="1" ht="16.2">
      <c r="B1268" s="1909"/>
      <c r="C1268" s="1842"/>
      <c r="D1268" s="1834"/>
      <c r="E1268" s="1835"/>
      <c r="F1268" s="1843"/>
      <c r="G1268" s="1844"/>
      <c r="H1268" s="1848"/>
      <c r="I1268" s="1847" t="str">
        <f>IF(D1268="","",IF(H1268&lt;&gt;"","CLOSED",IF(G1268="","NO DUE DATE",IF(AND(#REF!&lt;1,#REF!&gt;0),"DUE TODAY",IF(#REF!&gt;1,"OVERDUE",IF(H1268&lt;&gt;"","CLOSED","OPEN"))))))</f>
        <v/>
      </c>
      <c r="J1268" s="1849"/>
    </row>
    <row r="1269" spans="2:10" s="1824" customFormat="1" ht="16.2">
      <c r="B1269" s="1909"/>
      <c r="C1269" s="1842"/>
      <c r="D1269" s="1834"/>
      <c r="E1269" s="1835"/>
      <c r="F1269" s="1843"/>
      <c r="G1269" s="1844"/>
      <c r="H1269" s="1848"/>
      <c r="I1269" s="1847" t="str">
        <f>IF(D1269="","",IF(H1269&lt;&gt;"","CLOSED",IF(G1269="","NO DUE DATE",IF(AND(#REF!&lt;1,#REF!&gt;0),"DUE TODAY",IF(#REF!&gt;1,"OVERDUE",IF(H1269&lt;&gt;"","CLOSED","OPEN"))))))</f>
        <v/>
      </c>
      <c r="J1269" s="1849"/>
    </row>
    <row r="1270" spans="2:10" s="1824" customFormat="1" ht="16.2">
      <c r="B1270" s="1909"/>
      <c r="C1270" s="1842"/>
      <c r="D1270" s="1834"/>
      <c r="E1270" s="1835"/>
      <c r="F1270" s="1843"/>
      <c r="G1270" s="1844"/>
      <c r="H1270" s="1848"/>
      <c r="I1270" s="1847" t="str">
        <f>IF(D1270="","",IF(H1270&lt;&gt;"","CLOSED",IF(G1270="","NO DUE DATE",IF(AND(#REF!&lt;1,#REF!&gt;0),"DUE TODAY",IF(#REF!&gt;1,"OVERDUE",IF(H1270&lt;&gt;"","CLOSED","OPEN"))))))</f>
        <v/>
      </c>
      <c r="J1270" s="1849"/>
    </row>
    <row r="1271" spans="2:10" s="1824" customFormat="1" ht="16.2">
      <c r="B1271" s="1909"/>
      <c r="C1271" s="1842"/>
      <c r="D1271" s="1834"/>
      <c r="E1271" s="1835"/>
      <c r="F1271" s="1843"/>
      <c r="G1271" s="1844"/>
      <c r="H1271" s="1848"/>
      <c r="I1271" s="1847" t="str">
        <f>IF(D1271="","",IF(H1271&lt;&gt;"","CLOSED",IF(G1271="","NO DUE DATE",IF(AND(#REF!&lt;1,#REF!&gt;0),"DUE TODAY",IF(#REF!&gt;1,"OVERDUE",IF(H1271&lt;&gt;"","CLOSED","OPEN"))))))</f>
        <v/>
      </c>
      <c r="J1271" s="1849"/>
    </row>
    <row r="1272" spans="2:10" s="1824" customFormat="1" ht="16.2">
      <c r="B1272" s="1909"/>
      <c r="C1272" s="1842"/>
      <c r="D1272" s="1834"/>
      <c r="E1272" s="1835"/>
      <c r="F1272" s="1843"/>
      <c r="G1272" s="1844"/>
      <c r="H1272" s="1848"/>
      <c r="I1272" s="1847" t="str">
        <f>IF(D1272="","",IF(H1272&lt;&gt;"","CLOSED",IF(G1272="","NO DUE DATE",IF(AND(#REF!&lt;1,#REF!&gt;0),"DUE TODAY",IF(#REF!&gt;1,"OVERDUE",IF(H1272&lt;&gt;"","CLOSED","OPEN"))))))</f>
        <v/>
      </c>
      <c r="J1272" s="1849"/>
    </row>
    <row r="1273" spans="2:10" s="1824" customFormat="1" ht="16.2">
      <c r="B1273" s="1909"/>
      <c r="C1273" s="1842"/>
      <c r="D1273" s="1834"/>
      <c r="E1273" s="1835"/>
      <c r="F1273" s="1843"/>
      <c r="G1273" s="1844"/>
      <c r="H1273" s="1848"/>
      <c r="I1273" s="1847" t="str">
        <f>IF(D1273="","",IF(H1273&lt;&gt;"","CLOSED",IF(G1273="","NO DUE DATE",IF(AND(#REF!&lt;1,#REF!&gt;0),"DUE TODAY",IF(#REF!&gt;1,"OVERDUE",IF(H1273&lt;&gt;"","CLOSED","OPEN"))))))</f>
        <v/>
      </c>
      <c r="J1273" s="1849"/>
    </row>
    <row r="1274" spans="2:10" s="1824" customFormat="1" ht="16.2">
      <c r="B1274" s="1909"/>
      <c r="C1274" s="1842"/>
      <c r="D1274" s="1834"/>
      <c r="E1274" s="1835"/>
      <c r="F1274" s="1843"/>
      <c r="G1274" s="1844"/>
      <c r="H1274" s="1848"/>
      <c r="I1274" s="1847" t="str">
        <f>IF(D1274="","",IF(H1274&lt;&gt;"","CLOSED",IF(G1274="","NO DUE DATE",IF(AND(#REF!&lt;1,#REF!&gt;0),"DUE TODAY",IF(#REF!&gt;1,"OVERDUE",IF(H1274&lt;&gt;"","CLOSED","OPEN"))))))</f>
        <v/>
      </c>
      <c r="J1274" s="1849"/>
    </row>
    <row r="1275" spans="2:10" s="1824" customFormat="1" ht="16.2">
      <c r="B1275" s="1909"/>
      <c r="C1275" s="1842"/>
      <c r="D1275" s="1834"/>
      <c r="E1275" s="1835"/>
      <c r="F1275" s="1843"/>
      <c r="G1275" s="1844"/>
      <c r="H1275" s="1848"/>
      <c r="I1275" s="1847" t="str">
        <f>IF(D1275="","",IF(H1275&lt;&gt;"","CLOSED",IF(G1275="","NO DUE DATE",IF(AND(#REF!&lt;1,#REF!&gt;0),"DUE TODAY",IF(#REF!&gt;1,"OVERDUE",IF(H1275&lt;&gt;"","CLOSED","OPEN"))))))</f>
        <v/>
      </c>
      <c r="J1275" s="1849"/>
    </row>
    <row r="1276" spans="2:10" s="1824" customFormat="1" ht="16.2">
      <c r="B1276" s="1909"/>
      <c r="C1276" s="1842"/>
      <c r="D1276" s="1834"/>
      <c r="E1276" s="1835"/>
      <c r="F1276" s="1843"/>
      <c r="G1276" s="1844"/>
      <c r="H1276" s="1848"/>
      <c r="I1276" s="1847" t="str">
        <f>IF(D1276="","",IF(H1276&lt;&gt;"","CLOSED",IF(G1276="","NO DUE DATE",IF(AND(#REF!&lt;1,#REF!&gt;0),"DUE TODAY",IF(#REF!&gt;1,"OVERDUE",IF(H1276&lt;&gt;"","CLOSED","OPEN"))))))</f>
        <v/>
      </c>
      <c r="J1276" s="1849"/>
    </row>
    <row r="1277" spans="2:10" s="1824" customFormat="1" ht="16.2">
      <c r="B1277" s="1909"/>
      <c r="C1277" s="1842"/>
      <c r="D1277" s="1834"/>
      <c r="E1277" s="1835"/>
      <c r="F1277" s="1843"/>
      <c r="G1277" s="1844"/>
      <c r="H1277" s="1848"/>
      <c r="I1277" s="1847" t="str">
        <f>IF(D1277="","",IF(H1277&lt;&gt;"","CLOSED",IF(G1277="","NO DUE DATE",IF(AND(#REF!&lt;1,#REF!&gt;0),"DUE TODAY",IF(#REF!&gt;1,"OVERDUE",IF(H1277&lt;&gt;"","CLOSED","OPEN"))))))</f>
        <v/>
      </c>
      <c r="J1277" s="1849"/>
    </row>
    <row r="1278" spans="2:10" s="1824" customFormat="1" ht="16.2">
      <c r="B1278" s="1909"/>
      <c r="C1278" s="1842"/>
      <c r="D1278" s="1834"/>
      <c r="E1278" s="1835"/>
      <c r="F1278" s="1843"/>
      <c r="G1278" s="1844"/>
      <c r="H1278" s="1848"/>
      <c r="I1278" s="1847" t="str">
        <f>IF(D1278="","",IF(H1278&lt;&gt;"","CLOSED",IF(G1278="","NO DUE DATE",IF(AND(#REF!&lt;1,#REF!&gt;0),"DUE TODAY",IF(#REF!&gt;1,"OVERDUE",IF(H1278&lt;&gt;"","CLOSED","OPEN"))))))</f>
        <v/>
      </c>
      <c r="J1278" s="1849"/>
    </row>
    <row r="1279" spans="2:10" s="1824" customFormat="1" ht="16.2">
      <c r="B1279" s="1909"/>
      <c r="C1279" s="1842"/>
      <c r="D1279" s="1834"/>
      <c r="E1279" s="1835"/>
      <c r="F1279" s="1843"/>
      <c r="G1279" s="1844"/>
      <c r="H1279" s="1848"/>
      <c r="I1279" s="1847" t="str">
        <f>IF(D1279="","",IF(H1279&lt;&gt;"","CLOSED",IF(G1279="","NO DUE DATE",IF(AND(#REF!&lt;1,#REF!&gt;0),"DUE TODAY",IF(#REF!&gt;1,"OVERDUE",IF(H1279&lt;&gt;"","CLOSED","OPEN"))))))</f>
        <v/>
      </c>
      <c r="J1279" s="1849"/>
    </row>
    <row r="1280" spans="2:10" s="1824" customFormat="1" ht="16.2">
      <c r="B1280" s="1909"/>
      <c r="C1280" s="1842"/>
      <c r="D1280" s="1834"/>
      <c r="E1280" s="1835"/>
      <c r="F1280" s="1843"/>
      <c r="G1280" s="1844"/>
      <c r="H1280" s="1848"/>
      <c r="I1280" s="1847" t="str">
        <f>IF(D1280="","",IF(H1280&lt;&gt;"","CLOSED",IF(G1280="","NO DUE DATE",IF(AND(#REF!&lt;1,#REF!&gt;0),"DUE TODAY",IF(#REF!&gt;1,"OVERDUE",IF(H1280&lt;&gt;"","CLOSED","OPEN"))))))</f>
        <v/>
      </c>
      <c r="J1280" s="1849"/>
    </row>
    <row r="1281" spans="2:10" s="1824" customFormat="1" ht="16.2">
      <c r="B1281" s="1909"/>
      <c r="C1281" s="1842"/>
      <c r="D1281" s="1834"/>
      <c r="E1281" s="1835"/>
      <c r="F1281" s="1843"/>
      <c r="G1281" s="1844"/>
      <c r="H1281" s="1848"/>
      <c r="I1281" s="1847" t="str">
        <f>IF(D1281="","",IF(H1281&lt;&gt;"","CLOSED",IF(G1281="","NO DUE DATE",IF(AND(#REF!&lt;1,#REF!&gt;0),"DUE TODAY",IF(#REF!&gt;1,"OVERDUE",IF(H1281&lt;&gt;"","CLOSED","OPEN"))))))</f>
        <v/>
      </c>
      <c r="J1281" s="1849"/>
    </row>
    <row r="1282" spans="2:10" s="1824" customFormat="1" ht="16.2">
      <c r="B1282" s="1909"/>
      <c r="C1282" s="1842"/>
      <c r="D1282" s="1834"/>
      <c r="E1282" s="1835"/>
      <c r="F1282" s="1843"/>
      <c r="G1282" s="1844"/>
      <c r="H1282" s="1848"/>
      <c r="I1282" s="1847" t="str">
        <f>IF(D1282="","",IF(H1282&lt;&gt;"","CLOSED",IF(G1282="","NO DUE DATE",IF(AND(#REF!&lt;1,#REF!&gt;0),"DUE TODAY",IF(#REF!&gt;1,"OVERDUE",IF(H1282&lt;&gt;"","CLOSED","OPEN"))))))</f>
        <v/>
      </c>
      <c r="J1282" s="1849"/>
    </row>
    <row r="1283" spans="2:10" s="1824" customFormat="1" ht="16.2">
      <c r="B1283" s="1909"/>
      <c r="C1283" s="1842"/>
      <c r="D1283" s="1834"/>
      <c r="E1283" s="1835"/>
      <c r="F1283" s="1843"/>
      <c r="G1283" s="1844"/>
      <c r="H1283" s="1848"/>
      <c r="I1283" s="1847" t="str">
        <f>IF(D1283="","",IF(H1283&lt;&gt;"","CLOSED",IF(G1283="","NO DUE DATE",IF(AND(#REF!&lt;1,#REF!&gt;0),"DUE TODAY",IF(#REF!&gt;1,"OVERDUE",IF(H1283&lt;&gt;"","CLOSED","OPEN"))))))</f>
        <v/>
      </c>
      <c r="J1283" s="1849"/>
    </row>
    <row r="1284" spans="2:10" s="1824" customFormat="1" ht="16.2">
      <c r="B1284" s="1909"/>
      <c r="C1284" s="1842"/>
      <c r="D1284" s="1834"/>
      <c r="E1284" s="1835"/>
      <c r="F1284" s="1843"/>
      <c r="G1284" s="1844"/>
      <c r="H1284" s="1848"/>
      <c r="I1284" s="1847" t="str">
        <f>IF(D1284="","",IF(H1284&lt;&gt;"","CLOSED",IF(G1284="","NO DUE DATE",IF(AND(#REF!&lt;1,#REF!&gt;0),"DUE TODAY",IF(#REF!&gt;1,"OVERDUE",IF(H1284&lt;&gt;"","CLOSED","OPEN"))))))</f>
        <v/>
      </c>
      <c r="J1284" s="1849"/>
    </row>
    <row r="1285" spans="2:10" s="1824" customFormat="1" ht="16.2">
      <c r="B1285" s="1909"/>
      <c r="C1285" s="1842"/>
      <c r="D1285" s="1834"/>
      <c r="E1285" s="1835"/>
      <c r="F1285" s="1843"/>
      <c r="G1285" s="1844"/>
      <c r="H1285" s="1848"/>
      <c r="I1285" s="1847" t="str">
        <f>IF(D1285="","",IF(H1285&lt;&gt;"","CLOSED",IF(G1285="","NO DUE DATE",IF(AND(#REF!&lt;1,#REF!&gt;0),"DUE TODAY",IF(#REF!&gt;1,"OVERDUE",IF(H1285&lt;&gt;"","CLOSED","OPEN"))))))</f>
        <v/>
      </c>
      <c r="J1285" s="1849"/>
    </row>
    <row r="1286" spans="2:10" s="1824" customFormat="1" ht="16.2">
      <c r="B1286" s="1909"/>
      <c r="C1286" s="1842"/>
      <c r="D1286" s="1834"/>
      <c r="E1286" s="1835"/>
      <c r="F1286" s="1843"/>
      <c r="G1286" s="1844"/>
      <c r="H1286" s="1848"/>
      <c r="I1286" s="1847" t="str">
        <f>IF(D1286="","",IF(H1286&lt;&gt;"","CLOSED",IF(G1286="","NO DUE DATE",IF(AND(#REF!&lt;1,#REF!&gt;0),"DUE TODAY",IF(#REF!&gt;1,"OVERDUE",IF(H1286&lt;&gt;"","CLOSED","OPEN"))))))</f>
        <v/>
      </c>
      <c r="J1286" s="1849"/>
    </row>
    <row r="1287" spans="2:10" s="1824" customFormat="1" ht="16.2">
      <c r="B1287" s="1909"/>
      <c r="C1287" s="1842"/>
      <c r="D1287" s="1834"/>
      <c r="E1287" s="1835"/>
      <c r="F1287" s="1843"/>
      <c r="G1287" s="1844"/>
      <c r="H1287" s="1848"/>
      <c r="I1287" s="1847" t="str">
        <f>IF(D1287="","",IF(H1287&lt;&gt;"","CLOSED",IF(G1287="","NO DUE DATE",IF(AND(#REF!&lt;1,#REF!&gt;0),"DUE TODAY",IF(#REF!&gt;1,"OVERDUE",IF(H1287&lt;&gt;"","CLOSED","OPEN"))))))</f>
        <v/>
      </c>
      <c r="J1287" s="1849"/>
    </row>
    <row r="1288" spans="2:10" s="1824" customFormat="1" ht="16.2">
      <c r="B1288" s="1909"/>
      <c r="C1288" s="1842"/>
      <c r="D1288" s="1834"/>
      <c r="E1288" s="1835"/>
      <c r="F1288" s="1843"/>
      <c r="G1288" s="1844"/>
      <c r="H1288" s="1848"/>
      <c r="I1288" s="1847" t="str">
        <f>IF(D1288="","",IF(H1288&lt;&gt;"","CLOSED",IF(G1288="","NO DUE DATE",IF(AND(#REF!&lt;1,#REF!&gt;0),"DUE TODAY",IF(#REF!&gt;1,"OVERDUE",IF(H1288&lt;&gt;"","CLOSED","OPEN"))))))</f>
        <v/>
      </c>
      <c r="J1288" s="1849"/>
    </row>
    <row r="1289" spans="2:10" s="1824" customFormat="1" ht="16.2">
      <c r="B1289" s="1909"/>
      <c r="C1289" s="1842"/>
      <c r="D1289" s="1834"/>
      <c r="E1289" s="1835"/>
      <c r="F1289" s="1843"/>
      <c r="G1289" s="1844"/>
      <c r="H1289" s="1848"/>
      <c r="I1289" s="1847" t="str">
        <f>IF(D1289="","",IF(H1289&lt;&gt;"","CLOSED",IF(G1289="","NO DUE DATE",IF(AND(#REF!&lt;1,#REF!&gt;0),"DUE TODAY",IF(#REF!&gt;1,"OVERDUE",IF(H1289&lt;&gt;"","CLOSED","OPEN"))))))</f>
        <v/>
      </c>
      <c r="J1289" s="1849"/>
    </row>
    <row r="1290" spans="2:10" s="1824" customFormat="1" ht="16.2">
      <c r="B1290" s="1909"/>
      <c r="C1290" s="1842"/>
      <c r="D1290" s="1834"/>
      <c r="E1290" s="1835"/>
      <c r="F1290" s="1843"/>
      <c r="G1290" s="1844"/>
      <c r="H1290" s="1848"/>
      <c r="I1290" s="1847" t="str">
        <f>IF(D1290="","",IF(H1290&lt;&gt;"","CLOSED",IF(G1290="","NO DUE DATE",IF(AND(#REF!&lt;1,#REF!&gt;0),"DUE TODAY",IF(#REF!&gt;1,"OVERDUE",IF(H1290&lt;&gt;"","CLOSED","OPEN"))))))</f>
        <v/>
      </c>
      <c r="J1290" s="1849"/>
    </row>
    <row r="1291" spans="2:10" s="1824" customFormat="1" ht="16.2">
      <c r="B1291" s="1909"/>
      <c r="C1291" s="1842"/>
      <c r="D1291" s="1834"/>
      <c r="E1291" s="1835"/>
      <c r="F1291" s="1843"/>
      <c r="G1291" s="1844"/>
      <c r="H1291" s="1848"/>
      <c r="I1291" s="1847" t="str">
        <f>IF(D1291="","",IF(H1291&lt;&gt;"","CLOSED",IF(G1291="","NO DUE DATE",IF(AND(#REF!&lt;1,#REF!&gt;0),"DUE TODAY",IF(#REF!&gt;1,"OVERDUE",IF(H1291&lt;&gt;"","CLOSED","OPEN"))))))</f>
        <v/>
      </c>
      <c r="J1291" s="1849"/>
    </row>
    <row r="1292" spans="2:10" s="1824" customFormat="1" ht="16.2">
      <c r="B1292" s="1909"/>
      <c r="C1292" s="1842"/>
      <c r="D1292" s="1834"/>
      <c r="E1292" s="1835"/>
      <c r="F1292" s="1843"/>
      <c r="G1292" s="1844"/>
      <c r="H1292" s="1848"/>
      <c r="I1292" s="1847" t="str">
        <f>IF(D1292="","",IF(H1292&lt;&gt;"","CLOSED",IF(G1292="","NO DUE DATE",IF(AND(#REF!&lt;1,#REF!&gt;0),"DUE TODAY",IF(#REF!&gt;1,"OVERDUE",IF(H1292&lt;&gt;"","CLOSED","OPEN"))))))</f>
        <v/>
      </c>
      <c r="J1292" s="1849"/>
    </row>
    <row r="1293" spans="2:10" s="1824" customFormat="1" ht="16.2">
      <c r="B1293" s="1909"/>
      <c r="C1293" s="1842"/>
      <c r="D1293" s="1834"/>
      <c r="E1293" s="1835"/>
      <c r="F1293" s="1843"/>
      <c r="G1293" s="1844"/>
      <c r="H1293" s="1848"/>
      <c r="I1293" s="1847" t="str">
        <f>IF(D1293="","",IF(H1293&lt;&gt;"","CLOSED",IF(G1293="","NO DUE DATE",IF(AND(#REF!&lt;1,#REF!&gt;0),"DUE TODAY",IF(#REF!&gt;1,"OVERDUE",IF(H1293&lt;&gt;"","CLOSED","OPEN"))))))</f>
        <v/>
      </c>
      <c r="J1293" s="1849"/>
    </row>
    <row r="1294" spans="2:10" s="1824" customFormat="1" ht="16.2">
      <c r="B1294" s="1909"/>
      <c r="C1294" s="1842"/>
      <c r="D1294" s="1834"/>
      <c r="E1294" s="1835"/>
      <c r="F1294" s="1843"/>
      <c r="G1294" s="1844"/>
      <c r="H1294" s="1848"/>
      <c r="I1294" s="1847" t="str">
        <f>IF(D1294="","",IF(H1294&lt;&gt;"","CLOSED",IF(G1294="","NO DUE DATE",IF(AND(#REF!&lt;1,#REF!&gt;0),"DUE TODAY",IF(#REF!&gt;1,"OVERDUE",IF(H1294&lt;&gt;"","CLOSED","OPEN"))))))</f>
        <v/>
      </c>
      <c r="J1294" s="1849"/>
    </row>
    <row r="1295" spans="2:10" s="1824" customFormat="1" ht="16.2">
      <c r="B1295" s="1909"/>
      <c r="C1295" s="1842"/>
      <c r="D1295" s="1834"/>
      <c r="E1295" s="1835"/>
      <c r="F1295" s="1843"/>
      <c r="G1295" s="1844"/>
      <c r="H1295" s="1848"/>
      <c r="I1295" s="1847" t="str">
        <f>IF(D1295="","",IF(H1295&lt;&gt;"","CLOSED",IF(G1295="","NO DUE DATE",IF(AND(#REF!&lt;1,#REF!&gt;0),"DUE TODAY",IF(#REF!&gt;1,"OVERDUE",IF(H1295&lt;&gt;"","CLOSED","OPEN"))))))</f>
        <v/>
      </c>
      <c r="J1295" s="1849"/>
    </row>
    <row r="1296" spans="2:10" s="1824" customFormat="1" ht="16.2">
      <c r="B1296" s="1909"/>
      <c r="C1296" s="1842"/>
      <c r="D1296" s="1834"/>
      <c r="E1296" s="1835"/>
      <c r="F1296" s="1843"/>
      <c r="G1296" s="1844"/>
      <c r="H1296" s="1848"/>
      <c r="I1296" s="1847" t="str">
        <f>IF(D1296="","",IF(H1296&lt;&gt;"","CLOSED",IF(G1296="","NO DUE DATE",IF(AND(#REF!&lt;1,#REF!&gt;0),"DUE TODAY",IF(#REF!&gt;1,"OVERDUE",IF(H1296&lt;&gt;"","CLOSED","OPEN"))))))</f>
        <v/>
      </c>
      <c r="J1296" s="1849"/>
    </row>
    <row r="1297" spans="2:10" s="1824" customFormat="1" ht="16.2">
      <c r="B1297" s="1909"/>
      <c r="C1297" s="1842"/>
      <c r="D1297" s="1834"/>
      <c r="E1297" s="1835"/>
      <c r="F1297" s="1843"/>
      <c r="G1297" s="1844"/>
      <c r="H1297" s="1848"/>
      <c r="I1297" s="1847" t="str">
        <f>IF(D1297="","",IF(H1297&lt;&gt;"","CLOSED",IF(G1297="","NO DUE DATE",IF(AND(#REF!&lt;1,#REF!&gt;0),"DUE TODAY",IF(#REF!&gt;1,"OVERDUE",IF(H1297&lt;&gt;"","CLOSED","OPEN"))))))</f>
        <v/>
      </c>
      <c r="J1297" s="1849"/>
    </row>
    <row r="1298" spans="2:10" s="1824" customFormat="1" ht="16.2">
      <c r="B1298" s="1909"/>
      <c r="C1298" s="1842"/>
      <c r="D1298" s="1834"/>
      <c r="E1298" s="1835"/>
      <c r="F1298" s="1843"/>
      <c r="G1298" s="1844"/>
      <c r="H1298" s="1848"/>
      <c r="I1298" s="1847" t="str">
        <f>IF(D1298="","",IF(H1298&lt;&gt;"","CLOSED",IF(G1298="","NO DUE DATE",IF(AND(#REF!&lt;1,#REF!&gt;0),"DUE TODAY",IF(#REF!&gt;1,"OVERDUE",IF(H1298&lt;&gt;"","CLOSED","OPEN"))))))</f>
        <v/>
      </c>
      <c r="J1298" s="1849"/>
    </row>
    <row r="1299" spans="2:10" s="1824" customFormat="1" ht="16.2">
      <c r="B1299" s="1909"/>
      <c r="C1299" s="1842"/>
      <c r="D1299" s="1834"/>
      <c r="E1299" s="1835"/>
      <c r="F1299" s="1843"/>
      <c r="G1299" s="1844"/>
      <c r="H1299" s="1848"/>
      <c r="I1299" s="1847" t="str">
        <f>IF(D1299="","",IF(H1299&lt;&gt;"","CLOSED",IF(G1299="","NO DUE DATE",IF(AND(#REF!&lt;1,#REF!&gt;0),"DUE TODAY",IF(#REF!&gt;1,"OVERDUE",IF(H1299&lt;&gt;"","CLOSED","OPEN"))))))</f>
        <v/>
      </c>
      <c r="J1299" s="1849"/>
    </row>
    <row r="1300" spans="2:10" s="1824" customFormat="1" ht="16.2">
      <c r="B1300" s="1909"/>
      <c r="C1300" s="1842"/>
      <c r="D1300" s="1834"/>
      <c r="E1300" s="1835"/>
      <c r="F1300" s="1843"/>
      <c r="G1300" s="1844"/>
      <c r="H1300" s="1848"/>
      <c r="I1300" s="1847" t="str">
        <f>IF(D1300="","",IF(H1300&lt;&gt;"","CLOSED",IF(G1300="","NO DUE DATE",IF(AND(#REF!&lt;1,#REF!&gt;0),"DUE TODAY",IF(#REF!&gt;1,"OVERDUE",IF(H1300&lt;&gt;"","CLOSED","OPEN"))))))</f>
        <v/>
      </c>
      <c r="J1300" s="1849"/>
    </row>
    <row r="1301" spans="2:10" s="1824" customFormat="1" ht="16.2">
      <c r="B1301" s="1909"/>
      <c r="C1301" s="1842"/>
      <c r="D1301" s="1834"/>
      <c r="E1301" s="1835"/>
      <c r="F1301" s="1843"/>
      <c r="G1301" s="1844"/>
      <c r="H1301" s="1848"/>
      <c r="I1301" s="1847" t="str">
        <f>IF(D1301="","",IF(H1301&lt;&gt;"","CLOSED",IF(G1301="","NO DUE DATE",IF(AND(#REF!&lt;1,#REF!&gt;0),"DUE TODAY",IF(#REF!&gt;1,"OVERDUE",IF(H1301&lt;&gt;"","CLOSED","OPEN"))))))</f>
        <v/>
      </c>
      <c r="J1301" s="1849"/>
    </row>
    <row r="1302" spans="2:10" s="1824" customFormat="1" ht="16.2">
      <c r="B1302" s="1909"/>
      <c r="C1302" s="1842"/>
      <c r="D1302" s="1834"/>
      <c r="E1302" s="1835"/>
      <c r="F1302" s="1843"/>
      <c r="G1302" s="1844"/>
      <c r="H1302" s="1848"/>
      <c r="I1302" s="1847" t="str">
        <f>IF(D1302="","",IF(H1302&lt;&gt;"","CLOSED",IF(G1302="","NO DUE DATE",IF(AND(#REF!&lt;1,#REF!&gt;0),"DUE TODAY",IF(#REF!&gt;1,"OVERDUE",IF(H1302&lt;&gt;"","CLOSED","OPEN"))))))</f>
        <v/>
      </c>
      <c r="J1302" s="1849"/>
    </row>
    <row r="1303" spans="2:10" s="1824" customFormat="1" ht="16.2">
      <c r="B1303" s="1909"/>
      <c r="C1303" s="1842"/>
      <c r="D1303" s="1834"/>
      <c r="E1303" s="1835"/>
      <c r="F1303" s="1843"/>
      <c r="G1303" s="1844"/>
      <c r="H1303" s="1848"/>
      <c r="I1303" s="1847" t="str">
        <f>IF(D1303="","",IF(H1303&lt;&gt;"","CLOSED",IF(G1303="","NO DUE DATE",IF(AND(#REF!&lt;1,#REF!&gt;0),"DUE TODAY",IF(#REF!&gt;1,"OVERDUE",IF(H1303&lt;&gt;"","CLOSED","OPEN"))))))</f>
        <v/>
      </c>
      <c r="J1303" s="1849"/>
    </row>
    <row r="1304" spans="2:10" s="1824" customFormat="1" ht="16.2">
      <c r="B1304" s="1909"/>
      <c r="C1304" s="1842"/>
      <c r="D1304" s="1834"/>
      <c r="E1304" s="1835"/>
      <c r="F1304" s="1843"/>
      <c r="G1304" s="1844"/>
      <c r="H1304" s="1848"/>
      <c r="I1304" s="1847" t="str">
        <f>IF(D1304="","",IF(H1304&lt;&gt;"","CLOSED",IF(G1304="","NO DUE DATE",IF(AND(#REF!&lt;1,#REF!&gt;0),"DUE TODAY",IF(#REF!&gt;1,"OVERDUE",IF(H1304&lt;&gt;"","CLOSED","OPEN"))))))</f>
        <v/>
      </c>
      <c r="J1304" s="1849"/>
    </row>
    <row r="1305" spans="2:10" s="1824" customFormat="1" ht="16.2">
      <c r="B1305" s="1909"/>
      <c r="C1305" s="1842"/>
      <c r="D1305" s="1834"/>
      <c r="E1305" s="1835"/>
      <c r="F1305" s="1843"/>
      <c r="G1305" s="1844"/>
      <c r="H1305" s="1848"/>
      <c r="I1305" s="1847" t="str">
        <f>IF(D1305="","",IF(H1305&lt;&gt;"","CLOSED",IF(G1305="","NO DUE DATE",IF(AND(#REF!&lt;1,#REF!&gt;0),"DUE TODAY",IF(#REF!&gt;1,"OVERDUE",IF(H1305&lt;&gt;"","CLOSED","OPEN"))))))</f>
        <v/>
      </c>
      <c r="J1305" s="1849"/>
    </row>
    <row r="1306" spans="2:10" s="1824" customFormat="1" ht="16.2">
      <c r="B1306" s="1909"/>
      <c r="C1306" s="1842"/>
      <c r="D1306" s="1834"/>
      <c r="E1306" s="1835"/>
      <c r="F1306" s="1843"/>
      <c r="G1306" s="1844"/>
      <c r="H1306" s="1848"/>
      <c r="I1306" s="1847" t="str">
        <f>IF(D1306="","",IF(H1306&lt;&gt;"","CLOSED",IF(G1306="","NO DUE DATE",IF(AND(#REF!&lt;1,#REF!&gt;0),"DUE TODAY",IF(#REF!&gt;1,"OVERDUE",IF(H1306&lt;&gt;"","CLOSED","OPEN"))))))</f>
        <v/>
      </c>
      <c r="J1306" s="1849"/>
    </row>
    <row r="1307" spans="2:10" s="1824" customFormat="1" ht="16.2">
      <c r="B1307" s="1909"/>
      <c r="C1307" s="1842"/>
      <c r="D1307" s="1834"/>
      <c r="E1307" s="1835"/>
      <c r="F1307" s="1843"/>
      <c r="G1307" s="1844"/>
      <c r="H1307" s="1848"/>
      <c r="I1307" s="1847" t="str">
        <f>IF(D1307="","",IF(H1307&lt;&gt;"","CLOSED",IF(G1307="","NO DUE DATE",IF(AND(#REF!&lt;1,#REF!&gt;0),"DUE TODAY",IF(#REF!&gt;1,"OVERDUE",IF(H1307&lt;&gt;"","CLOSED","OPEN"))))))</f>
        <v/>
      </c>
      <c r="J1307" s="1849"/>
    </row>
    <row r="1308" spans="2:10" s="1824" customFormat="1" ht="16.2">
      <c r="B1308" s="1909"/>
      <c r="C1308" s="1842"/>
      <c r="D1308" s="1834"/>
      <c r="E1308" s="1835"/>
      <c r="F1308" s="1843"/>
      <c r="G1308" s="1844"/>
      <c r="H1308" s="1848"/>
      <c r="I1308" s="1847" t="str">
        <f>IF(D1308="","",IF(H1308&lt;&gt;"","CLOSED",IF(G1308="","NO DUE DATE",IF(AND(#REF!&lt;1,#REF!&gt;0),"DUE TODAY",IF(#REF!&gt;1,"OVERDUE",IF(H1308&lt;&gt;"","CLOSED","OPEN"))))))</f>
        <v/>
      </c>
      <c r="J1308" s="1849"/>
    </row>
    <row r="1309" spans="2:10" s="1824" customFormat="1" ht="16.2">
      <c r="B1309" s="1909"/>
      <c r="C1309" s="1842"/>
      <c r="D1309" s="1834"/>
      <c r="E1309" s="1835"/>
      <c r="F1309" s="1843"/>
      <c r="G1309" s="1844"/>
      <c r="H1309" s="1848"/>
      <c r="I1309" s="1847" t="str">
        <f>IF(D1309="","",IF(H1309&lt;&gt;"","CLOSED",IF(G1309="","NO DUE DATE",IF(AND(#REF!&lt;1,#REF!&gt;0),"DUE TODAY",IF(#REF!&gt;1,"OVERDUE",IF(H1309&lt;&gt;"","CLOSED","OPEN"))))))</f>
        <v/>
      </c>
      <c r="J1309" s="1849"/>
    </row>
    <row r="1310" spans="2:10" s="1824" customFormat="1" ht="16.2">
      <c r="B1310" s="1909"/>
      <c r="C1310" s="1842"/>
      <c r="D1310" s="1834"/>
      <c r="E1310" s="1835"/>
      <c r="F1310" s="1843"/>
      <c r="G1310" s="1844"/>
      <c r="H1310" s="1848"/>
      <c r="I1310" s="1847" t="str">
        <f>IF(D1310="","",IF(H1310&lt;&gt;"","CLOSED",IF(G1310="","NO DUE DATE",IF(AND(#REF!&lt;1,#REF!&gt;0),"DUE TODAY",IF(#REF!&gt;1,"OVERDUE",IF(H1310&lt;&gt;"","CLOSED","OPEN"))))))</f>
        <v/>
      </c>
      <c r="J1310" s="1849"/>
    </row>
    <row r="1311" spans="2:10" s="1824" customFormat="1" ht="16.2">
      <c r="B1311" s="1909"/>
      <c r="C1311" s="1842"/>
      <c r="D1311" s="1834"/>
      <c r="E1311" s="1835"/>
      <c r="F1311" s="1843"/>
      <c r="G1311" s="1844"/>
      <c r="H1311" s="1848"/>
      <c r="I1311" s="1847" t="str">
        <f>IF(D1311="","",IF(H1311&lt;&gt;"","CLOSED",IF(G1311="","NO DUE DATE",IF(AND(#REF!&lt;1,#REF!&gt;0),"DUE TODAY",IF(#REF!&gt;1,"OVERDUE",IF(H1311&lt;&gt;"","CLOSED","OPEN"))))))</f>
        <v/>
      </c>
      <c r="J1311" s="1849"/>
    </row>
    <row r="1312" spans="2:10" s="1824" customFormat="1" ht="16.2">
      <c r="B1312" s="1909"/>
      <c r="C1312" s="1842"/>
      <c r="D1312" s="1834"/>
      <c r="E1312" s="1835"/>
      <c r="F1312" s="1843"/>
      <c r="G1312" s="1844"/>
      <c r="H1312" s="1848"/>
      <c r="I1312" s="1847" t="str">
        <f>IF(D1312="","",IF(H1312&lt;&gt;"","CLOSED",IF(G1312="","NO DUE DATE",IF(AND(#REF!&lt;1,#REF!&gt;0),"DUE TODAY",IF(#REF!&gt;1,"OVERDUE",IF(H1312&lt;&gt;"","CLOSED","OPEN"))))))</f>
        <v/>
      </c>
      <c r="J1312" s="1849"/>
    </row>
    <row r="1313" spans="2:10" s="1824" customFormat="1" ht="16.2">
      <c r="B1313" s="1909"/>
      <c r="C1313" s="1842"/>
      <c r="D1313" s="1834"/>
      <c r="E1313" s="1835"/>
      <c r="F1313" s="1843"/>
      <c r="G1313" s="1844"/>
      <c r="H1313" s="1848"/>
      <c r="I1313" s="1847" t="str">
        <f>IF(D1313="","",IF(H1313&lt;&gt;"","CLOSED",IF(G1313="","NO DUE DATE",IF(AND(#REF!&lt;1,#REF!&gt;0),"DUE TODAY",IF(#REF!&gt;1,"OVERDUE",IF(H1313&lt;&gt;"","CLOSED","OPEN"))))))</f>
        <v/>
      </c>
      <c r="J1313" s="1849"/>
    </row>
    <row r="1314" spans="2:10" s="1824" customFormat="1" ht="16.2">
      <c r="B1314" s="1909"/>
      <c r="C1314" s="1842"/>
      <c r="D1314" s="1834"/>
      <c r="E1314" s="1835"/>
      <c r="F1314" s="1843"/>
      <c r="G1314" s="1844"/>
      <c r="H1314" s="1848"/>
      <c r="I1314" s="1847" t="str">
        <f>IF(D1314="","",IF(H1314&lt;&gt;"","CLOSED",IF(G1314="","NO DUE DATE",IF(AND(#REF!&lt;1,#REF!&gt;0),"DUE TODAY",IF(#REF!&gt;1,"OVERDUE",IF(H1314&lt;&gt;"","CLOSED","OPEN"))))))</f>
        <v/>
      </c>
      <c r="J1314" s="1849"/>
    </row>
    <row r="1315" spans="2:10" s="1824" customFormat="1" ht="16.2">
      <c r="B1315" s="1909"/>
      <c r="C1315" s="1842"/>
      <c r="D1315" s="1834"/>
      <c r="E1315" s="1835"/>
      <c r="F1315" s="1843"/>
      <c r="G1315" s="1844"/>
      <c r="H1315" s="1848"/>
      <c r="I1315" s="1847" t="str">
        <f>IF(D1315="","",IF(H1315&lt;&gt;"","CLOSED",IF(G1315="","NO DUE DATE",IF(AND(#REF!&lt;1,#REF!&gt;0),"DUE TODAY",IF(#REF!&gt;1,"OVERDUE",IF(H1315&lt;&gt;"","CLOSED","OPEN"))))))</f>
        <v/>
      </c>
      <c r="J1315" s="1849"/>
    </row>
    <row r="1316" spans="2:10" s="1824" customFormat="1" ht="16.2">
      <c r="B1316" s="1909"/>
      <c r="C1316" s="1842"/>
      <c r="D1316" s="1834"/>
      <c r="E1316" s="1835"/>
      <c r="F1316" s="1843"/>
      <c r="G1316" s="1844"/>
      <c r="H1316" s="1848"/>
      <c r="I1316" s="1847" t="str">
        <f>IF(D1316="","",IF(H1316&lt;&gt;"","CLOSED",IF(G1316="","NO DUE DATE",IF(AND(#REF!&lt;1,#REF!&gt;0),"DUE TODAY",IF(#REF!&gt;1,"OVERDUE",IF(H1316&lt;&gt;"","CLOSED","OPEN"))))))</f>
        <v/>
      </c>
      <c r="J1316" s="1849"/>
    </row>
    <row r="1317" spans="2:10" s="1824" customFormat="1" ht="16.2">
      <c r="B1317" s="1909"/>
      <c r="C1317" s="1842"/>
      <c r="D1317" s="1834"/>
      <c r="E1317" s="1835"/>
      <c r="F1317" s="1843"/>
      <c r="G1317" s="1844"/>
      <c r="H1317" s="1848"/>
      <c r="I1317" s="1847" t="str">
        <f>IF(D1317="","",IF(H1317&lt;&gt;"","CLOSED",IF(G1317="","NO DUE DATE",IF(AND(#REF!&lt;1,#REF!&gt;0),"DUE TODAY",IF(#REF!&gt;1,"OVERDUE",IF(H1317&lt;&gt;"","CLOSED","OPEN"))))))</f>
        <v/>
      </c>
      <c r="J1317" s="1849"/>
    </row>
    <row r="1318" spans="2:10" s="1824" customFormat="1" ht="16.2">
      <c r="B1318" s="1909"/>
      <c r="C1318" s="1842"/>
      <c r="D1318" s="1834"/>
      <c r="E1318" s="1835"/>
      <c r="F1318" s="1843"/>
      <c r="G1318" s="1844"/>
      <c r="H1318" s="1848"/>
      <c r="I1318" s="1847" t="str">
        <f>IF(D1318="","",IF(H1318&lt;&gt;"","CLOSED",IF(G1318="","NO DUE DATE",IF(AND(#REF!&lt;1,#REF!&gt;0),"DUE TODAY",IF(#REF!&gt;1,"OVERDUE",IF(H1318&lt;&gt;"","CLOSED","OPEN"))))))</f>
        <v/>
      </c>
      <c r="J1318" s="1849"/>
    </row>
    <row r="1319" spans="2:10" s="1824" customFormat="1" ht="16.2">
      <c r="B1319" s="1909"/>
      <c r="C1319" s="1842"/>
      <c r="D1319" s="1834"/>
      <c r="E1319" s="1835"/>
      <c r="F1319" s="1843"/>
      <c r="G1319" s="1844"/>
      <c r="H1319" s="1848"/>
      <c r="I1319" s="1847" t="str">
        <f>IF(D1319="","",IF(H1319&lt;&gt;"","CLOSED",IF(G1319="","NO DUE DATE",IF(AND(#REF!&lt;1,#REF!&gt;0),"DUE TODAY",IF(#REF!&gt;1,"OVERDUE",IF(H1319&lt;&gt;"","CLOSED","OPEN"))))))</f>
        <v/>
      </c>
      <c r="J1319" s="1849"/>
    </row>
    <row r="1320" spans="2:10" s="1824" customFormat="1" ht="16.2">
      <c r="B1320" s="1909"/>
      <c r="C1320" s="1842"/>
      <c r="D1320" s="1834"/>
      <c r="E1320" s="1835"/>
      <c r="F1320" s="1843"/>
      <c r="G1320" s="1844"/>
      <c r="H1320" s="1848"/>
      <c r="I1320" s="1847" t="str">
        <f>IF(D1320="","",IF(H1320&lt;&gt;"","CLOSED",IF(G1320="","NO DUE DATE",IF(AND(#REF!&lt;1,#REF!&gt;0),"DUE TODAY",IF(#REF!&gt;1,"OVERDUE",IF(H1320&lt;&gt;"","CLOSED","OPEN"))))))</f>
        <v/>
      </c>
      <c r="J1320" s="1849"/>
    </row>
    <row r="1321" spans="2:10" s="1824" customFormat="1" ht="16.2">
      <c r="B1321" s="1909"/>
      <c r="C1321" s="1842"/>
      <c r="D1321" s="1834"/>
      <c r="E1321" s="1835"/>
      <c r="F1321" s="1843"/>
      <c r="G1321" s="1844"/>
      <c r="H1321" s="1848"/>
      <c r="I1321" s="1847" t="str">
        <f>IF(D1321="","",IF(H1321&lt;&gt;"","CLOSED",IF(G1321="","NO DUE DATE",IF(AND(#REF!&lt;1,#REF!&gt;0),"DUE TODAY",IF(#REF!&gt;1,"OVERDUE",IF(H1321&lt;&gt;"","CLOSED","OPEN"))))))</f>
        <v/>
      </c>
      <c r="J1321" s="1849"/>
    </row>
    <row r="1322" spans="2:10" s="1824" customFormat="1" ht="16.2">
      <c r="B1322" s="1909"/>
      <c r="C1322" s="1842"/>
      <c r="D1322" s="1834"/>
      <c r="E1322" s="1835"/>
      <c r="F1322" s="1843"/>
      <c r="G1322" s="1844"/>
      <c r="H1322" s="1848"/>
      <c r="I1322" s="1847" t="str">
        <f>IF(D1322="","",IF(H1322&lt;&gt;"","CLOSED",IF(G1322="","NO DUE DATE",IF(AND(#REF!&lt;1,#REF!&gt;0),"DUE TODAY",IF(#REF!&gt;1,"OVERDUE",IF(H1322&lt;&gt;"","CLOSED","OPEN"))))))</f>
        <v/>
      </c>
      <c r="J1322" s="1849"/>
    </row>
    <row r="1323" spans="2:10" s="1824" customFormat="1" ht="16.2">
      <c r="B1323" s="1909"/>
      <c r="C1323" s="1842"/>
      <c r="D1323" s="1834"/>
      <c r="E1323" s="1835"/>
      <c r="F1323" s="1843"/>
      <c r="G1323" s="1844"/>
      <c r="H1323" s="1848"/>
      <c r="I1323" s="1847" t="str">
        <f>IF(D1323="","",IF(H1323&lt;&gt;"","CLOSED",IF(G1323="","NO DUE DATE",IF(AND(#REF!&lt;1,#REF!&gt;0),"DUE TODAY",IF(#REF!&gt;1,"OVERDUE",IF(H1323&lt;&gt;"","CLOSED","OPEN"))))))</f>
        <v/>
      </c>
      <c r="J1323" s="1849"/>
    </row>
    <row r="1324" spans="2:10" s="1824" customFormat="1" ht="16.2">
      <c r="B1324" s="1909"/>
      <c r="C1324" s="1842"/>
      <c r="D1324" s="1834"/>
      <c r="E1324" s="1835"/>
      <c r="F1324" s="1843"/>
      <c r="G1324" s="1844"/>
      <c r="H1324" s="1848"/>
      <c r="I1324" s="1847" t="str">
        <f>IF(D1324="","",IF(H1324&lt;&gt;"","CLOSED",IF(G1324="","NO DUE DATE",IF(AND(#REF!&lt;1,#REF!&gt;0),"DUE TODAY",IF(#REF!&gt;1,"OVERDUE",IF(H1324&lt;&gt;"","CLOSED","OPEN"))))))</f>
        <v/>
      </c>
      <c r="J1324" s="1849"/>
    </row>
    <row r="1325" spans="2:10" s="1824" customFormat="1" ht="16.2">
      <c r="B1325" s="1909"/>
      <c r="C1325" s="1842"/>
      <c r="D1325" s="1834"/>
      <c r="E1325" s="1835"/>
      <c r="F1325" s="1843"/>
      <c r="G1325" s="1844"/>
      <c r="H1325" s="1848"/>
      <c r="I1325" s="1847" t="str">
        <f>IF(D1325="","",IF(H1325&lt;&gt;"","CLOSED",IF(G1325="","NO DUE DATE",IF(AND(#REF!&lt;1,#REF!&gt;0),"DUE TODAY",IF(#REF!&gt;1,"OVERDUE",IF(H1325&lt;&gt;"","CLOSED","OPEN"))))))</f>
        <v/>
      </c>
      <c r="J1325" s="1849"/>
    </row>
    <row r="1326" spans="2:10" s="1824" customFormat="1" ht="16.2">
      <c r="B1326" s="1909"/>
      <c r="C1326" s="1842"/>
      <c r="D1326" s="1834"/>
      <c r="E1326" s="1835"/>
      <c r="F1326" s="1843"/>
      <c r="G1326" s="1844"/>
      <c r="H1326" s="1848"/>
      <c r="I1326" s="1847" t="str">
        <f>IF(D1326="","",IF(H1326&lt;&gt;"","CLOSED",IF(G1326="","NO DUE DATE",IF(AND(#REF!&lt;1,#REF!&gt;0),"DUE TODAY",IF(#REF!&gt;1,"OVERDUE",IF(H1326&lt;&gt;"","CLOSED","OPEN"))))))</f>
        <v/>
      </c>
      <c r="J1326" s="1849"/>
    </row>
    <row r="1327" spans="2:10" s="1824" customFormat="1" ht="16.2">
      <c r="B1327" s="1909"/>
      <c r="C1327" s="1842"/>
      <c r="D1327" s="1834"/>
      <c r="E1327" s="1835"/>
      <c r="F1327" s="1843"/>
      <c r="G1327" s="1844"/>
      <c r="H1327" s="1848"/>
      <c r="I1327" s="1847" t="str">
        <f>IF(D1327="","",IF(H1327&lt;&gt;"","CLOSED",IF(G1327="","NO DUE DATE",IF(AND(#REF!&lt;1,#REF!&gt;0),"DUE TODAY",IF(#REF!&gt;1,"OVERDUE",IF(H1327&lt;&gt;"","CLOSED","OPEN"))))))</f>
        <v/>
      </c>
      <c r="J1327" s="1849"/>
    </row>
    <row r="1328" spans="2:10" s="1824" customFormat="1" ht="16.2">
      <c r="B1328" s="1909"/>
      <c r="C1328" s="1842"/>
      <c r="D1328" s="1834"/>
      <c r="E1328" s="1835"/>
      <c r="F1328" s="1843"/>
      <c r="G1328" s="1844"/>
      <c r="H1328" s="1848"/>
      <c r="I1328" s="1847" t="str">
        <f>IF(D1328="","",IF(H1328&lt;&gt;"","CLOSED",IF(G1328="","NO DUE DATE",IF(AND(#REF!&lt;1,#REF!&gt;0),"DUE TODAY",IF(#REF!&gt;1,"OVERDUE",IF(H1328&lt;&gt;"","CLOSED","OPEN"))))))</f>
        <v/>
      </c>
      <c r="J1328" s="1849"/>
    </row>
    <row r="1329" spans="2:10" s="1824" customFormat="1" ht="16.2">
      <c r="B1329" s="1909"/>
      <c r="C1329" s="1842"/>
      <c r="D1329" s="1834"/>
      <c r="E1329" s="1835"/>
      <c r="F1329" s="1843"/>
      <c r="G1329" s="1844"/>
      <c r="H1329" s="1848"/>
      <c r="I1329" s="1847" t="str">
        <f>IF(D1329="","",IF(H1329&lt;&gt;"","CLOSED",IF(G1329="","NO DUE DATE",IF(AND(#REF!&lt;1,#REF!&gt;0),"DUE TODAY",IF(#REF!&gt;1,"OVERDUE",IF(H1329&lt;&gt;"","CLOSED","OPEN"))))))</f>
        <v/>
      </c>
      <c r="J1329" s="1849"/>
    </row>
    <row r="1330" spans="2:10" s="1824" customFormat="1" ht="16.2">
      <c r="B1330" s="1909"/>
      <c r="C1330" s="1842"/>
      <c r="D1330" s="1834"/>
      <c r="E1330" s="1835"/>
      <c r="F1330" s="1843"/>
      <c r="G1330" s="1844"/>
      <c r="H1330" s="1848"/>
      <c r="I1330" s="1847" t="str">
        <f>IF(D1330="","",IF(H1330&lt;&gt;"","CLOSED",IF(G1330="","NO DUE DATE",IF(AND(#REF!&lt;1,#REF!&gt;0),"DUE TODAY",IF(#REF!&gt;1,"OVERDUE",IF(H1330&lt;&gt;"","CLOSED","OPEN"))))))</f>
        <v/>
      </c>
      <c r="J1330" s="1849"/>
    </row>
    <row r="1331" spans="2:10" s="1824" customFormat="1" ht="16.2">
      <c r="B1331" s="1909"/>
      <c r="C1331" s="1842"/>
      <c r="D1331" s="1834"/>
      <c r="E1331" s="1835"/>
      <c r="F1331" s="1843"/>
      <c r="G1331" s="1844"/>
      <c r="H1331" s="1848"/>
      <c r="I1331" s="1847" t="str">
        <f>IF(D1331="","",IF(H1331&lt;&gt;"","CLOSED",IF(G1331="","NO DUE DATE",IF(AND(#REF!&lt;1,#REF!&gt;0),"DUE TODAY",IF(#REF!&gt;1,"OVERDUE",IF(H1331&lt;&gt;"","CLOSED","OPEN"))))))</f>
        <v/>
      </c>
      <c r="J1331" s="1849"/>
    </row>
    <row r="1332" spans="2:10" s="1824" customFormat="1" ht="16.2">
      <c r="B1332" s="1909"/>
      <c r="C1332" s="1842"/>
      <c r="D1332" s="1834"/>
      <c r="E1332" s="1835"/>
      <c r="F1332" s="1843"/>
      <c r="G1332" s="1844"/>
      <c r="H1332" s="1848"/>
      <c r="I1332" s="1847" t="str">
        <f>IF(D1332="","",IF(H1332&lt;&gt;"","CLOSED",IF(G1332="","NO DUE DATE",IF(AND(#REF!&lt;1,#REF!&gt;0),"DUE TODAY",IF(#REF!&gt;1,"OVERDUE",IF(H1332&lt;&gt;"","CLOSED","OPEN"))))))</f>
        <v/>
      </c>
      <c r="J1332" s="1849"/>
    </row>
    <row r="1333" spans="2:10" s="1824" customFormat="1" ht="16.2">
      <c r="B1333" s="1909"/>
      <c r="C1333" s="1842"/>
      <c r="D1333" s="1834"/>
      <c r="E1333" s="1835"/>
      <c r="F1333" s="1843"/>
      <c r="G1333" s="1844"/>
      <c r="H1333" s="1848"/>
      <c r="I1333" s="1847" t="str">
        <f>IF(D1333="","",IF(H1333&lt;&gt;"","CLOSED",IF(G1333="","NO DUE DATE",IF(AND(#REF!&lt;1,#REF!&gt;0),"DUE TODAY",IF(#REF!&gt;1,"OVERDUE",IF(H1333&lt;&gt;"","CLOSED","OPEN"))))))</f>
        <v/>
      </c>
      <c r="J1333" s="1849"/>
    </row>
    <row r="1334" spans="2:10" s="1824" customFormat="1" ht="16.2">
      <c r="B1334" s="1909"/>
      <c r="C1334" s="1842"/>
      <c r="D1334" s="1834"/>
      <c r="E1334" s="1835"/>
      <c r="F1334" s="1843"/>
      <c r="G1334" s="1844"/>
      <c r="H1334" s="1848"/>
      <c r="I1334" s="1847" t="str">
        <f>IF(D1334="","",IF(H1334&lt;&gt;"","CLOSED",IF(G1334="","NO DUE DATE",IF(AND(#REF!&lt;1,#REF!&gt;0),"DUE TODAY",IF(#REF!&gt;1,"OVERDUE",IF(H1334&lt;&gt;"","CLOSED","OPEN"))))))</f>
        <v/>
      </c>
      <c r="J1334" s="1849"/>
    </row>
    <row r="1335" spans="2:10" s="1824" customFormat="1" ht="16.2">
      <c r="B1335" s="1909"/>
      <c r="C1335" s="1842"/>
      <c r="D1335" s="1834"/>
      <c r="E1335" s="1835"/>
      <c r="F1335" s="1843"/>
      <c r="G1335" s="1844"/>
      <c r="H1335" s="1848"/>
      <c r="I1335" s="1847" t="str">
        <f>IF(D1335="","",IF(H1335&lt;&gt;"","CLOSED",IF(G1335="","NO DUE DATE",IF(AND(#REF!&lt;1,#REF!&gt;0),"DUE TODAY",IF(#REF!&gt;1,"OVERDUE",IF(H1335&lt;&gt;"","CLOSED","OPEN"))))))</f>
        <v/>
      </c>
      <c r="J1335" s="1849"/>
    </row>
    <row r="1336" spans="2:10" s="1824" customFormat="1" ht="16.2">
      <c r="B1336" s="1909"/>
      <c r="C1336" s="1842"/>
      <c r="D1336" s="1834"/>
      <c r="E1336" s="1835"/>
      <c r="F1336" s="1843"/>
      <c r="G1336" s="1844"/>
      <c r="H1336" s="1848"/>
      <c r="I1336" s="1847" t="str">
        <f>IF(D1336="","",IF(H1336&lt;&gt;"","CLOSED",IF(G1336="","NO DUE DATE",IF(AND(#REF!&lt;1,#REF!&gt;0),"DUE TODAY",IF(#REF!&gt;1,"OVERDUE",IF(H1336&lt;&gt;"","CLOSED","OPEN"))))))</f>
        <v/>
      </c>
      <c r="J1336" s="1849"/>
    </row>
    <row r="1337" spans="2:10" s="1824" customFormat="1" ht="16.2">
      <c r="B1337" s="1909"/>
      <c r="C1337" s="1842"/>
      <c r="D1337" s="1834"/>
      <c r="E1337" s="1835"/>
      <c r="F1337" s="1843"/>
      <c r="G1337" s="1844"/>
      <c r="H1337" s="1848"/>
      <c r="I1337" s="1847" t="str">
        <f>IF(D1337="","",IF(H1337&lt;&gt;"","CLOSED",IF(G1337="","NO DUE DATE",IF(AND(#REF!&lt;1,#REF!&gt;0),"DUE TODAY",IF(#REF!&gt;1,"OVERDUE",IF(H1337&lt;&gt;"","CLOSED","OPEN"))))))</f>
        <v/>
      </c>
      <c r="J1337" s="1849"/>
    </row>
    <row r="1338" spans="2:10" s="1824" customFormat="1" ht="16.2">
      <c r="B1338" s="1909"/>
      <c r="C1338" s="1842"/>
      <c r="D1338" s="1834"/>
      <c r="E1338" s="1835"/>
      <c r="F1338" s="1843"/>
      <c r="G1338" s="1844"/>
      <c r="H1338" s="1848"/>
      <c r="I1338" s="1847" t="str">
        <f>IF(D1338="","",IF(H1338&lt;&gt;"","CLOSED",IF(G1338="","NO DUE DATE",IF(AND(#REF!&lt;1,#REF!&gt;0),"DUE TODAY",IF(#REF!&gt;1,"OVERDUE",IF(H1338&lt;&gt;"","CLOSED","OPEN"))))))</f>
        <v/>
      </c>
      <c r="J1338" s="1849"/>
    </row>
    <row r="1339" spans="2:10" s="1824" customFormat="1" ht="16.2">
      <c r="B1339" s="1909"/>
      <c r="C1339" s="1842"/>
      <c r="D1339" s="1834"/>
      <c r="E1339" s="1835"/>
      <c r="F1339" s="1843"/>
      <c r="G1339" s="1844"/>
      <c r="H1339" s="1848"/>
      <c r="I1339" s="1847" t="str">
        <f>IF(D1339="","",IF(H1339&lt;&gt;"","CLOSED",IF(G1339="","NO DUE DATE",IF(AND(#REF!&lt;1,#REF!&gt;0),"DUE TODAY",IF(#REF!&gt;1,"OVERDUE",IF(H1339&lt;&gt;"","CLOSED","OPEN"))))))</f>
        <v/>
      </c>
      <c r="J1339" s="1849"/>
    </row>
    <row r="1340" spans="2:10" s="1824" customFormat="1" ht="16.2">
      <c r="B1340" s="1909"/>
      <c r="C1340" s="1842"/>
      <c r="D1340" s="1834"/>
      <c r="E1340" s="1835"/>
      <c r="F1340" s="1843"/>
      <c r="G1340" s="1844"/>
      <c r="H1340" s="1848"/>
      <c r="I1340" s="1847" t="str">
        <f>IF(D1340="","",IF(H1340&lt;&gt;"","CLOSED",IF(G1340="","NO DUE DATE",IF(AND(#REF!&lt;1,#REF!&gt;0),"DUE TODAY",IF(#REF!&gt;1,"OVERDUE",IF(H1340&lt;&gt;"","CLOSED","OPEN"))))))</f>
        <v/>
      </c>
      <c r="J1340" s="1849"/>
    </row>
    <row r="1341" spans="2:10" s="1824" customFormat="1" ht="16.2">
      <c r="B1341" s="1909"/>
      <c r="C1341" s="1842"/>
      <c r="D1341" s="1834"/>
      <c r="E1341" s="1835"/>
      <c r="F1341" s="1843"/>
      <c r="G1341" s="1844"/>
      <c r="H1341" s="1848"/>
      <c r="I1341" s="1847" t="str">
        <f>IF(D1341="","",IF(H1341&lt;&gt;"","CLOSED",IF(G1341="","NO DUE DATE",IF(AND(#REF!&lt;1,#REF!&gt;0),"DUE TODAY",IF(#REF!&gt;1,"OVERDUE",IF(H1341&lt;&gt;"","CLOSED","OPEN"))))))</f>
        <v/>
      </c>
      <c r="J1341" s="1849"/>
    </row>
    <row r="1342" spans="2:10" s="1824" customFormat="1" ht="16.2">
      <c r="B1342" s="1909"/>
      <c r="C1342" s="1842"/>
      <c r="D1342" s="1834"/>
      <c r="E1342" s="1835"/>
      <c r="F1342" s="1843"/>
      <c r="G1342" s="1844"/>
      <c r="H1342" s="1848"/>
      <c r="I1342" s="1847" t="str">
        <f>IF(D1342="","",IF(H1342&lt;&gt;"","CLOSED",IF(G1342="","NO DUE DATE",IF(AND(#REF!&lt;1,#REF!&gt;0),"DUE TODAY",IF(#REF!&gt;1,"OVERDUE",IF(H1342&lt;&gt;"","CLOSED","OPEN"))))))</f>
        <v/>
      </c>
      <c r="J1342" s="1849"/>
    </row>
    <row r="1343" spans="2:10" s="1824" customFormat="1" ht="16.2">
      <c r="B1343" s="1909"/>
      <c r="C1343" s="1842"/>
      <c r="D1343" s="1834"/>
      <c r="E1343" s="1835"/>
      <c r="F1343" s="1843"/>
      <c r="G1343" s="1844"/>
      <c r="H1343" s="1848"/>
      <c r="I1343" s="1847" t="str">
        <f>IF(D1343="","",IF(H1343&lt;&gt;"","CLOSED",IF(G1343="","NO DUE DATE",IF(AND(#REF!&lt;1,#REF!&gt;0),"DUE TODAY",IF(#REF!&gt;1,"OVERDUE",IF(H1343&lt;&gt;"","CLOSED","OPEN"))))))</f>
        <v/>
      </c>
      <c r="J1343" s="1849"/>
    </row>
    <row r="1344" spans="2:10" s="1824" customFormat="1" ht="16.2">
      <c r="B1344" s="1909"/>
      <c r="C1344" s="1842"/>
      <c r="D1344" s="1834"/>
      <c r="E1344" s="1835"/>
      <c r="F1344" s="1843"/>
      <c r="G1344" s="1844"/>
      <c r="H1344" s="1848"/>
      <c r="I1344" s="1847" t="str">
        <f>IF(D1344="","",IF(H1344&lt;&gt;"","CLOSED",IF(G1344="","NO DUE DATE",IF(AND(#REF!&lt;1,#REF!&gt;0),"DUE TODAY",IF(#REF!&gt;1,"OVERDUE",IF(H1344&lt;&gt;"","CLOSED","OPEN"))))))</f>
        <v/>
      </c>
      <c r="J1344" s="1849"/>
    </row>
    <row r="1345" spans="2:10" s="1824" customFormat="1" ht="16.2">
      <c r="B1345" s="1909"/>
      <c r="C1345" s="1842"/>
      <c r="D1345" s="1834"/>
      <c r="E1345" s="1835"/>
      <c r="F1345" s="1843"/>
      <c r="G1345" s="1844"/>
      <c r="H1345" s="1848"/>
      <c r="I1345" s="1847" t="str">
        <f>IF(D1345="","",IF(H1345&lt;&gt;"","CLOSED",IF(G1345="","NO DUE DATE",IF(AND(#REF!&lt;1,#REF!&gt;0),"DUE TODAY",IF(#REF!&gt;1,"OVERDUE",IF(H1345&lt;&gt;"","CLOSED","OPEN"))))))</f>
        <v/>
      </c>
      <c r="J1345" s="1849"/>
    </row>
    <row r="1346" spans="2:10" s="1824" customFormat="1" ht="16.2">
      <c r="B1346" s="1909"/>
      <c r="C1346" s="1842"/>
      <c r="D1346" s="1834"/>
      <c r="E1346" s="1835"/>
      <c r="F1346" s="1843"/>
      <c r="G1346" s="1844"/>
      <c r="H1346" s="1848"/>
      <c r="I1346" s="1847" t="str">
        <f>IF(D1346="","",IF(H1346&lt;&gt;"","CLOSED",IF(G1346="","NO DUE DATE",IF(AND(#REF!&lt;1,#REF!&gt;0),"DUE TODAY",IF(#REF!&gt;1,"OVERDUE",IF(H1346&lt;&gt;"","CLOSED","OPEN"))))))</f>
        <v/>
      </c>
      <c r="J1346" s="1849"/>
    </row>
    <row r="1347" spans="2:10" s="1824" customFormat="1" ht="16.2">
      <c r="B1347" s="1909"/>
      <c r="C1347" s="1842"/>
      <c r="D1347" s="1834"/>
      <c r="E1347" s="1835"/>
      <c r="F1347" s="1843"/>
      <c r="G1347" s="1844"/>
      <c r="H1347" s="1848"/>
      <c r="I1347" s="1847" t="str">
        <f>IF(D1347="","",IF(H1347&lt;&gt;"","CLOSED",IF(G1347="","NO DUE DATE",IF(AND(#REF!&lt;1,#REF!&gt;0),"DUE TODAY",IF(#REF!&gt;1,"OVERDUE",IF(H1347&lt;&gt;"","CLOSED","OPEN"))))))</f>
        <v/>
      </c>
      <c r="J1347" s="1849"/>
    </row>
    <row r="1348" spans="2:10" s="1824" customFormat="1" ht="16.2">
      <c r="B1348" s="1909"/>
      <c r="C1348" s="1842"/>
      <c r="D1348" s="1834"/>
      <c r="E1348" s="1835"/>
      <c r="F1348" s="1843"/>
      <c r="G1348" s="1844"/>
      <c r="H1348" s="1848"/>
      <c r="I1348" s="1847" t="str">
        <f>IF(D1348="","",IF(H1348&lt;&gt;"","CLOSED",IF(G1348="","NO DUE DATE",IF(AND(#REF!&lt;1,#REF!&gt;0),"DUE TODAY",IF(#REF!&gt;1,"OVERDUE",IF(H1348&lt;&gt;"","CLOSED","OPEN"))))))</f>
        <v/>
      </c>
      <c r="J1348" s="1849"/>
    </row>
    <row r="1349" spans="2:10" s="1824" customFormat="1" ht="16.2">
      <c r="B1349" s="1909"/>
      <c r="C1349" s="1842"/>
      <c r="D1349" s="1834"/>
      <c r="E1349" s="1835"/>
      <c r="F1349" s="1843"/>
      <c r="G1349" s="1844"/>
      <c r="H1349" s="1848"/>
      <c r="I1349" s="1847" t="str">
        <f>IF(D1349="","",IF(H1349&lt;&gt;"","CLOSED",IF(G1349="","NO DUE DATE",IF(AND(#REF!&lt;1,#REF!&gt;0),"DUE TODAY",IF(#REF!&gt;1,"OVERDUE",IF(H1349&lt;&gt;"","CLOSED","OPEN"))))))</f>
        <v/>
      </c>
      <c r="J1349" s="1849"/>
    </row>
    <row r="1350" spans="2:10" s="1824" customFormat="1" ht="16.2">
      <c r="B1350" s="1909"/>
      <c r="C1350" s="1842"/>
      <c r="D1350" s="1834"/>
      <c r="E1350" s="1835"/>
      <c r="F1350" s="1843"/>
      <c r="G1350" s="1844"/>
      <c r="H1350" s="1848"/>
      <c r="I1350" s="1847" t="str">
        <f>IF(D1350="","",IF(H1350&lt;&gt;"","CLOSED",IF(G1350="","NO DUE DATE",IF(AND(#REF!&lt;1,#REF!&gt;0),"DUE TODAY",IF(#REF!&gt;1,"OVERDUE",IF(H1350&lt;&gt;"","CLOSED","OPEN"))))))</f>
        <v/>
      </c>
      <c r="J1350" s="1849"/>
    </row>
    <row r="1351" spans="2:10" s="1824" customFormat="1" ht="16.2">
      <c r="B1351" s="1909"/>
      <c r="C1351" s="1842"/>
      <c r="D1351" s="1834"/>
      <c r="E1351" s="1835"/>
      <c r="F1351" s="1843"/>
      <c r="G1351" s="1844"/>
      <c r="H1351" s="1848"/>
      <c r="I1351" s="1847" t="str">
        <f>IF(D1351="","",IF(H1351&lt;&gt;"","CLOSED",IF(G1351="","NO DUE DATE",IF(AND(#REF!&lt;1,#REF!&gt;0),"DUE TODAY",IF(#REF!&gt;1,"OVERDUE",IF(H1351&lt;&gt;"","CLOSED","OPEN"))))))</f>
        <v/>
      </c>
      <c r="J1351" s="1849"/>
    </row>
    <row r="1352" spans="2:10" s="1824" customFormat="1" ht="16.2">
      <c r="B1352" s="1909"/>
      <c r="C1352" s="1842"/>
      <c r="D1352" s="1834"/>
      <c r="E1352" s="1835"/>
      <c r="F1352" s="1843"/>
      <c r="G1352" s="1844"/>
      <c r="H1352" s="1848"/>
      <c r="I1352" s="1847" t="str">
        <f>IF(D1352="","",IF(H1352&lt;&gt;"","CLOSED",IF(G1352="","NO DUE DATE",IF(AND(#REF!&lt;1,#REF!&gt;0),"DUE TODAY",IF(#REF!&gt;1,"OVERDUE",IF(H1352&lt;&gt;"","CLOSED","OPEN"))))))</f>
        <v/>
      </c>
      <c r="J1352" s="1849"/>
    </row>
    <row r="1353" spans="2:10" s="1824" customFormat="1" ht="16.2">
      <c r="B1353" s="1909"/>
      <c r="C1353" s="1842"/>
      <c r="D1353" s="1834"/>
      <c r="E1353" s="1835"/>
      <c r="F1353" s="1843"/>
      <c r="G1353" s="1844"/>
      <c r="H1353" s="1848"/>
      <c r="I1353" s="1847" t="str">
        <f>IF(D1353="","",IF(H1353&lt;&gt;"","CLOSED",IF(G1353="","NO DUE DATE",IF(AND(#REF!&lt;1,#REF!&gt;0),"DUE TODAY",IF(#REF!&gt;1,"OVERDUE",IF(H1353&lt;&gt;"","CLOSED","OPEN"))))))</f>
        <v/>
      </c>
      <c r="J1353" s="1849"/>
    </row>
    <row r="1354" spans="2:10" s="1824" customFormat="1" ht="16.2">
      <c r="B1354" s="1909"/>
      <c r="C1354" s="1842"/>
      <c r="D1354" s="1834"/>
      <c r="E1354" s="1835"/>
      <c r="F1354" s="1843"/>
      <c r="G1354" s="1844"/>
      <c r="H1354" s="1848"/>
      <c r="I1354" s="1847" t="str">
        <f>IF(D1354="","",IF(H1354&lt;&gt;"","CLOSED",IF(G1354="","NO DUE DATE",IF(AND(#REF!&lt;1,#REF!&gt;0),"DUE TODAY",IF(#REF!&gt;1,"OVERDUE",IF(H1354&lt;&gt;"","CLOSED","OPEN"))))))</f>
        <v/>
      </c>
      <c r="J1354" s="1849"/>
    </row>
    <row r="1355" spans="2:10" s="1824" customFormat="1" ht="16.2">
      <c r="B1355" s="1909"/>
      <c r="C1355" s="1842"/>
      <c r="D1355" s="1834"/>
      <c r="E1355" s="1835"/>
      <c r="F1355" s="1843"/>
      <c r="G1355" s="1844"/>
      <c r="H1355" s="1848"/>
      <c r="I1355" s="1847" t="str">
        <f>IF(D1355="","",IF(H1355&lt;&gt;"","CLOSED",IF(G1355="","NO DUE DATE",IF(AND(#REF!&lt;1,#REF!&gt;0),"DUE TODAY",IF(#REF!&gt;1,"OVERDUE",IF(H1355&lt;&gt;"","CLOSED","OPEN"))))))</f>
        <v/>
      </c>
      <c r="J1355" s="1849"/>
    </row>
    <row r="1356" spans="2:10" s="1824" customFormat="1" ht="16.2">
      <c r="B1356" s="1909"/>
      <c r="C1356" s="1842"/>
      <c r="D1356" s="1834"/>
      <c r="E1356" s="1835"/>
      <c r="F1356" s="1843"/>
      <c r="G1356" s="1844"/>
      <c r="H1356" s="1848"/>
      <c r="I1356" s="1847" t="str">
        <f>IF(D1356="","",IF(H1356&lt;&gt;"","CLOSED",IF(G1356="","NO DUE DATE",IF(AND(#REF!&lt;1,#REF!&gt;0),"DUE TODAY",IF(#REF!&gt;1,"OVERDUE",IF(H1356&lt;&gt;"","CLOSED","OPEN"))))))</f>
        <v/>
      </c>
      <c r="J1356" s="1849"/>
    </row>
    <row r="1357" spans="2:10" s="1824" customFormat="1" ht="16.2">
      <c r="B1357" s="1909"/>
      <c r="C1357" s="1842"/>
      <c r="D1357" s="1834"/>
      <c r="E1357" s="1835"/>
      <c r="F1357" s="1843"/>
      <c r="G1357" s="1844"/>
      <c r="H1357" s="1848"/>
      <c r="I1357" s="1847" t="str">
        <f>IF(D1357="","",IF(H1357&lt;&gt;"","CLOSED",IF(G1357="","NO DUE DATE",IF(AND(#REF!&lt;1,#REF!&gt;0),"DUE TODAY",IF(#REF!&gt;1,"OVERDUE",IF(H1357&lt;&gt;"","CLOSED","OPEN"))))))</f>
        <v/>
      </c>
      <c r="J1357" s="1849"/>
    </row>
    <row r="1358" spans="2:10" s="1824" customFormat="1" ht="16.2">
      <c r="B1358" s="1909"/>
      <c r="C1358" s="1842"/>
      <c r="D1358" s="1834"/>
      <c r="E1358" s="1835"/>
      <c r="F1358" s="1843"/>
      <c r="G1358" s="1844"/>
      <c r="H1358" s="1848"/>
      <c r="I1358" s="1847" t="str">
        <f>IF(D1358="","",IF(H1358&lt;&gt;"","CLOSED",IF(G1358="","NO DUE DATE",IF(AND(#REF!&lt;1,#REF!&gt;0),"DUE TODAY",IF(#REF!&gt;1,"OVERDUE",IF(H1358&lt;&gt;"","CLOSED","OPEN"))))))</f>
        <v/>
      </c>
      <c r="J1358" s="1849"/>
    </row>
    <row r="1359" spans="2:10" s="1824" customFormat="1" ht="16.2">
      <c r="B1359" s="1909"/>
      <c r="C1359" s="1842"/>
      <c r="D1359" s="1834"/>
      <c r="E1359" s="1835"/>
      <c r="F1359" s="1843"/>
      <c r="G1359" s="1844"/>
      <c r="H1359" s="1848"/>
      <c r="I1359" s="1847" t="str">
        <f>IF(D1359="","",IF(H1359&lt;&gt;"","CLOSED",IF(G1359="","NO DUE DATE",IF(AND(#REF!&lt;1,#REF!&gt;0),"DUE TODAY",IF(#REF!&gt;1,"OVERDUE",IF(H1359&lt;&gt;"","CLOSED","OPEN"))))))</f>
        <v/>
      </c>
      <c r="J1359" s="1849"/>
    </row>
    <row r="1360" spans="2:10" s="1824" customFormat="1" ht="16.2">
      <c r="B1360" s="1909"/>
      <c r="C1360" s="1842"/>
      <c r="D1360" s="1834"/>
      <c r="E1360" s="1835"/>
      <c r="F1360" s="1843"/>
      <c r="G1360" s="1844"/>
      <c r="H1360" s="1848"/>
      <c r="I1360" s="1847" t="str">
        <f>IF(D1360="","",IF(H1360&lt;&gt;"","CLOSED",IF(G1360="","NO DUE DATE",IF(AND(#REF!&lt;1,#REF!&gt;0),"DUE TODAY",IF(#REF!&gt;1,"OVERDUE",IF(H1360&lt;&gt;"","CLOSED","OPEN"))))))</f>
        <v/>
      </c>
      <c r="J1360" s="1849"/>
    </row>
    <row r="1361" spans="2:10" s="1824" customFormat="1" ht="16.2">
      <c r="B1361" s="1909"/>
      <c r="C1361" s="1842"/>
      <c r="D1361" s="1834"/>
      <c r="E1361" s="1835"/>
      <c r="F1361" s="1843"/>
      <c r="G1361" s="1844"/>
      <c r="H1361" s="1848"/>
      <c r="I1361" s="1847" t="str">
        <f>IF(D1361="","",IF(H1361&lt;&gt;"","CLOSED",IF(G1361="","NO DUE DATE",IF(AND(#REF!&lt;1,#REF!&gt;0),"DUE TODAY",IF(#REF!&gt;1,"OVERDUE",IF(H1361&lt;&gt;"","CLOSED","OPEN"))))))</f>
        <v/>
      </c>
      <c r="J1361" s="1849"/>
    </row>
    <row r="1362" spans="2:10" s="1824" customFormat="1" ht="16.2">
      <c r="B1362" s="1909"/>
      <c r="C1362" s="1842"/>
      <c r="D1362" s="1834"/>
      <c r="E1362" s="1835"/>
      <c r="F1362" s="1843"/>
      <c r="G1362" s="1844"/>
      <c r="H1362" s="1848"/>
      <c r="I1362" s="1847" t="str">
        <f>IF(D1362="","",IF(H1362&lt;&gt;"","CLOSED",IF(G1362="","NO DUE DATE",IF(AND(#REF!&lt;1,#REF!&gt;0),"DUE TODAY",IF(#REF!&gt;1,"OVERDUE",IF(H1362&lt;&gt;"","CLOSED","OPEN"))))))</f>
        <v/>
      </c>
      <c r="J1362" s="1849"/>
    </row>
    <row r="1363" spans="2:10" s="1824" customFormat="1" ht="16.2">
      <c r="B1363" s="1909"/>
      <c r="C1363" s="1842"/>
      <c r="D1363" s="1834"/>
      <c r="E1363" s="1835"/>
      <c r="F1363" s="1843"/>
      <c r="G1363" s="1844"/>
      <c r="H1363" s="1848"/>
      <c r="I1363" s="1847" t="str">
        <f>IF(D1363="","",IF(H1363&lt;&gt;"","CLOSED",IF(G1363="","NO DUE DATE",IF(AND(#REF!&lt;1,#REF!&gt;0),"DUE TODAY",IF(#REF!&gt;1,"OVERDUE",IF(H1363&lt;&gt;"","CLOSED","OPEN"))))))</f>
        <v/>
      </c>
      <c r="J1363" s="1849"/>
    </row>
    <row r="1364" spans="2:10" s="1824" customFormat="1" ht="16.2">
      <c r="B1364" s="1909"/>
      <c r="C1364" s="1842"/>
      <c r="D1364" s="1834"/>
      <c r="E1364" s="1835"/>
      <c r="F1364" s="1843"/>
      <c r="G1364" s="1844"/>
      <c r="H1364" s="1848"/>
      <c r="I1364" s="1847" t="str">
        <f>IF(D1364="","",IF(H1364&lt;&gt;"","CLOSED",IF(G1364="","NO DUE DATE",IF(AND(#REF!&lt;1,#REF!&gt;0),"DUE TODAY",IF(#REF!&gt;1,"OVERDUE",IF(H1364&lt;&gt;"","CLOSED","OPEN"))))))</f>
        <v/>
      </c>
      <c r="J1364" s="1849"/>
    </row>
    <row r="1365" spans="2:10" s="1824" customFormat="1" ht="16.2">
      <c r="B1365" s="1909"/>
      <c r="C1365" s="1842"/>
      <c r="D1365" s="1834"/>
      <c r="E1365" s="1835"/>
      <c r="F1365" s="1843"/>
      <c r="G1365" s="1844"/>
      <c r="H1365" s="1848"/>
      <c r="I1365" s="1847" t="str">
        <f>IF(D1365="","",IF(H1365&lt;&gt;"","CLOSED",IF(G1365="","NO DUE DATE",IF(AND(#REF!&lt;1,#REF!&gt;0),"DUE TODAY",IF(#REF!&gt;1,"OVERDUE",IF(H1365&lt;&gt;"","CLOSED","OPEN"))))))</f>
        <v/>
      </c>
      <c r="J1365" s="1849"/>
    </row>
    <row r="1366" spans="2:10" s="1824" customFormat="1" ht="16.2">
      <c r="B1366" s="1909"/>
      <c r="C1366" s="1842"/>
      <c r="D1366" s="1834"/>
      <c r="E1366" s="1835"/>
      <c r="F1366" s="1843"/>
      <c r="G1366" s="1844"/>
      <c r="H1366" s="1848"/>
      <c r="I1366" s="1847" t="str">
        <f>IF(D1366="","",IF(H1366&lt;&gt;"","CLOSED",IF(G1366="","NO DUE DATE",IF(AND(#REF!&lt;1,#REF!&gt;0),"DUE TODAY",IF(#REF!&gt;1,"OVERDUE",IF(H1366&lt;&gt;"","CLOSED","OPEN"))))))</f>
        <v/>
      </c>
      <c r="J1366" s="1849"/>
    </row>
    <row r="1367" spans="2:10" s="1824" customFormat="1" ht="16.2">
      <c r="B1367" s="1909"/>
      <c r="C1367" s="1842"/>
      <c r="D1367" s="1834"/>
      <c r="E1367" s="1835"/>
      <c r="F1367" s="1843"/>
      <c r="G1367" s="1844"/>
      <c r="H1367" s="1848"/>
      <c r="I1367" s="1847" t="str">
        <f>IF(D1367="","",IF(H1367&lt;&gt;"","CLOSED",IF(G1367="","NO DUE DATE",IF(AND(#REF!&lt;1,#REF!&gt;0),"DUE TODAY",IF(#REF!&gt;1,"OVERDUE",IF(H1367&lt;&gt;"","CLOSED","OPEN"))))))</f>
        <v/>
      </c>
      <c r="J1367" s="1849"/>
    </row>
    <row r="1368" spans="2:10" s="1824" customFormat="1" ht="16.2">
      <c r="B1368" s="1909"/>
      <c r="C1368" s="1842"/>
      <c r="D1368" s="1834"/>
      <c r="E1368" s="1835"/>
      <c r="F1368" s="1843"/>
      <c r="G1368" s="1844"/>
      <c r="H1368" s="1848"/>
      <c r="I1368" s="1847" t="str">
        <f>IF(D1368="","",IF(H1368&lt;&gt;"","CLOSED",IF(G1368="","NO DUE DATE",IF(AND(#REF!&lt;1,#REF!&gt;0),"DUE TODAY",IF(#REF!&gt;1,"OVERDUE",IF(H1368&lt;&gt;"","CLOSED","OPEN"))))))</f>
        <v/>
      </c>
      <c r="J1368" s="1849"/>
    </row>
    <row r="1369" spans="2:10" s="1824" customFormat="1" ht="16.2">
      <c r="B1369" s="1909"/>
      <c r="C1369" s="1842"/>
      <c r="D1369" s="1834"/>
      <c r="E1369" s="1835"/>
      <c r="F1369" s="1843"/>
      <c r="G1369" s="1844"/>
      <c r="H1369" s="1848"/>
      <c r="I1369" s="1847" t="str">
        <f>IF(D1369="","",IF(H1369&lt;&gt;"","CLOSED",IF(G1369="","NO DUE DATE",IF(AND(#REF!&lt;1,#REF!&gt;0),"DUE TODAY",IF(#REF!&gt;1,"OVERDUE",IF(H1369&lt;&gt;"","CLOSED","OPEN"))))))</f>
        <v/>
      </c>
      <c r="J1369" s="1849"/>
    </row>
    <row r="1370" spans="2:10" s="1824" customFormat="1" ht="16.2">
      <c r="B1370" s="1909"/>
      <c r="C1370" s="1842"/>
      <c r="D1370" s="1834"/>
      <c r="E1370" s="1835"/>
      <c r="F1370" s="1843"/>
      <c r="G1370" s="1844"/>
      <c r="H1370" s="1848"/>
      <c r="I1370" s="1847" t="str">
        <f>IF(D1370="","",IF(H1370&lt;&gt;"","CLOSED",IF(G1370="","NO DUE DATE",IF(AND(#REF!&lt;1,#REF!&gt;0),"DUE TODAY",IF(#REF!&gt;1,"OVERDUE",IF(H1370&lt;&gt;"","CLOSED","OPEN"))))))</f>
        <v/>
      </c>
      <c r="J1370" s="1849"/>
    </row>
    <row r="1371" spans="2:10" s="1824" customFormat="1" ht="16.2">
      <c r="B1371" s="1909"/>
      <c r="C1371" s="1842"/>
      <c r="D1371" s="1834"/>
      <c r="E1371" s="1835"/>
      <c r="F1371" s="1843"/>
      <c r="G1371" s="1844"/>
      <c r="H1371" s="1848"/>
      <c r="I1371" s="1847" t="str">
        <f>IF(D1371="","",IF(H1371&lt;&gt;"","CLOSED",IF(G1371="","NO DUE DATE",IF(AND(#REF!&lt;1,#REF!&gt;0),"DUE TODAY",IF(#REF!&gt;1,"OVERDUE",IF(H1371&lt;&gt;"","CLOSED","OPEN"))))))</f>
        <v/>
      </c>
      <c r="J1371" s="1849"/>
    </row>
    <row r="1372" spans="2:10" s="1824" customFormat="1" ht="16.2">
      <c r="B1372" s="1909"/>
      <c r="C1372" s="1842"/>
      <c r="D1372" s="1834"/>
      <c r="E1372" s="1835"/>
      <c r="F1372" s="1843"/>
      <c r="G1372" s="1844"/>
      <c r="H1372" s="1848"/>
      <c r="I1372" s="1847" t="str">
        <f>IF(D1372="","",IF(H1372&lt;&gt;"","CLOSED",IF(G1372="","NO DUE DATE",IF(AND(#REF!&lt;1,#REF!&gt;0),"DUE TODAY",IF(#REF!&gt;1,"OVERDUE",IF(H1372&lt;&gt;"","CLOSED","OPEN"))))))</f>
        <v/>
      </c>
      <c r="J1372" s="1849"/>
    </row>
    <row r="1373" spans="2:10" s="1824" customFormat="1" ht="16.2">
      <c r="B1373" s="1909"/>
      <c r="C1373" s="1842"/>
      <c r="D1373" s="1834"/>
      <c r="E1373" s="1835"/>
      <c r="F1373" s="1843"/>
      <c r="G1373" s="1844"/>
      <c r="H1373" s="1848"/>
      <c r="I1373" s="1847" t="str">
        <f>IF(D1373="","",IF(H1373&lt;&gt;"","CLOSED",IF(G1373="","NO DUE DATE",IF(AND(#REF!&lt;1,#REF!&gt;0),"DUE TODAY",IF(#REF!&gt;1,"OVERDUE",IF(H1373&lt;&gt;"","CLOSED","OPEN"))))))</f>
        <v/>
      </c>
      <c r="J1373" s="1849"/>
    </row>
    <row r="1374" spans="2:10" s="1824" customFormat="1" ht="16.2">
      <c r="B1374" s="1909"/>
      <c r="C1374" s="1842"/>
      <c r="D1374" s="1834"/>
      <c r="E1374" s="1835"/>
      <c r="F1374" s="1843"/>
      <c r="G1374" s="1844"/>
      <c r="H1374" s="1848"/>
      <c r="I1374" s="1847" t="str">
        <f>IF(D1374="","",IF(H1374&lt;&gt;"","CLOSED",IF(G1374="","NO DUE DATE",IF(AND(#REF!&lt;1,#REF!&gt;0),"DUE TODAY",IF(#REF!&gt;1,"OVERDUE",IF(H1374&lt;&gt;"","CLOSED","OPEN"))))))</f>
        <v/>
      </c>
      <c r="J1374" s="1849"/>
    </row>
    <row r="1375" spans="2:10" s="1824" customFormat="1" ht="16.2">
      <c r="B1375" s="1909"/>
      <c r="C1375" s="1842"/>
      <c r="D1375" s="1834"/>
      <c r="E1375" s="1835"/>
      <c r="F1375" s="1843"/>
      <c r="G1375" s="1844"/>
      <c r="H1375" s="1848"/>
      <c r="I1375" s="1847" t="str">
        <f>IF(D1375="","",IF(H1375&lt;&gt;"","CLOSED",IF(G1375="","NO DUE DATE",IF(AND(#REF!&lt;1,#REF!&gt;0),"DUE TODAY",IF(#REF!&gt;1,"OVERDUE",IF(H1375&lt;&gt;"","CLOSED","OPEN"))))))</f>
        <v/>
      </c>
      <c r="J1375" s="1849"/>
    </row>
    <row r="1376" spans="2:10" s="1824" customFormat="1" ht="16.2">
      <c r="B1376" s="1909"/>
      <c r="C1376" s="1842"/>
      <c r="D1376" s="1834"/>
      <c r="E1376" s="1835"/>
      <c r="F1376" s="1843"/>
      <c r="G1376" s="1844"/>
      <c r="H1376" s="1848"/>
      <c r="I1376" s="1847" t="str">
        <f>IF(D1376="","",IF(H1376&lt;&gt;"","CLOSED",IF(G1376="","NO DUE DATE",IF(AND(#REF!&lt;1,#REF!&gt;0),"DUE TODAY",IF(#REF!&gt;1,"OVERDUE",IF(H1376&lt;&gt;"","CLOSED","OPEN"))))))</f>
        <v/>
      </c>
      <c r="J1376" s="1849"/>
    </row>
    <row r="1377" spans="2:10" s="1824" customFormat="1" ht="16.2">
      <c r="B1377" s="1909"/>
      <c r="C1377" s="1842"/>
      <c r="D1377" s="1834"/>
      <c r="E1377" s="1835"/>
      <c r="F1377" s="1843"/>
      <c r="G1377" s="1844"/>
      <c r="H1377" s="1848"/>
      <c r="I1377" s="1847" t="str">
        <f>IF(D1377="","",IF(H1377&lt;&gt;"","CLOSED",IF(G1377="","NO DUE DATE",IF(AND(#REF!&lt;1,#REF!&gt;0),"DUE TODAY",IF(#REF!&gt;1,"OVERDUE",IF(H1377&lt;&gt;"","CLOSED","OPEN"))))))</f>
        <v/>
      </c>
      <c r="J1377" s="1849"/>
    </row>
    <row r="1378" spans="2:10" s="1824" customFormat="1" ht="16.2">
      <c r="B1378" s="1909"/>
      <c r="C1378" s="1842"/>
      <c r="D1378" s="1834"/>
      <c r="E1378" s="1835"/>
      <c r="F1378" s="1843"/>
      <c r="G1378" s="1844"/>
      <c r="H1378" s="1848"/>
      <c r="I1378" s="1847" t="str">
        <f>IF(D1378="","",IF(H1378&lt;&gt;"","CLOSED",IF(G1378="","NO DUE DATE",IF(AND(#REF!&lt;1,#REF!&gt;0),"DUE TODAY",IF(#REF!&gt;1,"OVERDUE",IF(H1378&lt;&gt;"","CLOSED","OPEN"))))))</f>
        <v/>
      </c>
      <c r="J1378" s="1849"/>
    </row>
    <row r="1379" spans="2:10" s="1824" customFormat="1" ht="16.2">
      <c r="B1379" s="1909"/>
      <c r="C1379" s="1842"/>
      <c r="D1379" s="1834"/>
      <c r="E1379" s="1835"/>
      <c r="F1379" s="1843"/>
      <c r="G1379" s="1844"/>
      <c r="H1379" s="1848"/>
      <c r="I1379" s="1847" t="str">
        <f>IF(D1379="","",IF(H1379&lt;&gt;"","CLOSED",IF(G1379="","NO DUE DATE",IF(AND(#REF!&lt;1,#REF!&gt;0),"DUE TODAY",IF(#REF!&gt;1,"OVERDUE",IF(H1379&lt;&gt;"","CLOSED","OPEN"))))))</f>
        <v/>
      </c>
      <c r="J1379" s="1849"/>
    </row>
    <row r="1380" spans="2:10" s="1824" customFormat="1" ht="16.2">
      <c r="B1380" s="1909"/>
      <c r="C1380" s="1842"/>
      <c r="D1380" s="1834"/>
      <c r="E1380" s="1835"/>
      <c r="F1380" s="1843"/>
      <c r="G1380" s="1844"/>
      <c r="H1380" s="1848"/>
      <c r="I1380" s="1847" t="str">
        <f>IF(D1380="","",IF(H1380&lt;&gt;"","CLOSED",IF(G1380="","NO DUE DATE",IF(AND(#REF!&lt;1,#REF!&gt;0),"DUE TODAY",IF(#REF!&gt;1,"OVERDUE",IF(H1380&lt;&gt;"","CLOSED","OPEN"))))))</f>
        <v/>
      </c>
      <c r="J1380" s="1849"/>
    </row>
    <row r="1381" spans="2:10" s="1824" customFormat="1" ht="16.2">
      <c r="B1381" s="1909"/>
      <c r="C1381" s="1842"/>
      <c r="D1381" s="1834"/>
      <c r="E1381" s="1835"/>
      <c r="F1381" s="1843"/>
      <c r="G1381" s="1844"/>
      <c r="H1381" s="1848"/>
      <c r="I1381" s="1847" t="str">
        <f>IF(D1381="","",IF(H1381&lt;&gt;"","CLOSED",IF(G1381="","NO DUE DATE",IF(AND(#REF!&lt;1,#REF!&gt;0),"DUE TODAY",IF(#REF!&gt;1,"OVERDUE",IF(H1381&lt;&gt;"","CLOSED","OPEN"))))))</f>
        <v/>
      </c>
      <c r="J1381" s="1849"/>
    </row>
    <row r="1382" spans="2:10" s="1824" customFormat="1" ht="16.2">
      <c r="B1382" s="1909"/>
      <c r="C1382" s="1842"/>
      <c r="D1382" s="1834"/>
      <c r="E1382" s="1835"/>
      <c r="F1382" s="1843"/>
      <c r="G1382" s="1844"/>
      <c r="H1382" s="1848"/>
      <c r="I1382" s="1847" t="str">
        <f>IF(D1382="","",IF(H1382&lt;&gt;"","CLOSED",IF(G1382="","NO DUE DATE",IF(AND(#REF!&lt;1,#REF!&gt;0),"DUE TODAY",IF(#REF!&gt;1,"OVERDUE",IF(H1382&lt;&gt;"","CLOSED","OPEN"))))))</f>
        <v/>
      </c>
      <c r="J1382" s="1849"/>
    </row>
    <row r="1383" spans="2:10" s="1824" customFormat="1" ht="16.2">
      <c r="B1383" s="1909"/>
      <c r="C1383" s="1842"/>
      <c r="D1383" s="1834"/>
      <c r="E1383" s="1835"/>
      <c r="F1383" s="1843"/>
      <c r="G1383" s="1844"/>
      <c r="H1383" s="1848"/>
      <c r="I1383" s="1847" t="str">
        <f>IF(D1383="","",IF(H1383&lt;&gt;"","CLOSED",IF(G1383="","NO DUE DATE",IF(AND(#REF!&lt;1,#REF!&gt;0),"DUE TODAY",IF(#REF!&gt;1,"OVERDUE",IF(H1383&lt;&gt;"","CLOSED","OPEN"))))))</f>
        <v/>
      </c>
      <c r="J1383" s="1849"/>
    </row>
    <row r="1384" spans="2:10" s="1824" customFormat="1" ht="16.2">
      <c r="B1384" s="1909"/>
      <c r="C1384" s="1842"/>
      <c r="D1384" s="1834"/>
      <c r="E1384" s="1835"/>
      <c r="F1384" s="1843"/>
      <c r="G1384" s="1844"/>
      <c r="H1384" s="1848"/>
      <c r="I1384" s="1847" t="str">
        <f>IF(D1384="","",IF(H1384&lt;&gt;"","CLOSED",IF(G1384="","NO DUE DATE",IF(AND(#REF!&lt;1,#REF!&gt;0),"DUE TODAY",IF(#REF!&gt;1,"OVERDUE",IF(H1384&lt;&gt;"","CLOSED","OPEN"))))))</f>
        <v/>
      </c>
      <c r="J1384" s="1849"/>
    </row>
    <row r="1385" spans="2:10" s="1824" customFormat="1" ht="16.2">
      <c r="B1385" s="1909"/>
      <c r="C1385" s="1842"/>
      <c r="D1385" s="1834"/>
      <c r="E1385" s="1835"/>
      <c r="F1385" s="1843"/>
      <c r="G1385" s="1844"/>
      <c r="H1385" s="1848"/>
      <c r="I1385" s="1847" t="str">
        <f>IF(D1385="","",IF(H1385&lt;&gt;"","CLOSED",IF(G1385="","NO DUE DATE",IF(AND(#REF!&lt;1,#REF!&gt;0),"DUE TODAY",IF(#REF!&gt;1,"OVERDUE",IF(H1385&lt;&gt;"","CLOSED","OPEN"))))))</f>
        <v/>
      </c>
      <c r="J1385" s="1849"/>
    </row>
    <row r="1386" spans="2:10" s="1824" customFormat="1" ht="16.2">
      <c r="B1386" s="1909"/>
      <c r="C1386" s="1842"/>
      <c r="D1386" s="1834"/>
      <c r="E1386" s="1835"/>
      <c r="F1386" s="1843"/>
      <c r="G1386" s="1844"/>
      <c r="H1386" s="1848"/>
      <c r="I1386" s="1847" t="str">
        <f>IF(D1386="","",IF(H1386&lt;&gt;"","CLOSED",IF(G1386="","NO DUE DATE",IF(AND(#REF!&lt;1,#REF!&gt;0),"DUE TODAY",IF(#REF!&gt;1,"OVERDUE",IF(H1386&lt;&gt;"","CLOSED","OPEN"))))))</f>
        <v/>
      </c>
      <c r="J1386" s="1849"/>
    </row>
    <row r="1387" spans="2:10" s="1824" customFormat="1" ht="16.2">
      <c r="B1387" s="1909"/>
      <c r="C1387" s="1842"/>
      <c r="D1387" s="1834"/>
      <c r="E1387" s="1835"/>
      <c r="F1387" s="1843"/>
      <c r="G1387" s="1844"/>
      <c r="H1387" s="1848"/>
      <c r="I1387" s="1847" t="str">
        <f>IF(D1387="","",IF(H1387&lt;&gt;"","CLOSED",IF(G1387="","NO DUE DATE",IF(AND(#REF!&lt;1,#REF!&gt;0),"DUE TODAY",IF(#REF!&gt;1,"OVERDUE",IF(H1387&lt;&gt;"","CLOSED","OPEN"))))))</f>
        <v/>
      </c>
      <c r="J1387" s="1849"/>
    </row>
    <row r="1388" spans="2:10" s="1824" customFormat="1" ht="16.2">
      <c r="B1388" s="1909"/>
      <c r="C1388" s="1842"/>
      <c r="D1388" s="1834"/>
      <c r="E1388" s="1835"/>
      <c r="F1388" s="1843"/>
      <c r="G1388" s="1844"/>
      <c r="H1388" s="1848"/>
      <c r="I1388" s="1847" t="str">
        <f>IF(D1388="","",IF(H1388&lt;&gt;"","CLOSED",IF(G1388="","NO DUE DATE",IF(AND(#REF!&lt;1,#REF!&gt;0),"DUE TODAY",IF(#REF!&gt;1,"OVERDUE",IF(H1388&lt;&gt;"","CLOSED","OPEN"))))))</f>
        <v/>
      </c>
      <c r="J1388" s="1849"/>
    </row>
    <row r="1389" spans="2:10" s="1824" customFormat="1" ht="16.2">
      <c r="B1389" s="1909"/>
      <c r="C1389" s="1842"/>
      <c r="D1389" s="1834"/>
      <c r="E1389" s="1835"/>
      <c r="F1389" s="1843"/>
      <c r="G1389" s="1844"/>
      <c r="H1389" s="1848"/>
      <c r="I1389" s="1847" t="str">
        <f>IF(D1389="","",IF(H1389&lt;&gt;"","CLOSED",IF(G1389="","NO DUE DATE",IF(AND(#REF!&lt;1,#REF!&gt;0),"DUE TODAY",IF(#REF!&gt;1,"OVERDUE",IF(H1389&lt;&gt;"","CLOSED","OPEN"))))))</f>
        <v/>
      </c>
      <c r="J1389" s="1849"/>
    </row>
    <row r="1390" spans="2:10" s="1824" customFormat="1" ht="16.2">
      <c r="B1390" s="1909"/>
      <c r="C1390" s="1842"/>
      <c r="D1390" s="1834"/>
      <c r="E1390" s="1835"/>
      <c r="F1390" s="1843"/>
      <c r="G1390" s="1844"/>
      <c r="H1390" s="1848"/>
      <c r="I1390" s="1847" t="str">
        <f>IF(D1390="","",IF(H1390&lt;&gt;"","CLOSED",IF(G1390="","NO DUE DATE",IF(AND(#REF!&lt;1,#REF!&gt;0),"DUE TODAY",IF(#REF!&gt;1,"OVERDUE",IF(H1390&lt;&gt;"","CLOSED","OPEN"))))))</f>
        <v/>
      </c>
      <c r="J1390" s="1849"/>
    </row>
    <row r="1391" spans="2:10" s="1824" customFormat="1" ht="16.2">
      <c r="B1391" s="1909"/>
      <c r="C1391" s="1842"/>
      <c r="D1391" s="1834"/>
      <c r="E1391" s="1835"/>
      <c r="F1391" s="1843"/>
      <c r="G1391" s="1844"/>
      <c r="H1391" s="1848"/>
      <c r="I1391" s="1847" t="str">
        <f>IF(D1391="","",IF(H1391&lt;&gt;"","CLOSED",IF(G1391="","NO DUE DATE",IF(AND(#REF!&lt;1,#REF!&gt;0),"DUE TODAY",IF(#REF!&gt;1,"OVERDUE",IF(H1391&lt;&gt;"","CLOSED","OPEN"))))))</f>
        <v/>
      </c>
      <c r="J1391" s="1849"/>
    </row>
    <row r="1392" spans="2:10" s="1824" customFormat="1" ht="16.2">
      <c r="B1392" s="1909"/>
      <c r="C1392" s="1842"/>
      <c r="D1392" s="1834"/>
      <c r="E1392" s="1835"/>
      <c r="F1392" s="1843"/>
      <c r="G1392" s="1844"/>
      <c r="H1392" s="1848"/>
      <c r="I1392" s="1847" t="str">
        <f>IF(D1392="","",IF(H1392&lt;&gt;"","CLOSED",IF(G1392="","NO DUE DATE",IF(AND(#REF!&lt;1,#REF!&gt;0),"DUE TODAY",IF(#REF!&gt;1,"OVERDUE",IF(H1392&lt;&gt;"","CLOSED","OPEN"))))))</f>
        <v/>
      </c>
      <c r="J1392" s="1849"/>
    </row>
    <row r="1393" spans="2:10" s="1824" customFormat="1" ht="16.2">
      <c r="B1393" s="1909"/>
      <c r="C1393" s="1842"/>
      <c r="D1393" s="1834"/>
      <c r="E1393" s="1835"/>
      <c r="F1393" s="1843"/>
      <c r="G1393" s="1844"/>
      <c r="H1393" s="1848"/>
      <c r="I1393" s="1847" t="str">
        <f>IF(D1393="","",IF(H1393&lt;&gt;"","CLOSED",IF(G1393="","NO DUE DATE",IF(AND(#REF!&lt;1,#REF!&gt;0),"DUE TODAY",IF(#REF!&gt;1,"OVERDUE",IF(H1393&lt;&gt;"","CLOSED","OPEN"))))))</f>
        <v/>
      </c>
      <c r="J1393" s="1849"/>
    </row>
    <row r="1394" spans="2:10" s="1824" customFormat="1" ht="16.2">
      <c r="B1394" s="1909"/>
      <c r="C1394" s="1842"/>
      <c r="D1394" s="1834"/>
      <c r="E1394" s="1835"/>
      <c r="F1394" s="1843"/>
      <c r="G1394" s="1844"/>
      <c r="H1394" s="1848"/>
      <c r="I1394" s="1847" t="str">
        <f>IF(D1394="","",IF(H1394&lt;&gt;"","CLOSED",IF(G1394="","NO DUE DATE",IF(AND(#REF!&lt;1,#REF!&gt;0),"DUE TODAY",IF(#REF!&gt;1,"OVERDUE",IF(H1394&lt;&gt;"","CLOSED","OPEN"))))))</f>
        <v/>
      </c>
      <c r="J1394" s="1849"/>
    </row>
    <row r="1395" spans="2:10" s="1824" customFormat="1" ht="16.2">
      <c r="B1395" s="1909"/>
      <c r="C1395" s="1842"/>
      <c r="D1395" s="1834"/>
      <c r="E1395" s="1835"/>
      <c r="F1395" s="1843"/>
      <c r="G1395" s="1844"/>
      <c r="H1395" s="1848"/>
      <c r="I1395" s="1847" t="str">
        <f>IF(D1395="","",IF(H1395&lt;&gt;"","CLOSED",IF(G1395="","NO DUE DATE",IF(AND(#REF!&lt;1,#REF!&gt;0),"DUE TODAY",IF(#REF!&gt;1,"OVERDUE",IF(H1395&lt;&gt;"","CLOSED","OPEN"))))))</f>
        <v/>
      </c>
      <c r="J1395" s="1849"/>
    </row>
    <row r="1396" spans="2:10" s="1824" customFormat="1" ht="16.2">
      <c r="B1396" s="1909"/>
      <c r="C1396" s="1842"/>
      <c r="D1396" s="1834"/>
      <c r="E1396" s="1835"/>
      <c r="F1396" s="1843"/>
      <c r="G1396" s="1844"/>
      <c r="H1396" s="1848"/>
      <c r="I1396" s="1847" t="str">
        <f>IF(D1396="","",IF(H1396&lt;&gt;"","CLOSED",IF(G1396="","NO DUE DATE",IF(AND(#REF!&lt;1,#REF!&gt;0),"DUE TODAY",IF(#REF!&gt;1,"OVERDUE",IF(H1396&lt;&gt;"","CLOSED","OPEN"))))))</f>
        <v/>
      </c>
      <c r="J1396" s="1849"/>
    </row>
    <row r="1397" spans="2:10" s="1824" customFormat="1" ht="16.2">
      <c r="B1397" s="1909"/>
      <c r="C1397" s="1842"/>
      <c r="D1397" s="1834"/>
      <c r="E1397" s="1835"/>
      <c r="F1397" s="1843"/>
      <c r="G1397" s="1844"/>
      <c r="H1397" s="1848"/>
      <c r="I1397" s="1847" t="str">
        <f>IF(D1397="","",IF(H1397&lt;&gt;"","CLOSED",IF(G1397="","NO DUE DATE",IF(AND(#REF!&lt;1,#REF!&gt;0),"DUE TODAY",IF(#REF!&gt;1,"OVERDUE",IF(H1397&lt;&gt;"","CLOSED","OPEN"))))))</f>
        <v/>
      </c>
      <c r="J1397" s="1849"/>
    </row>
    <row r="1398" spans="2:10" s="1824" customFormat="1" ht="16.2">
      <c r="B1398" s="1909"/>
      <c r="C1398" s="1842"/>
      <c r="D1398" s="1834"/>
      <c r="E1398" s="1835"/>
      <c r="F1398" s="1843"/>
      <c r="G1398" s="1844"/>
      <c r="H1398" s="1848"/>
      <c r="I1398" s="1847" t="str">
        <f>IF(D1398="","",IF(H1398&lt;&gt;"","CLOSED",IF(G1398="","NO DUE DATE",IF(AND(#REF!&lt;1,#REF!&gt;0),"DUE TODAY",IF(#REF!&gt;1,"OVERDUE",IF(H1398&lt;&gt;"","CLOSED","OPEN"))))))</f>
        <v/>
      </c>
      <c r="J1398" s="1849"/>
    </row>
    <row r="1399" spans="2:10" s="1824" customFormat="1" ht="16.2">
      <c r="B1399" s="1909"/>
      <c r="C1399" s="1842"/>
      <c r="D1399" s="1834"/>
      <c r="E1399" s="1835"/>
      <c r="F1399" s="1843"/>
      <c r="G1399" s="1844"/>
      <c r="H1399" s="1848"/>
      <c r="I1399" s="1847" t="str">
        <f>IF(D1399="","",IF(H1399&lt;&gt;"","CLOSED",IF(G1399="","NO DUE DATE",IF(AND(#REF!&lt;1,#REF!&gt;0),"DUE TODAY",IF(#REF!&gt;1,"OVERDUE",IF(H1399&lt;&gt;"","CLOSED","OPEN"))))))</f>
        <v/>
      </c>
      <c r="J1399" s="1849"/>
    </row>
    <row r="1400" spans="2:10" s="1824" customFormat="1" ht="16.2">
      <c r="B1400" s="1909"/>
      <c r="C1400" s="1842"/>
      <c r="D1400" s="1834"/>
      <c r="E1400" s="1835"/>
      <c r="F1400" s="1843"/>
      <c r="G1400" s="1844"/>
      <c r="H1400" s="1848"/>
      <c r="I1400" s="1847" t="str">
        <f>IF(D1400="","",IF(H1400&lt;&gt;"","CLOSED",IF(G1400="","NO DUE DATE",IF(AND(#REF!&lt;1,#REF!&gt;0),"DUE TODAY",IF(#REF!&gt;1,"OVERDUE",IF(H1400&lt;&gt;"","CLOSED","OPEN"))))))</f>
        <v/>
      </c>
      <c r="J1400" s="1849"/>
    </row>
    <row r="1401" spans="2:10" s="1824" customFormat="1" ht="16.2">
      <c r="B1401" s="1909"/>
      <c r="C1401" s="1842"/>
      <c r="D1401" s="1834"/>
      <c r="E1401" s="1835"/>
      <c r="F1401" s="1843"/>
      <c r="G1401" s="1844"/>
      <c r="H1401" s="1848"/>
      <c r="I1401" s="1847" t="str">
        <f>IF(D1401="","",IF(H1401&lt;&gt;"","CLOSED",IF(G1401="","NO DUE DATE",IF(AND(#REF!&lt;1,#REF!&gt;0),"DUE TODAY",IF(#REF!&gt;1,"OVERDUE",IF(H1401&lt;&gt;"","CLOSED","OPEN"))))))</f>
        <v/>
      </c>
      <c r="J1401" s="1849"/>
    </row>
    <row r="1402" spans="2:10" s="1824" customFormat="1" ht="16.2">
      <c r="B1402" s="1909"/>
      <c r="C1402" s="1842"/>
      <c r="D1402" s="1834"/>
      <c r="E1402" s="1835"/>
      <c r="F1402" s="1843"/>
      <c r="G1402" s="1844"/>
      <c r="H1402" s="1848"/>
      <c r="I1402" s="1847" t="str">
        <f>IF(D1402="","",IF(H1402&lt;&gt;"","CLOSED",IF(G1402="","NO DUE DATE",IF(AND(#REF!&lt;1,#REF!&gt;0),"DUE TODAY",IF(#REF!&gt;1,"OVERDUE",IF(H1402&lt;&gt;"","CLOSED","OPEN"))))))</f>
        <v/>
      </c>
      <c r="J1402" s="1849"/>
    </row>
    <row r="1403" spans="2:10" s="1824" customFormat="1" ht="16.2">
      <c r="B1403" s="1909"/>
      <c r="C1403" s="1842"/>
      <c r="D1403" s="1834"/>
      <c r="E1403" s="1835"/>
      <c r="F1403" s="1843"/>
      <c r="G1403" s="1844"/>
      <c r="H1403" s="1848"/>
      <c r="I1403" s="1847" t="str">
        <f>IF(D1403="","",IF(H1403&lt;&gt;"","CLOSED",IF(G1403="","NO DUE DATE",IF(AND(#REF!&lt;1,#REF!&gt;0),"DUE TODAY",IF(#REF!&gt;1,"OVERDUE",IF(H1403&lt;&gt;"","CLOSED","OPEN"))))))</f>
        <v/>
      </c>
      <c r="J1403" s="1849"/>
    </row>
    <row r="1404" spans="2:10" s="1824" customFormat="1" ht="16.2">
      <c r="B1404" s="1909"/>
      <c r="C1404" s="1842"/>
      <c r="D1404" s="1834"/>
      <c r="E1404" s="1835"/>
      <c r="F1404" s="1843"/>
      <c r="G1404" s="1844"/>
      <c r="H1404" s="1848"/>
      <c r="I1404" s="1847" t="str">
        <f>IF(D1404="","",IF(H1404&lt;&gt;"","CLOSED",IF(G1404="","NO DUE DATE",IF(AND(#REF!&lt;1,#REF!&gt;0),"DUE TODAY",IF(#REF!&gt;1,"OVERDUE",IF(H1404&lt;&gt;"","CLOSED","OPEN"))))))</f>
        <v/>
      </c>
      <c r="J1404" s="1849"/>
    </row>
    <row r="1405" spans="2:10" s="1824" customFormat="1" ht="16.2">
      <c r="B1405" s="1909"/>
      <c r="C1405" s="1842"/>
      <c r="D1405" s="1834"/>
      <c r="E1405" s="1835"/>
      <c r="F1405" s="1843"/>
      <c r="G1405" s="1844"/>
      <c r="H1405" s="1848"/>
      <c r="I1405" s="1847" t="str">
        <f>IF(D1405="","",IF(H1405&lt;&gt;"","CLOSED",IF(G1405="","NO DUE DATE",IF(AND(#REF!&lt;1,#REF!&gt;0),"DUE TODAY",IF(#REF!&gt;1,"OVERDUE",IF(H1405&lt;&gt;"","CLOSED","OPEN"))))))</f>
        <v/>
      </c>
      <c r="J1405" s="1849"/>
    </row>
    <row r="1406" spans="2:10" s="1824" customFormat="1" ht="16.2">
      <c r="B1406" s="1909"/>
      <c r="C1406" s="1842"/>
      <c r="D1406" s="1834"/>
      <c r="E1406" s="1835"/>
      <c r="F1406" s="1843"/>
      <c r="G1406" s="1844"/>
      <c r="H1406" s="1848"/>
      <c r="I1406" s="1847" t="str">
        <f>IF(D1406="","",IF(H1406&lt;&gt;"","CLOSED",IF(G1406="","NO DUE DATE",IF(AND(#REF!&lt;1,#REF!&gt;0),"DUE TODAY",IF(#REF!&gt;1,"OVERDUE",IF(H1406&lt;&gt;"","CLOSED","OPEN"))))))</f>
        <v/>
      </c>
      <c r="J1406" s="1849"/>
    </row>
    <row r="1407" spans="2:10" s="1824" customFormat="1" ht="16.2">
      <c r="B1407" s="1909"/>
      <c r="C1407" s="1842"/>
      <c r="D1407" s="1834"/>
      <c r="E1407" s="1835"/>
      <c r="F1407" s="1843"/>
      <c r="G1407" s="1844"/>
      <c r="H1407" s="1848"/>
      <c r="I1407" s="1847" t="str">
        <f>IF(D1407="","",IF(H1407&lt;&gt;"","CLOSED",IF(G1407="","NO DUE DATE",IF(AND(#REF!&lt;1,#REF!&gt;0),"DUE TODAY",IF(#REF!&gt;1,"OVERDUE",IF(H1407&lt;&gt;"","CLOSED","OPEN"))))))</f>
        <v/>
      </c>
      <c r="J1407" s="1849"/>
    </row>
    <row r="1408" spans="2:10" s="1824" customFormat="1" ht="16.2">
      <c r="B1408" s="1909"/>
      <c r="C1408" s="1842"/>
      <c r="D1408" s="1834"/>
      <c r="E1408" s="1835"/>
      <c r="F1408" s="1843"/>
      <c r="G1408" s="1844"/>
      <c r="H1408" s="1848"/>
      <c r="I1408" s="1847" t="str">
        <f>IF(D1408="","",IF(H1408&lt;&gt;"","CLOSED",IF(G1408="","NO DUE DATE",IF(AND(#REF!&lt;1,#REF!&gt;0),"DUE TODAY",IF(#REF!&gt;1,"OVERDUE",IF(H1408&lt;&gt;"","CLOSED","OPEN"))))))</f>
        <v/>
      </c>
      <c r="J1408" s="1849"/>
    </row>
    <row r="1409" spans="2:10" s="1824" customFormat="1" ht="16.2">
      <c r="B1409" s="1909"/>
      <c r="C1409" s="1842"/>
      <c r="D1409" s="1834"/>
      <c r="E1409" s="1835"/>
      <c r="F1409" s="1843"/>
      <c r="G1409" s="1844"/>
      <c r="H1409" s="1848"/>
      <c r="I1409" s="1847" t="str">
        <f>IF(D1409="","",IF(H1409&lt;&gt;"","CLOSED",IF(G1409="","NO DUE DATE",IF(AND(#REF!&lt;1,#REF!&gt;0),"DUE TODAY",IF(#REF!&gt;1,"OVERDUE",IF(H1409&lt;&gt;"","CLOSED","OPEN"))))))</f>
        <v/>
      </c>
      <c r="J1409" s="1849"/>
    </row>
    <row r="1410" spans="2:10" s="1824" customFormat="1" ht="16.2">
      <c r="B1410" s="1909"/>
      <c r="C1410" s="1842"/>
      <c r="D1410" s="1834"/>
      <c r="E1410" s="1835"/>
      <c r="F1410" s="1843"/>
      <c r="G1410" s="1844"/>
      <c r="H1410" s="1848"/>
      <c r="I1410" s="1847" t="str">
        <f>IF(D1410="","",IF(H1410&lt;&gt;"","CLOSED",IF(G1410="","NO DUE DATE",IF(AND(#REF!&lt;1,#REF!&gt;0),"DUE TODAY",IF(#REF!&gt;1,"OVERDUE",IF(H1410&lt;&gt;"","CLOSED","OPEN"))))))</f>
        <v/>
      </c>
      <c r="J1410" s="1849"/>
    </row>
    <row r="1411" spans="2:10" s="1824" customFormat="1" ht="16.2">
      <c r="B1411" s="1909"/>
      <c r="C1411" s="1842"/>
      <c r="D1411" s="1834"/>
      <c r="E1411" s="1835"/>
      <c r="F1411" s="1843"/>
      <c r="G1411" s="1844"/>
      <c r="H1411" s="1848"/>
      <c r="I1411" s="1847" t="str">
        <f>IF(D1411="","",IF(H1411&lt;&gt;"","CLOSED",IF(G1411="","NO DUE DATE",IF(AND(#REF!&lt;1,#REF!&gt;0),"DUE TODAY",IF(#REF!&gt;1,"OVERDUE",IF(H1411&lt;&gt;"","CLOSED","OPEN"))))))</f>
        <v/>
      </c>
      <c r="J1411" s="1849"/>
    </row>
    <row r="1412" spans="2:10" s="1824" customFormat="1" ht="16.2">
      <c r="B1412" s="1909"/>
      <c r="C1412" s="1842"/>
      <c r="D1412" s="1834"/>
      <c r="E1412" s="1835"/>
      <c r="F1412" s="1843"/>
      <c r="G1412" s="1844"/>
      <c r="H1412" s="1848"/>
      <c r="I1412" s="1847" t="str">
        <f>IF(D1412="","",IF(H1412&lt;&gt;"","CLOSED",IF(G1412="","NO DUE DATE",IF(AND(#REF!&lt;1,#REF!&gt;0),"DUE TODAY",IF(#REF!&gt;1,"OVERDUE",IF(H1412&lt;&gt;"","CLOSED","OPEN"))))))</f>
        <v/>
      </c>
      <c r="J1412" s="1849"/>
    </row>
    <row r="1413" spans="2:10" s="1824" customFormat="1" ht="16.2">
      <c r="B1413" s="1909"/>
      <c r="C1413" s="1842"/>
      <c r="D1413" s="1834"/>
      <c r="E1413" s="1835"/>
      <c r="F1413" s="1843"/>
      <c r="G1413" s="1844"/>
      <c r="H1413" s="1848"/>
      <c r="I1413" s="1847" t="str">
        <f>IF(D1413="","",IF(H1413&lt;&gt;"","CLOSED",IF(G1413="","NO DUE DATE",IF(AND(#REF!&lt;1,#REF!&gt;0),"DUE TODAY",IF(#REF!&gt;1,"OVERDUE",IF(H1413&lt;&gt;"","CLOSED","OPEN"))))))</f>
        <v/>
      </c>
      <c r="J1413" s="1849"/>
    </row>
    <row r="1414" spans="2:10" s="1824" customFormat="1" ht="16.2">
      <c r="B1414" s="1909"/>
      <c r="C1414" s="1842"/>
      <c r="D1414" s="1834"/>
      <c r="E1414" s="1835"/>
      <c r="F1414" s="1843"/>
      <c r="G1414" s="1844"/>
      <c r="H1414" s="1848"/>
      <c r="I1414" s="1847" t="str">
        <f>IF(D1414="","",IF(H1414&lt;&gt;"","CLOSED",IF(G1414="","NO DUE DATE",IF(AND(#REF!&lt;1,#REF!&gt;0),"DUE TODAY",IF(#REF!&gt;1,"OVERDUE",IF(H1414&lt;&gt;"","CLOSED","OPEN"))))))</f>
        <v/>
      </c>
      <c r="J1414" s="1849"/>
    </row>
    <row r="1415" spans="2:10" s="1824" customFormat="1" ht="16.2">
      <c r="B1415" s="1909"/>
      <c r="C1415" s="1842"/>
      <c r="D1415" s="1834"/>
      <c r="E1415" s="1835"/>
      <c r="F1415" s="1843"/>
      <c r="G1415" s="1844"/>
      <c r="H1415" s="1848"/>
      <c r="I1415" s="1847" t="str">
        <f>IF(D1415="","",IF(H1415&lt;&gt;"","CLOSED",IF(G1415="","NO DUE DATE",IF(AND(#REF!&lt;1,#REF!&gt;0),"DUE TODAY",IF(#REF!&gt;1,"OVERDUE",IF(H1415&lt;&gt;"","CLOSED","OPEN"))))))</f>
        <v/>
      </c>
      <c r="J1415" s="1849"/>
    </row>
    <row r="1416" spans="2:10" s="1824" customFormat="1" ht="16.2">
      <c r="B1416" s="1909"/>
      <c r="C1416" s="1842"/>
      <c r="D1416" s="1834"/>
      <c r="E1416" s="1835"/>
      <c r="F1416" s="1843"/>
      <c r="G1416" s="1844"/>
      <c r="H1416" s="1848"/>
      <c r="I1416" s="1847" t="str">
        <f>IF(D1416="","",IF(H1416&lt;&gt;"","CLOSED",IF(G1416="","NO DUE DATE",IF(AND(#REF!&lt;1,#REF!&gt;0),"DUE TODAY",IF(#REF!&gt;1,"OVERDUE",IF(H1416&lt;&gt;"","CLOSED","OPEN"))))))</f>
        <v/>
      </c>
      <c r="J1416" s="1849"/>
    </row>
    <row r="1417" spans="2:10" s="1824" customFormat="1" ht="16.2">
      <c r="B1417" s="1909"/>
      <c r="C1417" s="1842"/>
      <c r="D1417" s="1834"/>
      <c r="E1417" s="1835"/>
      <c r="F1417" s="1843"/>
      <c r="G1417" s="1844"/>
      <c r="H1417" s="1848"/>
      <c r="I1417" s="1847" t="str">
        <f>IF(D1417="","",IF(H1417&lt;&gt;"","CLOSED",IF(G1417="","NO DUE DATE",IF(AND(#REF!&lt;1,#REF!&gt;0),"DUE TODAY",IF(#REF!&gt;1,"OVERDUE",IF(H1417&lt;&gt;"","CLOSED","OPEN"))))))</f>
        <v/>
      </c>
      <c r="J1417" s="1849"/>
    </row>
    <row r="1418" spans="2:10" s="1824" customFormat="1" ht="16.2">
      <c r="B1418" s="1909"/>
      <c r="C1418" s="1842"/>
      <c r="D1418" s="1834"/>
      <c r="E1418" s="1835"/>
      <c r="F1418" s="1843"/>
      <c r="G1418" s="1844"/>
      <c r="H1418" s="1848"/>
      <c r="I1418" s="1847" t="str">
        <f>IF(D1418="","",IF(H1418&lt;&gt;"","CLOSED",IF(G1418="","NO DUE DATE",IF(AND(#REF!&lt;1,#REF!&gt;0),"DUE TODAY",IF(#REF!&gt;1,"OVERDUE",IF(H1418&lt;&gt;"","CLOSED","OPEN"))))))</f>
        <v/>
      </c>
      <c r="J1418" s="1849"/>
    </row>
    <row r="1419" spans="2:10" s="1824" customFormat="1" ht="16.2">
      <c r="B1419" s="1909"/>
      <c r="C1419" s="1842"/>
      <c r="D1419" s="1834"/>
      <c r="E1419" s="1835"/>
      <c r="F1419" s="1843"/>
      <c r="G1419" s="1844"/>
      <c r="H1419" s="1848"/>
      <c r="I1419" s="1847" t="str">
        <f>IF(D1419="","",IF(H1419&lt;&gt;"","CLOSED",IF(G1419="","NO DUE DATE",IF(AND(#REF!&lt;1,#REF!&gt;0),"DUE TODAY",IF(#REF!&gt;1,"OVERDUE",IF(H1419&lt;&gt;"","CLOSED","OPEN"))))))</f>
        <v/>
      </c>
      <c r="J1419" s="1849"/>
    </row>
    <row r="1420" spans="2:10" s="1824" customFormat="1" ht="16.2">
      <c r="B1420" s="1909"/>
      <c r="C1420" s="1842"/>
      <c r="D1420" s="1834"/>
      <c r="E1420" s="1835"/>
      <c r="F1420" s="1843"/>
      <c r="G1420" s="1844"/>
      <c r="H1420" s="1848"/>
      <c r="I1420" s="1847" t="str">
        <f>IF(D1420="","",IF(H1420&lt;&gt;"","CLOSED",IF(G1420="","NO DUE DATE",IF(AND(#REF!&lt;1,#REF!&gt;0),"DUE TODAY",IF(#REF!&gt;1,"OVERDUE",IF(H1420&lt;&gt;"","CLOSED","OPEN"))))))</f>
        <v/>
      </c>
      <c r="J1420" s="1849"/>
    </row>
    <row r="1421" spans="2:10" s="1824" customFormat="1" ht="16.2">
      <c r="B1421" s="1909"/>
      <c r="C1421" s="1842"/>
      <c r="D1421" s="1834"/>
      <c r="E1421" s="1835"/>
      <c r="F1421" s="1843"/>
      <c r="G1421" s="1844"/>
      <c r="H1421" s="1848"/>
      <c r="I1421" s="1847" t="str">
        <f>IF(D1421="","",IF(H1421&lt;&gt;"","CLOSED",IF(G1421="","NO DUE DATE",IF(AND(#REF!&lt;1,#REF!&gt;0),"DUE TODAY",IF(#REF!&gt;1,"OVERDUE",IF(H1421&lt;&gt;"","CLOSED","OPEN"))))))</f>
        <v/>
      </c>
      <c r="J1421" s="1849"/>
    </row>
    <row r="1422" spans="2:10" s="1824" customFormat="1" ht="16.2">
      <c r="B1422" s="1909"/>
      <c r="C1422" s="1842"/>
      <c r="D1422" s="1834"/>
      <c r="E1422" s="1835"/>
      <c r="F1422" s="1843"/>
      <c r="G1422" s="1844"/>
      <c r="H1422" s="1848"/>
      <c r="I1422" s="1847" t="str">
        <f>IF(D1422="","",IF(H1422&lt;&gt;"","CLOSED",IF(G1422="","NO DUE DATE",IF(AND(#REF!&lt;1,#REF!&gt;0),"DUE TODAY",IF(#REF!&gt;1,"OVERDUE",IF(H1422&lt;&gt;"","CLOSED","OPEN"))))))</f>
        <v/>
      </c>
      <c r="J1422" s="1849"/>
    </row>
    <row r="1423" spans="2:10" s="1824" customFormat="1" ht="16.2">
      <c r="B1423" s="1909"/>
      <c r="C1423" s="1842"/>
      <c r="D1423" s="1834"/>
      <c r="E1423" s="1835"/>
      <c r="F1423" s="1843"/>
      <c r="G1423" s="1844"/>
      <c r="H1423" s="1848"/>
      <c r="I1423" s="1847" t="str">
        <f>IF(D1423="","",IF(H1423&lt;&gt;"","CLOSED",IF(G1423="","NO DUE DATE",IF(AND(#REF!&lt;1,#REF!&gt;0),"DUE TODAY",IF(#REF!&gt;1,"OVERDUE",IF(H1423&lt;&gt;"","CLOSED","OPEN"))))))</f>
        <v/>
      </c>
      <c r="J1423" s="1849"/>
    </row>
    <row r="1424" spans="2:10" s="1824" customFormat="1" ht="16.2">
      <c r="B1424" s="1909"/>
      <c r="C1424" s="1842"/>
      <c r="D1424" s="1834"/>
      <c r="E1424" s="1835"/>
      <c r="F1424" s="1843"/>
      <c r="G1424" s="1844"/>
      <c r="H1424" s="1848"/>
      <c r="I1424" s="1847" t="str">
        <f>IF(D1424="","",IF(H1424&lt;&gt;"","CLOSED",IF(G1424="","NO DUE DATE",IF(AND(#REF!&lt;1,#REF!&gt;0),"DUE TODAY",IF(#REF!&gt;1,"OVERDUE",IF(H1424&lt;&gt;"","CLOSED","OPEN"))))))</f>
        <v/>
      </c>
      <c r="J1424" s="1849"/>
    </row>
    <row r="1425" spans="2:10" s="1824" customFormat="1" ht="16.2">
      <c r="B1425" s="1909"/>
      <c r="C1425" s="1842"/>
      <c r="D1425" s="1834"/>
      <c r="E1425" s="1835"/>
      <c r="F1425" s="1843"/>
      <c r="G1425" s="1844"/>
      <c r="H1425" s="1848"/>
      <c r="I1425" s="1847" t="str">
        <f>IF(D1425="","",IF(H1425&lt;&gt;"","CLOSED",IF(G1425="","NO DUE DATE",IF(AND(#REF!&lt;1,#REF!&gt;0),"DUE TODAY",IF(#REF!&gt;1,"OVERDUE",IF(H1425&lt;&gt;"","CLOSED","OPEN"))))))</f>
        <v/>
      </c>
      <c r="J1425" s="1849"/>
    </row>
    <row r="1426" spans="2:10" s="1824" customFormat="1" ht="16.2">
      <c r="B1426" s="1909"/>
      <c r="C1426" s="1842"/>
      <c r="D1426" s="1834"/>
      <c r="E1426" s="1835"/>
      <c r="F1426" s="1843"/>
      <c r="G1426" s="1844"/>
      <c r="H1426" s="1848"/>
      <c r="I1426" s="1847" t="str">
        <f>IF(D1426="","",IF(H1426&lt;&gt;"","CLOSED",IF(G1426="","NO DUE DATE",IF(AND(#REF!&lt;1,#REF!&gt;0),"DUE TODAY",IF(#REF!&gt;1,"OVERDUE",IF(H1426&lt;&gt;"","CLOSED","OPEN"))))))</f>
        <v/>
      </c>
      <c r="J1426" s="1849"/>
    </row>
    <row r="1427" spans="2:10" s="1824" customFormat="1" ht="16.2">
      <c r="B1427" s="1909"/>
      <c r="C1427" s="1842"/>
      <c r="D1427" s="1834"/>
      <c r="E1427" s="1835"/>
      <c r="F1427" s="1843"/>
      <c r="G1427" s="1844"/>
      <c r="H1427" s="1848"/>
      <c r="I1427" s="1847" t="str">
        <f>IF(D1427="","",IF(H1427&lt;&gt;"","CLOSED",IF(G1427="","NO DUE DATE",IF(AND(#REF!&lt;1,#REF!&gt;0),"DUE TODAY",IF(#REF!&gt;1,"OVERDUE",IF(H1427&lt;&gt;"","CLOSED","OPEN"))))))</f>
        <v/>
      </c>
      <c r="J1427" s="1849"/>
    </row>
    <row r="1428" spans="2:10" s="1824" customFormat="1" ht="16.2">
      <c r="B1428" s="1909"/>
      <c r="C1428" s="1842"/>
      <c r="D1428" s="1834"/>
      <c r="E1428" s="1835"/>
      <c r="F1428" s="1843"/>
      <c r="G1428" s="1844"/>
      <c r="H1428" s="1848"/>
      <c r="I1428" s="1847" t="str">
        <f>IF(D1428="","",IF(H1428&lt;&gt;"","CLOSED",IF(G1428="","NO DUE DATE",IF(AND(#REF!&lt;1,#REF!&gt;0),"DUE TODAY",IF(#REF!&gt;1,"OVERDUE",IF(H1428&lt;&gt;"","CLOSED","OPEN"))))))</f>
        <v/>
      </c>
      <c r="J1428" s="1849"/>
    </row>
    <row r="1429" spans="2:10" s="1824" customFormat="1" ht="16.2">
      <c r="B1429" s="1909"/>
      <c r="C1429" s="1842"/>
      <c r="D1429" s="1834"/>
      <c r="E1429" s="1835"/>
      <c r="F1429" s="1843"/>
      <c r="G1429" s="1844"/>
      <c r="H1429" s="1848"/>
      <c r="I1429" s="1847" t="str">
        <f>IF(D1429="","",IF(H1429&lt;&gt;"","CLOSED",IF(G1429="","NO DUE DATE",IF(AND(#REF!&lt;1,#REF!&gt;0),"DUE TODAY",IF(#REF!&gt;1,"OVERDUE",IF(H1429&lt;&gt;"","CLOSED","OPEN"))))))</f>
        <v/>
      </c>
      <c r="J1429" s="1849"/>
    </row>
    <row r="1430" spans="2:10" s="1824" customFormat="1" ht="16.2">
      <c r="B1430" s="1909"/>
      <c r="C1430" s="1842"/>
      <c r="D1430" s="1834"/>
      <c r="E1430" s="1835"/>
      <c r="F1430" s="1843"/>
      <c r="G1430" s="1844"/>
      <c r="H1430" s="1848"/>
      <c r="I1430" s="1847" t="str">
        <f>IF(D1430="","",IF(H1430&lt;&gt;"","CLOSED",IF(G1430="","NO DUE DATE",IF(AND(#REF!&lt;1,#REF!&gt;0),"DUE TODAY",IF(#REF!&gt;1,"OVERDUE",IF(H1430&lt;&gt;"","CLOSED","OPEN"))))))</f>
        <v/>
      </c>
      <c r="J1430" s="1849"/>
    </row>
    <row r="1431" spans="2:10" s="1824" customFormat="1" ht="16.2">
      <c r="B1431" s="1909"/>
      <c r="C1431" s="1842"/>
      <c r="D1431" s="1834"/>
      <c r="E1431" s="1835"/>
      <c r="F1431" s="1843"/>
      <c r="G1431" s="1844"/>
      <c r="H1431" s="1848"/>
      <c r="I1431" s="1847" t="str">
        <f>IF(D1431="","",IF(H1431&lt;&gt;"","CLOSED",IF(G1431="","NO DUE DATE",IF(AND(#REF!&lt;1,#REF!&gt;0),"DUE TODAY",IF(#REF!&gt;1,"OVERDUE",IF(H1431&lt;&gt;"","CLOSED","OPEN"))))))</f>
        <v/>
      </c>
      <c r="J1431" s="1849"/>
    </row>
    <row r="1432" spans="2:10" s="1824" customFormat="1" ht="16.2">
      <c r="B1432" s="1909"/>
      <c r="C1432" s="1842"/>
      <c r="D1432" s="1834"/>
      <c r="E1432" s="1835"/>
      <c r="F1432" s="1843"/>
      <c r="G1432" s="1844"/>
      <c r="H1432" s="1848"/>
      <c r="I1432" s="1847" t="str">
        <f>IF(D1432="","",IF(H1432&lt;&gt;"","CLOSED",IF(G1432="","NO DUE DATE",IF(AND(#REF!&lt;1,#REF!&gt;0),"DUE TODAY",IF(#REF!&gt;1,"OVERDUE",IF(H1432&lt;&gt;"","CLOSED","OPEN"))))))</f>
        <v/>
      </c>
      <c r="J1432" s="1849"/>
    </row>
    <row r="1433" spans="2:10" s="1824" customFormat="1" ht="16.2">
      <c r="B1433" s="1909"/>
      <c r="C1433" s="1842"/>
      <c r="D1433" s="1834"/>
      <c r="E1433" s="1835"/>
      <c r="F1433" s="1843"/>
      <c r="G1433" s="1844"/>
      <c r="H1433" s="1848"/>
      <c r="I1433" s="1847" t="str">
        <f>IF(D1433="","",IF(H1433&lt;&gt;"","CLOSED",IF(G1433="","NO DUE DATE",IF(AND(#REF!&lt;1,#REF!&gt;0),"DUE TODAY",IF(#REF!&gt;1,"OVERDUE",IF(H1433&lt;&gt;"","CLOSED","OPEN"))))))</f>
        <v/>
      </c>
      <c r="J1433" s="1849"/>
    </row>
    <row r="1434" spans="2:10" s="1824" customFormat="1" ht="16.2">
      <c r="B1434" s="1909"/>
      <c r="C1434" s="1842"/>
      <c r="D1434" s="1834"/>
      <c r="E1434" s="1835"/>
      <c r="F1434" s="1843"/>
      <c r="G1434" s="1844"/>
      <c r="H1434" s="1848"/>
      <c r="I1434" s="1847" t="str">
        <f>IF(D1434="","",IF(H1434&lt;&gt;"","CLOSED",IF(G1434="","NO DUE DATE",IF(AND(#REF!&lt;1,#REF!&gt;0),"DUE TODAY",IF(#REF!&gt;1,"OVERDUE",IF(H1434&lt;&gt;"","CLOSED","OPEN"))))))</f>
        <v/>
      </c>
      <c r="J1434" s="1849"/>
    </row>
    <row r="1435" spans="2:10" s="1824" customFormat="1" ht="16.2">
      <c r="B1435" s="1909"/>
      <c r="C1435" s="1842"/>
      <c r="D1435" s="1834"/>
      <c r="E1435" s="1835"/>
      <c r="F1435" s="1843"/>
      <c r="G1435" s="1844"/>
      <c r="H1435" s="1848"/>
      <c r="I1435" s="1847" t="str">
        <f>IF(D1435="","",IF(H1435&lt;&gt;"","CLOSED",IF(G1435="","NO DUE DATE",IF(AND(#REF!&lt;1,#REF!&gt;0),"DUE TODAY",IF(#REF!&gt;1,"OVERDUE",IF(H1435&lt;&gt;"","CLOSED","OPEN"))))))</f>
        <v/>
      </c>
      <c r="J1435" s="1849"/>
    </row>
    <row r="1436" spans="2:10" s="1824" customFormat="1" ht="16.2">
      <c r="B1436" s="1909"/>
      <c r="C1436" s="1842"/>
      <c r="D1436" s="1834"/>
      <c r="E1436" s="1835"/>
      <c r="F1436" s="1843"/>
      <c r="G1436" s="1844"/>
      <c r="H1436" s="1848"/>
      <c r="I1436" s="1847" t="str">
        <f>IF(D1436="","",IF(H1436&lt;&gt;"","CLOSED",IF(G1436="","NO DUE DATE",IF(AND(#REF!&lt;1,#REF!&gt;0),"DUE TODAY",IF(#REF!&gt;1,"OVERDUE",IF(H1436&lt;&gt;"","CLOSED","OPEN"))))))</f>
        <v/>
      </c>
      <c r="J1436" s="1849"/>
    </row>
    <row r="1437" spans="2:10" s="1824" customFormat="1" ht="16.2">
      <c r="B1437" s="1909"/>
      <c r="C1437" s="1842"/>
      <c r="D1437" s="1834"/>
      <c r="E1437" s="1835"/>
      <c r="F1437" s="1843"/>
      <c r="G1437" s="1844"/>
      <c r="H1437" s="1848"/>
      <c r="I1437" s="1847" t="str">
        <f>IF(D1437="","",IF(H1437&lt;&gt;"","CLOSED",IF(G1437="","NO DUE DATE",IF(AND(#REF!&lt;1,#REF!&gt;0),"DUE TODAY",IF(#REF!&gt;1,"OVERDUE",IF(H1437&lt;&gt;"","CLOSED","OPEN"))))))</f>
        <v/>
      </c>
      <c r="J1437" s="1849"/>
    </row>
    <row r="1438" spans="2:10" s="1824" customFormat="1" ht="16.2">
      <c r="B1438" s="1909"/>
      <c r="C1438" s="1842"/>
      <c r="D1438" s="1834"/>
      <c r="E1438" s="1835"/>
      <c r="F1438" s="1843"/>
      <c r="G1438" s="1844"/>
      <c r="H1438" s="1848"/>
      <c r="I1438" s="1847" t="str">
        <f>IF(D1438="","",IF(H1438&lt;&gt;"","CLOSED",IF(G1438="","NO DUE DATE",IF(AND(#REF!&lt;1,#REF!&gt;0),"DUE TODAY",IF(#REF!&gt;1,"OVERDUE",IF(H1438&lt;&gt;"","CLOSED","OPEN"))))))</f>
        <v/>
      </c>
      <c r="J1438" s="1849"/>
    </row>
    <row r="1439" spans="2:10" s="1824" customFormat="1" ht="16.2">
      <c r="B1439" s="1909"/>
      <c r="C1439" s="1842"/>
      <c r="D1439" s="1834"/>
      <c r="E1439" s="1835"/>
      <c r="F1439" s="1843"/>
      <c r="G1439" s="1844"/>
      <c r="H1439" s="1848"/>
      <c r="I1439" s="1847" t="str">
        <f>IF(D1439="","",IF(H1439&lt;&gt;"","CLOSED",IF(G1439="","NO DUE DATE",IF(AND(#REF!&lt;1,#REF!&gt;0),"DUE TODAY",IF(#REF!&gt;1,"OVERDUE",IF(H1439&lt;&gt;"","CLOSED","OPEN"))))))</f>
        <v/>
      </c>
      <c r="J1439" s="1849"/>
    </row>
    <row r="1440" spans="2:10" s="1824" customFormat="1" ht="16.2">
      <c r="B1440" s="1909"/>
      <c r="C1440" s="1842"/>
      <c r="D1440" s="1834"/>
      <c r="E1440" s="1835"/>
      <c r="F1440" s="1843"/>
      <c r="G1440" s="1844"/>
      <c r="H1440" s="1848"/>
      <c r="I1440" s="1847" t="str">
        <f>IF(D1440="","",IF(H1440&lt;&gt;"","CLOSED",IF(G1440="","NO DUE DATE",IF(AND(#REF!&lt;1,#REF!&gt;0),"DUE TODAY",IF(#REF!&gt;1,"OVERDUE",IF(H1440&lt;&gt;"","CLOSED","OPEN"))))))</f>
        <v/>
      </c>
      <c r="J1440" s="1849"/>
    </row>
    <row r="1441" spans="2:10" s="1824" customFormat="1" ht="16.2">
      <c r="B1441" s="1909"/>
      <c r="C1441" s="1842"/>
      <c r="D1441" s="1834"/>
      <c r="E1441" s="1835"/>
      <c r="F1441" s="1843"/>
      <c r="G1441" s="1844"/>
      <c r="H1441" s="1848"/>
      <c r="I1441" s="1847" t="str">
        <f>IF(D1441="","",IF(H1441&lt;&gt;"","CLOSED",IF(G1441="","NO DUE DATE",IF(AND(#REF!&lt;1,#REF!&gt;0),"DUE TODAY",IF(#REF!&gt;1,"OVERDUE",IF(H1441&lt;&gt;"","CLOSED","OPEN"))))))</f>
        <v/>
      </c>
      <c r="J1441" s="1849"/>
    </row>
    <row r="1442" spans="2:10" s="1824" customFormat="1" ht="16.2">
      <c r="B1442" s="1909"/>
      <c r="C1442" s="1842"/>
      <c r="D1442" s="1834"/>
      <c r="E1442" s="1835"/>
      <c r="F1442" s="1843"/>
      <c r="G1442" s="1844"/>
      <c r="H1442" s="1848"/>
      <c r="I1442" s="1847" t="str">
        <f>IF(D1442="","",IF(H1442&lt;&gt;"","CLOSED",IF(G1442="","NO DUE DATE",IF(AND(#REF!&lt;1,#REF!&gt;0),"DUE TODAY",IF(#REF!&gt;1,"OVERDUE",IF(H1442&lt;&gt;"","CLOSED","OPEN"))))))</f>
        <v/>
      </c>
      <c r="J1442" s="1849"/>
    </row>
    <row r="1443" spans="2:10" s="1824" customFormat="1" ht="16.2">
      <c r="B1443" s="1909"/>
      <c r="C1443" s="1842"/>
      <c r="D1443" s="1834"/>
      <c r="E1443" s="1835"/>
      <c r="F1443" s="1843"/>
      <c r="G1443" s="1844"/>
      <c r="H1443" s="1848"/>
      <c r="I1443" s="1847" t="str">
        <f>IF(D1443="","",IF(H1443&lt;&gt;"","CLOSED",IF(G1443="","NO DUE DATE",IF(AND(#REF!&lt;1,#REF!&gt;0),"DUE TODAY",IF(#REF!&gt;1,"OVERDUE",IF(H1443&lt;&gt;"","CLOSED","OPEN"))))))</f>
        <v/>
      </c>
      <c r="J1443" s="1849"/>
    </row>
    <row r="1444" spans="2:10" s="1824" customFormat="1" ht="16.2">
      <c r="B1444" s="1909"/>
      <c r="C1444" s="1842"/>
      <c r="D1444" s="1834"/>
      <c r="E1444" s="1835"/>
      <c r="F1444" s="1843"/>
      <c r="G1444" s="1844"/>
      <c r="H1444" s="1848"/>
      <c r="I1444" s="1847" t="str">
        <f>IF(D1444="","",IF(H1444&lt;&gt;"","CLOSED",IF(G1444="","NO DUE DATE",IF(AND(#REF!&lt;1,#REF!&gt;0),"DUE TODAY",IF(#REF!&gt;1,"OVERDUE",IF(H1444&lt;&gt;"","CLOSED","OPEN"))))))</f>
        <v/>
      </c>
      <c r="J1444" s="1849"/>
    </row>
    <row r="1445" spans="2:10" s="1824" customFormat="1" ht="16.2">
      <c r="B1445" s="1909"/>
      <c r="C1445" s="1842"/>
      <c r="D1445" s="1834"/>
      <c r="E1445" s="1835"/>
      <c r="F1445" s="1843"/>
      <c r="G1445" s="1844"/>
      <c r="H1445" s="1848"/>
      <c r="I1445" s="1847" t="str">
        <f>IF(D1445="","",IF(H1445&lt;&gt;"","CLOSED",IF(G1445="","NO DUE DATE",IF(AND(#REF!&lt;1,#REF!&gt;0),"DUE TODAY",IF(#REF!&gt;1,"OVERDUE",IF(H1445&lt;&gt;"","CLOSED","OPEN"))))))</f>
        <v/>
      </c>
      <c r="J1445" s="1849"/>
    </row>
    <row r="1446" spans="2:10" s="1824" customFormat="1" ht="16.2">
      <c r="B1446" s="1909"/>
      <c r="C1446" s="1842"/>
      <c r="D1446" s="1834"/>
      <c r="E1446" s="1835"/>
      <c r="F1446" s="1843"/>
      <c r="G1446" s="1844"/>
      <c r="H1446" s="1848"/>
      <c r="I1446" s="1847" t="str">
        <f>IF(D1446="","",IF(H1446&lt;&gt;"","CLOSED",IF(G1446="","NO DUE DATE",IF(AND(#REF!&lt;1,#REF!&gt;0),"DUE TODAY",IF(#REF!&gt;1,"OVERDUE",IF(H1446&lt;&gt;"","CLOSED","OPEN"))))))</f>
        <v/>
      </c>
      <c r="J1446" s="1849"/>
    </row>
    <row r="1447" spans="2:10" s="1824" customFormat="1" ht="16.2">
      <c r="B1447" s="1909"/>
      <c r="C1447" s="1842"/>
      <c r="D1447" s="1834"/>
      <c r="E1447" s="1835"/>
      <c r="F1447" s="1843"/>
      <c r="G1447" s="1844"/>
      <c r="H1447" s="1848"/>
      <c r="I1447" s="1847" t="str">
        <f>IF(D1447="","",IF(H1447&lt;&gt;"","CLOSED",IF(G1447="","NO DUE DATE",IF(AND(#REF!&lt;1,#REF!&gt;0),"DUE TODAY",IF(#REF!&gt;1,"OVERDUE",IF(H1447&lt;&gt;"","CLOSED","OPEN"))))))</f>
        <v/>
      </c>
      <c r="J1447" s="1849"/>
    </row>
    <row r="1448" spans="2:10" s="1824" customFormat="1" ht="16.2">
      <c r="B1448" s="1909"/>
      <c r="C1448" s="1842"/>
      <c r="D1448" s="1834"/>
      <c r="E1448" s="1835"/>
      <c r="F1448" s="1843"/>
      <c r="G1448" s="1844"/>
      <c r="H1448" s="1848"/>
      <c r="I1448" s="1847" t="str">
        <f>IF(D1448="","",IF(H1448&lt;&gt;"","CLOSED",IF(G1448="","NO DUE DATE",IF(AND(#REF!&lt;1,#REF!&gt;0),"DUE TODAY",IF(#REF!&gt;1,"OVERDUE",IF(H1448&lt;&gt;"","CLOSED","OPEN"))))))</f>
        <v/>
      </c>
      <c r="J1448" s="1849"/>
    </row>
    <row r="1449" spans="2:10" s="1824" customFormat="1" ht="16.2">
      <c r="B1449" s="1909"/>
      <c r="C1449" s="1842"/>
      <c r="D1449" s="1834"/>
      <c r="E1449" s="1835"/>
      <c r="F1449" s="1843"/>
      <c r="G1449" s="1844"/>
      <c r="H1449" s="1848"/>
      <c r="I1449" s="1847" t="str">
        <f>IF(D1449="","",IF(H1449&lt;&gt;"","CLOSED",IF(G1449="","NO DUE DATE",IF(AND(#REF!&lt;1,#REF!&gt;0),"DUE TODAY",IF(#REF!&gt;1,"OVERDUE",IF(H1449&lt;&gt;"","CLOSED","OPEN"))))))</f>
        <v/>
      </c>
      <c r="J1449" s="1849"/>
    </row>
    <row r="1450" spans="2:10" s="1824" customFormat="1" ht="16.2">
      <c r="B1450" s="1909"/>
      <c r="C1450" s="1842"/>
      <c r="D1450" s="1834"/>
      <c r="E1450" s="1835"/>
      <c r="F1450" s="1843"/>
      <c r="G1450" s="1844"/>
      <c r="H1450" s="1848"/>
      <c r="I1450" s="1847" t="str">
        <f>IF(D1450="","",IF(H1450&lt;&gt;"","CLOSED",IF(G1450="","NO DUE DATE",IF(AND(#REF!&lt;1,#REF!&gt;0),"DUE TODAY",IF(#REF!&gt;1,"OVERDUE",IF(H1450&lt;&gt;"","CLOSED","OPEN"))))))</f>
        <v/>
      </c>
      <c r="J1450" s="1849"/>
    </row>
    <row r="1451" spans="2:10" s="1824" customFormat="1" ht="16.2">
      <c r="B1451" s="1909"/>
      <c r="C1451" s="1842"/>
      <c r="D1451" s="1834"/>
      <c r="E1451" s="1835"/>
      <c r="F1451" s="1843"/>
      <c r="G1451" s="1844"/>
      <c r="H1451" s="1848"/>
      <c r="I1451" s="1847" t="str">
        <f>IF(D1451="","",IF(H1451&lt;&gt;"","CLOSED",IF(G1451="","NO DUE DATE",IF(AND(#REF!&lt;1,#REF!&gt;0),"DUE TODAY",IF(#REF!&gt;1,"OVERDUE",IF(H1451&lt;&gt;"","CLOSED","OPEN"))))))</f>
        <v/>
      </c>
      <c r="J1451" s="1849"/>
    </row>
    <row r="1452" spans="2:10" s="1824" customFormat="1" ht="16.2">
      <c r="B1452" s="1909"/>
      <c r="C1452" s="1842"/>
      <c r="D1452" s="1834"/>
      <c r="E1452" s="1835"/>
      <c r="F1452" s="1843"/>
      <c r="G1452" s="1844"/>
      <c r="H1452" s="1848"/>
      <c r="I1452" s="1847" t="str">
        <f>IF(D1452="","",IF(H1452&lt;&gt;"","CLOSED",IF(G1452="","NO DUE DATE",IF(AND(#REF!&lt;1,#REF!&gt;0),"DUE TODAY",IF(#REF!&gt;1,"OVERDUE",IF(H1452&lt;&gt;"","CLOSED","OPEN"))))))</f>
        <v/>
      </c>
      <c r="J1452" s="1849"/>
    </row>
    <row r="1453" spans="2:10" s="1824" customFormat="1" ht="16.2">
      <c r="B1453" s="1909"/>
      <c r="C1453" s="1842"/>
      <c r="D1453" s="1834"/>
      <c r="E1453" s="1835"/>
      <c r="F1453" s="1843"/>
      <c r="G1453" s="1844"/>
      <c r="H1453" s="1848"/>
      <c r="I1453" s="1847" t="str">
        <f>IF(D1453="","",IF(H1453&lt;&gt;"","CLOSED",IF(G1453="","NO DUE DATE",IF(AND(#REF!&lt;1,#REF!&gt;0),"DUE TODAY",IF(#REF!&gt;1,"OVERDUE",IF(H1453&lt;&gt;"","CLOSED","OPEN"))))))</f>
        <v/>
      </c>
      <c r="J1453" s="1849"/>
    </row>
    <row r="1454" spans="2:10" s="1824" customFormat="1" ht="16.2">
      <c r="B1454" s="1909"/>
      <c r="C1454" s="1842"/>
      <c r="D1454" s="1834"/>
      <c r="E1454" s="1835"/>
      <c r="F1454" s="1843"/>
      <c r="G1454" s="1844"/>
      <c r="H1454" s="1848"/>
      <c r="I1454" s="1847" t="str">
        <f>IF(D1454="","",IF(H1454&lt;&gt;"","CLOSED",IF(G1454="","NO DUE DATE",IF(AND(#REF!&lt;1,#REF!&gt;0),"DUE TODAY",IF(#REF!&gt;1,"OVERDUE",IF(H1454&lt;&gt;"","CLOSED","OPEN"))))))</f>
        <v/>
      </c>
      <c r="J1454" s="1849"/>
    </row>
    <row r="1455" spans="2:10" s="1824" customFormat="1" ht="16.2">
      <c r="B1455" s="1909"/>
      <c r="C1455" s="1842"/>
      <c r="D1455" s="1834"/>
      <c r="E1455" s="1835"/>
      <c r="F1455" s="1843"/>
      <c r="G1455" s="1844"/>
      <c r="H1455" s="1848"/>
      <c r="I1455" s="1847" t="str">
        <f>IF(D1455="","",IF(H1455&lt;&gt;"","CLOSED",IF(G1455="","NO DUE DATE",IF(AND(#REF!&lt;1,#REF!&gt;0),"DUE TODAY",IF(#REF!&gt;1,"OVERDUE",IF(H1455&lt;&gt;"","CLOSED","OPEN"))))))</f>
        <v/>
      </c>
      <c r="J1455" s="1849"/>
    </row>
    <row r="1456" spans="2:10" s="1824" customFormat="1" ht="16.2">
      <c r="B1456" s="1909"/>
      <c r="C1456" s="1842"/>
      <c r="D1456" s="1834"/>
      <c r="E1456" s="1835"/>
      <c r="F1456" s="1843"/>
      <c r="G1456" s="1844"/>
      <c r="H1456" s="1848"/>
      <c r="I1456" s="1847" t="str">
        <f>IF(D1456="","",IF(H1456&lt;&gt;"","CLOSED",IF(G1456="","NO DUE DATE",IF(AND(#REF!&lt;1,#REF!&gt;0),"DUE TODAY",IF(#REF!&gt;1,"OVERDUE",IF(H1456&lt;&gt;"","CLOSED","OPEN"))))))</f>
        <v/>
      </c>
      <c r="J1456" s="1849"/>
    </row>
    <row r="1457" spans="2:10" s="1824" customFormat="1" ht="16.2">
      <c r="B1457" s="1909"/>
      <c r="C1457" s="1842"/>
      <c r="D1457" s="1834"/>
      <c r="E1457" s="1835"/>
      <c r="F1457" s="1843"/>
      <c r="G1457" s="1844"/>
      <c r="H1457" s="1848"/>
      <c r="I1457" s="1847" t="str">
        <f>IF(D1457="","",IF(H1457&lt;&gt;"","CLOSED",IF(G1457="","NO DUE DATE",IF(AND(#REF!&lt;1,#REF!&gt;0),"DUE TODAY",IF(#REF!&gt;1,"OVERDUE",IF(H1457&lt;&gt;"","CLOSED","OPEN"))))))</f>
        <v/>
      </c>
      <c r="J1457" s="1849"/>
    </row>
    <row r="1458" spans="2:10" s="1824" customFormat="1" ht="16.2">
      <c r="B1458" s="1909"/>
      <c r="C1458" s="1842"/>
      <c r="D1458" s="1834"/>
      <c r="E1458" s="1835"/>
      <c r="F1458" s="1843"/>
      <c r="G1458" s="1844"/>
      <c r="H1458" s="1848"/>
      <c r="I1458" s="1847" t="str">
        <f>IF(D1458="","",IF(H1458&lt;&gt;"","CLOSED",IF(G1458="","NO DUE DATE",IF(AND(#REF!&lt;1,#REF!&gt;0),"DUE TODAY",IF(#REF!&gt;1,"OVERDUE",IF(H1458&lt;&gt;"","CLOSED","OPEN"))))))</f>
        <v/>
      </c>
      <c r="J1458" s="1849"/>
    </row>
    <row r="1459" spans="2:10" s="1824" customFormat="1" ht="16.2">
      <c r="B1459" s="1909"/>
      <c r="C1459" s="1842"/>
      <c r="D1459" s="1834"/>
      <c r="E1459" s="1835"/>
      <c r="F1459" s="1843"/>
      <c r="G1459" s="1844"/>
      <c r="H1459" s="1848"/>
      <c r="I1459" s="1847" t="str">
        <f>IF(D1459="","",IF(H1459&lt;&gt;"","CLOSED",IF(G1459="","NO DUE DATE",IF(AND(#REF!&lt;1,#REF!&gt;0),"DUE TODAY",IF(#REF!&gt;1,"OVERDUE",IF(H1459&lt;&gt;"","CLOSED","OPEN"))))))</f>
        <v/>
      </c>
      <c r="J1459" s="1849"/>
    </row>
    <row r="1460" spans="2:10" s="1824" customFormat="1" ht="16.2">
      <c r="B1460" s="1909"/>
      <c r="C1460" s="1842"/>
      <c r="D1460" s="1834"/>
      <c r="E1460" s="1835"/>
      <c r="F1460" s="1843"/>
      <c r="G1460" s="1844"/>
      <c r="H1460" s="1848"/>
      <c r="I1460" s="1847" t="str">
        <f>IF(D1460="","",IF(H1460&lt;&gt;"","CLOSED",IF(G1460="","NO DUE DATE",IF(AND(#REF!&lt;1,#REF!&gt;0),"DUE TODAY",IF(#REF!&gt;1,"OVERDUE",IF(H1460&lt;&gt;"","CLOSED","OPEN"))))))</f>
        <v/>
      </c>
      <c r="J1460" s="1849"/>
    </row>
    <row r="1461" spans="2:10" s="1824" customFormat="1" ht="16.2">
      <c r="B1461" s="1909"/>
      <c r="C1461" s="1842"/>
      <c r="D1461" s="1834"/>
      <c r="E1461" s="1835"/>
      <c r="F1461" s="1843"/>
      <c r="G1461" s="1844"/>
      <c r="H1461" s="1848"/>
      <c r="I1461" s="1847" t="str">
        <f>IF(D1461="","",IF(H1461&lt;&gt;"","CLOSED",IF(G1461="","NO DUE DATE",IF(AND(#REF!&lt;1,#REF!&gt;0),"DUE TODAY",IF(#REF!&gt;1,"OVERDUE",IF(H1461&lt;&gt;"","CLOSED","OPEN"))))))</f>
        <v/>
      </c>
      <c r="J1461" s="1849"/>
    </row>
    <row r="1462" spans="2:10" s="1824" customFormat="1" ht="16.2">
      <c r="B1462" s="1909"/>
      <c r="C1462" s="1842"/>
      <c r="D1462" s="1834"/>
      <c r="E1462" s="1835"/>
      <c r="F1462" s="1843"/>
      <c r="G1462" s="1844"/>
      <c r="H1462" s="1848"/>
      <c r="I1462" s="1847" t="str">
        <f>IF(D1462="","",IF(H1462&lt;&gt;"","CLOSED",IF(G1462="","NO DUE DATE",IF(AND(#REF!&lt;1,#REF!&gt;0),"DUE TODAY",IF(#REF!&gt;1,"OVERDUE",IF(H1462&lt;&gt;"","CLOSED","OPEN"))))))</f>
        <v/>
      </c>
      <c r="J1462" s="1849"/>
    </row>
    <row r="1463" spans="2:10" s="1824" customFormat="1" ht="16.2">
      <c r="B1463" s="1909"/>
      <c r="C1463" s="1842"/>
      <c r="D1463" s="1834"/>
      <c r="E1463" s="1835"/>
      <c r="F1463" s="1843"/>
      <c r="G1463" s="1844"/>
      <c r="H1463" s="1848"/>
      <c r="I1463" s="1847" t="str">
        <f>IF(D1463="","",IF(H1463&lt;&gt;"","CLOSED",IF(G1463="","NO DUE DATE",IF(AND(#REF!&lt;1,#REF!&gt;0),"DUE TODAY",IF(#REF!&gt;1,"OVERDUE",IF(H1463&lt;&gt;"","CLOSED","OPEN"))))))</f>
        <v/>
      </c>
      <c r="J1463" s="1849"/>
    </row>
    <row r="1464" spans="2:10" s="1824" customFormat="1" ht="16.2">
      <c r="B1464" s="1909"/>
      <c r="C1464" s="1842"/>
      <c r="D1464" s="1834"/>
      <c r="E1464" s="1835"/>
      <c r="F1464" s="1843"/>
      <c r="G1464" s="1844"/>
      <c r="H1464" s="1848"/>
      <c r="I1464" s="1847" t="str">
        <f>IF(D1464="","",IF(H1464&lt;&gt;"","CLOSED",IF(G1464="","NO DUE DATE",IF(AND(#REF!&lt;1,#REF!&gt;0),"DUE TODAY",IF(#REF!&gt;1,"OVERDUE",IF(H1464&lt;&gt;"","CLOSED","OPEN"))))))</f>
        <v/>
      </c>
      <c r="J1464" s="1849"/>
    </row>
    <row r="1465" spans="2:10" s="1824" customFormat="1" ht="16.2">
      <c r="B1465" s="1909"/>
      <c r="C1465" s="1842"/>
      <c r="D1465" s="1834"/>
      <c r="E1465" s="1835"/>
      <c r="F1465" s="1843"/>
      <c r="G1465" s="1844"/>
      <c r="H1465" s="1848"/>
      <c r="I1465" s="1847" t="str">
        <f>IF(D1465="","",IF(H1465&lt;&gt;"","CLOSED",IF(G1465="","NO DUE DATE",IF(AND(#REF!&lt;1,#REF!&gt;0),"DUE TODAY",IF(#REF!&gt;1,"OVERDUE",IF(H1465&lt;&gt;"","CLOSED","OPEN"))))))</f>
        <v/>
      </c>
      <c r="J1465" s="1849"/>
    </row>
    <row r="1466" spans="2:10" s="1824" customFormat="1" ht="16.2">
      <c r="B1466" s="1909"/>
      <c r="C1466" s="1842"/>
      <c r="D1466" s="1834"/>
      <c r="E1466" s="1835"/>
      <c r="F1466" s="1843"/>
      <c r="G1466" s="1844"/>
      <c r="H1466" s="1848"/>
      <c r="I1466" s="1847" t="str">
        <f>IF(D1466="","",IF(H1466&lt;&gt;"","CLOSED",IF(G1466="","NO DUE DATE",IF(AND(#REF!&lt;1,#REF!&gt;0),"DUE TODAY",IF(#REF!&gt;1,"OVERDUE",IF(H1466&lt;&gt;"","CLOSED","OPEN"))))))</f>
        <v/>
      </c>
      <c r="J1466" s="1849"/>
    </row>
    <row r="1467" spans="2:10" s="1824" customFormat="1" ht="16.2">
      <c r="B1467" s="1909"/>
      <c r="C1467" s="1842"/>
      <c r="D1467" s="1834"/>
      <c r="E1467" s="1835"/>
      <c r="F1467" s="1843"/>
      <c r="G1467" s="1844"/>
      <c r="H1467" s="1848"/>
      <c r="I1467" s="1847" t="str">
        <f>IF(D1467="","",IF(H1467&lt;&gt;"","CLOSED",IF(G1467="","NO DUE DATE",IF(AND(#REF!&lt;1,#REF!&gt;0),"DUE TODAY",IF(#REF!&gt;1,"OVERDUE",IF(H1467&lt;&gt;"","CLOSED","OPEN"))))))</f>
        <v/>
      </c>
      <c r="J1467" s="1849"/>
    </row>
    <row r="1468" spans="2:10" s="1824" customFormat="1" ht="16.2">
      <c r="B1468" s="1909"/>
      <c r="C1468" s="1842"/>
      <c r="D1468" s="1834"/>
      <c r="E1468" s="1835"/>
      <c r="F1468" s="1843"/>
      <c r="G1468" s="1844"/>
      <c r="H1468" s="1848"/>
      <c r="I1468" s="1847" t="str">
        <f>IF(D1468="","",IF(H1468&lt;&gt;"","CLOSED",IF(G1468="","NO DUE DATE",IF(AND(#REF!&lt;1,#REF!&gt;0),"DUE TODAY",IF(#REF!&gt;1,"OVERDUE",IF(H1468&lt;&gt;"","CLOSED","OPEN"))))))</f>
        <v/>
      </c>
      <c r="J1468" s="1849"/>
    </row>
    <row r="1469" spans="2:10" s="1824" customFormat="1" ht="16.2">
      <c r="B1469" s="1909"/>
      <c r="C1469" s="1842"/>
      <c r="D1469" s="1834"/>
      <c r="E1469" s="1835"/>
      <c r="F1469" s="1843"/>
      <c r="G1469" s="1844"/>
      <c r="H1469" s="1848"/>
      <c r="I1469" s="1847" t="str">
        <f>IF(D1469="","",IF(H1469&lt;&gt;"","CLOSED",IF(G1469="","NO DUE DATE",IF(AND(#REF!&lt;1,#REF!&gt;0),"DUE TODAY",IF(#REF!&gt;1,"OVERDUE",IF(H1469&lt;&gt;"","CLOSED","OPEN"))))))</f>
        <v/>
      </c>
      <c r="J1469" s="1849"/>
    </row>
    <row r="1470" spans="2:10" s="1824" customFormat="1" ht="16.2">
      <c r="B1470" s="1909"/>
      <c r="C1470" s="1842"/>
      <c r="D1470" s="1834"/>
      <c r="E1470" s="1835"/>
      <c r="F1470" s="1843"/>
      <c r="G1470" s="1844"/>
      <c r="H1470" s="1848"/>
      <c r="I1470" s="1847" t="str">
        <f>IF(D1470="","",IF(H1470&lt;&gt;"","CLOSED",IF(G1470="","NO DUE DATE",IF(AND(#REF!&lt;1,#REF!&gt;0),"DUE TODAY",IF(#REF!&gt;1,"OVERDUE",IF(H1470&lt;&gt;"","CLOSED","OPEN"))))))</f>
        <v/>
      </c>
      <c r="J1470" s="1849"/>
    </row>
    <row r="1471" spans="2:10" s="1824" customFormat="1" ht="16.2">
      <c r="B1471" s="1909"/>
      <c r="C1471" s="1842"/>
      <c r="D1471" s="1834"/>
      <c r="E1471" s="1835"/>
      <c r="F1471" s="1843"/>
      <c r="G1471" s="1844"/>
      <c r="H1471" s="1848"/>
      <c r="I1471" s="1847" t="str">
        <f>IF(D1471="","",IF(H1471&lt;&gt;"","CLOSED",IF(G1471="","NO DUE DATE",IF(AND(#REF!&lt;1,#REF!&gt;0),"DUE TODAY",IF(#REF!&gt;1,"OVERDUE",IF(H1471&lt;&gt;"","CLOSED","OPEN"))))))</f>
        <v/>
      </c>
      <c r="J1471" s="1849"/>
    </row>
    <row r="1472" spans="2:10" s="1824" customFormat="1" ht="16.2">
      <c r="B1472" s="1909"/>
      <c r="C1472" s="1842"/>
      <c r="D1472" s="1834"/>
      <c r="E1472" s="1835"/>
      <c r="F1472" s="1843"/>
      <c r="G1472" s="1844"/>
      <c r="H1472" s="1848"/>
      <c r="I1472" s="1847" t="str">
        <f>IF(D1472="","",IF(H1472&lt;&gt;"","CLOSED",IF(G1472="","NO DUE DATE",IF(AND(#REF!&lt;1,#REF!&gt;0),"DUE TODAY",IF(#REF!&gt;1,"OVERDUE",IF(H1472&lt;&gt;"","CLOSED","OPEN"))))))</f>
        <v/>
      </c>
      <c r="J1472" s="1849"/>
    </row>
    <row r="1473" spans="2:10" s="1824" customFormat="1" ht="16.2">
      <c r="B1473" s="1909"/>
      <c r="C1473" s="1842"/>
      <c r="D1473" s="1834"/>
      <c r="E1473" s="1835"/>
      <c r="F1473" s="1843"/>
      <c r="G1473" s="1844"/>
      <c r="H1473" s="1848"/>
      <c r="I1473" s="1847" t="str">
        <f>IF(D1473="","",IF(H1473&lt;&gt;"","CLOSED",IF(G1473="","NO DUE DATE",IF(AND(#REF!&lt;1,#REF!&gt;0),"DUE TODAY",IF(#REF!&gt;1,"OVERDUE",IF(H1473&lt;&gt;"","CLOSED","OPEN"))))))</f>
        <v/>
      </c>
      <c r="J1473" s="1849"/>
    </row>
    <row r="1474" spans="2:10" s="1824" customFormat="1" ht="16.2">
      <c r="B1474" s="1909"/>
      <c r="C1474" s="1842"/>
      <c r="D1474" s="1834"/>
      <c r="E1474" s="1835"/>
      <c r="F1474" s="1843"/>
      <c r="G1474" s="1844"/>
      <c r="H1474" s="1848"/>
      <c r="I1474" s="1847" t="str">
        <f>IF(D1474="","",IF(H1474&lt;&gt;"","CLOSED",IF(G1474="","NO DUE DATE",IF(AND(#REF!&lt;1,#REF!&gt;0),"DUE TODAY",IF(#REF!&gt;1,"OVERDUE",IF(H1474&lt;&gt;"","CLOSED","OPEN"))))))</f>
        <v/>
      </c>
      <c r="J1474" s="1849"/>
    </row>
    <row r="1475" spans="2:10" s="1824" customFormat="1" ht="16.2">
      <c r="B1475" s="1909"/>
      <c r="C1475" s="1842"/>
      <c r="D1475" s="1834"/>
      <c r="E1475" s="1835"/>
      <c r="F1475" s="1843"/>
      <c r="G1475" s="1844"/>
      <c r="H1475" s="1848"/>
      <c r="I1475" s="1847" t="str">
        <f>IF(D1475="","",IF(H1475&lt;&gt;"","CLOSED",IF(G1475="","NO DUE DATE",IF(AND(#REF!&lt;1,#REF!&gt;0),"DUE TODAY",IF(#REF!&gt;1,"OVERDUE",IF(H1475&lt;&gt;"","CLOSED","OPEN"))))))</f>
        <v/>
      </c>
      <c r="J1475" s="1849"/>
    </row>
    <row r="1476" spans="2:10" s="1824" customFormat="1" ht="16.2">
      <c r="B1476" s="1909"/>
      <c r="C1476" s="1842"/>
      <c r="D1476" s="1834"/>
      <c r="E1476" s="1835"/>
      <c r="F1476" s="1843"/>
      <c r="G1476" s="1844"/>
      <c r="H1476" s="1848"/>
      <c r="I1476" s="1847" t="str">
        <f>IF(D1476="","",IF(H1476&lt;&gt;"","CLOSED",IF(G1476="","NO DUE DATE",IF(AND(#REF!&lt;1,#REF!&gt;0),"DUE TODAY",IF(#REF!&gt;1,"OVERDUE",IF(H1476&lt;&gt;"","CLOSED","OPEN"))))))</f>
        <v/>
      </c>
      <c r="J1476" s="1849"/>
    </row>
    <row r="1477" spans="2:10" s="1824" customFormat="1" ht="16.2">
      <c r="B1477" s="1909"/>
      <c r="C1477" s="1842"/>
      <c r="D1477" s="1834"/>
      <c r="E1477" s="1835"/>
      <c r="F1477" s="1843"/>
      <c r="G1477" s="1844"/>
      <c r="H1477" s="1848"/>
      <c r="I1477" s="1847" t="str">
        <f>IF(D1477="","",IF(H1477&lt;&gt;"","CLOSED",IF(G1477="","NO DUE DATE",IF(AND(#REF!&lt;1,#REF!&gt;0),"DUE TODAY",IF(#REF!&gt;1,"OVERDUE",IF(H1477&lt;&gt;"","CLOSED","OPEN"))))))</f>
        <v/>
      </c>
      <c r="J1477" s="1849"/>
    </row>
    <row r="1478" spans="2:10" s="1824" customFormat="1" ht="16.2">
      <c r="B1478" s="1909"/>
      <c r="C1478" s="1842"/>
      <c r="D1478" s="1834"/>
      <c r="E1478" s="1835"/>
      <c r="F1478" s="1843"/>
      <c r="G1478" s="1844"/>
      <c r="H1478" s="1848"/>
      <c r="I1478" s="1847" t="str">
        <f>IF(D1478="","",IF(H1478&lt;&gt;"","CLOSED",IF(G1478="","NO DUE DATE",IF(AND(#REF!&lt;1,#REF!&gt;0),"DUE TODAY",IF(#REF!&gt;1,"OVERDUE",IF(H1478&lt;&gt;"","CLOSED","OPEN"))))))</f>
        <v/>
      </c>
      <c r="J1478" s="1849"/>
    </row>
    <row r="1479" spans="2:10" s="1824" customFormat="1" ht="16.2">
      <c r="B1479" s="1909"/>
      <c r="C1479" s="1842"/>
      <c r="D1479" s="1834"/>
      <c r="E1479" s="1835"/>
      <c r="F1479" s="1843"/>
      <c r="G1479" s="1844"/>
      <c r="H1479" s="1848"/>
      <c r="I1479" s="1847" t="str">
        <f>IF(D1479="","",IF(H1479&lt;&gt;"","CLOSED",IF(G1479="","NO DUE DATE",IF(AND(#REF!&lt;1,#REF!&gt;0),"DUE TODAY",IF(#REF!&gt;1,"OVERDUE",IF(H1479&lt;&gt;"","CLOSED","OPEN"))))))</f>
        <v/>
      </c>
      <c r="J1479" s="1849"/>
    </row>
    <row r="1480" spans="2:10" s="1824" customFormat="1" ht="16.2">
      <c r="B1480" s="1909"/>
      <c r="C1480" s="1842"/>
      <c r="D1480" s="1834"/>
      <c r="E1480" s="1835"/>
      <c r="F1480" s="1843"/>
      <c r="G1480" s="1844"/>
      <c r="H1480" s="1848"/>
      <c r="I1480" s="1847" t="str">
        <f>IF(D1480="","",IF(H1480&lt;&gt;"","CLOSED",IF(G1480="","NO DUE DATE",IF(AND(#REF!&lt;1,#REF!&gt;0),"DUE TODAY",IF(#REF!&gt;1,"OVERDUE",IF(H1480&lt;&gt;"","CLOSED","OPEN"))))))</f>
        <v/>
      </c>
      <c r="J1480" s="1849"/>
    </row>
    <row r="1481" spans="2:10" s="1824" customFormat="1" ht="16.2">
      <c r="B1481" s="1909"/>
      <c r="C1481" s="1842"/>
      <c r="D1481" s="1834"/>
      <c r="E1481" s="1835"/>
      <c r="F1481" s="1843"/>
      <c r="G1481" s="1844"/>
      <c r="H1481" s="1848"/>
      <c r="I1481" s="1847" t="str">
        <f>IF(D1481="","",IF(H1481&lt;&gt;"","CLOSED",IF(G1481="","NO DUE DATE",IF(AND(#REF!&lt;1,#REF!&gt;0),"DUE TODAY",IF(#REF!&gt;1,"OVERDUE",IF(H1481&lt;&gt;"","CLOSED","OPEN"))))))</f>
        <v/>
      </c>
      <c r="J1481" s="1849"/>
    </row>
    <row r="1482" spans="2:10" s="1824" customFormat="1" ht="16.2">
      <c r="B1482" s="1909"/>
      <c r="C1482" s="1842"/>
      <c r="D1482" s="1834"/>
      <c r="E1482" s="1835"/>
      <c r="F1482" s="1843"/>
      <c r="G1482" s="1844"/>
      <c r="H1482" s="1848"/>
      <c r="I1482" s="1847" t="str">
        <f>IF(D1482="","",IF(H1482&lt;&gt;"","CLOSED",IF(G1482="","NO DUE DATE",IF(AND(#REF!&lt;1,#REF!&gt;0),"DUE TODAY",IF(#REF!&gt;1,"OVERDUE",IF(H1482&lt;&gt;"","CLOSED","OPEN"))))))</f>
        <v/>
      </c>
      <c r="J1482" s="1849"/>
    </row>
    <row r="1483" spans="2:10" s="1824" customFormat="1" ht="16.2">
      <c r="B1483" s="1909"/>
      <c r="C1483" s="1842"/>
      <c r="D1483" s="1834"/>
      <c r="E1483" s="1835"/>
      <c r="F1483" s="1843"/>
      <c r="G1483" s="1844"/>
      <c r="H1483" s="1848"/>
      <c r="I1483" s="1847" t="str">
        <f>IF(D1483="","",IF(H1483&lt;&gt;"","CLOSED",IF(G1483="","NO DUE DATE",IF(AND(#REF!&lt;1,#REF!&gt;0),"DUE TODAY",IF(#REF!&gt;1,"OVERDUE",IF(H1483&lt;&gt;"","CLOSED","OPEN"))))))</f>
        <v/>
      </c>
      <c r="J1483" s="1849"/>
    </row>
    <row r="1484" spans="2:10" s="1824" customFormat="1" ht="16.2">
      <c r="B1484" s="1909"/>
      <c r="C1484" s="1842"/>
      <c r="D1484" s="1834"/>
      <c r="E1484" s="1835"/>
      <c r="F1484" s="1843"/>
      <c r="G1484" s="1844"/>
      <c r="H1484" s="1848"/>
      <c r="I1484" s="1847" t="str">
        <f>IF(D1484="","",IF(H1484&lt;&gt;"","CLOSED",IF(G1484="","NO DUE DATE",IF(AND(#REF!&lt;1,#REF!&gt;0),"DUE TODAY",IF(#REF!&gt;1,"OVERDUE",IF(H1484&lt;&gt;"","CLOSED","OPEN"))))))</f>
        <v/>
      </c>
      <c r="J1484" s="1849"/>
    </row>
    <row r="1485" spans="2:10" s="1824" customFormat="1" ht="16.2">
      <c r="B1485" s="1909"/>
      <c r="C1485" s="1842"/>
      <c r="D1485" s="1834"/>
      <c r="E1485" s="1835"/>
      <c r="F1485" s="1843"/>
      <c r="G1485" s="1844"/>
      <c r="H1485" s="1848"/>
      <c r="I1485" s="1847" t="str">
        <f>IF(D1485="","",IF(H1485&lt;&gt;"","CLOSED",IF(G1485="","NO DUE DATE",IF(AND(#REF!&lt;1,#REF!&gt;0),"DUE TODAY",IF(#REF!&gt;1,"OVERDUE",IF(H1485&lt;&gt;"","CLOSED","OPEN"))))))</f>
        <v/>
      </c>
      <c r="J1485" s="1849"/>
    </row>
    <row r="1486" spans="2:10" s="1824" customFormat="1" ht="16.2">
      <c r="B1486" s="1909"/>
      <c r="C1486" s="1842"/>
      <c r="D1486" s="1834"/>
      <c r="E1486" s="1835"/>
      <c r="F1486" s="1843"/>
      <c r="G1486" s="1844"/>
      <c r="H1486" s="1848"/>
      <c r="I1486" s="1847" t="str">
        <f>IF(D1486="","",IF(H1486&lt;&gt;"","CLOSED",IF(G1486="","NO DUE DATE",IF(AND(#REF!&lt;1,#REF!&gt;0),"DUE TODAY",IF(#REF!&gt;1,"OVERDUE",IF(H1486&lt;&gt;"","CLOSED","OPEN"))))))</f>
        <v/>
      </c>
      <c r="J1486" s="1849"/>
    </row>
    <row r="1487" spans="2:10" s="1824" customFormat="1" ht="16.2">
      <c r="B1487" s="1909"/>
      <c r="C1487" s="1842"/>
      <c r="D1487" s="1834"/>
      <c r="E1487" s="1835"/>
      <c r="F1487" s="1843"/>
      <c r="G1487" s="1844"/>
      <c r="H1487" s="1848"/>
      <c r="I1487" s="1847" t="str">
        <f>IF(D1487="","",IF(H1487&lt;&gt;"","CLOSED",IF(G1487="","NO DUE DATE",IF(AND(#REF!&lt;1,#REF!&gt;0),"DUE TODAY",IF(#REF!&gt;1,"OVERDUE",IF(H1487&lt;&gt;"","CLOSED","OPEN"))))))</f>
        <v/>
      </c>
      <c r="J1487" s="1849"/>
    </row>
    <row r="1488" spans="2:10" s="1824" customFormat="1" ht="16.2">
      <c r="B1488" s="1909"/>
      <c r="C1488" s="1842"/>
      <c r="D1488" s="1834"/>
      <c r="E1488" s="1835"/>
      <c r="F1488" s="1843"/>
      <c r="G1488" s="1844"/>
      <c r="H1488" s="1848"/>
      <c r="I1488" s="1847" t="str">
        <f>IF(D1488="","",IF(H1488&lt;&gt;"","CLOSED",IF(G1488="","NO DUE DATE",IF(AND(#REF!&lt;1,#REF!&gt;0),"DUE TODAY",IF(#REF!&gt;1,"OVERDUE",IF(H1488&lt;&gt;"","CLOSED","OPEN"))))))</f>
        <v/>
      </c>
      <c r="J1488" s="1849"/>
    </row>
    <row r="1489" spans="2:10" s="1824" customFormat="1" ht="16.2">
      <c r="B1489" s="1909"/>
      <c r="C1489" s="1842"/>
      <c r="D1489" s="1834"/>
      <c r="E1489" s="1835"/>
      <c r="F1489" s="1843"/>
      <c r="G1489" s="1844"/>
      <c r="H1489" s="1848"/>
      <c r="I1489" s="1847" t="str">
        <f>IF(D1489="","",IF(H1489&lt;&gt;"","CLOSED",IF(G1489="","NO DUE DATE",IF(AND(#REF!&lt;1,#REF!&gt;0),"DUE TODAY",IF(#REF!&gt;1,"OVERDUE",IF(H1489&lt;&gt;"","CLOSED","OPEN"))))))</f>
        <v/>
      </c>
      <c r="J1489" s="1849"/>
    </row>
    <row r="1490" spans="2:10" s="1824" customFormat="1" ht="16.2">
      <c r="B1490" s="1909"/>
      <c r="C1490" s="1842"/>
      <c r="D1490" s="1834"/>
      <c r="E1490" s="1835"/>
      <c r="F1490" s="1843"/>
      <c r="G1490" s="1844"/>
      <c r="H1490" s="1848"/>
      <c r="I1490" s="1847" t="str">
        <f>IF(D1490="","",IF(H1490&lt;&gt;"","CLOSED",IF(G1490="","NO DUE DATE",IF(AND(#REF!&lt;1,#REF!&gt;0),"DUE TODAY",IF(#REF!&gt;1,"OVERDUE",IF(H1490&lt;&gt;"","CLOSED","OPEN"))))))</f>
        <v/>
      </c>
      <c r="J1490" s="1849"/>
    </row>
    <row r="1491" spans="2:10" s="1824" customFormat="1" ht="16.2">
      <c r="B1491" s="1909"/>
      <c r="C1491" s="1842"/>
      <c r="D1491" s="1834"/>
      <c r="E1491" s="1835"/>
      <c r="F1491" s="1843"/>
      <c r="G1491" s="1844"/>
      <c r="H1491" s="1848"/>
      <c r="I1491" s="1847" t="str">
        <f>IF(D1491="","",IF(H1491&lt;&gt;"","CLOSED",IF(G1491="","NO DUE DATE",IF(AND(#REF!&lt;1,#REF!&gt;0),"DUE TODAY",IF(#REF!&gt;1,"OVERDUE",IF(H1491&lt;&gt;"","CLOSED","OPEN"))))))</f>
        <v/>
      </c>
      <c r="J1491" s="1849"/>
    </row>
    <row r="1492" spans="2:10" s="1824" customFormat="1" ht="16.2">
      <c r="B1492" s="1909"/>
      <c r="C1492" s="1842"/>
      <c r="D1492" s="1834"/>
      <c r="E1492" s="1835"/>
      <c r="F1492" s="1843"/>
      <c r="G1492" s="1844"/>
      <c r="H1492" s="1848"/>
      <c r="I1492" s="1847" t="str">
        <f>IF(D1492="","",IF(H1492&lt;&gt;"","CLOSED",IF(G1492="","NO DUE DATE",IF(AND(#REF!&lt;1,#REF!&gt;0),"DUE TODAY",IF(#REF!&gt;1,"OVERDUE",IF(H1492&lt;&gt;"","CLOSED","OPEN"))))))</f>
        <v/>
      </c>
      <c r="J1492" s="1849"/>
    </row>
    <row r="1493" spans="2:10" s="1824" customFormat="1" ht="16.2">
      <c r="B1493" s="1909"/>
      <c r="C1493" s="1842"/>
      <c r="D1493" s="1834"/>
      <c r="E1493" s="1835"/>
      <c r="F1493" s="1843"/>
      <c r="G1493" s="1844"/>
      <c r="H1493" s="1848"/>
      <c r="I1493" s="1847" t="str">
        <f>IF(D1493="","",IF(H1493&lt;&gt;"","CLOSED",IF(G1493="","NO DUE DATE",IF(AND(#REF!&lt;1,#REF!&gt;0),"DUE TODAY",IF(#REF!&gt;1,"OVERDUE",IF(H1493&lt;&gt;"","CLOSED","OPEN"))))))</f>
        <v/>
      </c>
      <c r="J1493" s="1849"/>
    </row>
    <row r="1494" spans="2:10" s="1824" customFormat="1" ht="16.2">
      <c r="B1494" s="1909"/>
      <c r="C1494" s="1842"/>
      <c r="D1494" s="1834"/>
      <c r="E1494" s="1835"/>
      <c r="F1494" s="1843"/>
      <c r="G1494" s="1844"/>
      <c r="H1494" s="1848"/>
      <c r="I1494" s="1847" t="str">
        <f>IF(D1494="","",IF(H1494&lt;&gt;"","CLOSED",IF(G1494="","NO DUE DATE",IF(AND(#REF!&lt;1,#REF!&gt;0),"DUE TODAY",IF(#REF!&gt;1,"OVERDUE",IF(H1494&lt;&gt;"","CLOSED","OPEN"))))))</f>
        <v/>
      </c>
      <c r="J1494" s="1849"/>
    </row>
    <row r="1495" spans="2:10" s="1824" customFormat="1" ht="16.2">
      <c r="B1495" s="1909"/>
      <c r="C1495" s="1842"/>
      <c r="D1495" s="1834"/>
      <c r="E1495" s="1835"/>
      <c r="F1495" s="1843"/>
      <c r="G1495" s="1844"/>
      <c r="H1495" s="1848"/>
      <c r="I1495" s="1847" t="str">
        <f>IF(D1495="","",IF(H1495&lt;&gt;"","CLOSED",IF(G1495="","NO DUE DATE",IF(AND(#REF!&lt;1,#REF!&gt;0),"DUE TODAY",IF(#REF!&gt;1,"OVERDUE",IF(H1495&lt;&gt;"","CLOSED","OPEN"))))))</f>
        <v/>
      </c>
      <c r="J1495" s="1849"/>
    </row>
    <row r="1496" spans="2:10" s="1824" customFormat="1" ht="16.2">
      <c r="B1496" s="1909"/>
      <c r="C1496" s="1842"/>
      <c r="D1496" s="1834"/>
      <c r="E1496" s="1835"/>
      <c r="F1496" s="1843"/>
      <c r="G1496" s="1844"/>
      <c r="H1496" s="1848"/>
      <c r="I1496" s="1847" t="str">
        <f>IF(D1496="","",IF(H1496&lt;&gt;"","CLOSED",IF(G1496="","NO DUE DATE",IF(AND(#REF!&lt;1,#REF!&gt;0),"DUE TODAY",IF(#REF!&gt;1,"OVERDUE",IF(H1496&lt;&gt;"","CLOSED","OPEN"))))))</f>
        <v/>
      </c>
      <c r="J1496" s="1849"/>
    </row>
    <row r="1497" spans="2:10" s="1824" customFormat="1" ht="16.2">
      <c r="B1497" s="1909"/>
      <c r="C1497" s="1842"/>
      <c r="D1497" s="1834"/>
      <c r="E1497" s="1835"/>
      <c r="F1497" s="1843"/>
      <c r="G1497" s="1844"/>
      <c r="H1497" s="1848"/>
      <c r="I1497" s="1847" t="str">
        <f>IF(D1497="","",IF(H1497&lt;&gt;"","CLOSED",IF(G1497="","NO DUE DATE",IF(AND(#REF!&lt;1,#REF!&gt;0),"DUE TODAY",IF(#REF!&gt;1,"OVERDUE",IF(H1497&lt;&gt;"","CLOSED","OPEN"))))))</f>
        <v/>
      </c>
      <c r="J1497" s="1849"/>
    </row>
    <row r="1498" spans="2:10" s="1824" customFormat="1" ht="16.2">
      <c r="B1498" s="1909"/>
      <c r="C1498" s="1842"/>
      <c r="D1498" s="1834"/>
      <c r="E1498" s="1835"/>
      <c r="F1498" s="1843"/>
      <c r="G1498" s="1844"/>
      <c r="H1498" s="1848"/>
      <c r="I1498" s="1847" t="str">
        <f>IF(D1498="","",IF(H1498&lt;&gt;"","CLOSED",IF(G1498="","NO DUE DATE",IF(AND(#REF!&lt;1,#REF!&gt;0),"DUE TODAY",IF(#REF!&gt;1,"OVERDUE",IF(H1498&lt;&gt;"","CLOSED","OPEN"))))))</f>
        <v/>
      </c>
      <c r="J1498" s="1849"/>
    </row>
    <row r="1499" spans="2:10" s="1824" customFormat="1" ht="16.2">
      <c r="B1499" s="1909"/>
      <c r="C1499" s="1842"/>
      <c r="D1499" s="1834"/>
      <c r="E1499" s="1835"/>
      <c r="F1499" s="1843"/>
      <c r="G1499" s="1844"/>
      <c r="H1499" s="1848"/>
      <c r="I1499" s="1847" t="str">
        <f>IF(D1499="","",IF(H1499&lt;&gt;"","CLOSED",IF(G1499="","NO DUE DATE",IF(AND(#REF!&lt;1,#REF!&gt;0),"DUE TODAY",IF(#REF!&gt;1,"OVERDUE",IF(H1499&lt;&gt;"","CLOSED","OPEN"))))))</f>
        <v/>
      </c>
      <c r="J1499" s="1849"/>
    </row>
    <row r="1500" spans="2:10" s="1824" customFormat="1" ht="16.2">
      <c r="B1500" s="1909"/>
      <c r="C1500" s="1842"/>
      <c r="D1500" s="1834"/>
      <c r="E1500" s="1835"/>
      <c r="F1500" s="1843"/>
      <c r="G1500" s="1844"/>
      <c r="H1500" s="1848"/>
      <c r="I1500" s="1847" t="str">
        <f>IF(D1500="","",IF(H1500&lt;&gt;"","CLOSED",IF(G1500="","NO DUE DATE",IF(AND(#REF!&lt;1,#REF!&gt;0),"DUE TODAY",IF(#REF!&gt;1,"OVERDUE",IF(H1500&lt;&gt;"","CLOSED","OPEN"))))))</f>
        <v/>
      </c>
      <c r="J1500" s="1849"/>
    </row>
    <row r="1501" spans="2:10" s="1824" customFormat="1" ht="16.2">
      <c r="B1501" s="1909"/>
      <c r="C1501" s="1842"/>
      <c r="D1501" s="1834"/>
      <c r="E1501" s="1835"/>
      <c r="F1501" s="1843"/>
      <c r="G1501" s="1844"/>
      <c r="H1501" s="1848"/>
      <c r="I1501" s="1847" t="str">
        <f>IF(D1501="","",IF(H1501&lt;&gt;"","CLOSED",IF(G1501="","NO DUE DATE",IF(AND(#REF!&lt;1,#REF!&gt;0),"DUE TODAY",IF(#REF!&gt;1,"OVERDUE",IF(H1501&lt;&gt;"","CLOSED","OPEN"))))))</f>
        <v/>
      </c>
      <c r="J1501" s="1849"/>
    </row>
    <row r="1502" spans="2:10" s="1824" customFormat="1" ht="16.2">
      <c r="B1502" s="1909"/>
      <c r="C1502" s="1842"/>
      <c r="D1502" s="1834"/>
      <c r="E1502" s="1835"/>
      <c r="F1502" s="1843"/>
      <c r="G1502" s="1844"/>
      <c r="H1502" s="1848"/>
      <c r="I1502" s="1847" t="str">
        <f>IF(D1502="","",IF(H1502&lt;&gt;"","CLOSED",IF(G1502="","NO DUE DATE",IF(AND(#REF!&lt;1,#REF!&gt;0),"DUE TODAY",IF(#REF!&gt;1,"OVERDUE",IF(H1502&lt;&gt;"","CLOSED","OPEN"))))))</f>
        <v/>
      </c>
      <c r="J1502" s="1849"/>
    </row>
    <row r="1503" spans="2:10" s="1824" customFormat="1" ht="16.2">
      <c r="B1503" s="1909"/>
      <c r="C1503" s="1842"/>
      <c r="D1503" s="1834"/>
      <c r="E1503" s="1835"/>
      <c r="F1503" s="1843"/>
      <c r="G1503" s="1844"/>
      <c r="H1503" s="1848"/>
      <c r="I1503" s="1847" t="str">
        <f>IF(D1503="","",IF(H1503&lt;&gt;"","CLOSED",IF(G1503="","NO DUE DATE",IF(AND(#REF!&lt;1,#REF!&gt;0),"DUE TODAY",IF(#REF!&gt;1,"OVERDUE",IF(H1503&lt;&gt;"","CLOSED","OPEN"))))))</f>
        <v/>
      </c>
      <c r="J1503" s="1849"/>
    </row>
    <row r="1504" spans="2:10" s="1824" customFormat="1" ht="16.2">
      <c r="B1504" s="1909"/>
      <c r="C1504" s="1842"/>
      <c r="D1504" s="1834"/>
      <c r="E1504" s="1835"/>
      <c r="F1504" s="1843"/>
      <c r="G1504" s="1844"/>
      <c r="H1504" s="1848"/>
      <c r="I1504" s="1847" t="str">
        <f>IF(D1504="","",IF(H1504&lt;&gt;"","CLOSED",IF(G1504="","NO DUE DATE",IF(AND(#REF!&lt;1,#REF!&gt;0),"DUE TODAY",IF(#REF!&gt;1,"OVERDUE",IF(H1504&lt;&gt;"","CLOSED","OPEN"))))))</f>
        <v/>
      </c>
      <c r="J1504" s="1849"/>
    </row>
    <row r="1505" spans="2:10" s="1824" customFormat="1" ht="16.2">
      <c r="B1505" s="1909"/>
      <c r="C1505" s="1842"/>
      <c r="D1505" s="1834"/>
      <c r="E1505" s="1835"/>
      <c r="F1505" s="1843"/>
      <c r="G1505" s="1844"/>
      <c r="H1505" s="1848"/>
      <c r="I1505" s="1847" t="str">
        <f>IF(D1505="","",IF(H1505&lt;&gt;"","CLOSED",IF(G1505="","NO DUE DATE",IF(AND(#REF!&lt;1,#REF!&gt;0),"DUE TODAY",IF(#REF!&gt;1,"OVERDUE",IF(H1505&lt;&gt;"","CLOSED","OPEN"))))))</f>
        <v/>
      </c>
      <c r="J1505" s="1849"/>
    </row>
    <row r="1506" spans="2:10" s="1824" customFormat="1" ht="16.2">
      <c r="B1506" s="1909"/>
      <c r="C1506" s="1842"/>
      <c r="D1506" s="1834"/>
      <c r="E1506" s="1835"/>
      <c r="F1506" s="1843"/>
      <c r="G1506" s="1844"/>
      <c r="H1506" s="1848"/>
      <c r="I1506" s="1847" t="str">
        <f>IF(D1506="","",IF(H1506&lt;&gt;"","CLOSED",IF(G1506="","NO DUE DATE",IF(AND(#REF!&lt;1,#REF!&gt;0),"DUE TODAY",IF(#REF!&gt;1,"OVERDUE",IF(H1506&lt;&gt;"","CLOSED","OPEN"))))))</f>
        <v/>
      </c>
      <c r="J1506" s="1849"/>
    </row>
    <row r="1507" spans="2:10" s="1824" customFormat="1" ht="16.2">
      <c r="B1507" s="1909"/>
      <c r="C1507" s="1842"/>
      <c r="D1507" s="1834"/>
      <c r="E1507" s="1835"/>
      <c r="F1507" s="1843"/>
      <c r="G1507" s="1844"/>
      <c r="H1507" s="1848"/>
      <c r="I1507" s="1847" t="str">
        <f>IF(D1507="","",IF(H1507&lt;&gt;"","CLOSED",IF(G1507="","NO DUE DATE",IF(AND(#REF!&lt;1,#REF!&gt;0),"DUE TODAY",IF(#REF!&gt;1,"OVERDUE",IF(H1507&lt;&gt;"","CLOSED","OPEN"))))))</f>
        <v/>
      </c>
      <c r="J1507" s="1849"/>
    </row>
    <row r="1508" spans="2:10" s="1824" customFormat="1" ht="16.2">
      <c r="B1508" s="1909"/>
      <c r="C1508" s="1842"/>
      <c r="D1508" s="1834"/>
      <c r="E1508" s="1835"/>
      <c r="F1508" s="1843"/>
      <c r="G1508" s="1844"/>
      <c r="H1508" s="1848"/>
      <c r="I1508" s="1847" t="str">
        <f>IF(D1508="","",IF(H1508&lt;&gt;"","CLOSED",IF(G1508="","NO DUE DATE",IF(AND(#REF!&lt;1,#REF!&gt;0),"DUE TODAY",IF(#REF!&gt;1,"OVERDUE",IF(H1508&lt;&gt;"","CLOSED","OPEN"))))))</f>
        <v/>
      </c>
      <c r="J1508" s="1849"/>
    </row>
    <row r="1509" spans="2:10" s="1824" customFormat="1" ht="16.2">
      <c r="B1509" s="1909"/>
      <c r="C1509" s="1842"/>
      <c r="D1509" s="1834"/>
      <c r="E1509" s="1835"/>
      <c r="F1509" s="1843"/>
      <c r="G1509" s="1844"/>
      <c r="H1509" s="1848"/>
      <c r="I1509" s="1847" t="str">
        <f>IF(D1509="","",IF(H1509&lt;&gt;"","CLOSED",IF(G1509="","NO DUE DATE",IF(AND(#REF!&lt;1,#REF!&gt;0),"DUE TODAY",IF(#REF!&gt;1,"OVERDUE",IF(H1509&lt;&gt;"","CLOSED","OPEN"))))))</f>
        <v/>
      </c>
      <c r="J1509" s="1849"/>
    </row>
    <row r="1510" spans="2:10" s="1824" customFormat="1" ht="16.2">
      <c r="B1510" s="1909"/>
      <c r="C1510" s="1842"/>
      <c r="D1510" s="1834"/>
      <c r="E1510" s="1835"/>
      <c r="F1510" s="1843"/>
      <c r="G1510" s="1844"/>
      <c r="H1510" s="1848"/>
      <c r="I1510" s="1847" t="str">
        <f>IF(D1510="","",IF(H1510&lt;&gt;"","CLOSED",IF(G1510="","NO DUE DATE",IF(AND(#REF!&lt;1,#REF!&gt;0),"DUE TODAY",IF(#REF!&gt;1,"OVERDUE",IF(H1510&lt;&gt;"","CLOSED","OPEN"))))))</f>
        <v/>
      </c>
      <c r="J1510" s="1849"/>
    </row>
    <row r="1511" spans="2:10" s="1824" customFormat="1" ht="16.2">
      <c r="B1511" s="1909"/>
      <c r="C1511" s="1842"/>
      <c r="D1511" s="1834"/>
      <c r="E1511" s="1835"/>
      <c r="F1511" s="1843"/>
      <c r="G1511" s="1844"/>
      <c r="H1511" s="1848"/>
      <c r="I1511" s="1847" t="str">
        <f>IF(D1511="","",IF(H1511&lt;&gt;"","CLOSED",IF(G1511="","NO DUE DATE",IF(AND(#REF!&lt;1,#REF!&gt;0),"DUE TODAY",IF(#REF!&gt;1,"OVERDUE",IF(H1511&lt;&gt;"","CLOSED","OPEN"))))))</f>
        <v/>
      </c>
      <c r="J1511" s="1849"/>
    </row>
    <row r="1512" spans="2:10" s="1824" customFormat="1" ht="16.2">
      <c r="B1512" s="1909"/>
      <c r="C1512" s="1842"/>
      <c r="D1512" s="1834"/>
      <c r="E1512" s="1835"/>
      <c r="F1512" s="1843"/>
      <c r="G1512" s="1844"/>
      <c r="H1512" s="1848"/>
      <c r="I1512" s="1847" t="str">
        <f>IF(D1512="","",IF(H1512&lt;&gt;"","CLOSED",IF(G1512="","NO DUE DATE",IF(AND(#REF!&lt;1,#REF!&gt;0),"DUE TODAY",IF(#REF!&gt;1,"OVERDUE",IF(H1512&lt;&gt;"","CLOSED","OPEN"))))))</f>
        <v/>
      </c>
      <c r="J1512" s="1849"/>
    </row>
    <row r="1513" spans="2:10" s="1824" customFormat="1" ht="16.2">
      <c r="B1513" s="1909"/>
      <c r="C1513" s="1842"/>
      <c r="D1513" s="1834"/>
      <c r="E1513" s="1835"/>
      <c r="F1513" s="1843"/>
      <c r="G1513" s="1844"/>
      <c r="H1513" s="1848"/>
      <c r="I1513" s="1847" t="str">
        <f>IF(D1513="","",IF(H1513&lt;&gt;"","CLOSED",IF(G1513="","NO DUE DATE",IF(AND(#REF!&lt;1,#REF!&gt;0),"DUE TODAY",IF(#REF!&gt;1,"OVERDUE",IF(H1513&lt;&gt;"","CLOSED","OPEN"))))))</f>
        <v/>
      </c>
      <c r="J1513" s="1849"/>
    </row>
    <row r="1514" spans="2:10" s="1824" customFormat="1" ht="16.2">
      <c r="B1514" s="1909"/>
      <c r="C1514" s="1842"/>
      <c r="D1514" s="1834"/>
      <c r="E1514" s="1835"/>
      <c r="F1514" s="1843"/>
      <c r="G1514" s="1844"/>
      <c r="H1514" s="1848"/>
      <c r="I1514" s="1847" t="str">
        <f>IF(D1514="","",IF(H1514&lt;&gt;"","CLOSED",IF(G1514="","NO DUE DATE",IF(AND(#REF!&lt;1,#REF!&gt;0),"DUE TODAY",IF(#REF!&gt;1,"OVERDUE",IF(H1514&lt;&gt;"","CLOSED","OPEN"))))))</f>
        <v/>
      </c>
      <c r="J1514" s="1849"/>
    </row>
    <row r="1515" spans="2:10" s="1824" customFormat="1" ht="16.2">
      <c r="B1515" s="1909"/>
      <c r="C1515" s="1842"/>
      <c r="D1515" s="1834"/>
      <c r="E1515" s="1835"/>
      <c r="F1515" s="1843"/>
      <c r="G1515" s="1844"/>
      <c r="H1515" s="1848"/>
      <c r="I1515" s="1847" t="str">
        <f>IF(D1515="","",IF(H1515&lt;&gt;"","CLOSED",IF(G1515="","NO DUE DATE",IF(AND(#REF!&lt;1,#REF!&gt;0),"DUE TODAY",IF(#REF!&gt;1,"OVERDUE",IF(H1515&lt;&gt;"","CLOSED","OPEN"))))))</f>
        <v/>
      </c>
      <c r="J1515" s="1849"/>
    </row>
    <row r="1516" spans="2:10" s="1824" customFormat="1" ht="16.2">
      <c r="B1516" s="1909"/>
      <c r="C1516" s="1842"/>
      <c r="D1516" s="1834"/>
      <c r="E1516" s="1835"/>
      <c r="F1516" s="1843"/>
      <c r="G1516" s="1844"/>
      <c r="H1516" s="1848"/>
      <c r="I1516" s="1847" t="str">
        <f>IF(D1516="","",IF(H1516&lt;&gt;"","CLOSED",IF(G1516="","NO DUE DATE",IF(AND(#REF!&lt;1,#REF!&gt;0),"DUE TODAY",IF(#REF!&gt;1,"OVERDUE",IF(H1516&lt;&gt;"","CLOSED","OPEN"))))))</f>
        <v/>
      </c>
      <c r="J1516" s="1849"/>
    </row>
    <row r="1517" spans="2:10" s="1824" customFormat="1" ht="16.2">
      <c r="B1517" s="1909"/>
      <c r="C1517" s="1842"/>
      <c r="D1517" s="1834"/>
      <c r="E1517" s="1835"/>
      <c r="F1517" s="1843"/>
      <c r="G1517" s="1844"/>
      <c r="H1517" s="1848"/>
      <c r="I1517" s="1847" t="str">
        <f>IF(D1517="","",IF(H1517&lt;&gt;"","CLOSED",IF(G1517="","NO DUE DATE",IF(AND(#REF!&lt;1,#REF!&gt;0),"DUE TODAY",IF(#REF!&gt;1,"OVERDUE",IF(H1517&lt;&gt;"","CLOSED","OPEN"))))))</f>
        <v/>
      </c>
      <c r="J1517" s="1849"/>
    </row>
    <row r="1518" spans="2:10" s="1824" customFormat="1" ht="16.2">
      <c r="B1518" s="1909"/>
      <c r="C1518" s="1842"/>
      <c r="D1518" s="1834"/>
      <c r="E1518" s="1835"/>
      <c r="F1518" s="1843"/>
      <c r="G1518" s="1844"/>
      <c r="H1518" s="1848"/>
      <c r="I1518" s="1847" t="str">
        <f>IF(D1518="","",IF(H1518&lt;&gt;"","CLOSED",IF(G1518="","NO DUE DATE",IF(AND(#REF!&lt;1,#REF!&gt;0),"DUE TODAY",IF(#REF!&gt;1,"OVERDUE",IF(H1518&lt;&gt;"","CLOSED","OPEN"))))))</f>
        <v/>
      </c>
      <c r="J1518" s="1849"/>
    </row>
    <row r="1519" spans="2:10" s="1824" customFormat="1" ht="16.2">
      <c r="B1519" s="1909"/>
      <c r="C1519" s="1842"/>
      <c r="D1519" s="1834"/>
      <c r="E1519" s="1835"/>
      <c r="F1519" s="1843"/>
      <c r="G1519" s="1844"/>
      <c r="H1519" s="1848"/>
      <c r="I1519" s="1847" t="str">
        <f>IF(D1519="","",IF(H1519&lt;&gt;"","CLOSED",IF(G1519="","NO DUE DATE",IF(AND(#REF!&lt;1,#REF!&gt;0),"DUE TODAY",IF(#REF!&gt;1,"OVERDUE",IF(H1519&lt;&gt;"","CLOSED","OPEN"))))))</f>
        <v/>
      </c>
      <c r="J1519" s="1849"/>
    </row>
    <row r="1520" spans="2:10" s="1824" customFormat="1" ht="16.2">
      <c r="B1520" s="1909"/>
      <c r="C1520" s="1842"/>
      <c r="D1520" s="1834"/>
      <c r="E1520" s="1835"/>
      <c r="F1520" s="1843"/>
      <c r="G1520" s="1844"/>
      <c r="H1520" s="1848"/>
      <c r="I1520" s="1847" t="str">
        <f>IF(D1520="","",IF(H1520&lt;&gt;"","CLOSED",IF(G1520="","NO DUE DATE",IF(AND(#REF!&lt;1,#REF!&gt;0),"DUE TODAY",IF(#REF!&gt;1,"OVERDUE",IF(H1520&lt;&gt;"","CLOSED","OPEN"))))))</f>
        <v/>
      </c>
      <c r="J1520" s="1849"/>
    </row>
    <row r="1521" spans="2:10" s="1824" customFormat="1" ht="16.2">
      <c r="B1521" s="1909"/>
      <c r="C1521" s="1842"/>
      <c r="D1521" s="1834"/>
      <c r="E1521" s="1835"/>
      <c r="F1521" s="1843"/>
      <c r="G1521" s="1844"/>
      <c r="H1521" s="1848"/>
      <c r="I1521" s="1847" t="str">
        <f>IF(D1521="","",IF(H1521&lt;&gt;"","CLOSED",IF(G1521="","NO DUE DATE",IF(AND(#REF!&lt;1,#REF!&gt;0),"DUE TODAY",IF(#REF!&gt;1,"OVERDUE",IF(H1521&lt;&gt;"","CLOSED","OPEN"))))))</f>
        <v/>
      </c>
      <c r="J1521" s="1849"/>
    </row>
    <row r="1522" spans="2:10" s="1824" customFormat="1" ht="16.2">
      <c r="B1522" s="1909"/>
      <c r="C1522" s="1842"/>
      <c r="D1522" s="1834"/>
      <c r="E1522" s="1835"/>
      <c r="F1522" s="1843"/>
      <c r="G1522" s="1844"/>
      <c r="H1522" s="1848"/>
      <c r="I1522" s="1847" t="str">
        <f>IF(D1522="","",IF(H1522&lt;&gt;"","CLOSED",IF(G1522="","NO DUE DATE",IF(AND(#REF!&lt;1,#REF!&gt;0),"DUE TODAY",IF(#REF!&gt;1,"OVERDUE",IF(H1522&lt;&gt;"","CLOSED","OPEN"))))))</f>
        <v/>
      </c>
      <c r="J1522" s="1849"/>
    </row>
    <row r="1523" spans="2:10" s="1824" customFormat="1" ht="16.2">
      <c r="B1523" s="1909"/>
      <c r="C1523" s="1842"/>
      <c r="D1523" s="1834"/>
      <c r="E1523" s="1835"/>
      <c r="F1523" s="1843"/>
      <c r="G1523" s="1844"/>
      <c r="H1523" s="1848"/>
      <c r="I1523" s="1847" t="str">
        <f>IF(D1523="","",IF(H1523&lt;&gt;"","CLOSED",IF(G1523="","NO DUE DATE",IF(AND(#REF!&lt;1,#REF!&gt;0),"DUE TODAY",IF(#REF!&gt;1,"OVERDUE",IF(H1523&lt;&gt;"","CLOSED","OPEN"))))))</f>
        <v/>
      </c>
      <c r="J1523" s="1849"/>
    </row>
    <row r="1524" spans="2:10" s="1824" customFormat="1" ht="16.2">
      <c r="B1524" s="1909"/>
      <c r="C1524" s="1842"/>
      <c r="D1524" s="1834"/>
      <c r="E1524" s="1835"/>
      <c r="F1524" s="1843"/>
      <c r="G1524" s="1844"/>
      <c r="H1524" s="1848"/>
      <c r="I1524" s="1847" t="str">
        <f>IF(D1524="","",IF(H1524&lt;&gt;"","CLOSED",IF(G1524="","NO DUE DATE",IF(AND(#REF!&lt;1,#REF!&gt;0),"DUE TODAY",IF(#REF!&gt;1,"OVERDUE",IF(H1524&lt;&gt;"","CLOSED","OPEN"))))))</f>
        <v/>
      </c>
      <c r="J1524" s="1849"/>
    </row>
    <row r="1525" spans="2:10" s="1824" customFormat="1" ht="16.2">
      <c r="B1525" s="1909"/>
      <c r="C1525" s="1842"/>
      <c r="D1525" s="1834"/>
      <c r="E1525" s="1835"/>
      <c r="F1525" s="1843"/>
      <c r="G1525" s="1844"/>
      <c r="H1525" s="1848"/>
      <c r="I1525" s="1847" t="str">
        <f>IF(D1525="","",IF(H1525&lt;&gt;"","CLOSED",IF(G1525="","NO DUE DATE",IF(AND(#REF!&lt;1,#REF!&gt;0),"DUE TODAY",IF(#REF!&gt;1,"OVERDUE",IF(H1525&lt;&gt;"","CLOSED","OPEN"))))))</f>
        <v/>
      </c>
      <c r="J1525" s="1849"/>
    </row>
    <row r="1526" spans="2:10" s="1824" customFormat="1" ht="16.2">
      <c r="B1526" s="1909"/>
      <c r="C1526" s="1842"/>
      <c r="D1526" s="1834"/>
      <c r="E1526" s="1835"/>
      <c r="F1526" s="1843"/>
      <c r="G1526" s="1844"/>
      <c r="H1526" s="1848"/>
      <c r="I1526" s="1847" t="str">
        <f>IF(D1526="","",IF(H1526&lt;&gt;"","CLOSED",IF(G1526="","NO DUE DATE",IF(AND(#REF!&lt;1,#REF!&gt;0),"DUE TODAY",IF(#REF!&gt;1,"OVERDUE",IF(H1526&lt;&gt;"","CLOSED","OPEN"))))))</f>
        <v/>
      </c>
      <c r="J1526" s="1849"/>
    </row>
    <row r="1527" spans="2:10" s="1824" customFormat="1" ht="16.2">
      <c r="B1527" s="1909"/>
      <c r="C1527" s="1842"/>
      <c r="D1527" s="1834"/>
      <c r="E1527" s="1835"/>
      <c r="F1527" s="1843"/>
      <c r="G1527" s="1844"/>
      <c r="H1527" s="1848"/>
      <c r="I1527" s="1847" t="str">
        <f>IF(D1527="","",IF(H1527&lt;&gt;"","CLOSED",IF(G1527="","NO DUE DATE",IF(AND(#REF!&lt;1,#REF!&gt;0),"DUE TODAY",IF(#REF!&gt;1,"OVERDUE",IF(H1527&lt;&gt;"","CLOSED","OPEN"))))))</f>
        <v/>
      </c>
      <c r="J1527" s="1849"/>
    </row>
    <row r="1528" spans="2:10" s="1824" customFormat="1" ht="16.2">
      <c r="B1528" s="1909"/>
      <c r="C1528" s="1842"/>
      <c r="D1528" s="1834"/>
      <c r="E1528" s="1835"/>
      <c r="F1528" s="1843"/>
      <c r="G1528" s="1844"/>
      <c r="H1528" s="1848"/>
      <c r="I1528" s="1847" t="str">
        <f>IF(D1528="","",IF(H1528&lt;&gt;"","CLOSED",IF(G1528="","NO DUE DATE",IF(AND(#REF!&lt;1,#REF!&gt;0),"DUE TODAY",IF(#REF!&gt;1,"OVERDUE",IF(H1528&lt;&gt;"","CLOSED","OPEN"))))))</f>
        <v/>
      </c>
      <c r="J1528" s="1849"/>
    </row>
    <row r="1529" spans="2:10" s="1824" customFormat="1" ht="16.2">
      <c r="B1529" s="1909"/>
      <c r="C1529" s="1842"/>
      <c r="D1529" s="1834"/>
      <c r="E1529" s="1835"/>
      <c r="F1529" s="1843"/>
      <c r="G1529" s="1844"/>
      <c r="H1529" s="1848"/>
      <c r="I1529" s="1847" t="str">
        <f>IF(D1529="","",IF(H1529&lt;&gt;"","CLOSED",IF(G1529="","NO DUE DATE",IF(AND(#REF!&lt;1,#REF!&gt;0),"DUE TODAY",IF(#REF!&gt;1,"OVERDUE",IF(H1529&lt;&gt;"","CLOSED","OPEN"))))))</f>
        <v/>
      </c>
      <c r="J1529" s="1849"/>
    </row>
    <row r="1530" spans="2:10" s="1824" customFormat="1" ht="16.2">
      <c r="B1530" s="1909"/>
      <c r="C1530" s="1842"/>
      <c r="D1530" s="1834"/>
      <c r="E1530" s="1835"/>
      <c r="F1530" s="1843"/>
      <c r="G1530" s="1844"/>
      <c r="H1530" s="1848"/>
      <c r="I1530" s="1847" t="str">
        <f>IF(D1530="","",IF(H1530&lt;&gt;"","CLOSED",IF(G1530="","NO DUE DATE",IF(AND(#REF!&lt;1,#REF!&gt;0),"DUE TODAY",IF(#REF!&gt;1,"OVERDUE",IF(H1530&lt;&gt;"","CLOSED","OPEN"))))))</f>
        <v/>
      </c>
      <c r="J1530" s="1849"/>
    </row>
    <row r="1531" spans="2:10" s="1824" customFormat="1" ht="16.2">
      <c r="B1531" s="1909"/>
      <c r="C1531" s="1842"/>
      <c r="D1531" s="1834"/>
      <c r="E1531" s="1835"/>
      <c r="F1531" s="1843"/>
      <c r="G1531" s="1844"/>
      <c r="H1531" s="1848"/>
      <c r="I1531" s="1847" t="str">
        <f>IF(D1531="","",IF(H1531&lt;&gt;"","CLOSED",IF(G1531="","NO DUE DATE",IF(AND(#REF!&lt;1,#REF!&gt;0),"DUE TODAY",IF(#REF!&gt;1,"OVERDUE",IF(H1531&lt;&gt;"","CLOSED","OPEN"))))))</f>
        <v/>
      </c>
      <c r="J1531" s="1849"/>
    </row>
    <row r="1532" spans="2:10" s="1824" customFormat="1" ht="16.2">
      <c r="B1532" s="1909"/>
      <c r="C1532" s="1842"/>
      <c r="D1532" s="1834"/>
      <c r="E1532" s="1835"/>
      <c r="F1532" s="1843"/>
      <c r="G1532" s="1844"/>
      <c r="H1532" s="1848"/>
      <c r="I1532" s="1847" t="str">
        <f>IF(D1532="","",IF(H1532&lt;&gt;"","CLOSED",IF(G1532="","NO DUE DATE",IF(AND(#REF!&lt;1,#REF!&gt;0),"DUE TODAY",IF(#REF!&gt;1,"OVERDUE",IF(H1532&lt;&gt;"","CLOSED","OPEN"))))))</f>
        <v/>
      </c>
      <c r="J1532" s="1849"/>
    </row>
    <row r="1533" spans="2:10" s="1824" customFormat="1" ht="16.2">
      <c r="B1533" s="1909"/>
      <c r="C1533" s="1842"/>
      <c r="D1533" s="1834"/>
      <c r="E1533" s="1835"/>
      <c r="F1533" s="1843"/>
      <c r="G1533" s="1844"/>
      <c r="H1533" s="1848"/>
      <c r="I1533" s="1847" t="str">
        <f>IF(D1533="","",IF(H1533&lt;&gt;"","CLOSED",IF(G1533="","NO DUE DATE",IF(AND(#REF!&lt;1,#REF!&gt;0),"DUE TODAY",IF(#REF!&gt;1,"OVERDUE",IF(H1533&lt;&gt;"","CLOSED","OPEN"))))))</f>
        <v/>
      </c>
      <c r="J1533" s="1849"/>
    </row>
    <row r="1534" spans="2:10" s="1824" customFormat="1" ht="16.2">
      <c r="B1534" s="1909"/>
      <c r="C1534" s="1842"/>
      <c r="D1534" s="1834"/>
      <c r="E1534" s="1835"/>
      <c r="F1534" s="1843"/>
      <c r="G1534" s="1844"/>
      <c r="H1534" s="1848"/>
      <c r="I1534" s="1847" t="str">
        <f>IF(D1534="","",IF(H1534&lt;&gt;"","CLOSED",IF(G1534="","NO DUE DATE",IF(AND(#REF!&lt;1,#REF!&gt;0),"DUE TODAY",IF(#REF!&gt;1,"OVERDUE",IF(H1534&lt;&gt;"","CLOSED","OPEN"))))))</f>
        <v/>
      </c>
      <c r="J1534" s="1849"/>
    </row>
    <row r="1535" spans="2:10" s="1824" customFormat="1" ht="16.2">
      <c r="B1535" s="1909"/>
      <c r="C1535" s="1842"/>
      <c r="D1535" s="1834"/>
      <c r="E1535" s="1835"/>
      <c r="F1535" s="1843"/>
      <c r="G1535" s="1844"/>
      <c r="H1535" s="1848"/>
      <c r="I1535" s="1847" t="str">
        <f>IF(D1535="","",IF(H1535&lt;&gt;"","CLOSED",IF(G1535="","NO DUE DATE",IF(AND(#REF!&lt;1,#REF!&gt;0),"DUE TODAY",IF(#REF!&gt;1,"OVERDUE",IF(H1535&lt;&gt;"","CLOSED","OPEN"))))))</f>
        <v/>
      </c>
      <c r="J1535" s="1849"/>
    </row>
    <row r="1536" spans="2:10" s="1824" customFormat="1" ht="16.2">
      <c r="B1536" s="1909"/>
      <c r="C1536" s="1842"/>
      <c r="D1536" s="1834"/>
      <c r="E1536" s="1835"/>
      <c r="F1536" s="1843"/>
      <c r="G1536" s="1844"/>
      <c r="H1536" s="1848"/>
      <c r="I1536" s="1847" t="str">
        <f>IF(D1536="","",IF(H1536&lt;&gt;"","CLOSED",IF(G1536="","NO DUE DATE",IF(AND(#REF!&lt;1,#REF!&gt;0),"DUE TODAY",IF(#REF!&gt;1,"OVERDUE",IF(H1536&lt;&gt;"","CLOSED","OPEN"))))))</f>
        <v/>
      </c>
      <c r="J1536" s="1849"/>
    </row>
    <row r="1537" spans="2:10" s="1824" customFormat="1" ht="16.2">
      <c r="B1537" s="1909"/>
      <c r="C1537" s="1842"/>
      <c r="D1537" s="1834"/>
      <c r="E1537" s="1835"/>
      <c r="F1537" s="1843"/>
      <c r="G1537" s="1844"/>
      <c r="H1537" s="1848"/>
      <c r="I1537" s="1847" t="str">
        <f>IF(D1537="","",IF(H1537&lt;&gt;"","CLOSED",IF(G1537="","NO DUE DATE",IF(AND(#REF!&lt;1,#REF!&gt;0),"DUE TODAY",IF(#REF!&gt;1,"OVERDUE",IF(H1537&lt;&gt;"","CLOSED","OPEN"))))))</f>
        <v/>
      </c>
      <c r="J1537" s="1849"/>
    </row>
    <row r="1538" spans="2:10" s="1824" customFormat="1" ht="16.2">
      <c r="B1538" s="1909"/>
      <c r="C1538" s="1842"/>
      <c r="D1538" s="1834"/>
      <c r="E1538" s="1835"/>
      <c r="F1538" s="1843"/>
      <c r="G1538" s="1844"/>
      <c r="H1538" s="1848"/>
      <c r="I1538" s="1847" t="str">
        <f>IF(D1538="","",IF(H1538&lt;&gt;"","CLOSED",IF(G1538="","NO DUE DATE",IF(AND(#REF!&lt;1,#REF!&gt;0),"DUE TODAY",IF(#REF!&gt;1,"OVERDUE",IF(H1538&lt;&gt;"","CLOSED","OPEN"))))))</f>
        <v/>
      </c>
      <c r="J1538" s="1849"/>
    </row>
    <row r="1539" spans="2:10" s="1824" customFormat="1" ht="16.2">
      <c r="B1539" s="1909"/>
      <c r="C1539" s="1842"/>
      <c r="D1539" s="1834"/>
      <c r="E1539" s="1835"/>
      <c r="F1539" s="1843"/>
      <c r="G1539" s="1844"/>
      <c r="H1539" s="1848"/>
      <c r="I1539" s="1847" t="str">
        <f>IF(D1539="","",IF(H1539&lt;&gt;"","CLOSED",IF(G1539="","NO DUE DATE",IF(AND(#REF!&lt;1,#REF!&gt;0),"DUE TODAY",IF(#REF!&gt;1,"OVERDUE",IF(H1539&lt;&gt;"","CLOSED","OPEN"))))))</f>
        <v/>
      </c>
      <c r="J1539" s="1849"/>
    </row>
    <row r="1540" spans="2:10" s="1824" customFormat="1" ht="16.2">
      <c r="B1540" s="1909"/>
      <c r="C1540" s="1842"/>
      <c r="D1540" s="1834"/>
      <c r="E1540" s="1835"/>
      <c r="F1540" s="1843"/>
      <c r="G1540" s="1844"/>
      <c r="H1540" s="1848"/>
      <c r="I1540" s="1847" t="str">
        <f>IF(D1540="","",IF(H1540&lt;&gt;"","CLOSED",IF(G1540="","NO DUE DATE",IF(AND(#REF!&lt;1,#REF!&gt;0),"DUE TODAY",IF(#REF!&gt;1,"OVERDUE",IF(H1540&lt;&gt;"","CLOSED","OPEN"))))))</f>
        <v/>
      </c>
      <c r="J1540" s="1849"/>
    </row>
    <row r="1541" spans="2:10" s="1824" customFormat="1" ht="16.2">
      <c r="B1541" s="1909"/>
      <c r="C1541" s="1842"/>
      <c r="D1541" s="1834"/>
      <c r="E1541" s="1835"/>
      <c r="F1541" s="1843"/>
      <c r="G1541" s="1844"/>
      <c r="H1541" s="1848"/>
      <c r="I1541" s="1847" t="str">
        <f>IF(D1541="","",IF(H1541&lt;&gt;"","CLOSED",IF(G1541="","NO DUE DATE",IF(AND(#REF!&lt;1,#REF!&gt;0),"DUE TODAY",IF(#REF!&gt;1,"OVERDUE",IF(H1541&lt;&gt;"","CLOSED","OPEN"))))))</f>
        <v/>
      </c>
      <c r="J1541" s="1849"/>
    </row>
    <row r="1542" spans="2:10" s="1824" customFormat="1" ht="16.2">
      <c r="B1542" s="1909"/>
      <c r="C1542" s="1842"/>
      <c r="D1542" s="1834"/>
      <c r="E1542" s="1835"/>
      <c r="F1542" s="1843"/>
      <c r="G1542" s="1844"/>
      <c r="H1542" s="1848"/>
      <c r="I1542" s="1847" t="str">
        <f>IF(D1542="","",IF(H1542&lt;&gt;"","CLOSED",IF(G1542="","NO DUE DATE",IF(AND(#REF!&lt;1,#REF!&gt;0),"DUE TODAY",IF(#REF!&gt;1,"OVERDUE",IF(H1542&lt;&gt;"","CLOSED","OPEN"))))))</f>
        <v/>
      </c>
      <c r="J1542" s="1849"/>
    </row>
    <row r="1543" spans="2:10" s="1824" customFormat="1" ht="16.2">
      <c r="B1543" s="1909"/>
      <c r="C1543" s="1842"/>
      <c r="D1543" s="1834"/>
      <c r="E1543" s="1835"/>
      <c r="F1543" s="1843"/>
      <c r="G1543" s="1844"/>
      <c r="H1543" s="1848"/>
      <c r="I1543" s="1847" t="str">
        <f>IF(D1543="","",IF(H1543&lt;&gt;"","CLOSED",IF(G1543="","NO DUE DATE",IF(AND(#REF!&lt;1,#REF!&gt;0),"DUE TODAY",IF(#REF!&gt;1,"OVERDUE",IF(H1543&lt;&gt;"","CLOSED","OPEN"))))))</f>
        <v/>
      </c>
      <c r="J1543" s="1849"/>
    </row>
    <row r="1544" spans="2:10" s="1824" customFormat="1" ht="16.2">
      <c r="B1544" s="1909"/>
      <c r="C1544" s="1842"/>
      <c r="D1544" s="1834"/>
      <c r="E1544" s="1835"/>
      <c r="F1544" s="1843"/>
      <c r="G1544" s="1844"/>
      <c r="H1544" s="1848"/>
      <c r="I1544" s="1847" t="str">
        <f>IF(D1544="","",IF(H1544&lt;&gt;"","CLOSED",IF(G1544="","NO DUE DATE",IF(AND(#REF!&lt;1,#REF!&gt;0),"DUE TODAY",IF(#REF!&gt;1,"OVERDUE",IF(H1544&lt;&gt;"","CLOSED","OPEN"))))))</f>
        <v/>
      </c>
      <c r="J1544" s="1849"/>
    </row>
    <row r="1545" spans="2:10" s="1824" customFormat="1" ht="16.2">
      <c r="B1545" s="1909"/>
      <c r="C1545" s="1842"/>
      <c r="D1545" s="1834"/>
      <c r="E1545" s="1835"/>
      <c r="F1545" s="1843"/>
      <c r="G1545" s="1844"/>
      <c r="H1545" s="1848"/>
      <c r="I1545" s="1847" t="str">
        <f>IF(D1545="","",IF(H1545&lt;&gt;"","CLOSED",IF(G1545="","NO DUE DATE",IF(AND(#REF!&lt;1,#REF!&gt;0),"DUE TODAY",IF(#REF!&gt;1,"OVERDUE",IF(H1545&lt;&gt;"","CLOSED","OPEN"))))))</f>
        <v/>
      </c>
      <c r="J1545" s="1849"/>
    </row>
    <row r="1546" spans="2:10" s="1824" customFormat="1" ht="16.2">
      <c r="B1546" s="1909"/>
      <c r="C1546" s="1842"/>
      <c r="D1546" s="1834"/>
      <c r="E1546" s="1835"/>
      <c r="F1546" s="1843"/>
      <c r="G1546" s="1844"/>
      <c r="H1546" s="1848"/>
      <c r="I1546" s="1847" t="str">
        <f>IF(D1546="","",IF(H1546&lt;&gt;"","CLOSED",IF(G1546="","NO DUE DATE",IF(AND(#REF!&lt;1,#REF!&gt;0),"DUE TODAY",IF(#REF!&gt;1,"OVERDUE",IF(H1546&lt;&gt;"","CLOSED","OPEN"))))))</f>
        <v/>
      </c>
      <c r="J1546" s="1849"/>
    </row>
    <row r="1547" spans="2:10" s="1824" customFormat="1" ht="16.2">
      <c r="B1547" s="1909"/>
      <c r="C1547" s="1842"/>
      <c r="D1547" s="1834"/>
      <c r="E1547" s="1835"/>
      <c r="F1547" s="1843"/>
      <c r="G1547" s="1844"/>
      <c r="H1547" s="1848"/>
      <c r="I1547" s="1847" t="str">
        <f>IF(D1547="","",IF(H1547&lt;&gt;"","CLOSED",IF(G1547="","NO DUE DATE",IF(AND(#REF!&lt;1,#REF!&gt;0),"DUE TODAY",IF(#REF!&gt;1,"OVERDUE",IF(H1547&lt;&gt;"","CLOSED","OPEN"))))))</f>
        <v/>
      </c>
      <c r="J1547" s="1849"/>
    </row>
    <row r="1548" spans="2:10" s="1824" customFormat="1" ht="16.2">
      <c r="B1548" s="1909"/>
      <c r="C1548" s="1842"/>
      <c r="D1548" s="1834"/>
      <c r="E1548" s="1835"/>
      <c r="F1548" s="1843"/>
      <c r="G1548" s="1844"/>
      <c r="H1548" s="1848"/>
      <c r="I1548" s="1847" t="str">
        <f>IF(D1548="","",IF(H1548&lt;&gt;"","CLOSED",IF(G1548="","NO DUE DATE",IF(AND(#REF!&lt;1,#REF!&gt;0),"DUE TODAY",IF(#REF!&gt;1,"OVERDUE",IF(H1548&lt;&gt;"","CLOSED","OPEN"))))))</f>
        <v/>
      </c>
      <c r="J1548" s="1849"/>
    </row>
    <row r="1549" spans="2:10" s="1824" customFormat="1" ht="16.2">
      <c r="B1549" s="1909"/>
      <c r="C1549" s="1842"/>
      <c r="D1549" s="1834"/>
      <c r="E1549" s="1835"/>
      <c r="F1549" s="1843"/>
      <c r="G1549" s="1844"/>
      <c r="H1549" s="1848"/>
      <c r="I1549" s="1847" t="str">
        <f>IF(D1549="","",IF(H1549&lt;&gt;"","CLOSED",IF(G1549="","NO DUE DATE",IF(AND(#REF!&lt;1,#REF!&gt;0),"DUE TODAY",IF(#REF!&gt;1,"OVERDUE",IF(H1549&lt;&gt;"","CLOSED","OPEN"))))))</f>
        <v/>
      </c>
      <c r="J1549" s="1849"/>
    </row>
    <row r="1550" spans="2:10" s="1824" customFormat="1" ht="16.2">
      <c r="B1550" s="1909"/>
      <c r="C1550" s="1842"/>
      <c r="D1550" s="1834"/>
      <c r="E1550" s="1835"/>
      <c r="F1550" s="1843"/>
      <c r="G1550" s="1844"/>
      <c r="H1550" s="1848"/>
      <c r="I1550" s="1847" t="str">
        <f>IF(D1550="","",IF(H1550&lt;&gt;"","CLOSED",IF(G1550="","NO DUE DATE",IF(AND(#REF!&lt;1,#REF!&gt;0),"DUE TODAY",IF(#REF!&gt;1,"OVERDUE",IF(H1550&lt;&gt;"","CLOSED","OPEN"))))))</f>
        <v/>
      </c>
      <c r="J1550" s="1849"/>
    </row>
    <row r="1551" spans="2:10" s="1824" customFormat="1" ht="16.2">
      <c r="B1551" s="1909"/>
      <c r="C1551" s="1842"/>
      <c r="D1551" s="1834"/>
      <c r="E1551" s="1835"/>
      <c r="F1551" s="1843"/>
      <c r="G1551" s="1844"/>
      <c r="H1551" s="1848"/>
      <c r="I1551" s="1847" t="str">
        <f>IF(D1551="","",IF(H1551&lt;&gt;"","CLOSED",IF(G1551="","NO DUE DATE",IF(AND(#REF!&lt;1,#REF!&gt;0),"DUE TODAY",IF(#REF!&gt;1,"OVERDUE",IF(H1551&lt;&gt;"","CLOSED","OPEN"))))))</f>
        <v/>
      </c>
      <c r="J1551" s="1849"/>
    </row>
    <row r="1552" spans="2:10" s="1824" customFormat="1" ht="16.2">
      <c r="B1552" s="1909"/>
      <c r="C1552" s="1842"/>
      <c r="D1552" s="1834"/>
      <c r="E1552" s="1835"/>
      <c r="F1552" s="1843"/>
      <c r="G1552" s="1844"/>
      <c r="H1552" s="1848"/>
      <c r="I1552" s="1847" t="str">
        <f>IF(D1552="","",IF(H1552&lt;&gt;"","CLOSED",IF(G1552="","NO DUE DATE",IF(AND(#REF!&lt;1,#REF!&gt;0),"DUE TODAY",IF(#REF!&gt;1,"OVERDUE",IF(H1552&lt;&gt;"","CLOSED","OPEN"))))))</f>
        <v/>
      </c>
      <c r="J1552" s="1849"/>
    </row>
    <row r="1553" spans="2:10" s="1824" customFormat="1" ht="16.2">
      <c r="B1553" s="1909"/>
      <c r="C1553" s="1842"/>
      <c r="D1553" s="1834"/>
      <c r="E1553" s="1835"/>
      <c r="F1553" s="1843"/>
      <c r="G1553" s="1844"/>
      <c r="H1553" s="1848"/>
      <c r="I1553" s="1847" t="str">
        <f>IF(D1553="","",IF(H1553&lt;&gt;"","CLOSED",IF(G1553="","NO DUE DATE",IF(AND(#REF!&lt;1,#REF!&gt;0),"DUE TODAY",IF(#REF!&gt;1,"OVERDUE",IF(H1553&lt;&gt;"","CLOSED","OPEN"))))))</f>
        <v/>
      </c>
      <c r="J1553" s="1849"/>
    </row>
    <row r="1554" spans="2:10" s="1824" customFormat="1" ht="16.2">
      <c r="B1554" s="1909"/>
      <c r="C1554" s="1842"/>
      <c r="D1554" s="1834"/>
      <c r="E1554" s="1835"/>
      <c r="F1554" s="1843"/>
      <c r="G1554" s="1844"/>
      <c r="H1554" s="1848"/>
      <c r="I1554" s="1847" t="str">
        <f>IF(D1554="","",IF(H1554&lt;&gt;"","CLOSED",IF(G1554="","NO DUE DATE",IF(AND(#REF!&lt;1,#REF!&gt;0),"DUE TODAY",IF(#REF!&gt;1,"OVERDUE",IF(H1554&lt;&gt;"","CLOSED","OPEN"))))))</f>
        <v/>
      </c>
      <c r="J1554" s="1849"/>
    </row>
    <row r="1555" spans="2:10" s="1824" customFormat="1" ht="16.2">
      <c r="B1555" s="1909"/>
      <c r="C1555" s="1842"/>
      <c r="D1555" s="1834"/>
      <c r="E1555" s="1835"/>
      <c r="F1555" s="1843"/>
      <c r="G1555" s="1844"/>
      <c r="H1555" s="1848"/>
      <c r="I1555" s="1847" t="str">
        <f>IF(D1555="","",IF(H1555&lt;&gt;"","CLOSED",IF(G1555="","NO DUE DATE",IF(AND(#REF!&lt;1,#REF!&gt;0),"DUE TODAY",IF(#REF!&gt;1,"OVERDUE",IF(H1555&lt;&gt;"","CLOSED","OPEN"))))))</f>
        <v/>
      </c>
      <c r="J1555" s="1849"/>
    </row>
    <row r="1556" spans="2:10" s="1824" customFormat="1" ht="16.2">
      <c r="B1556" s="1909"/>
      <c r="C1556" s="1842"/>
      <c r="D1556" s="1834"/>
      <c r="E1556" s="1835"/>
      <c r="F1556" s="1843"/>
      <c r="G1556" s="1844"/>
      <c r="H1556" s="1848"/>
      <c r="I1556" s="1847" t="str">
        <f>IF(D1556="","",IF(H1556&lt;&gt;"","CLOSED",IF(G1556="","NO DUE DATE",IF(AND(#REF!&lt;1,#REF!&gt;0),"DUE TODAY",IF(#REF!&gt;1,"OVERDUE",IF(H1556&lt;&gt;"","CLOSED","OPEN"))))))</f>
        <v/>
      </c>
      <c r="J1556" s="1849"/>
    </row>
    <row r="1557" spans="2:10" s="1824" customFormat="1" ht="16.2">
      <c r="B1557" s="1909"/>
      <c r="C1557" s="1842"/>
      <c r="D1557" s="1834"/>
      <c r="E1557" s="1835"/>
      <c r="F1557" s="1843"/>
      <c r="G1557" s="1844"/>
      <c r="H1557" s="1848"/>
      <c r="I1557" s="1847" t="str">
        <f>IF(D1557="","",IF(H1557&lt;&gt;"","CLOSED",IF(G1557="","NO DUE DATE",IF(AND(#REF!&lt;1,#REF!&gt;0),"DUE TODAY",IF(#REF!&gt;1,"OVERDUE",IF(H1557&lt;&gt;"","CLOSED","OPEN"))))))</f>
        <v/>
      </c>
      <c r="J1557" s="1849"/>
    </row>
    <row r="1558" spans="2:10" s="1824" customFormat="1" ht="16.2">
      <c r="B1558" s="1909"/>
      <c r="C1558" s="1842"/>
      <c r="D1558" s="1834"/>
      <c r="E1558" s="1835"/>
      <c r="F1558" s="1843"/>
      <c r="G1558" s="1844"/>
      <c r="H1558" s="1848"/>
      <c r="I1558" s="1847" t="str">
        <f>IF(D1558="","",IF(H1558&lt;&gt;"","CLOSED",IF(G1558="","NO DUE DATE",IF(AND(#REF!&lt;1,#REF!&gt;0),"DUE TODAY",IF(#REF!&gt;1,"OVERDUE",IF(H1558&lt;&gt;"","CLOSED","OPEN"))))))</f>
        <v/>
      </c>
      <c r="J1558" s="1849"/>
    </row>
    <row r="1559" spans="2:10" s="1824" customFormat="1" ht="16.2">
      <c r="B1559" s="1909"/>
      <c r="C1559" s="1842"/>
      <c r="D1559" s="1834"/>
      <c r="E1559" s="1835"/>
      <c r="F1559" s="1843"/>
      <c r="G1559" s="1844"/>
      <c r="H1559" s="1848"/>
      <c r="I1559" s="1847" t="str">
        <f>IF(D1559="","",IF(H1559&lt;&gt;"","CLOSED",IF(G1559="","NO DUE DATE",IF(AND(#REF!&lt;1,#REF!&gt;0),"DUE TODAY",IF(#REF!&gt;1,"OVERDUE",IF(H1559&lt;&gt;"","CLOSED","OPEN"))))))</f>
        <v/>
      </c>
      <c r="J1559" s="1849"/>
    </row>
    <row r="1560" spans="2:10" s="1824" customFormat="1" ht="16.2">
      <c r="B1560" s="1909"/>
      <c r="C1560" s="1842"/>
      <c r="D1560" s="1834"/>
      <c r="E1560" s="1835"/>
      <c r="F1560" s="1843"/>
      <c r="G1560" s="1844"/>
      <c r="H1560" s="1848"/>
      <c r="I1560" s="1847" t="str">
        <f>IF(D1560="","",IF(H1560&lt;&gt;"","CLOSED",IF(G1560="","NO DUE DATE",IF(AND(#REF!&lt;1,#REF!&gt;0),"DUE TODAY",IF(#REF!&gt;1,"OVERDUE",IF(H1560&lt;&gt;"","CLOSED","OPEN"))))))</f>
        <v/>
      </c>
      <c r="J1560" s="1849"/>
    </row>
    <row r="1561" spans="2:10" s="1824" customFormat="1" ht="16.2">
      <c r="B1561" s="1909"/>
      <c r="C1561" s="1842"/>
      <c r="D1561" s="1834"/>
      <c r="E1561" s="1835"/>
      <c r="F1561" s="1843"/>
      <c r="G1561" s="1844"/>
      <c r="H1561" s="1848"/>
      <c r="I1561" s="1847" t="str">
        <f>IF(D1561="","",IF(H1561&lt;&gt;"","CLOSED",IF(G1561="","NO DUE DATE",IF(AND(#REF!&lt;1,#REF!&gt;0),"DUE TODAY",IF(#REF!&gt;1,"OVERDUE",IF(H1561&lt;&gt;"","CLOSED","OPEN"))))))</f>
        <v/>
      </c>
      <c r="J1561" s="1849"/>
    </row>
    <row r="1562" spans="2:10" s="1824" customFormat="1" ht="16.2">
      <c r="B1562" s="1909"/>
      <c r="C1562" s="1842"/>
      <c r="D1562" s="1834"/>
      <c r="E1562" s="1835"/>
      <c r="F1562" s="1843"/>
      <c r="G1562" s="1844"/>
      <c r="H1562" s="1848"/>
      <c r="I1562" s="1847" t="str">
        <f>IF(D1562="","",IF(H1562&lt;&gt;"","CLOSED",IF(G1562="","NO DUE DATE",IF(AND(#REF!&lt;1,#REF!&gt;0),"DUE TODAY",IF(#REF!&gt;1,"OVERDUE",IF(H1562&lt;&gt;"","CLOSED","OPEN"))))))</f>
        <v/>
      </c>
      <c r="J1562" s="1849"/>
    </row>
    <row r="1563" spans="2:10" s="1824" customFormat="1" ht="16.2">
      <c r="B1563" s="1909"/>
      <c r="C1563" s="1842"/>
      <c r="D1563" s="1834"/>
      <c r="E1563" s="1835"/>
      <c r="F1563" s="1843"/>
      <c r="G1563" s="1844"/>
      <c r="H1563" s="1848"/>
      <c r="I1563" s="1847" t="str">
        <f>IF(D1563="","",IF(H1563&lt;&gt;"","CLOSED",IF(G1563="","NO DUE DATE",IF(AND(#REF!&lt;1,#REF!&gt;0),"DUE TODAY",IF(#REF!&gt;1,"OVERDUE",IF(H1563&lt;&gt;"","CLOSED","OPEN"))))))</f>
        <v/>
      </c>
      <c r="J1563" s="1849"/>
    </row>
    <row r="1564" spans="2:10" s="1824" customFormat="1" ht="16.2">
      <c r="B1564" s="1909"/>
      <c r="C1564" s="1842"/>
      <c r="D1564" s="1834"/>
      <c r="E1564" s="1835"/>
      <c r="F1564" s="1843"/>
      <c r="G1564" s="1844"/>
      <c r="H1564" s="1848"/>
      <c r="I1564" s="1847" t="str">
        <f>IF(D1564="","",IF(H1564&lt;&gt;"","CLOSED",IF(G1564="","NO DUE DATE",IF(AND(#REF!&lt;1,#REF!&gt;0),"DUE TODAY",IF(#REF!&gt;1,"OVERDUE",IF(H1564&lt;&gt;"","CLOSED","OPEN"))))))</f>
        <v/>
      </c>
      <c r="J1564" s="1849"/>
    </row>
    <row r="1565" spans="2:10" s="1824" customFormat="1" ht="16.2">
      <c r="B1565" s="1909"/>
      <c r="C1565" s="1842"/>
      <c r="D1565" s="1834"/>
      <c r="E1565" s="1835"/>
      <c r="F1565" s="1843"/>
      <c r="G1565" s="1844"/>
      <c r="H1565" s="1848"/>
      <c r="I1565" s="1847" t="str">
        <f>IF(D1565="","",IF(H1565&lt;&gt;"","CLOSED",IF(G1565="","NO DUE DATE",IF(AND(#REF!&lt;1,#REF!&gt;0),"DUE TODAY",IF(#REF!&gt;1,"OVERDUE",IF(H1565&lt;&gt;"","CLOSED","OPEN"))))))</f>
        <v/>
      </c>
      <c r="J1565" s="1849"/>
    </row>
    <row r="1566" spans="2:10" s="1824" customFormat="1" ht="16.2">
      <c r="B1566" s="1909"/>
      <c r="C1566" s="1842"/>
      <c r="D1566" s="1834"/>
      <c r="E1566" s="1835"/>
      <c r="F1566" s="1843"/>
      <c r="G1566" s="1844"/>
      <c r="H1566" s="1848"/>
      <c r="I1566" s="1847" t="str">
        <f>IF(D1566="","",IF(H1566&lt;&gt;"","CLOSED",IF(G1566="","NO DUE DATE",IF(AND(#REF!&lt;1,#REF!&gt;0),"DUE TODAY",IF(#REF!&gt;1,"OVERDUE",IF(H1566&lt;&gt;"","CLOSED","OPEN"))))))</f>
        <v/>
      </c>
      <c r="J1566" s="1849"/>
    </row>
    <row r="1567" spans="2:10" s="1824" customFormat="1" ht="16.2">
      <c r="B1567" s="1909"/>
      <c r="C1567" s="1842"/>
      <c r="D1567" s="1834"/>
      <c r="E1567" s="1835"/>
      <c r="F1567" s="1843"/>
      <c r="G1567" s="1844"/>
      <c r="H1567" s="1848"/>
      <c r="I1567" s="1847" t="str">
        <f>IF(D1567="","",IF(H1567&lt;&gt;"","CLOSED",IF(G1567="","NO DUE DATE",IF(AND(#REF!&lt;1,#REF!&gt;0),"DUE TODAY",IF(#REF!&gt;1,"OVERDUE",IF(H1567&lt;&gt;"","CLOSED","OPEN"))))))</f>
        <v/>
      </c>
      <c r="J1567" s="1849"/>
    </row>
    <row r="1568" spans="2:10" s="1824" customFormat="1" ht="16.2">
      <c r="B1568" s="1909"/>
      <c r="C1568" s="1842"/>
      <c r="D1568" s="1834"/>
      <c r="E1568" s="1835"/>
      <c r="F1568" s="1843"/>
      <c r="G1568" s="1844"/>
      <c r="H1568" s="1848"/>
      <c r="I1568" s="1847" t="str">
        <f>IF(D1568="","",IF(H1568&lt;&gt;"","CLOSED",IF(G1568="","NO DUE DATE",IF(AND(#REF!&lt;1,#REF!&gt;0),"DUE TODAY",IF(#REF!&gt;1,"OVERDUE",IF(H1568&lt;&gt;"","CLOSED","OPEN"))))))</f>
        <v/>
      </c>
      <c r="J1568" s="1849"/>
    </row>
    <row r="1569" spans="2:10" s="1824" customFormat="1" ht="16.2">
      <c r="B1569" s="1909"/>
      <c r="C1569" s="1842"/>
      <c r="D1569" s="1834"/>
      <c r="E1569" s="1835"/>
      <c r="F1569" s="1843"/>
      <c r="G1569" s="1844"/>
      <c r="H1569" s="1848"/>
      <c r="I1569" s="1847" t="str">
        <f>IF(D1569="","",IF(H1569&lt;&gt;"","CLOSED",IF(G1569="","NO DUE DATE",IF(AND(#REF!&lt;1,#REF!&gt;0),"DUE TODAY",IF(#REF!&gt;1,"OVERDUE",IF(H1569&lt;&gt;"","CLOSED","OPEN"))))))</f>
        <v/>
      </c>
      <c r="J1569" s="1849"/>
    </row>
    <row r="1570" spans="2:10" s="1824" customFormat="1" ht="16.2">
      <c r="B1570" s="1909"/>
      <c r="C1570" s="1842"/>
      <c r="D1570" s="1834"/>
      <c r="E1570" s="1835"/>
      <c r="F1570" s="1843"/>
      <c r="G1570" s="1844"/>
      <c r="H1570" s="1848"/>
      <c r="I1570" s="1847" t="str">
        <f>IF(D1570="","",IF(H1570&lt;&gt;"","CLOSED",IF(G1570="","NO DUE DATE",IF(AND(#REF!&lt;1,#REF!&gt;0),"DUE TODAY",IF(#REF!&gt;1,"OVERDUE",IF(H1570&lt;&gt;"","CLOSED","OPEN"))))))</f>
        <v/>
      </c>
      <c r="J1570" s="1849"/>
    </row>
    <row r="1571" spans="2:10" s="1824" customFormat="1" ht="16.2">
      <c r="B1571" s="1909"/>
      <c r="C1571" s="1842"/>
      <c r="D1571" s="1834"/>
      <c r="E1571" s="1835"/>
      <c r="F1571" s="1843"/>
      <c r="G1571" s="1844"/>
      <c r="H1571" s="1848"/>
      <c r="I1571" s="1847" t="str">
        <f>IF(D1571="","",IF(H1571&lt;&gt;"","CLOSED",IF(G1571="","NO DUE DATE",IF(AND(#REF!&lt;1,#REF!&gt;0),"DUE TODAY",IF(#REF!&gt;1,"OVERDUE",IF(H1571&lt;&gt;"","CLOSED","OPEN"))))))</f>
        <v/>
      </c>
      <c r="J1571" s="1849"/>
    </row>
    <row r="1572" spans="2:10" s="1824" customFormat="1" ht="16.2">
      <c r="B1572" s="1909"/>
      <c r="C1572" s="1842"/>
      <c r="D1572" s="1834"/>
      <c r="E1572" s="1835"/>
      <c r="F1572" s="1843"/>
      <c r="G1572" s="1844"/>
      <c r="H1572" s="1848"/>
      <c r="I1572" s="1847" t="str">
        <f>IF(D1572="","",IF(H1572&lt;&gt;"","CLOSED",IF(G1572="","NO DUE DATE",IF(AND(#REF!&lt;1,#REF!&gt;0),"DUE TODAY",IF(#REF!&gt;1,"OVERDUE",IF(H1572&lt;&gt;"","CLOSED","OPEN"))))))</f>
        <v/>
      </c>
      <c r="J1572" s="1849"/>
    </row>
    <row r="1573" spans="2:10" s="1824" customFormat="1" ht="16.2">
      <c r="B1573" s="1909"/>
      <c r="C1573" s="1842"/>
      <c r="D1573" s="1834"/>
      <c r="E1573" s="1835"/>
      <c r="F1573" s="1843"/>
      <c r="G1573" s="1844"/>
      <c r="H1573" s="1848"/>
      <c r="I1573" s="1847" t="str">
        <f>IF(D1573="","",IF(H1573&lt;&gt;"","CLOSED",IF(G1573="","NO DUE DATE",IF(AND(#REF!&lt;1,#REF!&gt;0),"DUE TODAY",IF(#REF!&gt;1,"OVERDUE",IF(H1573&lt;&gt;"","CLOSED","OPEN"))))))</f>
        <v/>
      </c>
      <c r="J1573" s="1849"/>
    </row>
    <row r="1574" spans="2:10" s="1824" customFormat="1" ht="16.2">
      <c r="B1574" s="1909"/>
      <c r="C1574" s="1842"/>
      <c r="D1574" s="1834"/>
      <c r="E1574" s="1835"/>
      <c r="F1574" s="1843"/>
      <c r="G1574" s="1844"/>
      <c r="H1574" s="1848"/>
      <c r="I1574" s="1847" t="str">
        <f>IF(D1574="","",IF(H1574&lt;&gt;"","CLOSED",IF(G1574="","NO DUE DATE",IF(AND(#REF!&lt;1,#REF!&gt;0),"DUE TODAY",IF(#REF!&gt;1,"OVERDUE",IF(H1574&lt;&gt;"","CLOSED","OPEN"))))))</f>
        <v/>
      </c>
      <c r="J1574" s="1849"/>
    </row>
    <row r="1575" spans="2:10" s="1824" customFormat="1" ht="16.2">
      <c r="B1575" s="1909"/>
      <c r="C1575" s="1842"/>
      <c r="D1575" s="1834"/>
      <c r="E1575" s="1835"/>
      <c r="F1575" s="1843"/>
      <c r="G1575" s="1844"/>
      <c r="H1575" s="1848"/>
      <c r="I1575" s="1847" t="str">
        <f>IF(D1575="","",IF(H1575&lt;&gt;"","CLOSED",IF(G1575="","NO DUE DATE",IF(AND(#REF!&lt;1,#REF!&gt;0),"DUE TODAY",IF(#REF!&gt;1,"OVERDUE",IF(H1575&lt;&gt;"","CLOSED","OPEN"))))))</f>
        <v/>
      </c>
      <c r="J1575" s="1849"/>
    </row>
    <row r="1576" spans="2:10" s="1824" customFormat="1" ht="16.2">
      <c r="B1576" s="1909"/>
      <c r="C1576" s="1842"/>
      <c r="D1576" s="1834"/>
      <c r="E1576" s="1835"/>
      <c r="F1576" s="1843"/>
      <c r="G1576" s="1844"/>
      <c r="H1576" s="1848"/>
      <c r="I1576" s="1847" t="str">
        <f>IF(D1576="","",IF(H1576&lt;&gt;"","CLOSED",IF(G1576="","NO DUE DATE",IF(AND(#REF!&lt;1,#REF!&gt;0),"DUE TODAY",IF(#REF!&gt;1,"OVERDUE",IF(H1576&lt;&gt;"","CLOSED","OPEN"))))))</f>
        <v/>
      </c>
      <c r="J1576" s="1849"/>
    </row>
    <row r="1577" spans="2:10" s="1824" customFormat="1" ht="16.2">
      <c r="B1577" s="1909"/>
      <c r="C1577" s="1842"/>
      <c r="D1577" s="1834"/>
      <c r="E1577" s="1835"/>
      <c r="F1577" s="1843"/>
      <c r="G1577" s="1844"/>
      <c r="H1577" s="1848"/>
      <c r="I1577" s="1847" t="str">
        <f>IF(D1577="","",IF(H1577&lt;&gt;"","CLOSED",IF(G1577="","NO DUE DATE",IF(AND(#REF!&lt;1,#REF!&gt;0),"DUE TODAY",IF(#REF!&gt;1,"OVERDUE",IF(H1577&lt;&gt;"","CLOSED","OPEN"))))))</f>
        <v/>
      </c>
      <c r="J1577" s="1849"/>
    </row>
    <row r="1578" spans="2:10" s="1824" customFormat="1" ht="16.2">
      <c r="B1578" s="1909"/>
      <c r="C1578" s="1842"/>
      <c r="D1578" s="1834"/>
      <c r="E1578" s="1835"/>
      <c r="F1578" s="1843"/>
      <c r="G1578" s="1844"/>
      <c r="H1578" s="1848"/>
      <c r="I1578" s="1847" t="str">
        <f>IF(D1578="","",IF(H1578&lt;&gt;"","CLOSED",IF(G1578="","NO DUE DATE",IF(AND(#REF!&lt;1,#REF!&gt;0),"DUE TODAY",IF(#REF!&gt;1,"OVERDUE",IF(H1578&lt;&gt;"","CLOSED","OPEN"))))))</f>
        <v/>
      </c>
      <c r="J1578" s="1849"/>
    </row>
    <row r="1579" spans="2:10" s="1824" customFormat="1" ht="16.2">
      <c r="B1579" s="1909"/>
      <c r="C1579" s="1842"/>
      <c r="D1579" s="1834"/>
      <c r="E1579" s="1835"/>
      <c r="F1579" s="1843"/>
      <c r="G1579" s="1844"/>
      <c r="H1579" s="1848"/>
      <c r="I1579" s="1847" t="str">
        <f>IF(D1579="","",IF(H1579&lt;&gt;"","CLOSED",IF(G1579="","NO DUE DATE",IF(AND(#REF!&lt;1,#REF!&gt;0),"DUE TODAY",IF(#REF!&gt;1,"OVERDUE",IF(H1579&lt;&gt;"","CLOSED","OPEN"))))))</f>
        <v/>
      </c>
      <c r="J1579" s="1849"/>
    </row>
    <row r="1580" spans="2:10" s="1824" customFormat="1" ht="16.2">
      <c r="B1580" s="1909"/>
      <c r="C1580" s="1842"/>
      <c r="D1580" s="1834"/>
      <c r="E1580" s="1835"/>
      <c r="F1580" s="1843"/>
      <c r="G1580" s="1844"/>
      <c r="H1580" s="1848"/>
      <c r="I1580" s="1847" t="str">
        <f>IF(D1580="","",IF(H1580&lt;&gt;"","CLOSED",IF(G1580="","NO DUE DATE",IF(AND(#REF!&lt;1,#REF!&gt;0),"DUE TODAY",IF(#REF!&gt;1,"OVERDUE",IF(H1580&lt;&gt;"","CLOSED","OPEN"))))))</f>
        <v/>
      </c>
      <c r="J1580" s="1849"/>
    </row>
    <row r="1581" spans="2:10" s="1824" customFormat="1" ht="16.2">
      <c r="B1581" s="1909"/>
      <c r="C1581" s="1842"/>
      <c r="D1581" s="1834"/>
      <c r="E1581" s="1835"/>
      <c r="F1581" s="1843"/>
      <c r="G1581" s="1844"/>
      <c r="H1581" s="1848"/>
      <c r="I1581" s="1847" t="str">
        <f>IF(D1581="","",IF(H1581&lt;&gt;"","CLOSED",IF(G1581="","NO DUE DATE",IF(AND(#REF!&lt;1,#REF!&gt;0),"DUE TODAY",IF(#REF!&gt;1,"OVERDUE",IF(H1581&lt;&gt;"","CLOSED","OPEN"))))))</f>
        <v/>
      </c>
      <c r="J1581" s="1849"/>
    </row>
    <row r="1582" spans="2:10" s="1824" customFormat="1" ht="16.2">
      <c r="B1582" s="1909"/>
      <c r="C1582" s="1842"/>
      <c r="D1582" s="1834"/>
      <c r="E1582" s="1835"/>
      <c r="F1582" s="1843"/>
      <c r="G1582" s="1844"/>
      <c r="H1582" s="1848"/>
      <c r="I1582" s="1847" t="str">
        <f>IF(D1582="","",IF(H1582&lt;&gt;"","CLOSED",IF(G1582="","NO DUE DATE",IF(AND(#REF!&lt;1,#REF!&gt;0),"DUE TODAY",IF(#REF!&gt;1,"OVERDUE",IF(H1582&lt;&gt;"","CLOSED","OPEN"))))))</f>
        <v/>
      </c>
      <c r="J1582" s="1849"/>
    </row>
    <row r="1583" spans="2:10" s="1824" customFormat="1" ht="16.2">
      <c r="B1583" s="1909"/>
      <c r="C1583" s="1842"/>
      <c r="D1583" s="1834"/>
      <c r="E1583" s="1835"/>
      <c r="F1583" s="1843"/>
      <c r="G1583" s="1844"/>
      <c r="H1583" s="1848"/>
      <c r="I1583" s="1847" t="str">
        <f>IF(D1583="","",IF(H1583&lt;&gt;"","CLOSED",IF(G1583="","NO DUE DATE",IF(AND(#REF!&lt;1,#REF!&gt;0),"DUE TODAY",IF(#REF!&gt;1,"OVERDUE",IF(H1583&lt;&gt;"","CLOSED","OPEN"))))))</f>
        <v/>
      </c>
      <c r="J1583" s="1849"/>
    </row>
    <row r="1584" spans="2:10" s="1824" customFormat="1" ht="16.2">
      <c r="B1584" s="1909"/>
      <c r="C1584" s="1842"/>
      <c r="D1584" s="1834"/>
      <c r="E1584" s="1835"/>
      <c r="F1584" s="1843"/>
      <c r="G1584" s="1844"/>
      <c r="H1584" s="1848"/>
      <c r="I1584" s="1847" t="str">
        <f>IF(D1584="","",IF(H1584&lt;&gt;"","CLOSED",IF(G1584="","NO DUE DATE",IF(AND(#REF!&lt;1,#REF!&gt;0),"DUE TODAY",IF(#REF!&gt;1,"OVERDUE",IF(H1584&lt;&gt;"","CLOSED","OPEN"))))))</f>
        <v/>
      </c>
      <c r="J1584" s="1849"/>
    </row>
    <row r="1585" spans="2:10" s="1824" customFormat="1" ht="16.2">
      <c r="B1585" s="1909"/>
      <c r="C1585" s="1842"/>
      <c r="D1585" s="1834"/>
      <c r="E1585" s="1835"/>
      <c r="F1585" s="1843"/>
      <c r="G1585" s="1844"/>
      <c r="H1585" s="1848"/>
      <c r="I1585" s="1847" t="str">
        <f>IF(D1585="","",IF(H1585&lt;&gt;"","CLOSED",IF(G1585="","NO DUE DATE",IF(AND(#REF!&lt;1,#REF!&gt;0),"DUE TODAY",IF(#REF!&gt;1,"OVERDUE",IF(H1585&lt;&gt;"","CLOSED","OPEN"))))))</f>
        <v/>
      </c>
      <c r="J1585" s="1849"/>
    </row>
    <row r="1586" spans="2:10" s="1824" customFormat="1" ht="16.2">
      <c r="B1586" s="1909"/>
      <c r="C1586" s="1842"/>
      <c r="D1586" s="1834"/>
      <c r="E1586" s="1835"/>
      <c r="F1586" s="1843"/>
      <c r="G1586" s="1844"/>
      <c r="H1586" s="1848"/>
      <c r="I1586" s="1847" t="str">
        <f>IF(D1586="","",IF(H1586&lt;&gt;"","CLOSED",IF(G1586="","NO DUE DATE",IF(AND(#REF!&lt;1,#REF!&gt;0),"DUE TODAY",IF(#REF!&gt;1,"OVERDUE",IF(H1586&lt;&gt;"","CLOSED","OPEN"))))))</f>
        <v/>
      </c>
      <c r="J1586" s="1849"/>
    </row>
    <row r="1587" spans="2:10" s="1824" customFormat="1" ht="16.2">
      <c r="B1587" s="1909"/>
      <c r="C1587" s="1842"/>
      <c r="D1587" s="1834"/>
      <c r="E1587" s="1835"/>
      <c r="F1587" s="1843"/>
      <c r="G1587" s="1844"/>
      <c r="H1587" s="1848"/>
      <c r="I1587" s="1847" t="str">
        <f>IF(D1587="","",IF(H1587&lt;&gt;"","CLOSED",IF(G1587="","NO DUE DATE",IF(AND(#REF!&lt;1,#REF!&gt;0),"DUE TODAY",IF(#REF!&gt;1,"OVERDUE",IF(H1587&lt;&gt;"","CLOSED","OPEN"))))))</f>
        <v/>
      </c>
      <c r="J1587" s="1849"/>
    </row>
    <row r="1588" spans="2:10" s="1824" customFormat="1" ht="16.2">
      <c r="B1588" s="1909"/>
      <c r="C1588" s="1842"/>
      <c r="D1588" s="1834"/>
      <c r="E1588" s="1835"/>
      <c r="F1588" s="1843"/>
      <c r="G1588" s="1844"/>
      <c r="H1588" s="1848"/>
      <c r="I1588" s="1847" t="str">
        <f>IF(D1588="","",IF(H1588&lt;&gt;"","CLOSED",IF(G1588="","NO DUE DATE",IF(AND(#REF!&lt;1,#REF!&gt;0),"DUE TODAY",IF(#REF!&gt;1,"OVERDUE",IF(H1588&lt;&gt;"","CLOSED","OPEN"))))))</f>
        <v/>
      </c>
      <c r="J1588" s="1849"/>
    </row>
    <row r="1589" spans="2:10" s="1824" customFormat="1" ht="16.2">
      <c r="B1589" s="1909"/>
      <c r="C1589" s="1842"/>
      <c r="D1589" s="1834"/>
      <c r="E1589" s="1835"/>
      <c r="F1589" s="1843"/>
      <c r="G1589" s="1844"/>
      <c r="H1589" s="1848"/>
      <c r="I1589" s="1847" t="str">
        <f>IF(D1589="","",IF(H1589&lt;&gt;"","CLOSED",IF(G1589="","NO DUE DATE",IF(AND(#REF!&lt;1,#REF!&gt;0),"DUE TODAY",IF(#REF!&gt;1,"OVERDUE",IF(H1589&lt;&gt;"","CLOSED","OPEN"))))))</f>
        <v/>
      </c>
      <c r="J1589" s="1849"/>
    </row>
    <row r="1590" spans="2:10" s="1824" customFormat="1" ht="16.2">
      <c r="B1590" s="1909"/>
      <c r="C1590" s="1842"/>
      <c r="D1590" s="1834"/>
      <c r="E1590" s="1835"/>
      <c r="F1590" s="1843"/>
      <c r="G1590" s="1844"/>
      <c r="H1590" s="1848"/>
      <c r="I1590" s="1847" t="str">
        <f>IF(D1590="","",IF(H1590&lt;&gt;"","CLOSED",IF(G1590="","NO DUE DATE",IF(AND(#REF!&lt;1,#REF!&gt;0),"DUE TODAY",IF(#REF!&gt;1,"OVERDUE",IF(H1590&lt;&gt;"","CLOSED","OPEN"))))))</f>
        <v/>
      </c>
      <c r="J1590" s="1849"/>
    </row>
    <row r="1591" spans="2:10" s="1824" customFormat="1" ht="16.2">
      <c r="B1591" s="1909"/>
      <c r="C1591" s="1842"/>
      <c r="D1591" s="1834"/>
      <c r="E1591" s="1835"/>
      <c r="F1591" s="1843"/>
      <c r="G1591" s="1844"/>
      <c r="H1591" s="1848"/>
      <c r="I1591" s="1847" t="str">
        <f>IF(D1591="","",IF(H1591&lt;&gt;"","CLOSED",IF(G1591="","NO DUE DATE",IF(AND(#REF!&lt;1,#REF!&gt;0),"DUE TODAY",IF(#REF!&gt;1,"OVERDUE",IF(H1591&lt;&gt;"","CLOSED","OPEN"))))))</f>
        <v/>
      </c>
      <c r="J1591" s="1849"/>
    </row>
    <row r="1592" spans="2:10" s="1824" customFormat="1" ht="16.2">
      <c r="B1592" s="1909"/>
      <c r="C1592" s="1842"/>
      <c r="D1592" s="1834"/>
      <c r="E1592" s="1835"/>
      <c r="F1592" s="1843"/>
      <c r="G1592" s="1844"/>
      <c r="H1592" s="1848"/>
      <c r="I1592" s="1847" t="str">
        <f>IF(D1592="","",IF(H1592&lt;&gt;"","CLOSED",IF(G1592="","NO DUE DATE",IF(AND(#REF!&lt;1,#REF!&gt;0),"DUE TODAY",IF(#REF!&gt;1,"OVERDUE",IF(H1592&lt;&gt;"","CLOSED","OPEN"))))))</f>
        <v/>
      </c>
      <c r="J1592" s="1849"/>
    </row>
    <row r="1593" spans="2:10" s="1824" customFormat="1" ht="16.2">
      <c r="B1593" s="1909"/>
      <c r="C1593" s="1842"/>
      <c r="D1593" s="1834"/>
      <c r="E1593" s="1835"/>
      <c r="F1593" s="1843"/>
      <c r="G1593" s="1844"/>
      <c r="H1593" s="1848"/>
      <c r="I1593" s="1847" t="str">
        <f>IF(D1593="","",IF(H1593&lt;&gt;"","CLOSED",IF(G1593="","NO DUE DATE",IF(AND(#REF!&lt;1,#REF!&gt;0),"DUE TODAY",IF(#REF!&gt;1,"OVERDUE",IF(H1593&lt;&gt;"","CLOSED","OPEN"))))))</f>
        <v/>
      </c>
      <c r="J1593" s="1849"/>
    </row>
    <row r="1594" spans="2:10" s="1824" customFormat="1" ht="16.2">
      <c r="B1594" s="1909"/>
      <c r="C1594" s="1842"/>
      <c r="D1594" s="1834"/>
      <c r="E1594" s="1835"/>
      <c r="F1594" s="1843"/>
      <c r="G1594" s="1844"/>
      <c r="H1594" s="1848"/>
      <c r="I1594" s="1847" t="str">
        <f>IF(D1594="","",IF(H1594&lt;&gt;"","CLOSED",IF(G1594="","NO DUE DATE",IF(AND(#REF!&lt;1,#REF!&gt;0),"DUE TODAY",IF(#REF!&gt;1,"OVERDUE",IF(H1594&lt;&gt;"","CLOSED","OPEN"))))))</f>
        <v/>
      </c>
      <c r="J1594" s="1849"/>
    </row>
    <row r="1595" spans="2:10" s="1824" customFormat="1" ht="16.2">
      <c r="B1595" s="1909"/>
      <c r="C1595" s="1842"/>
      <c r="D1595" s="1834"/>
      <c r="E1595" s="1835"/>
      <c r="F1595" s="1843"/>
      <c r="G1595" s="1844"/>
      <c r="H1595" s="1848"/>
      <c r="I1595" s="1847" t="str">
        <f>IF(D1595="","",IF(H1595&lt;&gt;"","CLOSED",IF(G1595="","NO DUE DATE",IF(AND(#REF!&lt;1,#REF!&gt;0),"DUE TODAY",IF(#REF!&gt;1,"OVERDUE",IF(H1595&lt;&gt;"","CLOSED","OPEN"))))))</f>
        <v/>
      </c>
      <c r="J1595" s="1849"/>
    </row>
    <row r="1596" spans="2:10" s="1824" customFormat="1" ht="16.2">
      <c r="B1596" s="1909"/>
      <c r="C1596" s="1842"/>
      <c r="D1596" s="1834"/>
      <c r="E1596" s="1835"/>
      <c r="F1596" s="1843"/>
      <c r="G1596" s="1844"/>
      <c r="H1596" s="1848"/>
      <c r="I1596" s="1847" t="str">
        <f>IF(D1596="","",IF(H1596&lt;&gt;"","CLOSED",IF(G1596="","NO DUE DATE",IF(AND(#REF!&lt;1,#REF!&gt;0),"DUE TODAY",IF(#REF!&gt;1,"OVERDUE",IF(H1596&lt;&gt;"","CLOSED","OPEN"))))))</f>
        <v/>
      </c>
      <c r="J1596" s="1849"/>
    </row>
    <row r="1597" spans="2:10" s="1824" customFormat="1" ht="16.2">
      <c r="B1597" s="1909"/>
      <c r="C1597" s="1842"/>
      <c r="D1597" s="1834"/>
      <c r="E1597" s="1835"/>
      <c r="F1597" s="1843"/>
      <c r="G1597" s="1844"/>
      <c r="H1597" s="1848"/>
      <c r="I1597" s="1847" t="str">
        <f>IF(D1597="","",IF(H1597&lt;&gt;"","CLOSED",IF(G1597="","NO DUE DATE",IF(AND(#REF!&lt;1,#REF!&gt;0),"DUE TODAY",IF(#REF!&gt;1,"OVERDUE",IF(H1597&lt;&gt;"","CLOSED","OPEN"))))))</f>
        <v/>
      </c>
      <c r="J1597" s="1849"/>
    </row>
    <row r="1598" spans="2:10" s="1824" customFormat="1" ht="16.2">
      <c r="B1598" s="1909"/>
      <c r="C1598" s="1842"/>
      <c r="D1598" s="1834"/>
      <c r="E1598" s="1835"/>
      <c r="F1598" s="1843"/>
      <c r="G1598" s="1844"/>
      <c r="H1598" s="1848"/>
      <c r="I1598" s="1847" t="str">
        <f>IF(D1598="","",IF(H1598&lt;&gt;"","CLOSED",IF(G1598="","NO DUE DATE",IF(AND(#REF!&lt;1,#REF!&gt;0),"DUE TODAY",IF(#REF!&gt;1,"OVERDUE",IF(H1598&lt;&gt;"","CLOSED","OPEN"))))))</f>
        <v/>
      </c>
      <c r="J1598" s="1849"/>
    </row>
    <row r="1599" spans="2:10" s="1824" customFormat="1" ht="16.2">
      <c r="B1599" s="1909"/>
      <c r="C1599" s="1842"/>
      <c r="D1599" s="1834"/>
      <c r="E1599" s="1835"/>
      <c r="F1599" s="1843"/>
      <c r="G1599" s="1844"/>
      <c r="H1599" s="1848"/>
      <c r="I1599" s="1847" t="str">
        <f>IF(D1599="","",IF(H1599&lt;&gt;"","CLOSED",IF(G1599="","NO DUE DATE",IF(AND(#REF!&lt;1,#REF!&gt;0),"DUE TODAY",IF(#REF!&gt;1,"OVERDUE",IF(H1599&lt;&gt;"","CLOSED","OPEN"))))))</f>
        <v/>
      </c>
      <c r="J1599" s="1849"/>
    </row>
    <row r="1600" spans="2:10" s="1824" customFormat="1" ht="16.2">
      <c r="B1600" s="1909"/>
      <c r="C1600" s="1842"/>
      <c r="D1600" s="1834"/>
      <c r="E1600" s="1835"/>
      <c r="F1600" s="1843"/>
      <c r="G1600" s="1844"/>
      <c r="H1600" s="1848"/>
      <c r="I1600" s="1847" t="str">
        <f>IF(D1600="","",IF(H1600&lt;&gt;"","CLOSED",IF(G1600="","NO DUE DATE",IF(AND(#REF!&lt;1,#REF!&gt;0),"DUE TODAY",IF(#REF!&gt;1,"OVERDUE",IF(H1600&lt;&gt;"","CLOSED","OPEN"))))))</f>
        <v/>
      </c>
      <c r="J1600" s="1849"/>
    </row>
    <row r="1601" spans="2:10" s="1824" customFormat="1" ht="16.2">
      <c r="B1601" s="1909"/>
      <c r="C1601" s="1842"/>
      <c r="D1601" s="1834"/>
      <c r="E1601" s="1835"/>
      <c r="F1601" s="1843"/>
      <c r="G1601" s="1844"/>
      <c r="H1601" s="1848"/>
      <c r="I1601" s="1847" t="str">
        <f>IF(D1601="","",IF(H1601&lt;&gt;"","CLOSED",IF(G1601="","NO DUE DATE",IF(AND(#REF!&lt;1,#REF!&gt;0),"DUE TODAY",IF(#REF!&gt;1,"OVERDUE",IF(H1601&lt;&gt;"","CLOSED","OPEN"))))))</f>
        <v/>
      </c>
      <c r="J1601" s="1849"/>
    </row>
    <row r="1602" spans="2:10" s="1824" customFormat="1" ht="16.2">
      <c r="B1602" s="1909"/>
      <c r="C1602" s="1842"/>
      <c r="D1602" s="1834"/>
      <c r="E1602" s="1835"/>
      <c r="F1602" s="1843"/>
      <c r="G1602" s="1844"/>
      <c r="H1602" s="1848"/>
      <c r="I1602" s="1847" t="str">
        <f>IF(D1602="","",IF(H1602&lt;&gt;"","CLOSED",IF(G1602="","NO DUE DATE",IF(AND(#REF!&lt;1,#REF!&gt;0),"DUE TODAY",IF(#REF!&gt;1,"OVERDUE",IF(H1602&lt;&gt;"","CLOSED","OPEN"))))))</f>
        <v/>
      </c>
      <c r="J1602" s="1849"/>
    </row>
    <row r="1603" spans="2:10" s="1824" customFormat="1" ht="16.2">
      <c r="B1603" s="1909"/>
      <c r="C1603" s="1842"/>
      <c r="D1603" s="1834"/>
      <c r="E1603" s="1835"/>
      <c r="F1603" s="1843"/>
      <c r="G1603" s="1844"/>
      <c r="H1603" s="1848"/>
      <c r="I1603" s="1847" t="str">
        <f>IF(D1603="","",IF(H1603&lt;&gt;"","CLOSED",IF(G1603="","NO DUE DATE",IF(AND(#REF!&lt;1,#REF!&gt;0),"DUE TODAY",IF(#REF!&gt;1,"OVERDUE",IF(H1603&lt;&gt;"","CLOSED","OPEN"))))))</f>
        <v/>
      </c>
      <c r="J1603" s="1849"/>
    </row>
    <row r="1604" spans="2:10" s="1824" customFormat="1" ht="16.2">
      <c r="B1604" s="1909"/>
      <c r="C1604" s="1842"/>
      <c r="D1604" s="1834"/>
      <c r="E1604" s="1835"/>
      <c r="F1604" s="1843"/>
      <c r="G1604" s="1844"/>
      <c r="H1604" s="1848"/>
      <c r="I1604" s="1847" t="str">
        <f>IF(D1604="","",IF(H1604&lt;&gt;"","CLOSED",IF(G1604="","NO DUE DATE",IF(AND(#REF!&lt;1,#REF!&gt;0),"DUE TODAY",IF(#REF!&gt;1,"OVERDUE",IF(H1604&lt;&gt;"","CLOSED","OPEN"))))))</f>
        <v/>
      </c>
      <c r="J1604" s="1849"/>
    </row>
    <row r="1605" spans="2:10" s="1824" customFormat="1" ht="16.2">
      <c r="B1605" s="1909"/>
      <c r="C1605" s="1842"/>
      <c r="D1605" s="1834"/>
      <c r="E1605" s="1835"/>
      <c r="F1605" s="1843"/>
      <c r="G1605" s="1844"/>
      <c r="H1605" s="1848"/>
      <c r="I1605" s="1847" t="str">
        <f>IF(D1605="","",IF(H1605&lt;&gt;"","CLOSED",IF(G1605="","NO DUE DATE",IF(AND(#REF!&lt;1,#REF!&gt;0),"DUE TODAY",IF(#REF!&gt;1,"OVERDUE",IF(H1605&lt;&gt;"","CLOSED","OPEN"))))))</f>
        <v/>
      </c>
      <c r="J1605" s="1849"/>
    </row>
    <row r="1606" spans="2:10" s="1824" customFormat="1" ht="16.2">
      <c r="B1606" s="1909"/>
      <c r="C1606" s="1842"/>
      <c r="D1606" s="1834"/>
      <c r="E1606" s="1835"/>
      <c r="F1606" s="1843"/>
      <c r="G1606" s="1844"/>
      <c r="H1606" s="1848"/>
      <c r="I1606" s="1847" t="str">
        <f>IF(D1606="","",IF(H1606&lt;&gt;"","CLOSED",IF(G1606="","NO DUE DATE",IF(AND(#REF!&lt;1,#REF!&gt;0),"DUE TODAY",IF(#REF!&gt;1,"OVERDUE",IF(H1606&lt;&gt;"","CLOSED","OPEN"))))))</f>
        <v/>
      </c>
      <c r="J1606" s="1849"/>
    </row>
    <row r="1607" spans="2:10" s="1824" customFormat="1" ht="16.2">
      <c r="B1607" s="1909"/>
      <c r="C1607" s="1842"/>
      <c r="D1607" s="1834"/>
      <c r="E1607" s="1835"/>
      <c r="F1607" s="1843"/>
      <c r="G1607" s="1844"/>
      <c r="H1607" s="1848"/>
      <c r="I1607" s="1847" t="str">
        <f>IF(D1607="","",IF(H1607&lt;&gt;"","CLOSED",IF(G1607="","NO DUE DATE",IF(AND(#REF!&lt;1,#REF!&gt;0),"DUE TODAY",IF(#REF!&gt;1,"OVERDUE",IF(H1607&lt;&gt;"","CLOSED","OPEN"))))))</f>
        <v/>
      </c>
      <c r="J1607" s="1849"/>
    </row>
    <row r="1608" spans="2:10" s="1824" customFormat="1" ht="16.2">
      <c r="B1608" s="1909"/>
      <c r="C1608" s="1842"/>
      <c r="D1608" s="1834"/>
      <c r="E1608" s="1835"/>
      <c r="F1608" s="1843"/>
      <c r="G1608" s="1844"/>
      <c r="H1608" s="1848"/>
      <c r="I1608" s="1847" t="str">
        <f>IF(D1608="","",IF(H1608&lt;&gt;"","CLOSED",IF(G1608="","NO DUE DATE",IF(AND(#REF!&lt;1,#REF!&gt;0),"DUE TODAY",IF(#REF!&gt;1,"OVERDUE",IF(H1608&lt;&gt;"","CLOSED","OPEN"))))))</f>
        <v/>
      </c>
      <c r="J1608" s="1849"/>
    </row>
    <row r="1609" spans="2:10" s="1824" customFormat="1" ht="16.2">
      <c r="B1609" s="1909"/>
      <c r="C1609" s="1842"/>
      <c r="D1609" s="1834"/>
      <c r="E1609" s="1835"/>
      <c r="F1609" s="1843"/>
      <c r="G1609" s="1844"/>
      <c r="H1609" s="1848"/>
      <c r="I1609" s="1847" t="str">
        <f>IF(D1609="","",IF(H1609&lt;&gt;"","CLOSED",IF(G1609="","NO DUE DATE",IF(AND(#REF!&lt;1,#REF!&gt;0),"DUE TODAY",IF(#REF!&gt;1,"OVERDUE",IF(H1609&lt;&gt;"","CLOSED","OPEN"))))))</f>
        <v/>
      </c>
      <c r="J1609" s="1849"/>
    </row>
    <row r="1610" spans="2:10" s="1824" customFormat="1" ht="16.2">
      <c r="B1610" s="1909"/>
      <c r="C1610" s="1842"/>
      <c r="D1610" s="1834"/>
      <c r="E1610" s="1835"/>
      <c r="F1610" s="1843"/>
      <c r="G1610" s="1844"/>
      <c r="H1610" s="1848"/>
      <c r="I1610" s="1847" t="str">
        <f>IF(D1610="","",IF(H1610&lt;&gt;"","CLOSED",IF(G1610="","NO DUE DATE",IF(AND(#REF!&lt;1,#REF!&gt;0),"DUE TODAY",IF(#REF!&gt;1,"OVERDUE",IF(H1610&lt;&gt;"","CLOSED","OPEN"))))))</f>
        <v/>
      </c>
      <c r="J1610" s="1849"/>
    </row>
    <row r="1611" spans="2:10" s="1824" customFormat="1" ht="16.2">
      <c r="B1611" s="1909"/>
      <c r="C1611" s="1842"/>
      <c r="D1611" s="1834"/>
      <c r="E1611" s="1835"/>
      <c r="F1611" s="1843"/>
      <c r="G1611" s="1844"/>
      <c r="H1611" s="1848"/>
      <c r="I1611" s="1847" t="str">
        <f>IF(D1611="","",IF(H1611&lt;&gt;"","CLOSED",IF(G1611="","NO DUE DATE",IF(AND(#REF!&lt;1,#REF!&gt;0),"DUE TODAY",IF(#REF!&gt;1,"OVERDUE",IF(H1611&lt;&gt;"","CLOSED","OPEN"))))))</f>
        <v/>
      </c>
      <c r="J1611" s="1849"/>
    </row>
    <row r="1612" spans="2:10" s="1824" customFormat="1" ht="16.2">
      <c r="B1612" s="1909"/>
      <c r="C1612" s="1842"/>
      <c r="D1612" s="1834"/>
      <c r="E1612" s="1835"/>
      <c r="F1612" s="1843"/>
      <c r="G1612" s="1844"/>
      <c r="H1612" s="1848"/>
      <c r="I1612" s="1847" t="str">
        <f>IF(D1612="","",IF(H1612&lt;&gt;"","CLOSED",IF(G1612="","NO DUE DATE",IF(AND(#REF!&lt;1,#REF!&gt;0),"DUE TODAY",IF(#REF!&gt;1,"OVERDUE",IF(H1612&lt;&gt;"","CLOSED","OPEN"))))))</f>
        <v/>
      </c>
      <c r="J1612" s="1849"/>
    </row>
    <row r="1613" spans="2:10" s="1824" customFormat="1" ht="16.2">
      <c r="B1613" s="1909"/>
      <c r="C1613" s="1842"/>
      <c r="D1613" s="1834"/>
      <c r="E1613" s="1835"/>
      <c r="F1613" s="1843"/>
      <c r="G1613" s="1844"/>
      <c r="H1613" s="1848"/>
      <c r="I1613" s="1847" t="str">
        <f>IF(D1613="","",IF(H1613&lt;&gt;"","CLOSED",IF(G1613="","NO DUE DATE",IF(AND(#REF!&lt;1,#REF!&gt;0),"DUE TODAY",IF(#REF!&gt;1,"OVERDUE",IF(H1613&lt;&gt;"","CLOSED","OPEN"))))))</f>
        <v/>
      </c>
      <c r="J1613" s="1849"/>
    </row>
    <row r="1614" spans="2:10" s="1824" customFormat="1" ht="16.2">
      <c r="B1614" s="1909"/>
      <c r="C1614" s="1842"/>
      <c r="D1614" s="1834"/>
      <c r="E1614" s="1835"/>
      <c r="F1614" s="1843"/>
      <c r="G1614" s="1844"/>
      <c r="H1614" s="1848"/>
      <c r="I1614" s="1847" t="str">
        <f>IF(D1614="","",IF(H1614&lt;&gt;"","CLOSED",IF(G1614="","NO DUE DATE",IF(AND(#REF!&lt;1,#REF!&gt;0),"DUE TODAY",IF(#REF!&gt;1,"OVERDUE",IF(H1614&lt;&gt;"","CLOSED","OPEN"))))))</f>
        <v/>
      </c>
      <c r="J1614" s="1849"/>
    </row>
    <row r="1615" spans="2:10" s="1824" customFormat="1" ht="16.2">
      <c r="B1615" s="1909"/>
      <c r="C1615" s="1842"/>
      <c r="D1615" s="1834"/>
      <c r="E1615" s="1835"/>
      <c r="F1615" s="1843"/>
      <c r="G1615" s="1844"/>
      <c r="H1615" s="1848"/>
      <c r="I1615" s="1847" t="str">
        <f>IF(D1615="","",IF(H1615&lt;&gt;"","CLOSED",IF(G1615="","NO DUE DATE",IF(AND(#REF!&lt;1,#REF!&gt;0),"DUE TODAY",IF(#REF!&gt;1,"OVERDUE",IF(H1615&lt;&gt;"","CLOSED","OPEN"))))))</f>
        <v/>
      </c>
      <c r="J1615" s="1849"/>
    </row>
    <row r="1616" spans="2:10" s="1824" customFormat="1" ht="16.2">
      <c r="B1616" s="1909"/>
      <c r="C1616" s="1842"/>
      <c r="D1616" s="1834"/>
      <c r="E1616" s="1835"/>
      <c r="F1616" s="1843"/>
      <c r="G1616" s="1844"/>
      <c r="H1616" s="1848"/>
      <c r="I1616" s="1847" t="str">
        <f>IF(D1616="","",IF(H1616&lt;&gt;"","CLOSED",IF(G1616="","NO DUE DATE",IF(AND(#REF!&lt;1,#REF!&gt;0),"DUE TODAY",IF(#REF!&gt;1,"OVERDUE",IF(H1616&lt;&gt;"","CLOSED","OPEN"))))))</f>
        <v/>
      </c>
      <c r="J1616" s="1849"/>
    </row>
    <row r="1617" spans="2:10" s="1824" customFormat="1" ht="16.2">
      <c r="B1617" s="1909"/>
      <c r="C1617" s="1842"/>
      <c r="D1617" s="1834"/>
      <c r="E1617" s="1835"/>
      <c r="F1617" s="1843"/>
      <c r="G1617" s="1844"/>
      <c r="H1617" s="1848"/>
      <c r="I1617" s="1847" t="str">
        <f>IF(D1617="","",IF(H1617&lt;&gt;"","CLOSED",IF(G1617="","NO DUE DATE",IF(AND(#REF!&lt;1,#REF!&gt;0),"DUE TODAY",IF(#REF!&gt;1,"OVERDUE",IF(H1617&lt;&gt;"","CLOSED","OPEN"))))))</f>
        <v/>
      </c>
      <c r="J1617" s="1849"/>
    </row>
    <row r="1618" spans="2:10" s="1824" customFormat="1" ht="16.2">
      <c r="B1618" s="1909"/>
      <c r="C1618" s="1842"/>
      <c r="D1618" s="1834"/>
      <c r="E1618" s="1835"/>
      <c r="F1618" s="1843"/>
      <c r="G1618" s="1844"/>
      <c r="H1618" s="1848"/>
      <c r="I1618" s="1847" t="str">
        <f>IF(D1618="","",IF(H1618&lt;&gt;"","CLOSED",IF(G1618="","NO DUE DATE",IF(AND(#REF!&lt;1,#REF!&gt;0),"DUE TODAY",IF(#REF!&gt;1,"OVERDUE",IF(H1618&lt;&gt;"","CLOSED","OPEN"))))))</f>
        <v/>
      </c>
      <c r="J1618" s="1849"/>
    </row>
    <row r="1619" spans="2:10" s="1824" customFormat="1" ht="16.2">
      <c r="B1619" s="1909"/>
      <c r="C1619" s="1842"/>
      <c r="D1619" s="1834"/>
      <c r="E1619" s="1835"/>
      <c r="F1619" s="1843"/>
      <c r="G1619" s="1844"/>
      <c r="H1619" s="1848"/>
      <c r="I1619" s="1847" t="str">
        <f>IF(D1619="","",IF(H1619&lt;&gt;"","CLOSED",IF(G1619="","NO DUE DATE",IF(AND(#REF!&lt;1,#REF!&gt;0),"DUE TODAY",IF(#REF!&gt;1,"OVERDUE",IF(H1619&lt;&gt;"","CLOSED","OPEN"))))))</f>
        <v/>
      </c>
      <c r="J1619" s="1849"/>
    </row>
    <row r="1620" spans="2:10" s="1824" customFormat="1" ht="16.2">
      <c r="B1620" s="1909"/>
      <c r="C1620" s="1842"/>
      <c r="D1620" s="1834"/>
      <c r="E1620" s="1835"/>
      <c r="F1620" s="1843"/>
      <c r="G1620" s="1844"/>
      <c r="H1620" s="1848"/>
      <c r="I1620" s="1847" t="str">
        <f>IF(D1620="","",IF(H1620&lt;&gt;"","CLOSED",IF(G1620="","NO DUE DATE",IF(AND(#REF!&lt;1,#REF!&gt;0),"DUE TODAY",IF(#REF!&gt;1,"OVERDUE",IF(H1620&lt;&gt;"","CLOSED","OPEN"))))))</f>
        <v/>
      </c>
      <c r="J1620" s="1849"/>
    </row>
    <row r="1621" spans="2:10" s="1824" customFormat="1" ht="16.2">
      <c r="B1621" s="1909"/>
      <c r="C1621" s="1842"/>
      <c r="D1621" s="1834"/>
      <c r="E1621" s="1835"/>
      <c r="F1621" s="1843"/>
      <c r="G1621" s="1844"/>
      <c r="H1621" s="1848"/>
      <c r="I1621" s="1847" t="str">
        <f>IF(D1621="","",IF(H1621&lt;&gt;"","CLOSED",IF(G1621="","NO DUE DATE",IF(AND(#REF!&lt;1,#REF!&gt;0),"DUE TODAY",IF(#REF!&gt;1,"OVERDUE",IF(H1621&lt;&gt;"","CLOSED","OPEN"))))))</f>
        <v/>
      </c>
      <c r="J1621" s="1849"/>
    </row>
    <row r="1622" spans="2:10" s="1824" customFormat="1" ht="16.2">
      <c r="B1622" s="1909"/>
      <c r="C1622" s="1842"/>
      <c r="D1622" s="1834"/>
      <c r="E1622" s="1835"/>
      <c r="F1622" s="1843"/>
      <c r="G1622" s="1844"/>
      <c r="H1622" s="1848"/>
      <c r="I1622" s="1847" t="str">
        <f>IF(D1622="","",IF(H1622&lt;&gt;"","CLOSED",IF(G1622="","NO DUE DATE",IF(AND(#REF!&lt;1,#REF!&gt;0),"DUE TODAY",IF(#REF!&gt;1,"OVERDUE",IF(H1622&lt;&gt;"","CLOSED","OPEN"))))))</f>
        <v/>
      </c>
      <c r="J1622" s="1849"/>
    </row>
    <row r="1623" spans="2:10" s="1824" customFormat="1" ht="16.2">
      <c r="B1623" s="1909"/>
      <c r="C1623" s="1842"/>
      <c r="D1623" s="1834"/>
      <c r="E1623" s="1835"/>
      <c r="F1623" s="1843"/>
      <c r="G1623" s="1844"/>
      <c r="H1623" s="1848"/>
      <c r="I1623" s="1847" t="str">
        <f>IF(D1623="","",IF(H1623&lt;&gt;"","CLOSED",IF(G1623="","NO DUE DATE",IF(AND(#REF!&lt;1,#REF!&gt;0),"DUE TODAY",IF(#REF!&gt;1,"OVERDUE",IF(H1623&lt;&gt;"","CLOSED","OPEN"))))))</f>
        <v/>
      </c>
      <c r="J1623" s="1849"/>
    </row>
    <row r="1624" spans="2:10" s="1824" customFormat="1" ht="16.2">
      <c r="B1624" s="1909"/>
      <c r="C1624" s="1842"/>
      <c r="D1624" s="1834"/>
      <c r="E1624" s="1835"/>
      <c r="F1624" s="1843"/>
      <c r="G1624" s="1844"/>
      <c r="H1624" s="1848"/>
      <c r="I1624" s="1847" t="str">
        <f>IF(D1624="","",IF(H1624&lt;&gt;"","CLOSED",IF(G1624="","NO DUE DATE",IF(AND(#REF!&lt;1,#REF!&gt;0),"DUE TODAY",IF(#REF!&gt;1,"OVERDUE",IF(H1624&lt;&gt;"","CLOSED","OPEN"))))))</f>
        <v/>
      </c>
      <c r="J1624" s="1849"/>
    </row>
    <row r="1625" spans="2:10" s="1824" customFormat="1" ht="16.2">
      <c r="B1625" s="1909"/>
      <c r="C1625" s="1842"/>
      <c r="D1625" s="1834"/>
      <c r="E1625" s="1835"/>
      <c r="F1625" s="1843"/>
      <c r="G1625" s="1844"/>
      <c r="H1625" s="1848"/>
      <c r="I1625" s="1847" t="str">
        <f>IF(D1625="","",IF(H1625&lt;&gt;"","CLOSED",IF(G1625="","NO DUE DATE",IF(AND(#REF!&lt;1,#REF!&gt;0),"DUE TODAY",IF(#REF!&gt;1,"OVERDUE",IF(H1625&lt;&gt;"","CLOSED","OPEN"))))))</f>
        <v/>
      </c>
      <c r="J1625" s="1849"/>
    </row>
    <row r="1626" spans="2:10" s="1824" customFormat="1" ht="16.2">
      <c r="B1626" s="1909"/>
      <c r="C1626" s="1842"/>
      <c r="D1626" s="1834"/>
      <c r="E1626" s="1835"/>
      <c r="F1626" s="1843"/>
      <c r="G1626" s="1844"/>
      <c r="H1626" s="1848"/>
      <c r="I1626" s="1847" t="str">
        <f>IF(D1626="","",IF(H1626&lt;&gt;"","CLOSED",IF(G1626="","NO DUE DATE",IF(AND(#REF!&lt;1,#REF!&gt;0),"DUE TODAY",IF(#REF!&gt;1,"OVERDUE",IF(H1626&lt;&gt;"","CLOSED","OPEN"))))))</f>
        <v/>
      </c>
      <c r="J1626" s="1849"/>
    </row>
    <row r="1627" spans="2:10" s="1824" customFormat="1" ht="16.2">
      <c r="B1627" s="1909"/>
      <c r="C1627" s="1842"/>
      <c r="D1627" s="1834"/>
      <c r="E1627" s="1835"/>
      <c r="F1627" s="1843"/>
      <c r="G1627" s="1844"/>
      <c r="H1627" s="1848"/>
      <c r="I1627" s="1847" t="str">
        <f>IF(D1627="","",IF(H1627&lt;&gt;"","CLOSED",IF(G1627="","NO DUE DATE",IF(AND(#REF!&lt;1,#REF!&gt;0),"DUE TODAY",IF(#REF!&gt;1,"OVERDUE",IF(H1627&lt;&gt;"","CLOSED","OPEN"))))))</f>
        <v/>
      </c>
      <c r="J1627" s="1849"/>
    </row>
    <row r="1628" spans="2:10" s="1824" customFormat="1" ht="16.2">
      <c r="B1628" s="1909"/>
      <c r="C1628" s="1842"/>
      <c r="D1628" s="1834"/>
      <c r="E1628" s="1835"/>
      <c r="F1628" s="1843"/>
      <c r="G1628" s="1844"/>
      <c r="H1628" s="1848"/>
      <c r="I1628" s="1847" t="str">
        <f>IF(D1628="","",IF(H1628&lt;&gt;"","CLOSED",IF(G1628="","NO DUE DATE",IF(AND(#REF!&lt;1,#REF!&gt;0),"DUE TODAY",IF(#REF!&gt;1,"OVERDUE",IF(H1628&lt;&gt;"","CLOSED","OPEN"))))))</f>
        <v/>
      </c>
      <c r="J1628" s="1849"/>
    </row>
    <row r="1629" spans="2:10" s="1824" customFormat="1" ht="16.2">
      <c r="B1629" s="1909"/>
      <c r="C1629" s="1842"/>
      <c r="D1629" s="1834"/>
      <c r="E1629" s="1835"/>
      <c r="F1629" s="1843"/>
      <c r="G1629" s="1844"/>
      <c r="H1629" s="1848"/>
      <c r="I1629" s="1847" t="str">
        <f>IF(D1629="","",IF(H1629&lt;&gt;"","CLOSED",IF(G1629="","NO DUE DATE",IF(AND(#REF!&lt;1,#REF!&gt;0),"DUE TODAY",IF(#REF!&gt;1,"OVERDUE",IF(H1629&lt;&gt;"","CLOSED","OPEN"))))))</f>
        <v/>
      </c>
      <c r="J1629" s="1849"/>
    </row>
    <row r="1630" spans="2:10" s="1824" customFormat="1" ht="16.2">
      <c r="B1630" s="1909"/>
      <c r="C1630" s="1842"/>
      <c r="D1630" s="1834"/>
      <c r="E1630" s="1835"/>
      <c r="F1630" s="1843"/>
      <c r="G1630" s="1844"/>
      <c r="H1630" s="1848"/>
      <c r="I1630" s="1847" t="str">
        <f>IF(D1630="","",IF(H1630&lt;&gt;"","CLOSED",IF(G1630="","NO DUE DATE",IF(AND(#REF!&lt;1,#REF!&gt;0),"DUE TODAY",IF(#REF!&gt;1,"OVERDUE",IF(H1630&lt;&gt;"","CLOSED","OPEN"))))))</f>
        <v/>
      </c>
      <c r="J1630" s="1849"/>
    </row>
    <row r="1631" spans="2:10" s="1824" customFormat="1" ht="16.2">
      <c r="B1631" s="1909"/>
      <c r="C1631" s="1842"/>
      <c r="D1631" s="1834"/>
      <c r="E1631" s="1835"/>
      <c r="F1631" s="1843"/>
      <c r="G1631" s="1844"/>
      <c r="H1631" s="1848"/>
      <c r="I1631" s="1847" t="str">
        <f>IF(D1631="","",IF(H1631&lt;&gt;"","CLOSED",IF(G1631="","NO DUE DATE",IF(AND(#REF!&lt;1,#REF!&gt;0),"DUE TODAY",IF(#REF!&gt;1,"OVERDUE",IF(H1631&lt;&gt;"","CLOSED","OPEN"))))))</f>
        <v/>
      </c>
      <c r="J1631" s="1849"/>
    </row>
    <row r="1632" spans="2:10" s="1824" customFormat="1" ht="16.2">
      <c r="B1632" s="1909"/>
      <c r="C1632" s="1842"/>
      <c r="D1632" s="1834"/>
      <c r="E1632" s="1835"/>
      <c r="F1632" s="1843"/>
      <c r="G1632" s="1844"/>
      <c r="H1632" s="1848"/>
      <c r="I1632" s="1847" t="str">
        <f>IF(D1632="","",IF(H1632&lt;&gt;"","CLOSED",IF(G1632="","NO DUE DATE",IF(AND(#REF!&lt;1,#REF!&gt;0),"DUE TODAY",IF(#REF!&gt;1,"OVERDUE",IF(H1632&lt;&gt;"","CLOSED","OPEN"))))))</f>
        <v/>
      </c>
      <c r="J1632" s="1849"/>
    </row>
    <row r="1633" spans="2:10" s="1824" customFormat="1" ht="16.2">
      <c r="B1633" s="1909"/>
      <c r="C1633" s="1842"/>
      <c r="D1633" s="1834"/>
      <c r="E1633" s="1835"/>
      <c r="F1633" s="1843"/>
      <c r="G1633" s="1844"/>
      <c r="H1633" s="1848"/>
      <c r="I1633" s="1847" t="str">
        <f>IF(D1633="","",IF(H1633&lt;&gt;"","CLOSED",IF(G1633="","NO DUE DATE",IF(AND(#REF!&lt;1,#REF!&gt;0),"DUE TODAY",IF(#REF!&gt;1,"OVERDUE",IF(H1633&lt;&gt;"","CLOSED","OPEN"))))))</f>
        <v/>
      </c>
      <c r="J1633" s="1849"/>
    </row>
    <row r="1634" spans="2:10" s="1824" customFormat="1" ht="16.2">
      <c r="B1634" s="1909"/>
      <c r="C1634" s="1842"/>
      <c r="D1634" s="1834"/>
      <c r="E1634" s="1835"/>
      <c r="F1634" s="1843"/>
      <c r="G1634" s="1844"/>
      <c r="H1634" s="1848"/>
      <c r="I1634" s="1847" t="str">
        <f>IF(D1634="","",IF(H1634&lt;&gt;"","CLOSED",IF(G1634="","NO DUE DATE",IF(AND(#REF!&lt;1,#REF!&gt;0),"DUE TODAY",IF(#REF!&gt;1,"OVERDUE",IF(H1634&lt;&gt;"","CLOSED","OPEN"))))))</f>
        <v/>
      </c>
      <c r="J1634" s="1849"/>
    </row>
    <row r="1635" spans="2:10" s="1824" customFormat="1" ht="16.2">
      <c r="B1635" s="1909"/>
      <c r="C1635" s="1842"/>
      <c r="D1635" s="1834"/>
      <c r="E1635" s="1835"/>
      <c r="F1635" s="1843"/>
      <c r="G1635" s="1844"/>
      <c r="H1635" s="1848"/>
      <c r="I1635" s="1847" t="str">
        <f>IF(D1635="","",IF(H1635&lt;&gt;"","CLOSED",IF(G1635="","NO DUE DATE",IF(AND(#REF!&lt;1,#REF!&gt;0),"DUE TODAY",IF(#REF!&gt;1,"OVERDUE",IF(H1635&lt;&gt;"","CLOSED","OPEN"))))))</f>
        <v/>
      </c>
      <c r="J1635" s="1849"/>
    </row>
    <row r="1636" spans="2:10" s="1824" customFormat="1" ht="16.2">
      <c r="B1636" s="1909"/>
      <c r="C1636" s="1842"/>
      <c r="D1636" s="1834"/>
      <c r="E1636" s="1835"/>
      <c r="F1636" s="1843"/>
      <c r="G1636" s="1844"/>
      <c r="H1636" s="1848"/>
      <c r="I1636" s="1847" t="str">
        <f>IF(D1636="","",IF(H1636&lt;&gt;"","CLOSED",IF(G1636="","NO DUE DATE",IF(AND(#REF!&lt;1,#REF!&gt;0),"DUE TODAY",IF(#REF!&gt;1,"OVERDUE",IF(H1636&lt;&gt;"","CLOSED","OPEN"))))))</f>
        <v/>
      </c>
      <c r="J1636" s="1849"/>
    </row>
    <row r="1637" spans="2:10" s="1824" customFormat="1" ht="16.2">
      <c r="B1637" s="1909"/>
      <c r="C1637" s="1842"/>
      <c r="D1637" s="1834"/>
      <c r="E1637" s="1835"/>
      <c r="F1637" s="1843"/>
      <c r="G1637" s="1844"/>
      <c r="H1637" s="1848"/>
      <c r="I1637" s="1847" t="str">
        <f>IF(D1637="","",IF(H1637&lt;&gt;"","CLOSED",IF(G1637="","NO DUE DATE",IF(AND(#REF!&lt;1,#REF!&gt;0),"DUE TODAY",IF(#REF!&gt;1,"OVERDUE",IF(H1637&lt;&gt;"","CLOSED","OPEN"))))))</f>
        <v/>
      </c>
      <c r="J1637" s="1849"/>
    </row>
    <row r="1638" spans="2:10" s="1824" customFormat="1" ht="16.2">
      <c r="B1638" s="1909"/>
      <c r="C1638" s="1842"/>
      <c r="D1638" s="1834"/>
      <c r="E1638" s="1835"/>
      <c r="F1638" s="1843"/>
      <c r="G1638" s="1844"/>
      <c r="H1638" s="1848"/>
      <c r="I1638" s="1847" t="str">
        <f>IF(D1638="","",IF(H1638&lt;&gt;"","CLOSED",IF(G1638="","NO DUE DATE",IF(AND(#REF!&lt;1,#REF!&gt;0),"DUE TODAY",IF(#REF!&gt;1,"OVERDUE",IF(H1638&lt;&gt;"","CLOSED","OPEN"))))))</f>
        <v/>
      </c>
      <c r="J1638" s="1849"/>
    </row>
    <row r="1639" spans="2:10" s="1824" customFormat="1" ht="16.2">
      <c r="B1639" s="1909"/>
      <c r="C1639" s="1842"/>
      <c r="D1639" s="1834"/>
      <c r="E1639" s="1835"/>
      <c r="F1639" s="1843"/>
      <c r="G1639" s="1844"/>
      <c r="H1639" s="1848"/>
      <c r="I1639" s="1847" t="str">
        <f>IF(D1639="","",IF(H1639&lt;&gt;"","CLOSED",IF(G1639="","NO DUE DATE",IF(AND(#REF!&lt;1,#REF!&gt;0),"DUE TODAY",IF(#REF!&gt;1,"OVERDUE",IF(H1639&lt;&gt;"","CLOSED","OPEN"))))))</f>
        <v/>
      </c>
      <c r="J1639" s="1849"/>
    </row>
    <row r="1640" spans="2:10" s="1824" customFormat="1" ht="16.2">
      <c r="B1640" s="1909"/>
      <c r="C1640" s="1842"/>
      <c r="D1640" s="1834"/>
      <c r="E1640" s="1835"/>
      <c r="F1640" s="1843"/>
      <c r="G1640" s="1844"/>
      <c r="H1640" s="1848"/>
      <c r="I1640" s="1847" t="str">
        <f>IF(D1640="","",IF(H1640&lt;&gt;"","CLOSED",IF(G1640="","NO DUE DATE",IF(AND(#REF!&lt;1,#REF!&gt;0),"DUE TODAY",IF(#REF!&gt;1,"OVERDUE",IF(H1640&lt;&gt;"","CLOSED","OPEN"))))))</f>
        <v/>
      </c>
      <c r="J1640" s="1849"/>
    </row>
    <row r="1641" spans="2:10" s="1824" customFormat="1" ht="16.2">
      <c r="B1641" s="1909"/>
      <c r="C1641" s="1842"/>
      <c r="D1641" s="1834"/>
      <c r="E1641" s="1835"/>
      <c r="F1641" s="1843"/>
      <c r="G1641" s="1844"/>
      <c r="H1641" s="1848"/>
      <c r="I1641" s="1847" t="str">
        <f>IF(D1641="","",IF(H1641&lt;&gt;"","CLOSED",IF(G1641="","NO DUE DATE",IF(AND(#REF!&lt;1,#REF!&gt;0),"DUE TODAY",IF(#REF!&gt;1,"OVERDUE",IF(H1641&lt;&gt;"","CLOSED","OPEN"))))))</f>
        <v/>
      </c>
      <c r="J1641" s="1849"/>
    </row>
    <row r="1642" spans="2:10" s="1824" customFormat="1" ht="16.2">
      <c r="B1642" s="1909"/>
      <c r="C1642" s="1842"/>
      <c r="D1642" s="1834"/>
      <c r="E1642" s="1835"/>
      <c r="F1642" s="1843"/>
      <c r="G1642" s="1844"/>
      <c r="H1642" s="1848"/>
      <c r="I1642" s="1847" t="str">
        <f>IF(D1642="","",IF(H1642&lt;&gt;"","CLOSED",IF(G1642="","NO DUE DATE",IF(AND(#REF!&lt;1,#REF!&gt;0),"DUE TODAY",IF(#REF!&gt;1,"OVERDUE",IF(H1642&lt;&gt;"","CLOSED","OPEN"))))))</f>
        <v/>
      </c>
      <c r="J1642" s="1849"/>
    </row>
    <row r="1643" spans="2:10" s="1824" customFormat="1" ht="16.2">
      <c r="B1643" s="1909"/>
      <c r="C1643" s="1842"/>
      <c r="D1643" s="1834"/>
      <c r="E1643" s="1835"/>
      <c r="F1643" s="1843"/>
      <c r="G1643" s="1844"/>
      <c r="H1643" s="1848"/>
      <c r="I1643" s="1847" t="str">
        <f>IF(D1643="","",IF(H1643&lt;&gt;"","CLOSED",IF(G1643="","NO DUE DATE",IF(AND(#REF!&lt;1,#REF!&gt;0),"DUE TODAY",IF(#REF!&gt;1,"OVERDUE",IF(H1643&lt;&gt;"","CLOSED","OPEN"))))))</f>
        <v/>
      </c>
      <c r="J1643" s="1849"/>
    </row>
    <row r="1644" spans="2:10" s="1824" customFormat="1" ht="16.2">
      <c r="B1644" s="1909"/>
      <c r="C1644" s="1842"/>
      <c r="D1644" s="1834"/>
      <c r="E1644" s="1835"/>
      <c r="F1644" s="1843"/>
      <c r="G1644" s="1844"/>
      <c r="H1644" s="1848"/>
      <c r="I1644" s="1847" t="str">
        <f>IF(D1644="","",IF(H1644&lt;&gt;"","CLOSED",IF(G1644="","NO DUE DATE",IF(AND(#REF!&lt;1,#REF!&gt;0),"DUE TODAY",IF(#REF!&gt;1,"OVERDUE",IF(H1644&lt;&gt;"","CLOSED","OPEN"))))))</f>
        <v/>
      </c>
      <c r="J1644" s="1849"/>
    </row>
    <row r="1645" spans="2:10" s="1824" customFormat="1" ht="16.2">
      <c r="B1645" s="1909"/>
      <c r="C1645" s="1842"/>
      <c r="D1645" s="1834"/>
      <c r="E1645" s="1835"/>
      <c r="F1645" s="1843"/>
      <c r="G1645" s="1844"/>
      <c r="H1645" s="1848"/>
      <c r="I1645" s="1847" t="str">
        <f>IF(D1645="","",IF(H1645&lt;&gt;"","CLOSED",IF(G1645="","NO DUE DATE",IF(AND(#REF!&lt;1,#REF!&gt;0),"DUE TODAY",IF(#REF!&gt;1,"OVERDUE",IF(H1645&lt;&gt;"","CLOSED","OPEN"))))))</f>
        <v/>
      </c>
      <c r="J1645" s="1849"/>
    </row>
    <row r="1646" spans="2:10" s="1824" customFormat="1" ht="16.2">
      <c r="B1646" s="1909"/>
      <c r="C1646" s="1842"/>
      <c r="D1646" s="1834"/>
      <c r="E1646" s="1835"/>
      <c r="F1646" s="1843"/>
      <c r="G1646" s="1844"/>
      <c r="H1646" s="1848"/>
      <c r="I1646" s="1847" t="str">
        <f>IF(D1646="","",IF(H1646&lt;&gt;"","CLOSED",IF(G1646="","NO DUE DATE",IF(AND(#REF!&lt;1,#REF!&gt;0),"DUE TODAY",IF(#REF!&gt;1,"OVERDUE",IF(H1646&lt;&gt;"","CLOSED","OPEN"))))))</f>
        <v/>
      </c>
      <c r="J1646" s="1849"/>
    </row>
    <row r="1647" spans="2:10" s="1824" customFormat="1" ht="16.2">
      <c r="B1647" s="1909"/>
      <c r="C1647" s="1842"/>
      <c r="D1647" s="1834"/>
      <c r="E1647" s="1835"/>
      <c r="F1647" s="1843"/>
      <c r="G1647" s="1844"/>
      <c r="H1647" s="1848"/>
      <c r="I1647" s="1847" t="str">
        <f>IF(D1647="","",IF(H1647&lt;&gt;"","CLOSED",IF(G1647="","NO DUE DATE",IF(AND(#REF!&lt;1,#REF!&gt;0),"DUE TODAY",IF(#REF!&gt;1,"OVERDUE",IF(H1647&lt;&gt;"","CLOSED","OPEN"))))))</f>
        <v/>
      </c>
      <c r="J1647" s="1849"/>
    </row>
    <row r="1648" spans="2:10" s="1824" customFormat="1" ht="16.2">
      <c r="B1648" s="1909"/>
      <c r="C1648" s="1842"/>
      <c r="D1648" s="1834"/>
      <c r="E1648" s="1835"/>
      <c r="F1648" s="1843"/>
      <c r="G1648" s="1844"/>
      <c r="H1648" s="1848"/>
      <c r="I1648" s="1847" t="str">
        <f>IF(D1648="","",IF(H1648&lt;&gt;"","CLOSED",IF(G1648="","NO DUE DATE",IF(AND(#REF!&lt;1,#REF!&gt;0),"DUE TODAY",IF(#REF!&gt;1,"OVERDUE",IF(H1648&lt;&gt;"","CLOSED","OPEN"))))))</f>
        <v/>
      </c>
      <c r="J1648" s="1849"/>
    </row>
    <row r="1649" spans="2:10" s="1824" customFormat="1" ht="16.2">
      <c r="B1649" s="1909"/>
      <c r="C1649" s="1842"/>
      <c r="D1649" s="1834"/>
      <c r="E1649" s="1835"/>
      <c r="F1649" s="1843"/>
      <c r="G1649" s="1844"/>
      <c r="H1649" s="1848"/>
      <c r="I1649" s="1847" t="str">
        <f>IF(D1649="","",IF(H1649&lt;&gt;"","CLOSED",IF(G1649="","NO DUE DATE",IF(AND(#REF!&lt;1,#REF!&gt;0),"DUE TODAY",IF(#REF!&gt;1,"OVERDUE",IF(H1649&lt;&gt;"","CLOSED","OPEN"))))))</f>
        <v/>
      </c>
      <c r="J1649" s="1849"/>
    </row>
    <row r="1650" spans="2:10" s="1824" customFormat="1" ht="16.2">
      <c r="B1650" s="1909"/>
      <c r="C1650" s="1842"/>
      <c r="D1650" s="1834"/>
      <c r="E1650" s="1835"/>
      <c r="F1650" s="1843"/>
      <c r="G1650" s="1844"/>
      <c r="H1650" s="1848"/>
      <c r="I1650" s="1847" t="str">
        <f>IF(D1650="","",IF(H1650&lt;&gt;"","CLOSED",IF(G1650="","NO DUE DATE",IF(AND(#REF!&lt;1,#REF!&gt;0),"DUE TODAY",IF(#REF!&gt;1,"OVERDUE",IF(H1650&lt;&gt;"","CLOSED","OPEN"))))))</f>
        <v/>
      </c>
      <c r="J1650" s="1849"/>
    </row>
    <row r="1651" spans="2:10" s="1824" customFormat="1" ht="16.2">
      <c r="B1651" s="1909"/>
      <c r="C1651" s="1842"/>
      <c r="D1651" s="1834"/>
      <c r="E1651" s="1835"/>
      <c r="F1651" s="1843"/>
      <c r="G1651" s="1844"/>
      <c r="H1651" s="1848"/>
      <c r="I1651" s="1847" t="str">
        <f>IF(D1651="","",IF(H1651&lt;&gt;"","CLOSED",IF(G1651="","NO DUE DATE",IF(AND(#REF!&lt;1,#REF!&gt;0),"DUE TODAY",IF(#REF!&gt;1,"OVERDUE",IF(H1651&lt;&gt;"","CLOSED","OPEN"))))))</f>
        <v/>
      </c>
      <c r="J1651" s="1849"/>
    </row>
    <row r="1652" spans="2:10" s="1824" customFormat="1" ht="16.2">
      <c r="B1652" s="1909"/>
      <c r="C1652" s="1842"/>
      <c r="D1652" s="1834"/>
      <c r="E1652" s="1835"/>
      <c r="F1652" s="1843"/>
      <c r="G1652" s="1844"/>
      <c r="H1652" s="1848"/>
      <c r="I1652" s="1847" t="str">
        <f>IF(D1652="","",IF(H1652&lt;&gt;"","CLOSED",IF(G1652="","NO DUE DATE",IF(AND(#REF!&lt;1,#REF!&gt;0),"DUE TODAY",IF(#REF!&gt;1,"OVERDUE",IF(H1652&lt;&gt;"","CLOSED","OPEN"))))))</f>
        <v/>
      </c>
      <c r="J1652" s="1849"/>
    </row>
    <row r="1653" spans="2:10" s="1824" customFormat="1" ht="16.2">
      <c r="B1653" s="1909"/>
      <c r="C1653" s="1842"/>
      <c r="D1653" s="1834"/>
      <c r="E1653" s="1835"/>
      <c r="F1653" s="1843"/>
      <c r="G1653" s="1844"/>
      <c r="H1653" s="1848"/>
      <c r="I1653" s="1847" t="str">
        <f>IF(D1653="","",IF(H1653&lt;&gt;"","CLOSED",IF(G1653="","NO DUE DATE",IF(AND(#REF!&lt;1,#REF!&gt;0),"DUE TODAY",IF(#REF!&gt;1,"OVERDUE",IF(H1653&lt;&gt;"","CLOSED","OPEN"))))))</f>
        <v/>
      </c>
      <c r="J1653" s="1849"/>
    </row>
    <row r="1654" spans="2:10" s="1824" customFormat="1" ht="16.2">
      <c r="B1654" s="1909"/>
      <c r="C1654" s="1842"/>
      <c r="D1654" s="1834"/>
      <c r="E1654" s="1835"/>
      <c r="F1654" s="1843"/>
      <c r="G1654" s="1844"/>
      <c r="H1654" s="1848"/>
      <c r="I1654" s="1847" t="str">
        <f>IF(D1654="","",IF(H1654&lt;&gt;"","CLOSED",IF(G1654="","NO DUE DATE",IF(AND(#REF!&lt;1,#REF!&gt;0),"DUE TODAY",IF(#REF!&gt;1,"OVERDUE",IF(H1654&lt;&gt;"","CLOSED","OPEN"))))))</f>
        <v/>
      </c>
      <c r="J1654" s="1849"/>
    </row>
    <row r="1655" spans="2:10" s="1824" customFormat="1" ht="16.2">
      <c r="B1655" s="1909"/>
      <c r="C1655" s="1842"/>
      <c r="D1655" s="1834"/>
      <c r="E1655" s="1835"/>
      <c r="F1655" s="1843"/>
      <c r="G1655" s="1844"/>
      <c r="H1655" s="1848"/>
      <c r="I1655" s="1847" t="str">
        <f>IF(D1655="","",IF(H1655&lt;&gt;"","CLOSED",IF(G1655="","NO DUE DATE",IF(AND(#REF!&lt;1,#REF!&gt;0),"DUE TODAY",IF(#REF!&gt;1,"OVERDUE",IF(H1655&lt;&gt;"","CLOSED","OPEN"))))))</f>
        <v/>
      </c>
      <c r="J1655" s="1849"/>
    </row>
    <row r="1656" spans="2:10" s="1824" customFormat="1" ht="16.2">
      <c r="B1656" s="1909"/>
      <c r="C1656" s="1842"/>
      <c r="D1656" s="1834"/>
      <c r="E1656" s="1835"/>
      <c r="F1656" s="1843"/>
      <c r="G1656" s="1844"/>
      <c r="H1656" s="1848"/>
      <c r="I1656" s="1847" t="str">
        <f>IF(D1656="","",IF(H1656&lt;&gt;"","CLOSED",IF(G1656="","NO DUE DATE",IF(AND(#REF!&lt;1,#REF!&gt;0),"DUE TODAY",IF(#REF!&gt;1,"OVERDUE",IF(H1656&lt;&gt;"","CLOSED","OPEN"))))))</f>
        <v/>
      </c>
      <c r="J1656" s="1849"/>
    </row>
    <row r="1657" spans="2:10" s="1824" customFormat="1" ht="16.2">
      <c r="B1657" s="1909"/>
      <c r="C1657" s="1842"/>
      <c r="D1657" s="1834"/>
      <c r="E1657" s="1835"/>
      <c r="F1657" s="1843"/>
      <c r="G1657" s="1844"/>
      <c r="H1657" s="1848"/>
      <c r="I1657" s="1847" t="str">
        <f>IF(D1657="","",IF(H1657&lt;&gt;"","CLOSED",IF(G1657="","NO DUE DATE",IF(AND(#REF!&lt;1,#REF!&gt;0),"DUE TODAY",IF(#REF!&gt;1,"OVERDUE",IF(H1657&lt;&gt;"","CLOSED","OPEN"))))))</f>
        <v/>
      </c>
      <c r="J1657" s="1849"/>
    </row>
    <row r="1658" spans="2:10" s="1824" customFormat="1" ht="16.2">
      <c r="B1658" s="1909"/>
      <c r="C1658" s="1842"/>
      <c r="D1658" s="1834"/>
      <c r="E1658" s="1835"/>
      <c r="F1658" s="1843"/>
      <c r="G1658" s="1844"/>
      <c r="H1658" s="1848"/>
      <c r="I1658" s="1847" t="str">
        <f>IF(D1658="","",IF(H1658&lt;&gt;"","CLOSED",IF(G1658="","NO DUE DATE",IF(AND(#REF!&lt;1,#REF!&gt;0),"DUE TODAY",IF(#REF!&gt;1,"OVERDUE",IF(H1658&lt;&gt;"","CLOSED","OPEN"))))))</f>
        <v/>
      </c>
      <c r="J1658" s="1849"/>
    </row>
    <row r="1659" spans="2:10" s="1824" customFormat="1" ht="16.2">
      <c r="B1659" s="1909"/>
      <c r="C1659" s="1842"/>
      <c r="D1659" s="1834"/>
      <c r="E1659" s="1835"/>
      <c r="F1659" s="1843"/>
      <c r="G1659" s="1844"/>
      <c r="H1659" s="1848"/>
      <c r="I1659" s="1847" t="str">
        <f>IF(D1659="","",IF(H1659&lt;&gt;"","CLOSED",IF(G1659="","NO DUE DATE",IF(AND(#REF!&lt;1,#REF!&gt;0),"DUE TODAY",IF(#REF!&gt;1,"OVERDUE",IF(H1659&lt;&gt;"","CLOSED","OPEN"))))))</f>
        <v/>
      </c>
      <c r="J1659" s="1849"/>
    </row>
    <row r="1660" spans="2:10" s="1824" customFormat="1" ht="16.2">
      <c r="B1660" s="1909"/>
      <c r="C1660" s="1842"/>
      <c r="D1660" s="1834"/>
      <c r="E1660" s="1835"/>
      <c r="F1660" s="1843"/>
      <c r="G1660" s="1844"/>
      <c r="H1660" s="1848"/>
      <c r="I1660" s="1847" t="str">
        <f>IF(D1660="","",IF(H1660&lt;&gt;"","CLOSED",IF(G1660="","NO DUE DATE",IF(AND(#REF!&lt;1,#REF!&gt;0),"DUE TODAY",IF(#REF!&gt;1,"OVERDUE",IF(H1660&lt;&gt;"","CLOSED","OPEN"))))))</f>
        <v/>
      </c>
      <c r="J1660" s="1849"/>
    </row>
    <row r="1661" spans="2:10" s="1824" customFormat="1" ht="16.2">
      <c r="B1661" s="1909"/>
      <c r="C1661" s="1842"/>
      <c r="D1661" s="1834"/>
      <c r="E1661" s="1835"/>
      <c r="F1661" s="1843"/>
      <c r="G1661" s="1844"/>
      <c r="H1661" s="1848"/>
      <c r="I1661" s="1847" t="str">
        <f>IF(D1661="","",IF(H1661&lt;&gt;"","CLOSED",IF(G1661="","NO DUE DATE",IF(AND(#REF!&lt;1,#REF!&gt;0),"DUE TODAY",IF(#REF!&gt;1,"OVERDUE",IF(H1661&lt;&gt;"","CLOSED","OPEN"))))))</f>
        <v/>
      </c>
      <c r="J1661" s="1849"/>
    </row>
    <row r="1662" spans="2:10" s="1824" customFormat="1" ht="16.2">
      <c r="B1662" s="1909"/>
      <c r="C1662" s="1842"/>
      <c r="D1662" s="1834"/>
      <c r="E1662" s="1835"/>
      <c r="F1662" s="1843"/>
      <c r="G1662" s="1844"/>
      <c r="H1662" s="1848"/>
      <c r="I1662" s="1847" t="str">
        <f>IF(D1662="","",IF(H1662&lt;&gt;"","CLOSED",IF(G1662="","NO DUE DATE",IF(AND(#REF!&lt;1,#REF!&gt;0),"DUE TODAY",IF(#REF!&gt;1,"OVERDUE",IF(H1662&lt;&gt;"","CLOSED","OPEN"))))))</f>
        <v/>
      </c>
      <c r="J1662" s="1849"/>
    </row>
    <row r="1663" spans="2:10" s="1824" customFormat="1" ht="16.2">
      <c r="B1663" s="1909"/>
      <c r="C1663" s="1842"/>
      <c r="D1663" s="1834"/>
      <c r="E1663" s="1835"/>
      <c r="F1663" s="1843"/>
      <c r="G1663" s="1844"/>
      <c r="H1663" s="1848"/>
      <c r="I1663" s="1847" t="str">
        <f>IF(D1663="","",IF(H1663&lt;&gt;"","CLOSED",IF(G1663="","NO DUE DATE",IF(AND(#REF!&lt;1,#REF!&gt;0),"DUE TODAY",IF(#REF!&gt;1,"OVERDUE",IF(H1663&lt;&gt;"","CLOSED","OPEN"))))))</f>
        <v/>
      </c>
      <c r="J1663" s="1849"/>
    </row>
    <row r="1664" spans="2:10" s="1824" customFormat="1" ht="16.2">
      <c r="B1664" s="1909"/>
      <c r="C1664" s="1842"/>
      <c r="D1664" s="1834"/>
      <c r="E1664" s="1835"/>
      <c r="F1664" s="1843"/>
      <c r="G1664" s="1844"/>
      <c r="H1664" s="1848"/>
      <c r="I1664" s="1847" t="str">
        <f>IF(D1664="","",IF(H1664&lt;&gt;"","CLOSED",IF(G1664="","NO DUE DATE",IF(AND(#REF!&lt;1,#REF!&gt;0),"DUE TODAY",IF(#REF!&gt;1,"OVERDUE",IF(H1664&lt;&gt;"","CLOSED","OPEN"))))))</f>
        <v/>
      </c>
      <c r="J1664" s="1849"/>
    </row>
    <row r="1665" spans="2:10" s="1824" customFormat="1" ht="16.2">
      <c r="B1665" s="1909"/>
      <c r="C1665" s="1842"/>
      <c r="D1665" s="1834"/>
      <c r="E1665" s="1835"/>
      <c r="F1665" s="1843"/>
      <c r="G1665" s="1844"/>
      <c r="H1665" s="1848"/>
      <c r="I1665" s="1847" t="str">
        <f>IF(D1665="","",IF(H1665&lt;&gt;"","CLOSED",IF(G1665="","NO DUE DATE",IF(AND(#REF!&lt;1,#REF!&gt;0),"DUE TODAY",IF(#REF!&gt;1,"OVERDUE",IF(H1665&lt;&gt;"","CLOSED","OPEN"))))))</f>
        <v/>
      </c>
      <c r="J1665" s="1849"/>
    </row>
    <row r="1666" spans="2:10" s="1824" customFormat="1" ht="16.2">
      <c r="B1666" s="1909"/>
      <c r="C1666" s="1842"/>
      <c r="D1666" s="1834"/>
      <c r="E1666" s="1835"/>
      <c r="F1666" s="1843"/>
      <c r="G1666" s="1844"/>
      <c r="H1666" s="1848"/>
      <c r="I1666" s="1847" t="str">
        <f>IF(D1666="","",IF(H1666&lt;&gt;"","CLOSED",IF(G1666="","NO DUE DATE",IF(AND(#REF!&lt;1,#REF!&gt;0),"DUE TODAY",IF(#REF!&gt;1,"OVERDUE",IF(H1666&lt;&gt;"","CLOSED","OPEN"))))))</f>
        <v/>
      </c>
      <c r="J1666" s="1849"/>
    </row>
    <row r="1667" spans="2:10" s="1824" customFormat="1" ht="16.2">
      <c r="B1667" s="1909"/>
      <c r="C1667" s="1842"/>
      <c r="D1667" s="1834"/>
      <c r="E1667" s="1835"/>
      <c r="F1667" s="1843"/>
      <c r="G1667" s="1844"/>
      <c r="H1667" s="1848"/>
      <c r="I1667" s="1847" t="str">
        <f>IF(D1667="","",IF(H1667&lt;&gt;"","CLOSED",IF(G1667="","NO DUE DATE",IF(AND(#REF!&lt;1,#REF!&gt;0),"DUE TODAY",IF(#REF!&gt;1,"OVERDUE",IF(H1667&lt;&gt;"","CLOSED","OPEN"))))))</f>
        <v/>
      </c>
      <c r="J1667" s="1849"/>
    </row>
    <row r="1668" spans="2:10" s="1824" customFormat="1" ht="16.2">
      <c r="B1668" s="1909"/>
      <c r="C1668" s="1842"/>
      <c r="D1668" s="1834"/>
      <c r="E1668" s="1835"/>
      <c r="F1668" s="1843"/>
      <c r="G1668" s="1844"/>
      <c r="H1668" s="1848"/>
      <c r="I1668" s="1847" t="str">
        <f>IF(D1668="","",IF(H1668&lt;&gt;"","CLOSED",IF(G1668="","NO DUE DATE",IF(AND(#REF!&lt;1,#REF!&gt;0),"DUE TODAY",IF(#REF!&gt;1,"OVERDUE",IF(H1668&lt;&gt;"","CLOSED","OPEN"))))))</f>
        <v/>
      </c>
      <c r="J1668" s="1849"/>
    </row>
    <row r="1669" spans="2:10" s="1824" customFormat="1" ht="16.2">
      <c r="B1669" s="1909"/>
      <c r="C1669" s="1842"/>
      <c r="D1669" s="1834"/>
      <c r="E1669" s="1835"/>
      <c r="F1669" s="1843"/>
      <c r="G1669" s="1844"/>
      <c r="H1669" s="1848"/>
      <c r="I1669" s="1847" t="str">
        <f>IF(D1669="","",IF(H1669&lt;&gt;"","CLOSED",IF(G1669="","NO DUE DATE",IF(AND(#REF!&lt;1,#REF!&gt;0),"DUE TODAY",IF(#REF!&gt;1,"OVERDUE",IF(H1669&lt;&gt;"","CLOSED","OPEN"))))))</f>
        <v/>
      </c>
      <c r="J1669" s="1849"/>
    </row>
    <row r="1670" spans="2:10" s="1824" customFormat="1" ht="16.2">
      <c r="B1670" s="1909"/>
      <c r="C1670" s="1842"/>
      <c r="D1670" s="1834"/>
      <c r="E1670" s="1835"/>
      <c r="F1670" s="1843"/>
      <c r="G1670" s="1844"/>
      <c r="H1670" s="1848"/>
      <c r="I1670" s="1847" t="str">
        <f>IF(D1670="","",IF(H1670&lt;&gt;"","CLOSED",IF(G1670="","NO DUE DATE",IF(AND(#REF!&lt;1,#REF!&gt;0),"DUE TODAY",IF(#REF!&gt;1,"OVERDUE",IF(H1670&lt;&gt;"","CLOSED","OPEN"))))))</f>
        <v/>
      </c>
      <c r="J1670" s="1849"/>
    </row>
    <row r="1671" spans="2:10" s="1824" customFormat="1" ht="16.2">
      <c r="B1671" s="1909"/>
      <c r="C1671" s="1842"/>
      <c r="D1671" s="1834"/>
      <c r="E1671" s="1835"/>
      <c r="F1671" s="1843"/>
      <c r="G1671" s="1844"/>
      <c r="H1671" s="1848"/>
      <c r="I1671" s="1847" t="str">
        <f>IF(D1671="","",IF(H1671&lt;&gt;"","CLOSED",IF(G1671="","NO DUE DATE",IF(AND(#REF!&lt;1,#REF!&gt;0),"DUE TODAY",IF(#REF!&gt;1,"OVERDUE",IF(H1671&lt;&gt;"","CLOSED","OPEN"))))))</f>
        <v/>
      </c>
      <c r="J1671" s="1849"/>
    </row>
    <row r="1672" spans="2:10" s="1824" customFormat="1" ht="16.2">
      <c r="B1672" s="1909"/>
      <c r="C1672" s="1842"/>
      <c r="D1672" s="1834"/>
      <c r="E1672" s="1835"/>
      <c r="F1672" s="1843"/>
      <c r="G1672" s="1844"/>
      <c r="H1672" s="1848"/>
      <c r="I1672" s="1847" t="str">
        <f>IF(D1672="","",IF(H1672&lt;&gt;"","CLOSED",IF(G1672="","NO DUE DATE",IF(AND(#REF!&lt;1,#REF!&gt;0),"DUE TODAY",IF(#REF!&gt;1,"OVERDUE",IF(H1672&lt;&gt;"","CLOSED","OPEN"))))))</f>
        <v/>
      </c>
      <c r="J1672" s="1849"/>
    </row>
    <row r="1673" spans="2:10" s="1824" customFormat="1" ht="16.2">
      <c r="B1673" s="1909"/>
      <c r="C1673" s="1842"/>
      <c r="D1673" s="1834"/>
      <c r="E1673" s="1835"/>
      <c r="F1673" s="1843"/>
      <c r="G1673" s="1844"/>
      <c r="H1673" s="1848"/>
      <c r="I1673" s="1847" t="str">
        <f>IF(D1673="","",IF(H1673&lt;&gt;"","CLOSED",IF(G1673="","NO DUE DATE",IF(AND(#REF!&lt;1,#REF!&gt;0),"DUE TODAY",IF(#REF!&gt;1,"OVERDUE",IF(H1673&lt;&gt;"","CLOSED","OPEN"))))))</f>
        <v/>
      </c>
      <c r="J1673" s="1849"/>
    </row>
    <row r="1674" spans="2:10" s="1824" customFormat="1" ht="16.2">
      <c r="B1674" s="1909"/>
      <c r="C1674" s="1842"/>
      <c r="D1674" s="1834"/>
      <c r="E1674" s="1835"/>
      <c r="F1674" s="1843"/>
      <c r="G1674" s="1844"/>
      <c r="H1674" s="1848"/>
      <c r="I1674" s="1847" t="str">
        <f>IF(D1674="","",IF(H1674&lt;&gt;"","CLOSED",IF(G1674="","NO DUE DATE",IF(AND(#REF!&lt;1,#REF!&gt;0),"DUE TODAY",IF(#REF!&gt;1,"OVERDUE",IF(H1674&lt;&gt;"","CLOSED","OPEN"))))))</f>
        <v/>
      </c>
      <c r="J1674" s="1849"/>
    </row>
    <row r="1675" spans="2:10" s="1824" customFormat="1" ht="16.2">
      <c r="B1675" s="1909"/>
      <c r="C1675" s="1842"/>
      <c r="D1675" s="1834"/>
      <c r="E1675" s="1835"/>
      <c r="F1675" s="1843"/>
      <c r="G1675" s="1844"/>
      <c r="H1675" s="1848"/>
      <c r="I1675" s="1847" t="str">
        <f>IF(D1675="","",IF(H1675&lt;&gt;"","CLOSED",IF(G1675="","NO DUE DATE",IF(AND(#REF!&lt;1,#REF!&gt;0),"DUE TODAY",IF(#REF!&gt;1,"OVERDUE",IF(H1675&lt;&gt;"","CLOSED","OPEN"))))))</f>
        <v/>
      </c>
      <c r="J1675" s="1849"/>
    </row>
    <row r="1676" spans="2:10" s="1824" customFormat="1" ht="16.2">
      <c r="B1676" s="1909"/>
      <c r="C1676" s="1842"/>
      <c r="D1676" s="1834"/>
      <c r="E1676" s="1835"/>
      <c r="F1676" s="1843"/>
      <c r="G1676" s="1844"/>
      <c r="H1676" s="1848"/>
      <c r="I1676" s="1847" t="str">
        <f>IF(D1676="","",IF(H1676&lt;&gt;"","CLOSED",IF(G1676="","NO DUE DATE",IF(AND(#REF!&lt;1,#REF!&gt;0),"DUE TODAY",IF(#REF!&gt;1,"OVERDUE",IF(H1676&lt;&gt;"","CLOSED","OPEN"))))))</f>
        <v/>
      </c>
      <c r="J1676" s="1849"/>
    </row>
    <row r="1677" spans="2:10" s="1824" customFormat="1" ht="16.2">
      <c r="B1677" s="1909"/>
      <c r="C1677" s="1842"/>
      <c r="D1677" s="1834"/>
      <c r="E1677" s="1835"/>
      <c r="F1677" s="1843"/>
      <c r="G1677" s="1844"/>
      <c r="H1677" s="1848"/>
      <c r="I1677" s="1847" t="str">
        <f>IF(D1677="","",IF(H1677&lt;&gt;"","CLOSED",IF(G1677="","NO DUE DATE",IF(AND(#REF!&lt;1,#REF!&gt;0),"DUE TODAY",IF(#REF!&gt;1,"OVERDUE",IF(H1677&lt;&gt;"","CLOSED","OPEN"))))))</f>
        <v/>
      </c>
      <c r="J1677" s="1849"/>
    </row>
    <row r="1678" spans="2:10" s="1824" customFormat="1" ht="16.2">
      <c r="B1678" s="1909"/>
      <c r="C1678" s="1842"/>
      <c r="D1678" s="1834"/>
      <c r="E1678" s="1835"/>
      <c r="F1678" s="1843"/>
      <c r="G1678" s="1844"/>
      <c r="H1678" s="1848"/>
      <c r="I1678" s="1847" t="str">
        <f>IF(D1678="","",IF(H1678&lt;&gt;"","CLOSED",IF(G1678="","NO DUE DATE",IF(AND(#REF!&lt;1,#REF!&gt;0),"DUE TODAY",IF(#REF!&gt;1,"OVERDUE",IF(H1678&lt;&gt;"","CLOSED","OPEN"))))))</f>
        <v/>
      </c>
      <c r="J1678" s="1849"/>
    </row>
    <row r="1679" spans="2:10" s="1824" customFormat="1" ht="16.2">
      <c r="B1679" s="1909"/>
      <c r="C1679" s="1842"/>
      <c r="D1679" s="1834"/>
      <c r="E1679" s="1835"/>
      <c r="F1679" s="1843"/>
      <c r="G1679" s="1844"/>
      <c r="H1679" s="1848"/>
      <c r="I1679" s="1847" t="str">
        <f>IF(D1679="","",IF(H1679&lt;&gt;"","CLOSED",IF(G1679="","NO DUE DATE",IF(AND(#REF!&lt;1,#REF!&gt;0),"DUE TODAY",IF(#REF!&gt;1,"OVERDUE",IF(H1679&lt;&gt;"","CLOSED","OPEN"))))))</f>
        <v/>
      </c>
      <c r="J1679" s="1849"/>
    </row>
    <row r="1680" spans="2:10" s="1824" customFormat="1" ht="16.2">
      <c r="B1680" s="1909"/>
      <c r="C1680" s="1842"/>
      <c r="D1680" s="1834"/>
      <c r="E1680" s="1835"/>
      <c r="F1680" s="1843"/>
      <c r="G1680" s="1844"/>
      <c r="H1680" s="1848"/>
      <c r="I1680" s="1847" t="str">
        <f>IF(D1680="","",IF(H1680&lt;&gt;"","CLOSED",IF(G1680="","NO DUE DATE",IF(AND(#REF!&lt;1,#REF!&gt;0),"DUE TODAY",IF(#REF!&gt;1,"OVERDUE",IF(H1680&lt;&gt;"","CLOSED","OPEN"))))))</f>
        <v/>
      </c>
      <c r="J1680" s="1849"/>
    </row>
    <row r="1681" spans="2:10" s="1824" customFormat="1" ht="16.2">
      <c r="B1681" s="1909"/>
      <c r="C1681" s="1842"/>
      <c r="D1681" s="1834"/>
      <c r="E1681" s="1835"/>
      <c r="F1681" s="1843"/>
      <c r="G1681" s="1844"/>
      <c r="H1681" s="1848"/>
      <c r="I1681" s="1847" t="str">
        <f>IF(D1681="","",IF(H1681&lt;&gt;"","CLOSED",IF(G1681="","NO DUE DATE",IF(AND(#REF!&lt;1,#REF!&gt;0),"DUE TODAY",IF(#REF!&gt;1,"OVERDUE",IF(H1681&lt;&gt;"","CLOSED","OPEN"))))))</f>
        <v/>
      </c>
      <c r="J1681" s="1849"/>
    </row>
    <row r="1682" spans="2:10" s="1824" customFormat="1" ht="16.2">
      <c r="B1682" s="1909"/>
      <c r="C1682" s="1842"/>
      <c r="D1682" s="1834"/>
      <c r="E1682" s="1835"/>
      <c r="F1682" s="1843"/>
      <c r="G1682" s="1844"/>
      <c r="H1682" s="1848"/>
      <c r="I1682" s="1847" t="str">
        <f>IF(D1682="","",IF(H1682&lt;&gt;"","CLOSED",IF(G1682="","NO DUE DATE",IF(AND(#REF!&lt;1,#REF!&gt;0),"DUE TODAY",IF(#REF!&gt;1,"OVERDUE",IF(H1682&lt;&gt;"","CLOSED","OPEN"))))))</f>
        <v/>
      </c>
      <c r="J1682" s="1849"/>
    </row>
    <row r="1683" spans="2:10" s="1824" customFormat="1" ht="16.2">
      <c r="B1683" s="1909"/>
      <c r="C1683" s="1842"/>
      <c r="D1683" s="1834"/>
      <c r="E1683" s="1835"/>
      <c r="F1683" s="1843"/>
      <c r="G1683" s="1844"/>
      <c r="H1683" s="1848"/>
      <c r="I1683" s="1847" t="str">
        <f>IF(D1683="","",IF(H1683&lt;&gt;"","CLOSED",IF(G1683="","NO DUE DATE",IF(AND(#REF!&lt;1,#REF!&gt;0),"DUE TODAY",IF(#REF!&gt;1,"OVERDUE",IF(H1683&lt;&gt;"","CLOSED","OPEN"))))))</f>
        <v/>
      </c>
      <c r="J1683" s="1849"/>
    </row>
    <row r="1684" spans="2:10" s="1824" customFormat="1" ht="16.2">
      <c r="B1684" s="1909"/>
      <c r="C1684" s="1842"/>
      <c r="D1684" s="1834"/>
      <c r="E1684" s="1835"/>
      <c r="F1684" s="1843"/>
      <c r="G1684" s="1844"/>
      <c r="H1684" s="1848"/>
      <c r="I1684" s="1847" t="str">
        <f>IF(D1684="","",IF(H1684&lt;&gt;"","CLOSED",IF(G1684="","NO DUE DATE",IF(AND(#REF!&lt;1,#REF!&gt;0),"DUE TODAY",IF(#REF!&gt;1,"OVERDUE",IF(H1684&lt;&gt;"","CLOSED","OPEN"))))))</f>
        <v/>
      </c>
      <c r="J1684" s="1849"/>
    </row>
    <row r="1685" spans="2:10" s="1824" customFormat="1" ht="16.2">
      <c r="B1685" s="1909"/>
      <c r="C1685" s="1842"/>
      <c r="D1685" s="1834"/>
      <c r="E1685" s="1835"/>
      <c r="F1685" s="1843"/>
      <c r="G1685" s="1844"/>
      <c r="H1685" s="1848"/>
      <c r="I1685" s="1847" t="str">
        <f>IF(D1685="","",IF(H1685&lt;&gt;"","CLOSED",IF(G1685="","NO DUE DATE",IF(AND(#REF!&lt;1,#REF!&gt;0),"DUE TODAY",IF(#REF!&gt;1,"OVERDUE",IF(H1685&lt;&gt;"","CLOSED","OPEN"))))))</f>
        <v/>
      </c>
      <c r="J1685" s="1849"/>
    </row>
    <row r="1686" spans="2:10" s="1824" customFormat="1" ht="16.2">
      <c r="B1686" s="1909"/>
      <c r="C1686" s="1842"/>
      <c r="D1686" s="1834"/>
      <c r="E1686" s="1835"/>
      <c r="F1686" s="1843"/>
      <c r="G1686" s="1844"/>
      <c r="H1686" s="1848"/>
      <c r="I1686" s="1847" t="str">
        <f>IF(D1686="","",IF(H1686&lt;&gt;"","CLOSED",IF(G1686="","NO DUE DATE",IF(AND(#REF!&lt;1,#REF!&gt;0),"DUE TODAY",IF(#REF!&gt;1,"OVERDUE",IF(H1686&lt;&gt;"","CLOSED","OPEN"))))))</f>
        <v/>
      </c>
      <c r="J1686" s="1849"/>
    </row>
    <row r="1687" spans="2:10" s="1824" customFormat="1" ht="16.2">
      <c r="B1687" s="1909"/>
      <c r="C1687" s="1842"/>
      <c r="D1687" s="1834"/>
      <c r="E1687" s="1835"/>
      <c r="F1687" s="1843"/>
      <c r="G1687" s="1844"/>
      <c r="H1687" s="1848"/>
      <c r="I1687" s="1847" t="str">
        <f>IF(D1687="","",IF(H1687&lt;&gt;"","CLOSED",IF(G1687="","NO DUE DATE",IF(AND(#REF!&lt;1,#REF!&gt;0),"DUE TODAY",IF(#REF!&gt;1,"OVERDUE",IF(H1687&lt;&gt;"","CLOSED","OPEN"))))))</f>
        <v/>
      </c>
      <c r="J1687" s="1849"/>
    </row>
    <row r="1688" spans="2:10" s="1824" customFormat="1" ht="16.2">
      <c r="B1688" s="1909"/>
      <c r="C1688" s="1842"/>
      <c r="D1688" s="1834"/>
      <c r="E1688" s="1835"/>
      <c r="F1688" s="1843"/>
      <c r="G1688" s="1844"/>
      <c r="H1688" s="1848"/>
      <c r="I1688" s="1847" t="str">
        <f>IF(D1688="","",IF(H1688&lt;&gt;"","CLOSED",IF(G1688="","NO DUE DATE",IF(AND(#REF!&lt;1,#REF!&gt;0),"DUE TODAY",IF(#REF!&gt;1,"OVERDUE",IF(H1688&lt;&gt;"","CLOSED","OPEN"))))))</f>
        <v/>
      </c>
      <c r="J1688" s="1849"/>
    </row>
    <row r="1689" spans="2:10" s="1824" customFormat="1" ht="16.2">
      <c r="B1689" s="1909"/>
      <c r="C1689" s="1842"/>
      <c r="D1689" s="1834"/>
      <c r="E1689" s="1835"/>
      <c r="F1689" s="1843"/>
      <c r="G1689" s="1844"/>
      <c r="H1689" s="1848"/>
      <c r="I1689" s="1847" t="str">
        <f>IF(D1689="","",IF(H1689&lt;&gt;"","CLOSED",IF(G1689="","NO DUE DATE",IF(AND(#REF!&lt;1,#REF!&gt;0),"DUE TODAY",IF(#REF!&gt;1,"OVERDUE",IF(H1689&lt;&gt;"","CLOSED","OPEN"))))))</f>
        <v/>
      </c>
      <c r="J1689" s="1849"/>
    </row>
    <row r="1690" spans="2:10" s="1824" customFormat="1" ht="16.2">
      <c r="B1690" s="1909"/>
      <c r="C1690" s="1842"/>
      <c r="D1690" s="1834"/>
      <c r="E1690" s="1835"/>
      <c r="F1690" s="1843"/>
      <c r="G1690" s="1844"/>
      <c r="H1690" s="1848"/>
      <c r="I1690" s="1847" t="str">
        <f>IF(D1690="","",IF(H1690&lt;&gt;"","CLOSED",IF(G1690="","NO DUE DATE",IF(AND(#REF!&lt;1,#REF!&gt;0),"DUE TODAY",IF(#REF!&gt;1,"OVERDUE",IF(H1690&lt;&gt;"","CLOSED","OPEN"))))))</f>
        <v/>
      </c>
      <c r="J1690" s="1849"/>
    </row>
    <row r="1691" spans="2:10" s="1824" customFormat="1" ht="16.2">
      <c r="B1691" s="1909"/>
      <c r="C1691" s="1842"/>
      <c r="D1691" s="1834"/>
      <c r="E1691" s="1835"/>
      <c r="F1691" s="1843"/>
      <c r="G1691" s="1844"/>
      <c r="H1691" s="1848"/>
      <c r="I1691" s="1847" t="str">
        <f>IF(D1691="","",IF(H1691&lt;&gt;"","CLOSED",IF(G1691="","NO DUE DATE",IF(AND(#REF!&lt;1,#REF!&gt;0),"DUE TODAY",IF(#REF!&gt;1,"OVERDUE",IF(H1691&lt;&gt;"","CLOSED","OPEN"))))))</f>
        <v/>
      </c>
      <c r="J1691" s="1849"/>
    </row>
    <row r="1692" spans="2:10" s="1824" customFormat="1" ht="16.2">
      <c r="B1692" s="1909"/>
      <c r="C1692" s="1842"/>
      <c r="D1692" s="1834"/>
      <c r="E1692" s="1835"/>
      <c r="F1692" s="1843"/>
      <c r="G1692" s="1844"/>
      <c r="H1692" s="1848"/>
      <c r="I1692" s="1847" t="str">
        <f>IF(D1692="","",IF(H1692&lt;&gt;"","CLOSED",IF(G1692="","NO DUE DATE",IF(AND(#REF!&lt;1,#REF!&gt;0),"DUE TODAY",IF(#REF!&gt;1,"OVERDUE",IF(H1692&lt;&gt;"","CLOSED","OPEN"))))))</f>
        <v/>
      </c>
      <c r="J1692" s="1849"/>
    </row>
    <row r="1693" spans="2:10" s="1824" customFormat="1" ht="16.2">
      <c r="B1693" s="1909"/>
      <c r="C1693" s="1842"/>
      <c r="D1693" s="1834"/>
      <c r="E1693" s="1835"/>
      <c r="F1693" s="1843"/>
      <c r="G1693" s="1844"/>
      <c r="H1693" s="1848"/>
      <c r="I1693" s="1847" t="str">
        <f>IF(D1693="","",IF(H1693&lt;&gt;"","CLOSED",IF(G1693="","NO DUE DATE",IF(AND(#REF!&lt;1,#REF!&gt;0),"DUE TODAY",IF(#REF!&gt;1,"OVERDUE",IF(H1693&lt;&gt;"","CLOSED","OPEN"))))))</f>
        <v/>
      </c>
      <c r="J1693" s="1849"/>
    </row>
    <row r="1694" spans="2:10" s="1824" customFormat="1" ht="16.2">
      <c r="B1694" s="1909"/>
      <c r="C1694" s="1842"/>
      <c r="D1694" s="1834"/>
      <c r="E1694" s="1835"/>
      <c r="F1694" s="1843"/>
      <c r="G1694" s="1844"/>
      <c r="H1694" s="1848"/>
      <c r="I1694" s="1847" t="str">
        <f>IF(D1694="","",IF(H1694&lt;&gt;"","CLOSED",IF(G1694="","NO DUE DATE",IF(AND(#REF!&lt;1,#REF!&gt;0),"DUE TODAY",IF(#REF!&gt;1,"OVERDUE",IF(H1694&lt;&gt;"","CLOSED","OPEN"))))))</f>
        <v/>
      </c>
      <c r="J1694" s="1849"/>
    </row>
    <row r="1695" spans="2:10" s="1824" customFormat="1" ht="16.2">
      <c r="B1695" s="1909"/>
      <c r="C1695" s="1842"/>
      <c r="D1695" s="1834"/>
      <c r="E1695" s="1835"/>
      <c r="F1695" s="1843"/>
      <c r="G1695" s="1844"/>
      <c r="H1695" s="1848"/>
      <c r="I1695" s="1847" t="str">
        <f>IF(D1695="","",IF(H1695&lt;&gt;"","CLOSED",IF(G1695="","NO DUE DATE",IF(AND(#REF!&lt;1,#REF!&gt;0),"DUE TODAY",IF(#REF!&gt;1,"OVERDUE",IF(H1695&lt;&gt;"","CLOSED","OPEN"))))))</f>
        <v/>
      </c>
      <c r="J1695" s="1849"/>
    </row>
    <row r="1696" spans="2:10" s="1824" customFormat="1" ht="16.2">
      <c r="B1696" s="1909"/>
      <c r="C1696" s="1842"/>
      <c r="D1696" s="1834"/>
      <c r="E1696" s="1835"/>
      <c r="F1696" s="1843"/>
      <c r="G1696" s="1844"/>
      <c r="H1696" s="1848"/>
      <c r="I1696" s="1847" t="str">
        <f>IF(D1696="","",IF(H1696&lt;&gt;"","CLOSED",IF(G1696="","NO DUE DATE",IF(AND(#REF!&lt;1,#REF!&gt;0),"DUE TODAY",IF(#REF!&gt;1,"OVERDUE",IF(H1696&lt;&gt;"","CLOSED","OPEN"))))))</f>
        <v/>
      </c>
      <c r="J1696" s="1849"/>
    </row>
    <row r="1697" spans="2:10" s="1824" customFormat="1" ht="16.2">
      <c r="B1697" s="1909"/>
      <c r="C1697" s="1842"/>
      <c r="D1697" s="1834"/>
      <c r="E1697" s="1835"/>
      <c r="F1697" s="1843"/>
      <c r="G1697" s="1844"/>
      <c r="H1697" s="1848"/>
      <c r="I1697" s="1847" t="str">
        <f>IF(D1697="","",IF(H1697&lt;&gt;"","CLOSED",IF(G1697="","NO DUE DATE",IF(AND(#REF!&lt;1,#REF!&gt;0),"DUE TODAY",IF(#REF!&gt;1,"OVERDUE",IF(H1697&lt;&gt;"","CLOSED","OPEN"))))))</f>
        <v/>
      </c>
      <c r="J1697" s="1849"/>
    </row>
    <row r="1698" spans="2:10" s="1824" customFormat="1" ht="16.2">
      <c r="B1698" s="1909"/>
      <c r="C1698" s="1842"/>
      <c r="D1698" s="1834"/>
      <c r="E1698" s="1835"/>
      <c r="F1698" s="1843"/>
      <c r="G1698" s="1844"/>
      <c r="H1698" s="1848"/>
      <c r="I1698" s="1847" t="str">
        <f>IF(D1698="","",IF(H1698&lt;&gt;"","CLOSED",IF(G1698="","NO DUE DATE",IF(AND(#REF!&lt;1,#REF!&gt;0),"DUE TODAY",IF(#REF!&gt;1,"OVERDUE",IF(H1698&lt;&gt;"","CLOSED","OPEN"))))))</f>
        <v/>
      </c>
      <c r="J1698" s="1849"/>
    </row>
    <row r="1699" spans="2:10" s="1824" customFormat="1" ht="16.2">
      <c r="B1699" s="1909"/>
      <c r="C1699" s="1842"/>
      <c r="D1699" s="1834"/>
      <c r="E1699" s="1835"/>
      <c r="F1699" s="1843"/>
      <c r="G1699" s="1844"/>
      <c r="H1699" s="1848"/>
      <c r="I1699" s="1847" t="str">
        <f>IF(D1699="","",IF(H1699&lt;&gt;"","CLOSED",IF(G1699="","NO DUE DATE",IF(AND(#REF!&lt;1,#REF!&gt;0),"DUE TODAY",IF(#REF!&gt;1,"OVERDUE",IF(H1699&lt;&gt;"","CLOSED","OPEN"))))))</f>
        <v/>
      </c>
      <c r="J1699" s="1849"/>
    </row>
    <row r="1700" spans="2:10" s="1824" customFormat="1" ht="16.2">
      <c r="B1700" s="1909"/>
      <c r="C1700" s="1842"/>
      <c r="D1700" s="1834"/>
      <c r="E1700" s="1835"/>
      <c r="F1700" s="1843"/>
      <c r="G1700" s="1844"/>
      <c r="H1700" s="1848"/>
      <c r="I1700" s="1847" t="str">
        <f>IF(D1700="","",IF(H1700&lt;&gt;"","CLOSED",IF(G1700="","NO DUE DATE",IF(AND(#REF!&lt;1,#REF!&gt;0),"DUE TODAY",IF(#REF!&gt;1,"OVERDUE",IF(H1700&lt;&gt;"","CLOSED","OPEN"))))))</f>
        <v/>
      </c>
      <c r="J1700" s="1849"/>
    </row>
    <row r="1701" spans="2:10" s="1824" customFormat="1" ht="16.2">
      <c r="B1701" s="1909"/>
      <c r="C1701" s="1842"/>
      <c r="D1701" s="1834"/>
      <c r="E1701" s="1835"/>
      <c r="F1701" s="1843"/>
      <c r="G1701" s="1844"/>
      <c r="H1701" s="1848"/>
      <c r="I1701" s="1847" t="str">
        <f>IF(D1701="","",IF(H1701&lt;&gt;"","CLOSED",IF(G1701="","NO DUE DATE",IF(AND(#REF!&lt;1,#REF!&gt;0),"DUE TODAY",IF(#REF!&gt;1,"OVERDUE",IF(H1701&lt;&gt;"","CLOSED","OPEN"))))))</f>
        <v/>
      </c>
      <c r="J1701" s="1849"/>
    </row>
    <row r="1702" spans="2:10" s="1824" customFormat="1" ht="16.2">
      <c r="B1702" s="1909"/>
      <c r="C1702" s="1842"/>
      <c r="D1702" s="1834"/>
      <c r="E1702" s="1835"/>
      <c r="F1702" s="1843"/>
      <c r="G1702" s="1844"/>
      <c r="H1702" s="1848"/>
      <c r="I1702" s="1847" t="str">
        <f>IF(D1702="","",IF(H1702&lt;&gt;"","CLOSED",IF(G1702="","NO DUE DATE",IF(AND(#REF!&lt;1,#REF!&gt;0),"DUE TODAY",IF(#REF!&gt;1,"OVERDUE",IF(H1702&lt;&gt;"","CLOSED","OPEN"))))))</f>
        <v/>
      </c>
      <c r="J1702" s="1849"/>
    </row>
    <row r="1703" spans="2:10" s="1824" customFormat="1" ht="16.2">
      <c r="B1703" s="1909"/>
      <c r="C1703" s="1842"/>
      <c r="D1703" s="1834"/>
      <c r="E1703" s="1835"/>
      <c r="F1703" s="1843"/>
      <c r="G1703" s="1844"/>
      <c r="H1703" s="1848"/>
      <c r="I1703" s="1847" t="str">
        <f>IF(D1703="","",IF(H1703&lt;&gt;"","CLOSED",IF(G1703="","NO DUE DATE",IF(AND(#REF!&lt;1,#REF!&gt;0),"DUE TODAY",IF(#REF!&gt;1,"OVERDUE",IF(H1703&lt;&gt;"","CLOSED","OPEN"))))))</f>
        <v/>
      </c>
      <c r="J1703" s="1849"/>
    </row>
    <row r="1704" spans="2:10" s="1824" customFormat="1" ht="16.2">
      <c r="B1704" s="1909"/>
      <c r="C1704" s="1842"/>
      <c r="D1704" s="1834"/>
      <c r="E1704" s="1835"/>
      <c r="F1704" s="1843"/>
      <c r="G1704" s="1844"/>
      <c r="H1704" s="1848"/>
      <c r="I1704" s="1847" t="str">
        <f>IF(D1704="","",IF(H1704&lt;&gt;"","CLOSED",IF(G1704="","NO DUE DATE",IF(AND(#REF!&lt;1,#REF!&gt;0),"DUE TODAY",IF(#REF!&gt;1,"OVERDUE",IF(H1704&lt;&gt;"","CLOSED","OPEN"))))))</f>
        <v/>
      </c>
      <c r="J1704" s="1849"/>
    </row>
    <row r="1705" spans="2:10" s="1824" customFormat="1" ht="16.2">
      <c r="B1705" s="1909"/>
      <c r="C1705" s="1842"/>
      <c r="D1705" s="1834"/>
      <c r="E1705" s="1835"/>
      <c r="F1705" s="1843"/>
      <c r="G1705" s="1844"/>
      <c r="H1705" s="1848"/>
      <c r="I1705" s="1847" t="str">
        <f>IF(D1705="","",IF(H1705&lt;&gt;"","CLOSED",IF(G1705="","NO DUE DATE",IF(AND(#REF!&lt;1,#REF!&gt;0),"DUE TODAY",IF(#REF!&gt;1,"OVERDUE",IF(H1705&lt;&gt;"","CLOSED","OPEN"))))))</f>
        <v/>
      </c>
      <c r="J1705" s="1849"/>
    </row>
    <row r="1706" spans="2:10" s="1824" customFormat="1" ht="16.2">
      <c r="B1706" s="1909"/>
      <c r="C1706" s="1842"/>
      <c r="D1706" s="1834"/>
      <c r="E1706" s="1835"/>
      <c r="F1706" s="1843"/>
      <c r="G1706" s="1844"/>
      <c r="H1706" s="1848"/>
      <c r="I1706" s="1847" t="str">
        <f>IF(D1706="","",IF(H1706&lt;&gt;"","CLOSED",IF(G1706="","NO DUE DATE",IF(AND(#REF!&lt;1,#REF!&gt;0),"DUE TODAY",IF(#REF!&gt;1,"OVERDUE",IF(H1706&lt;&gt;"","CLOSED","OPEN"))))))</f>
        <v/>
      </c>
      <c r="J1706" s="1849"/>
    </row>
    <row r="1707" spans="2:10" s="1824" customFormat="1" ht="16.2">
      <c r="B1707" s="1909"/>
      <c r="C1707" s="1842"/>
      <c r="D1707" s="1834"/>
      <c r="E1707" s="1835"/>
      <c r="F1707" s="1843"/>
      <c r="G1707" s="1844"/>
      <c r="H1707" s="1848"/>
      <c r="I1707" s="1847" t="str">
        <f>IF(D1707="","",IF(H1707&lt;&gt;"","CLOSED",IF(G1707="","NO DUE DATE",IF(AND(#REF!&lt;1,#REF!&gt;0),"DUE TODAY",IF(#REF!&gt;1,"OVERDUE",IF(H1707&lt;&gt;"","CLOSED","OPEN"))))))</f>
        <v/>
      </c>
      <c r="J1707" s="1849"/>
    </row>
    <row r="1708" spans="2:10" s="1824" customFormat="1" ht="16.2">
      <c r="B1708" s="1909"/>
      <c r="C1708" s="1842"/>
      <c r="D1708" s="1834"/>
      <c r="E1708" s="1835"/>
      <c r="F1708" s="1843"/>
      <c r="G1708" s="1844"/>
      <c r="H1708" s="1848"/>
      <c r="I1708" s="1847" t="str">
        <f>IF(D1708="","",IF(H1708&lt;&gt;"","CLOSED",IF(G1708="","NO DUE DATE",IF(AND(#REF!&lt;1,#REF!&gt;0),"DUE TODAY",IF(#REF!&gt;1,"OVERDUE",IF(H1708&lt;&gt;"","CLOSED","OPEN"))))))</f>
        <v/>
      </c>
      <c r="J1708" s="1849"/>
    </row>
    <row r="1709" spans="2:10" s="1824" customFormat="1" ht="16.2">
      <c r="B1709" s="1909"/>
      <c r="C1709" s="1842"/>
      <c r="D1709" s="1834"/>
      <c r="E1709" s="1835"/>
      <c r="F1709" s="1843"/>
      <c r="G1709" s="1844"/>
      <c r="H1709" s="1848"/>
      <c r="I1709" s="1847" t="str">
        <f>IF(D1709="","",IF(H1709&lt;&gt;"","CLOSED",IF(G1709="","NO DUE DATE",IF(AND(#REF!&lt;1,#REF!&gt;0),"DUE TODAY",IF(#REF!&gt;1,"OVERDUE",IF(H1709&lt;&gt;"","CLOSED","OPEN"))))))</f>
        <v/>
      </c>
      <c r="J1709" s="1849"/>
    </row>
    <row r="1710" spans="2:10" s="1824" customFormat="1" ht="16.2">
      <c r="B1710" s="1909"/>
      <c r="C1710" s="1842"/>
      <c r="D1710" s="1834"/>
      <c r="E1710" s="1835"/>
      <c r="F1710" s="1843"/>
      <c r="G1710" s="1844"/>
      <c r="H1710" s="1848"/>
      <c r="I1710" s="1847" t="str">
        <f>IF(D1710="","",IF(H1710&lt;&gt;"","CLOSED",IF(G1710="","NO DUE DATE",IF(AND(#REF!&lt;1,#REF!&gt;0),"DUE TODAY",IF(#REF!&gt;1,"OVERDUE",IF(H1710&lt;&gt;"","CLOSED","OPEN"))))))</f>
        <v/>
      </c>
      <c r="J1710" s="1849"/>
    </row>
    <row r="1711" spans="2:10" s="1824" customFormat="1" ht="16.2">
      <c r="B1711" s="1909"/>
      <c r="C1711" s="1842"/>
      <c r="D1711" s="1834"/>
      <c r="E1711" s="1835"/>
      <c r="F1711" s="1843"/>
      <c r="G1711" s="1844"/>
      <c r="H1711" s="1848"/>
      <c r="I1711" s="1847" t="str">
        <f>IF(D1711="","",IF(H1711&lt;&gt;"","CLOSED",IF(G1711="","NO DUE DATE",IF(AND(#REF!&lt;1,#REF!&gt;0),"DUE TODAY",IF(#REF!&gt;1,"OVERDUE",IF(H1711&lt;&gt;"","CLOSED","OPEN"))))))</f>
        <v/>
      </c>
      <c r="J1711" s="1849"/>
    </row>
    <row r="1712" spans="2:10" s="1824" customFormat="1" ht="16.2">
      <c r="B1712" s="1909"/>
      <c r="C1712" s="1842"/>
      <c r="D1712" s="1834"/>
      <c r="E1712" s="1835"/>
      <c r="F1712" s="1843"/>
      <c r="G1712" s="1844"/>
      <c r="H1712" s="1848"/>
      <c r="I1712" s="1847" t="str">
        <f>IF(D1712="","",IF(H1712&lt;&gt;"","CLOSED",IF(G1712="","NO DUE DATE",IF(AND(#REF!&lt;1,#REF!&gt;0),"DUE TODAY",IF(#REF!&gt;1,"OVERDUE",IF(H1712&lt;&gt;"","CLOSED","OPEN"))))))</f>
        <v/>
      </c>
      <c r="J1712" s="1849"/>
    </row>
    <row r="1713" spans="2:10" s="1824" customFormat="1" ht="16.2">
      <c r="B1713" s="1909"/>
      <c r="C1713" s="1842"/>
      <c r="D1713" s="1834"/>
      <c r="E1713" s="1835"/>
      <c r="F1713" s="1843"/>
      <c r="G1713" s="1844"/>
      <c r="H1713" s="1848"/>
      <c r="I1713" s="1847" t="str">
        <f>IF(D1713="","",IF(H1713&lt;&gt;"","CLOSED",IF(G1713="","NO DUE DATE",IF(AND(#REF!&lt;1,#REF!&gt;0),"DUE TODAY",IF(#REF!&gt;1,"OVERDUE",IF(H1713&lt;&gt;"","CLOSED","OPEN"))))))</f>
        <v/>
      </c>
      <c r="J1713" s="1849"/>
    </row>
    <row r="1714" spans="2:10" s="1824" customFormat="1" ht="16.2">
      <c r="B1714" s="1909"/>
      <c r="C1714" s="1842"/>
      <c r="D1714" s="1834"/>
      <c r="E1714" s="1835"/>
      <c r="F1714" s="1843"/>
      <c r="G1714" s="1844"/>
      <c r="H1714" s="1848"/>
      <c r="I1714" s="1847" t="str">
        <f>IF(D1714="","",IF(H1714&lt;&gt;"","CLOSED",IF(G1714="","NO DUE DATE",IF(AND(#REF!&lt;1,#REF!&gt;0),"DUE TODAY",IF(#REF!&gt;1,"OVERDUE",IF(H1714&lt;&gt;"","CLOSED","OPEN"))))))</f>
        <v/>
      </c>
      <c r="J1714" s="1849"/>
    </row>
    <row r="1715" spans="2:10" s="1824" customFormat="1" ht="16.2">
      <c r="B1715" s="1909"/>
      <c r="C1715" s="1842"/>
      <c r="D1715" s="1834"/>
      <c r="E1715" s="1835"/>
      <c r="F1715" s="1843"/>
      <c r="G1715" s="1844"/>
      <c r="H1715" s="1848"/>
      <c r="I1715" s="1847" t="str">
        <f>IF(D1715="","",IF(H1715&lt;&gt;"","CLOSED",IF(G1715="","NO DUE DATE",IF(AND(#REF!&lt;1,#REF!&gt;0),"DUE TODAY",IF(#REF!&gt;1,"OVERDUE",IF(H1715&lt;&gt;"","CLOSED","OPEN"))))))</f>
        <v/>
      </c>
      <c r="J1715" s="1849"/>
    </row>
    <row r="1716" spans="2:10" s="1824" customFormat="1" ht="16.2">
      <c r="B1716" s="1909"/>
      <c r="C1716" s="1842"/>
      <c r="D1716" s="1834"/>
      <c r="E1716" s="1835"/>
      <c r="F1716" s="1843"/>
      <c r="G1716" s="1844"/>
      <c r="H1716" s="1848"/>
      <c r="I1716" s="1847" t="str">
        <f>IF(D1716="","",IF(H1716&lt;&gt;"","CLOSED",IF(G1716="","NO DUE DATE",IF(AND(#REF!&lt;1,#REF!&gt;0),"DUE TODAY",IF(#REF!&gt;1,"OVERDUE",IF(H1716&lt;&gt;"","CLOSED","OPEN"))))))</f>
        <v/>
      </c>
      <c r="J1716" s="1849"/>
    </row>
    <row r="1717" spans="2:10" s="1824" customFormat="1" ht="16.2">
      <c r="B1717" s="1909"/>
      <c r="C1717" s="1842"/>
      <c r="D1717" s="1834"/>
      <c r="E1717" s="1835"/>
      <c r="F1717" s="1843"/>
      <c r="G1717" s="1844"/>
      <c r="H1717" s="1848"/>
      <c r="I1717" s="1847" t="str">
        <f>IF(D1717="","",IF(H1717&lt;&gt;"","CLOSED",IF(G1717="","NO DUE DATE",IF(AND(#REF!&lt;1,#REF!&gt;0),"DUE TODAY",IF(#REF!&gt;1,"OVERDUE",IF(H1717&lt;&gt;"","CLOSED","OPEN"))))))</f>
        <v/>
      </c>
      <c r="J1717" s="1849"/>
    </row>
    <row r="1718" spans="2:10" s="1824" customFormat="1" ht="16.2">
      <c r="B1718" s="1909"/>
      <c r="C1718" s="1842"/>
      <c r="D1718" s="1834"/>
      <c r="E1718" s="1835"/>
      <c r="F1718" s="1843"/>
      <c r="G1718" s="1844"/>
      <c r="H1718" s="1848"/>
      <c r="I1718" s="1847" t="str">
        <f>IF(D1718="","",IF(H1718&lt;&gt;"","CLOSED",IF(G1718="","NO DUE DATE",IF(AND(#REF!&lt;1,#REF!&gt;0),"DUE TODAY",IF(#REF!&gt;1,"OVERDUE",IF(H1718&lt;&gt;"","CLOSED","OPEN"))))))</f>
        <v/>
      </c>
      <c r="J1718" s="1849"/>
    </row>
    <row r="1719" spans="2:10" s="1824" customFormat="1" ht="16.2">
      <c r="B1719" s="1909"/>
      <c r="C1719" s="1842"/>
      <c r="D1719" s="1834"/>
      <c r="E1719" s="1835"/>
      <c r="F1719" s="1843"/>
      <c r="G1719" s="1844"/>
      <c r="H1719" s="1848"/>
      <c r="I1719" s="1847" t="str">
        <f>IF(D1719="","",IF(H1719&lt;&gt;"","CLOSED",IF(G1719="","NO DUE DATE",IF(AND(#REF!&lt;1,#REF!&gt;0),"DUE TODAY",IF(#REF!&gt;1,"OVERDUE",IF(H1719&lt;&gt;"","CLOSED","OPEN"))))))</f>
        <v/>
      </c>
      <c r="J1719" s="1849"/>
    </row>
    <row r="1720" spans="2:10" ht="15" thickBot="1">
      <c r="B1720" s="1909"/>
      <c r="C1720" s="1850"/>
      <c r="D1720" s="1851"/>
      <c r="E1720" s="1835"/>
      <c r="F1720" s="1852"/>
      <c r="G1720" s="1853"/>
      <c r="H1720" s="1854"/>
      <c r="I1720" s="1855" t="str">
        <f>IF(D1720="","",IF(H1720&lt;&gt;"","CLOSED",IF(G1720="","NO DUE DATE",IF(AND(#REF!&lt;1,#REF!&gt;0),"DUE TODAY",IF(#REF!&gt;1,"OVERDUE",IF(H1720&lt;&gt;"","CLOSED","OPEN"))))))</f>
        <v/>
      </c>
      <c r="J1720" s="1856"/>
    </row>
    <row r="1721" spans="2:10">
      <c r="B1721" s="1909"/>
      <c r="C1721" s="1857"/>
      <c r="E1721" s="1835"/>
      <c r="G1721" s="1858"/>
      <c r="H1721" s="1845"/>
      <c r="I1721" s="1839"/>
      <c r="J1721" s="1859"/>
    </row>
    <row r="1722" spans="2:10">
      <c r="B1722" s="1909"/>
      <c r="C1722" s="1857"/>
      <c r="E1722" s="1835"/>
      <c r="G1722" s="1858"/>
      <c r="H1722" s="1845"/>
      <c r="I1722" s="1839"/>
      <c r="J1722" s="1859"/>
    </row>
    <row r="1723" spans="2:10">
      <c r="B1723" s="1909"/>
      <c r="C1723" s="1857"/>
      <c r="E1723" s="1835"/>
      <c r="G1723" s="1858"/>
      <c r="H1723" s="1845"/>
      <c r="I1723" s="1839"/>
      <c r="J1723" s="1859"/>
    </row>
    <row r="1724" spans="2:10">
      <c r="B1724" s="1909"/>
      <c r="C1724" s="1857"/>
      <c r="E1724" s="1835"/>
      <c r="G1724" s="1858"/>
      <c r="H1724" s="1845"/>
      <c r="I1724" s="1839"/>
      <c r="J1724" s="1859"/>
    </row>
    <row r="1725" spans="2:10">
      <c r="B1725" s="1909"/>
      <c r="C1725" s="1857"/>
      <c r="E1725" s="1835"/>
      <c r="G1725" s="1858"/>
      <c r="H1725" s="1845"/>
      <c r="I1725" s="1839"/>
      <c r="J1725" s="1859"/>
    </row>
    <row r="1726" spans="2:10" s="1825" customFormat="1">
      <c r="B1726" s="1909"/>
      <c r="C1726" s="1842"/>
      <c r="D1726" s="1860" t="s">
        <v>196</v>
      </c>
      <c r="E1726" s="1835"/>
      <c r="F1726" s="1861" t="s">
        <v>197</v>
      </c>
      <c r="G1726" s="1858">
        <v>44244</v>
      </c>
      <c r="H1726" s="1845"/>
      <c r="I1726" s="1839" t="s">
        <v>156</v>
      </c>
      <c r="J1726" s="1859" t="s">
        <v>198</v>
      </c>
    </row>
    <row r="1727" spans="2:10">
      <c r="B1727" s="1909"/>
      <c r="C1727" s="1842"/>
      <c r="D1727" s="1860"/>
      <c r="E1727" s="1861"/>
      <c r="F1727" s="1861"/>
      <c r="G1727" s="1858"/>
      <c r="H1727" s="1845"/>
      <c r="I1727" s="1839"/>
      <c r="J1727" s="1859"/>
    </row>
    <row r="1728" spans="2:10">
      <c r="B1728" s="1909"/>
      <c r="C1728" s="1842"/>
      <c r="D1728" s="1860"/>
      <c r="E1728" s="1861"/>
      <c r="F1728" s="1861"/>
      <c r="G1728" s="1858"/>
      <c r="H1728" s="1845"/>
      <c r="I1728" s="1839"/>
      <c r="J1728" s="1859"/>
    </row>
    <row r="1729" spans="2:10">
      <c r="B1729" s="1909"/>
      <c r="C1729" s="1842"/>
      <c r="D1729" s="1860"/>
      <c r="E1729" s="1861"/>
      <c r="F1729" s="1861"/>
      <c r="G1729" s="1858"/>
      <c r="H1729" s="1845"/>
      <c r="I1729" s="1839"/>
      <c r="J1729" s="1859"/>
    </row>
    <row r="1730" spans="2:10">
      <c r="B1730" s="1909"/>
      <c r="C1730" s="1842"/>
      <c r="D1730" s="1860"/>
      <c r="E1730" s="1861"/>
      <c r="F1730" s="1861"/>
      <c r="G1730" s="1858"/>
      <c r="H1730" s="1845"/>
      <c r="I1730" s="1839"/>
      <c r="J1730" s="1859"/>
    </row>
    <row r="1731" spans="2:10">
      <c r="B1731" s="1909"/>
      <c r="C1731" s="1842"/>
      <c r="D1731" s="1860"/>
      <c r="E1731" s="1861"/>
      <c r="F1731" s="1861"/>
      <c r="G1731" s="1858"/>
      <c r="H1731" s="1845"/>
      <c r="I1731" s="1839"/>
      <c r="J1731" s="1859"/>
    </row>
    <row r="1732" spans="2:10">
      <c r="B1732" s="1909"/>
      <c r="C1732" s="1842"/>
      <c r="D1732" s="1860"/>
      <c r="E1732" s="1861"/>
      <c r="F1732" s="1861"/>
      <c r="G1732" s="1858"/>
      <c r="H1732" s="1845"/>
      <c r="I1732" s="1839"/>
      <c r="J1732" s="1859"/>
    </row>
    <row r="1733" spans="2:10">
      <c r="B1733" s="1909"/>
      <c r="C1733" s="1842"/>
      <c r="D1733" s="1860"/>
      <c r="E1733" s="1861"/>
      <c r="F1733" s="1861"/>
      <c r="G1733" s="1858"/>
      <c r="H1733" s="1845"/>
      <c r="I1733" s="1839"/>
      <c r="J1733" s="1859"/>
    </row>
    <row r="1734" spans="2:10">
      <c r="B1734" s="1909"/>
      <c r="C1734" s="1842"/>
      <c r="D1734" s="1860"/>
      <c r="E1734" s="1861"/>
      <c r="F1734" s="1861"/>
      <c r="G1734" s="1858"/>
      <c r="H1734" s="1845"/>
      <c r="I1734" s="1839"/>
      <c r="J1734" s="1859"/>
    </row>
    <row r="1735" spans="2:10">
      <c r="B1735" s="1909"/>
      <c r="C1735" s="1842"/>
      <c r="D1735" s="1860"/>
      <c r="E1735" s="1861"/>
      <c r="F1735" s="1861"/>
      <c r="G1735" s="1858"/>
      <c r="H1735" s="1845"/>
      <c r="I1735" s="1839"/>
      <c r="J1735" s="1859"/>
    </row>
    <row r="1736" spans="2:10">
      <c r="B1736" s="1909"/>
      <c r="C1736" s="1842"/>
      <c r="D1736" s="1860"/>
      <c r="E1736" s="1861"/>
      <c r="F1736" s="1861"/>
      <c r="G1736" s="1858"/>
      <c r="H1736" s="1845"/>
      <c r="I1736" s="1839"/>
      <c r="J1736" s="1859"/>
    </row>
    <row r="1737" spans="2:10">
      <c r="B1737" s="1909"/>
      <c r="C1737" s="1842"/>
      <c r="D1737" s="1860"/>
      <c r="E1737" s="1861"/>
      <c r="F1737" s="1861"/>
      <c r="G1737" s="1858"/>
      <c r="H1737" s="1845"/>
      <c r="I1737" s="1839"/>
      <c r="J1737" s="1859"/>
    </row>
    <row r="1738" spans="2:10">
      <c r="B1738" s="1909"/>
      <c r="C1738" s="1842"/>
      <c r="D1738" s="1860"/>
      <c r="E1738" s="1861"/>
      <c r="F1738" s="1861"/>
      <c r="G1738" s="1858"/>
      <c r="H1738" s="1845"/>
      <c r="I1738" s="1839"/>
      <c r="J1738" s="1859"/>
    </row>
    <row r="1739" spans="2:10">
      <c r="B1739" s="1909"/>
      <c r="C1739" s="1842"/>
      <c r="D1739" s="1860"/>
      <c r="E1739" s="1861"/>
      <c r="F1739" s="1861"/>
      <c r="G1739" s="1858"/>
      <c r="H1739" s="1845"/>
      <c r="I1739" s="1839"/>
      <c r="J1739" s="1859"/>
    </row>
    <row r="1740" spans="2:10">
      <c r="B1740" s="1909"/>
      <c r="C1740" s="1842"/>
      <c r="D1740" s="1860"/>
      <c r="E1740" s="1861"/>
      <c r="F1740" s="1861"/>
      <c r="G1740" s="1858"/>
      <c r="H1740" s="1845"/>
      <c r="I1740" s="1839"/>
      <c r="J1740" s="1859"/>
    </row>
    <row r="1741" spans="2:10">
      <c r="B1741" s="1909"/>
      <c r="C1741" s="1842"/>
      <c r="D1741" s="1860"/>
      <c r="E1741" s="1861"/>
      <c r="F1741" s="1861"/>
      <c r="G1741" s="1858"/>
      <c r="H1741" s="1845"/>
      <c r="I1741" s="1839"/>
      <c r="J1741" s="1859"/>
    </row>
    <row r="1742" spans="2:10">
      <c r="B1742" s="1909"/>
      <c r="C1742" s="1842"/>
      <c r="D1742" s="1860"/>
      <c r="E1742" s="1861"/>
      <c r="F1742" s="1861"/>
      <c r="G1742" s="1858"/>
      <c r="H1742" s="1845"/>
      <c r="I1742" s="1839"/>
      <c r="J1742" s="1859"/>
    </row>
    <row r="1743" spans="2:10">
      <c r="B1743" s="1909"/>
      <c r="C1743" s="1842"/>
      <c r="D1743" s="1860"/>
      <c r="E1743" s="1861"/>
      <c r="F1743" s="1861"/>
      <c r="G1743" s="1858"/>
      <c r="H1743" s="1845"/>
      <c r="I1743" s="1839"/>
      <c r="J1743" s="1859"/>
    </row>
  </sheetData>
  <autoFilter ref="B4:M18" xr:uid="{F209E718-E0DE-4F7F-9AF9-52F15989B1C3}">
    <filterColumn colId="7">
      <filters>
        <filter val="K"/>
      </filters>
    </filterColumn>
  </autoFilter>
  <mergeCells count="1">
    <mergeCell ref="C1:I2"/>
  </mergeCells>
  <conditionalFormatting sqref="I5:I600">
    <cfRule type="containsText" dxfId="884" priority="1" operator="containsText" text="K">
      <formula>NOT(ISERROR(SEARCH("K",I5)))</formula>
    </cfRule>
    <cfRule type="containsText" dxfId="883" priority="2" operator="containsText" text="J">
      <formula>NOT(ISERROR(SEARCH("J",I5)))</formula>
    </cfRule>
    <cfRule type="containsText" dxfId="882" priority="3" operator="containsText" text="L">
      <formula>NOT(ISERROR(SEARCH("L",I5)))</formula>
    </cfRule>
  </conditionalFormatting>
  <conditionalFormatting sqref="I601:I1720">
    <cfRule type="cellIs" dxfId="881" priority="7" stopIfTrue="1" operator="equal">
      <formula>"DUE TODAY"</formula>
    </cfRule>
    <cfRule type="cellIs" dxfId="880" priority="8" stopIfTrue="1" operator="equal">
      <formula>"OVERDUE"</formula>
    </cfRule>
    <cfRule type="cellIs" dxfId="879" priority="9" stopIfTrue="1" operator="equal">
      <formula>"OPEN"</formula>
    </cfRule>
  </conditionalFormatting>
  <conditionalFormatting sqref="I1721:I1743">
    <cfRule type="containsText" dxfId="878" priority="4" operator="containsText" text="K">
      <formula>NOT(ISERROR(SEARCH("K",I1721)))</formula>
    </cfRule>
    <cfRule type="containsText" dxfId="877" priority="5" operator="containsText" text="J">
      <formula>NOT(ISERROR(SEARCH("J",I1721)))</formula>
    </cfRule>
    <cfRule type="containsText" dxfId="876" priority="6" operator="containsText" text="L">
      <formula>NOT(ISERROR(SEARCH("L",I1721)))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89A1-290B-4AF3-A91C-3DDBA7669C09}">
  <sheetPr codeName="Sheet1">
    <tabColor theme="4" tint="0.59999389629810485"/>
    <pageSetUpPr fitToPage="1"/>
  </sheetPr>
  <dimension ref="B1:AM95"/>
  <sheetViews>
    <sheetView showGridLines="0" zoomScale="80" zoomScaleNormal="80" workbookViewId="0">
      <pane xSplit="7" ySplit="32" topLeftCell="H33" activePane="bottomRight" state="frozen"/>
      <selection pane="topRight"/>
      <selection pane="bottomLeft"/>
      <selection pane="bottomRight" activeCell="U64" sqref="U64"/>
    </sheetView>
  </sheetViews>
  <sheetFormatPr defaultColWidth="8.88671875" defaultRowHeight="13.8"/>
  <cols>
    <col min="1" max="1" width="3.21875" style="749" customWidth="1"/>
    <col min="2" max="2" width="16.77734375" style="749" customWidth="1"/>
    <col min="3" max="3" width="12.77734375" style="749" customWidth="1"/>
    <col min="4" max="4" width="12.21875" style="749" customWidth="1"/>
    <col min="5" max="5" width="15.21875" style="749" customWidth="1"/>
    <col min="6" max="6" width="9.21875" style="749" customWidth="1"/>
    <col min="7" max="7" width="13.21875" style="749" customWidth="1"/>
    <col min="8" max="34" width="7.21875" style="749" customWidth="1"/>
    <col min="35" max="35" width="7.21875" style="754" customWidth="1"/>
    <col min="36" max="38" width="7.21875" style="749" customWidth="1"/>
    <col min="39" max="39" width="38.21875" style="749" customWidth="1"/>
    <col min="40" max="16384" width="8.88671875" style="749"/>
  </cols>
  <sheetData>
    <row r="1" spans="2:38" s="732" customFormat="1" ht="14.4" thickBot="1">
      <c r="AI1" s="733"/>
    </row>
    <row r="2" spans="2:38" s="732" customFormat="1" ht="14.4" thickBot="1">
      <c r="B2" s="296" t="s">
        <v>0</v>
      </c>
      <c r="C2" s="733"/>
      <c r="D2" s="733"/>
      <c r="H2" s="2696" t="s">
        <v>6</v>
      </c>
      <c r="I2" s="2732"/>
      <c r="K2" s="344" t="s">
        <v>199</v>
      </c>
      <c r="L2" s="345"/>
      <c r="M2" s="345"/>
      <c r="N2" s="345"/>
      <c r="O2" s="345"/>
      <c r="P2" s="346"/>
      <c r="AI2" s="733"/>
    </row>
    <row r="3" spans="2:38" s="732" customFormat="1">
      <c r="B3" s="302" t="s">
        <v>52</v>
      </c>
      <c r="C3" s="733"/>
      <c r="D3" s="733"/>
      <c r="H3" s="2733" t="s">
        <v>8</v>
      </c>
      <c r="I3" s="2734"/>
      <c r="K3" s="347" t="s">
        <v>200</v>
      </c>
      <c r="L3" s="348"/>
      <c r="M3" s="734"/>
      <c r="N3" s="734"/>
      <c r="O3" s="734"/>
      <c r="P3" s="349"/>
      <c r="AI3" s="733"/>
    </row>
    <row r="4" spans="2:38" s="732" customFormat="1" ht="14.4" thickBot="1">
      <c r="B4" s="297" t="s">
        <v>201</v>
      </c>
      <c r="C4" s="733"/>
      <c r="D4" s="733"/>
      <c r="H4" s="2737" t="s">
        <v>10</v>
      </c>
      <c r="I4" s="2738"/>
      <c r="K4" s="194" t="s">
        <v>202</v>
      </c>
      <c r="L4" s="193"/>
      <c r="P4" s="351"/>
    </row>
    <row r="5" spans="2:38" s="732" customFormat="1" ht="14.85" customHeight="1">
      <c r="B5" s="297"/>
      <c r="C5" s="733"/>
      <c r="D5" s="733"/>
      <c r="K5" s="350" t="s">
        <v>203</v>
      </c>
      <c r="L5" s="193"/>
      <c r="P5" s="351"/>
      <c r="Q5" s="735"/>
      <c r="R5" s="735"/>
      <c r="S5" s="735"/>
      <c r="T5" s="735"/>
      <c r="U5" s="735"/>
      <c r="V5" s="735"/>
      <c r="W5" s="735"/>
      <c r="X5" s="735"/>
      <c r="Y5" s="735"/>
      <c r="Z5" s="735"/>
      <c r="AA5" s="735"/>
      <c r="AB5" s="735"/>
      <c r="AC5" s="735"/>
      <c r="AD5" s="735"/>
      <c r="AE5" s="735"/>
      <c r="AF5" s="735"/>
      <c r="AG5" s="735"/>
      <c r="AH5" s="735"/>
      <c r="AI5" s="735"/>
    </row>
    <row r="6" spans="2:38" s="732" customFormat="1">
      <c r="B6" s="294" t="s">
        <v>3</v>
      </c>
      <c r="C6" s="298">
        <f>SUMMARY!C6</f>
        <v>45870</v>
      </c>
      <c r="D6" s="733"/>
      <c r="K6" s="194" t="s">
        <v>204</v>
      </c>
      <c r="L6" s="193"/>
      <c r="P6" s="351"/>
      <c r="S6" s="736"/>
      <c r="T6" s="737"/>
      <c r="U6" s="736"/>
      <c r="V6" s="736"/>
      <c r="W6" s="737"/>
      <c r="X6" s="736"/>
      <c r="Y6" s="737"/>
      <c r="AA6" s="736"/>
      <c r="AB6" s="737"/>
      <c r="AD6" s="736"/>
      <c r="AE6" s="737"/>
      <c r="AF6" s="736"/>
      <c r="AG6" s="733"/>
      <c r="AH6" s="736"/>
      <c r="AI6" s="733"/>
    </row>
    <row r="7" spans="2:38" s="732" customFormat="1" ht="14.4" thickBot="1">
      <c r="B7" s="294" t="s">
        <v>4</v>
      </c>
      <c r="C7" s="2244">
        <v>5</v>
      </c>
      <c r="D7" s="733"/>
      <c r="K7" s="195" t="s">
        <v>205</v>
      </c>
      <c r="L7" s="157"/>
      <c r="M7" s="738"/>
      <c r="N7" s="738"/>
      <c r="O7" s="738"/>
      <c r="P7" s="353"/>
    </row>
    <row r="8" spans="2:38" s="732" customFormat="1" ht="14.4" thickBot="1">
      <c r="AJ8" s="733"/>
    </row>
    <row r="9" spans="2:38" s="733" customFormat="1" ht="14.4" thickBot="1">
      <c r="B9" s="362" t="s">
        <v>14</v>
      </c>
      <c r="C9" s="363" t="s">
        <v>206</v>
      </c>
      <c r="D9" s="364" t="s">
        <v>16</v>
      </c>
      <c r="E9" s="365" t="s">
        <v>207</v>
      </c>
      <c r="G9" s="196" t="s">
        <v>13</v>
      </c>
      <c r="H9" s="739">
        <v>1</v>
      </c>
      <c r="I9" s="740">
        <v>2</v>
      </c>
      <c r="J9" s="740">
        <v>3</v>
      </c>
      <c r="K9" s="740">
        <v>4</v>
      </c>
      <c r="L9" s="740">
        <v>5</v>
      </c>
      <c r="M9" s="740">
        <v>6</v>
      </c>
      <c r="N9" s="740">
        <v>7</v>
      </c>
      <c r="O9" s="740">
        <v>8</v>
      </c>
      <c r="P9" s="740">
        <v>9</v>
      </c>
      <c r="Q9" s="740">
        <v>10</v>
      </c>
      <c r="R9" s="740">
        <v>11</v>
      </c>
      <c r="S9" s="740">
        <v>12</v>
      </c>
      <c r="T9" s="740">
        <v>13</v>
      </c>
      <c r="U9" s="740">
        <v>14</v>
      </c>
      <c r="V9" s="740">
        <v>15</v>
      </c>
      <c r="W9" s="740">
        <v>16</v>
      </c>
      <c r="X9" s="740">
        <v>17</v>
      </c>
      <c r="Y9" s="740">
        <v>18</v>
      </c>
      <c r="Z9" s="740">
        <v>19</v>
      </c>
      <c r="AA9" s="740">
        <v>20</v>
      </c>
      <c r="AB9" s="740">
        <v>21</v>
      </c>
      <c r="AC9" s="740">
        <v>22</v>
      </c>
      <c r="AD9" s="740">
        <v>23</v>
      </c>
      <c r="AE9" s="740">
        <v>24</v>
      </c>
      <c r="AF9" s="740">
        <v>25</v>
      </c>
      <c r="AG9" s="740">
        <v>26</v>
      </c>
      <c r="AH9" s="740">
        <v>27</v>
      </c>
      <c r="AI9" s="740">
        <v>28</v>
      </c>
      <c r="AJ9" s="740">
        <v>29</v>
      </c>
      <c r="AK9" s="741">
        <v>30</v>
      </c>
      <c r="AL9" s="742">
        <v>31</v>
      </c>
    </row>
    <row r="10" spans="2:38" s="733" customFormat="1">
      <c r="B10" s="472" t="s">
        <v>208</v>
      </c>
      <c r="C10" s="604">
        <f>SUM(H10:AL10)</f>
        <v>0</v>
      </c>
      <c r="D10" s="605">
        <f>SUM(H11:AL11)</f>
        <v>0</v>
      </c>
      <c r="E10" s="473">
        <f>IFERROR((D10-C10)/C10,0)</f>
        <v>0</v>
      </c>
      <c r="G10" s="198" t="s">
        <v>209</v>
      </c>
      <c r="H10" s="102">
        <f>IF(H$9&gt;$C$7,"",SUMIF($E$18:$E28,"Budget (m)",H$18:H28))</f>
        <v>0</v>
      </c>
      <c r="I10" s="103">
        <f>IF(I$9&gt;$C$7,"",SUMIF($E$18:$E28,"Budget (m)",I$18:I28))</f>
        <v>0</v>
      </c>
      <c r="J10" s="103">
        <f>IF(J$9&gt;$C$7,"",SUMIF($E$18:$E28,"Budget (m)",J$18:J28))</f>
        <v>0</v>
      </c>
      <c r="K10" s="103">
        <f>IF(K$9&gt;$C$7,"",SUMIF($E$18:$E28,"Budget (m)",K$18:K28))</f>
        <v>0</v>
      </c>
      <c r="L10" s="103">
        <f>IF(L$9&gt;$C$7,"",SUMIF($E$18:$E28,"Budget (m)",L$18:L28))</f>
        <v>0</v>
      </c>
      <c r="M10" s="103" t="str">
        <f>IF(M$9&gt;$C$7,"",SUMIF($E$18:$E28,"Budget (m)",M$18:M28))</f>
        <v/>
      </c>
      <c r="N10" s="103" t="str">
        <f>IF(N$9&gt;$C$7,"",SUMIF($E$18:$E28,"Budget (m)",N$18:N28))</f>
        <v/>
      </c>
      <c r="O10" s="103" t="str">
        <f>IF(O$9&gt;$C$7,"",SUMIF($E$18:$E28,"Budget (m)",O$18:O28))</f>
        <v/>
      </c>
      <c r="P10" s="103" t="str">
        <f>IF(P$9&gt;$C$7,"",SUMIF($E$18:$E28,"Budget (m)",P$18:P28))</f>
        <v/>
      </c>
      <c r="Q10" s="103" t="str">
        <f>IF(Q$9&gt;$C$7,"",SUMIF($E$18:$E28,"Budget (m)",Q$18:Q28))</f>
        <v/>
      </c>
      <c r="R10" s="103" t="str">
        <f>IF(R$9&gt;$C$7,"",SUMIF($E$18:$E28,"Budget (m)",R$18:R28))</f>
        <v/>
      </c>
      <c r="S10" s="103" t="str">
        <f>IF(S$9&gt;$C$7,"",SUMIF($E$18:$E28,"Budget (m)",S$18:S28))</f>
        <v/>
      </c>
      <c r="T10" s="103" t="str">
        <f>IF(T$9&gt;$C$7,"",SUMIF($E$18:$E28,"Budget (m)",T$18:T28))</f>
        <v/>
      </c>
      <c r="U10" s="103" t="str">
        <f>IF(U$9&gt;$C$7,"",SUMIF($E$18:$E28,"Budget (m)",U$18:U28))</f>
        <v/>
      </c>
      <c r="V10" s="103" t="str">
        <f>IF(V$9&gt;$C$7,"",SUMIF($E$18:$E28,"Budget (m)",V$18:V28))</f>
        <v/>
      </c>
      <c r="W10" s="103" t="str">
        <f>IF(W$9&gt;$C$7,"",SUMIF($E$18:$E28,"Budget (m)",W$18:W28))</f>
        <v/>
      </c>
      <c r="X10" s="103" t="str">
        <f>IF(X$9&gt;$C$7,"",SUMIF($E$18:$E28,"Budget (m)",X$18:X28))</f>
        <v/>
      </c>
      <c r="Y10" s="103" t="str">
        <f>IF(Y$9&gt;$C$7,"",SUMIF($E$18:$E28,"Budget (m)",Y$18:Y28))</f>
        <v/>
      </c>
      <c r="Z10" s="103" t="str">
        <f>IF(Z$9&gt;$C$7,"",SUMIF($E$18:$E28,"Budget (m)",Z$18:Z28))</f>
        <v/>
      </c>
      <c r="AA10" s="103" t="str">
        <f>IF(AA$9&gt;$C$7,"",SUMIF($E$18:$E28,"Budget (m)",AA$18:AA28))</f>
        <v/>
      </c>
      <c r="AB10" s="103" t="str">
        <f>IF(AB$9&gt;$C$7,"",SUMIF($E$18:$E28,"Budget (m)",AB$18:AB28))</f>
        <v/>
      </c>
      <c r="AC10" s="103" t="str">
        <f>IF(AC$9&gt;$C$7,"",SUMIF($E$18:$E28,"Budget (m)",AC$18:AC28))</f>
        <v/>
      </c>
      <c r="AD10" s="112" t="str">
        <f>IF(AD$9&gt;$C$7,"",SUMIF($E$18:$E28,"Budget (m)",AD$18:AD28))</f>
        <v/>
      </c>
      <c r="AE10" s="112" t="str">
        <f>IF(AE$9&gt;$C$7,"",SUMIF($E$18:$E28,"Budget (m)",AE$18:AE28))</f>
        <v/>
      </c>
      <c r="AF10" s="112" t="str">
        <f>IF(AF$9&gt;$C$7,"",SUMIF($E$18:$E28,"Budget (m)",AF$18:AF28))</f>
        <v/>
      </c>
      <c r="AG10" s="112" t="str">
        <f>IF(AG$9&gt;$C$7,"",SUMIF($E$18:$E28,"Budget (m)",AG$18:AG28))</f>
        <v/>
      </c>
      <c r="AH10" s="112" t="str">
        <f>IF(AH$9&gt;$C$7,"",SUMIF($E$18:$E28,"Budget (m)",AH$18:AH28))</f>
        <v/>
      </c>
      <c r="AI10" s="112" t="str">
        <f>IF(AI$9&gt;$C$7,"",SUMIF($E$18:$E28,"Budget (m)",AI$18:AI28))</f>
        <v/>
      </c>
      <c r="AJ10" s="112" t="str">
        <f>IF(AJ$9&gt;$C$7,"",SUMIF($E$18:$E28,"Budget (m)",AJ$18:AJ28))</f>
        <v/>
      </c>
      <c r="AK10" s="112" t="str">
        <f>IF(AK$9&gt;$C$7,"",SUMIF($E$18:$E28,"Budget (m)",AK$18:AK28))</f>
        <v/>
      </c>
      <c r="AL10" s="113" t="str">
        <f>IF(AL$9&gt;$C$7,"",SUMIF($E$18:$E28,"Budget (m)",AL$18:AL28))</f>
        <v/>
      </c>
    </row>
    <row r="11" spans="2:38" s="733" customFormat="1" ht="14.4" thickBot="1">
      <c r="B11" s="474" t="s">
        <v>210</v>
      </c>
      <c r="C11" s="731">
        <f>SUM(H12:AL12)</f>
        <v>248</v>
      </c>
      <c r="D11" s="607">
        <f>SUM(H13:AL13)</f>
        <v>262.8</v>
      </c>
      <c r="E11" s="475">
        <f>IFERROR((D11-C11)/C11,0)</f>
        <v>5.9677419354838758E-2</v>
      </c>
      <c r="G11" s="196" t="s">
        <v>211</v>
      </c>
      <c r="H11" s="1034">
        <f>IF(H$9&gt;$C$7,"",SUMIF($E$18:$E28,"Actual (m)",H$18:H28))</f>
        <v>0</v>
      </c>
      <c r="I11" s="988">
        <f>IF(I$9&gt;$C$7,"",SUMIF($E$18:$E28,"Actual (m)",I$18:I28))</f>
        <v>0</v>
      </c>
      <c r="J11" s="988">
        <f>IF(J$9&gt;$C$7,"",SUMIF($E$18:$E28,"Actual (m)",J$18:J28))</f>
        <v>0</v>
      </c>
      <c r="K11" s="988">
        <f>IF(K$9&gt;$C$7,"",SUMIF($E$18:$E28,"Actual (m)",K$18:K28))</f>
        <v>0</v>
      </c>
      <c r="L11" s="988">
        <f>IF(L$9&gt;$C$7,"",SUMIF($E$18:$E28,"Actual (m)",L$18:L28))</f>
        <v>0</v>
      </c>
      <c r="M11" s="988" t="str">
        <f>IF(M$9&gt;$C$7,"",SUMIF($E$18:$E28,"Actual (m)",M$18:M28))</f>
        <v/>
      </c>
      <c r="N11" s="988" t="str">
        <f>IF(N$9&gt;$C$7,"",SUMIF($E$18:$E28,"Actual (m)",N$18:N28))</f>
        <v/>
      </c>
      <c r="O11" s="988" t="str">
        <f>IF(O$9&gt;$C$7,"",SUMIF($E$18:$E28,"Actual (m)",O$18:O28))</f>
        <v/>
      </c>
      <c r="P11" s="988" t="str">
        <f>IF(P$9&gt;$C$7,"",SUMIF($E$18:$E28,"Actual (m)",P$18:P28))</f>
        <v/>
      </c>
      <c r="Q11" s="988" t="str">
        <f>IF(Q$9&gt;$C$7,"",SUMIF($E$18:$E28,"Actual (m)",Q$18:Q28))</f>
        <v/>
      </c>
      <c r="R11" s="988" t="str">
        <f>IF(R$9&gt;$C$7,"",SUMIF($E$18:$E28,"Actual (m)",R$18:R28))</f>
        <v/>
      </c>
      <c r="S11" s="988" t="str">
        <f>IF(S$9&gt;$C$7,"",SUMIF($E$18:$E28,"Actual (m)",S$18:S28))</f>
        <v/>
      </c>
      <c r="T11" s="988" t="str">
        <f>IF(T$9&gt;$C$7,"",SUMIF($E$18:$E28,"Actual (m)",T$18:T28))</f>
        <v/>
      </c>
      <c r="U11" s="988" t="str">
        <f>IF(U$9&gt;$C$7,"",SUMIF($E$18:$E28,"Actual (m)",U$18:U28))</f>
        <v/>
      </c>
      <c r="V11" s="988" t="str">
        <f>IF(V$9&gt;$C$7,"",SUMIF($E$18:$E28,"Actual (m)",V$18:V28))</f>
        <v/>
      </c>
      <c r="W11" s="988" t="str">
        <f>IF(W$9&gt;$C$7,"",SUMIF($E$18:$E28,"Actual (m)",W$18:W28))</f>
        <v/>
      </c>
      <c r="X11" s="988" t="str">
        <f>IF(X$9&gt;$C$7,"",SUMIF($E$18:$E28,"Actual (m)",X$18:X28))</f>
        <v/>
      </c>
      <c r="Y11" s="988" t="str">
        <f>IF(Y$9&gt;$C$7,"",SUMIF($E$18:$E28,"Actual (m)",Y$18:Y28))</f>
        <v/>
      </c>
      <c r="Z11" s="988" t="str">
        <f>IF(Z$9&gt;$C$7,"",SUMIF($E$18:$E28,"Actual (m)",Z$18:Z28))</f>
        <v/>
      </c>
      <c r="AA11" s="988" t="str">
        <f>IF(AA$9&gt;$C$7,"",SUMIF($E$18:$E28,"Actual (m)",AA$18:AA28))</f>
        <v/>
      </c>
      <c r="AB11" s="988" t="str">
        <f>IF(AB$9&gt;$C$7,"",SUMIF($E$18:$E28,"Actual (m)",AB$18:AB28))</f>
        <v/>
      </c>
      <c r="AC11" s="988" t="str">
        <f>IF(AC$9&gt;$C$7,"",SUMIF($E$18:$E28,"Actual (m)",AC$18:AC28))</f>
        <v/>
      </c>
      <c r="AD11" s="997" t="str">
        <f>IF(AD$9&gt;$C$7,"",SUMIF($E$18:$E28,"Actual (m)",AD$18:AD28))</f>
        <v/>
      </c>
      <c r="AE11" s="997" t="str">
        <f>IF(AE$9&gt;$C$7,"",SUMIF($E$18:$E28,"Actual (m)",AE$18:AE28))</f>
        <v/>
      </c>
      <c r="AF11" s="997" t="str">
        <f>IF(AF$9&gt;$C$7,"",SUMIF($E$18:$E28,"Actual (m)",AF$18:AF28))</f>
        <v/>
      </c>
      <c r="AG11" s="997" t="str">
        <f>IF(AG$9&gt;$C$7,"",SUMIF($E$18:$E28,"Actual (m)",AG$18:AG28))</f>
        <v/>
      </c>
      <c r="AH11" s="997" t="str">
        <f>IF(AH$9&gt;$C$7,"",SUMIF($E$18:$E28,"Actual (m)",AH$18:AH28))</f>
        <v/>
      </c>
      <c r="AI11" s="997" t="str">
        <f>IF(AI$9&gt;$C$7,"",SUMIF($E$18:$E28,"Actual (m)",AI$18:AI28))</f>
        <v/>
      </c>
      <c r="AJ11" s="997" t="str">
        <f>IF(AJ$9&gt;$C$7,"",SUMIF($E$18:$E28,"Actual (m)",AJ$18:AJ28))</f>
        <v/>
      </c>
      <c r="AK11" s="997" t="str">
        <f>IF(AK$9&gt;$C$7,"",SUMIF($E$18:$E28,"Actual (m)",AK$18:AK28))</f>
        <v/>
      </c>
      <c r="AL11" s="998" t="str">
        <f>IF(AL$9&gt;$C$7,"",SUMIF($E$18:$E28,"Actual (m)",AL$18:AL28))</f>
        <v/>
      </c>
    </row>
    <row r="12" spans="2:38" s="733" customFormat="1" ht="14.4" thickBot="1">
      <c r="B12" s="1035" t="s">
        <v>212</v>
      </c>
      <c r="C12" s="1036">
        <f>SUM(C10:C11)</f>
        <v>248</v>
      </c>
      <c r="D12" s="1092">
        <f>SUM(D10:D11)</f>
        <v>262.8</v>
      </c>
      <c r="E12" s="1093">
        <f>IFERROR((D12-C12)/C12,0)</f>
        <v>5.9677419354838758E-2</v>
      </c>
      <c r="G12" s="198" t="s">
        <v>213</v>
      </c>
      <c r="H12" s="2198">
        <f>IF(H$9&gt;$C$7,"",SUMIF($E30:$E$52,"Budget (m)",H30:H$52))</f>
        <v>38</v>
      </c>
      <c r="I12" s="2199">
        <f>IF(I$9&gt;$C$7,"",SUMIF($E30:$E$52,"Budget (m)",I30:I$52))</f>
        <v>38</v>
      </c>
      <c r="J12" s="2199">
        <f>IF(J$9&gt;$C$7,"",SUMIF($E30:$E$52,"Budget (m)",J30:J$52))</f>
        <v>48</v>
      </c>
      <c r="K12" s="2199">
        <f>IF(K$9&gt;$C$7,"",SUMIF($E30:$E$55,"Budget (m)",K30:K$55))</f>
        <v>66</v>
      </c>
      <c r="L12" s="2199">
        <f>IF(L$9&gt;$C$7,"",SUMIF($E30:$E$55,"Budget (m)",L30:L$55))</f>
        <v>58</v>
      </c>
      <c r="M12" s="2199" t="str">
        <f>IF(M$9&gt;$C$7,"",SUMIF($E30:$E$55,"Budget (m)",M30:M$55))</f>
        <v/>
      </c>
      <c r="N12" s="2199" t="str">
        <f>IF(N$9&gt;$C$7,"",SUMIF($E30:$E$55,"Budget (m)",N30:N$55))</f>
        <v/>
      </c>
      <c r="O12" s="2199" t="str">
        <f>IF(O$9&gt;$C$7,"",SUMIF($E30:$E$55,"Budget (m)",O30:O$55))</f>
        <v/>
      </c>
      <c r="P12" s="2199" t="str">
        <f>IF(P$9&gt;$C$7,"",SUMIF($E30:$E$55,"Budget (m)",P30:P$55))</f>
        <v/>
      </c>
      <c r="Q12" s="2199" t="str">
        <f>IF(Q$9&gt;$C$7,"",SUMIF($E30:$E$55,"Budget (m)",Q30:Q$55))</f>
        <v/>
      </c>
      <c r="R12" s="2199" t="str">
        <f>IF(R$9&gt;$C$7,"",SUMIF($E30:$E$55,"Budget (m)",R30:R$55))</f>
        <v/>
      </c>
      <c r="S12" s="2199" t="str">
        <f>IF(S$9&gt;$C$7,"",SUMIF($E30:$E$55,"Budget (m)",S30:S$55))</f>
        <v/>
      </c>
      <c r="T12" s="2199" t="str">
        <f>IF(T$9&gt;$C$7,"",SUMIF($E30:$E$55,"Budget (m)",T30:T$55))</f>
        <v/>
      </c>
      <c r="U12" s="2199" t="str">
        <f>IF(U$9&gt;$C$7,"",SUMIF($E30:$E$55,"Budget (m)",U30:U$55))</f>
        <v/>
      </c>
      <c r="V12" s="2199" t="str">
        <f>IF(V$9&gt;$C$7,"",SUMIF($E30:$E$55,"Budget (m)",V30:V$55))</f>
        <v/>
      </c>
      <c r="W12" s="2199" t="str">
        <f>IF(W$9&gt;$C$7,"",SUMIF($E30:$E$55,"Budget (m)",W30:W$55))</f>
        <v/>
      </c>
      <c r="X12" s="2199" t="str">
        <f>IF(X$9&gt;$C$7,"",SUMIF($E30:$E$55,"Budget (m)",X30:X$55))</f>
        <v/>
      </c>
      <c r="Y12" s="2199" t="str">
        <f>IF(Y$9&gt;$C$7,"",SUMIF($E30:$E$55,"Budget (m)",Y30:Y$55))</f>
        <v/>
      </c>
      <c r="Z12" s="2199" t="str">
        <f>IF(Z$9&gt;$C$7,"",SUMIF($E30:$E$55,"Budget (m)",Z30:Z$55))</f>
        <v/>
      </c>
      <c r="AA12" s="2199" t="str">
        <f>IF(AA$9&gt;$C$7,"",SUMIF($E30:$E$55,"Budget (m)",AA30:AA$55))</f>
        <v/>
      </c>
      <c r="AB12" s="2199" t="str">
        <f>IF(AB$9&gt;$C$7,"",SUMIF($E30:$E$55,"Budget (m)",AB30:AB$55))</f>
        <v/>
      </c>
      <c r="AC12" s="2199" t="str">
        <f>IF(AC$9&gt;$C$7,"",SUMIF($E30:$E$55,"Budget (m)",AC30:AC$55))</f>
        <v/>
      </c>
      <c r="AD12" s="2617" t="str">
        <f>IF(AD$9&gt;$C$7,"",SUMIF($E30:$E$55,"Budget (m)",AD30:AD$55))</f>
        <v/>
      </c>
      <c r="AE12" s="2617" t="str">
        <f>IF(AE$9&gt;$C$7,"",SUMIF($E30:$E$55,"Budget (m)",AE30:AE$55))</f>
        <v/>
      </c>
      <c r="AF12" s="2617" t="str">
        <f>IF(AF$9&gt;$C$7,"",SUMIF($E30:$E$55,"Budget (m)",AF30:AF$55))</f>
        <v/>
      </c>
      <c r="AG12" s="2617" t="str">
        <f>IF(AG$9&gt;$C$7,"",SUMIF($E30:$E$55,"Budget (m)",AG30:AG$55))</f>
        <v/>
      </c>
      <c r="AH12" s="2617" t="str">
        <f>IF(AH$9&gt;$C$7,"",SUMIF($E30:$E$55,"Budget (m)",AH30:AH$55))</f>
        <v/>
      </c>
      <c r="AI12" s="2617" t="str">
        <f>IF(AI$9&gt;$C$7,"",SUMIF($E30:$E$55,"Budget (m)",AI30:AI$55))</f>
        <v/>
      </c>
      <c r="AJ12" s="2617" t="str">
        <f>IF(AJ$9&gt;$C$7,"",SUMIF($E30:$E$55,"Budget (m)",AJ30:AJ$55))</f>
        <v/>
      </c>
      <c r="AK12" s="2617" t="str">
        <f>IF(AK$9&gt;$C$7,"",SUMIF($E30:$E$55,"Budget (m)",AK30:AK$55))</f>
        <v/>
      </c>
      <c r="AL12" s="2617" t="str">
        <f>IF(AL$9&gt;$C$7,"",SUMIF($E30:$E$55,"Budget (m)",AL30:AL$55))</f>
        <v/>
      </c>
    </row>
    <row r="13" spans="2:38" s="733" customFormat="1" ht="14.4" thickBot="1">
      <c r="G13" s="196" t="s">
        <v>214</v>
      </c>
      <c r="H13" s="2618">
        <f>IF(H$9&gt;$C$7,"",SUMIF($E30:$E$58,"Actual (m)",H30:H$58))</f>
        <v>68</v>
      </c>
      <c r="I13" s="2619">
        <f>IF(I$9&gt;$C$7,"",SUMIF($E30:$E$58,"Actual (m)",I30:I$58))</f>
        <v>54.7</v>
      </c>
      <c r="J13" s="2619">
        <f>IF(J$9&gt;$C$7,"",SUMIF($E30:$E$58,"Actual (m)",J30:J$58))</f>
        <v>39.5</v>
      </c>
      <c r="K13" s="2619">
        <f>IF(K$9&gt;$C$7,"",SUMIF($E30:$E$55,"Actual (m)",K30:K$55))</f>
        <v>51</v>
      </c>
      <c r="L13" s="2619">
        <f>IF(L$9&gt;$C$7,"",SUMIF($E30:$E$55,"Actual (m)",L30:L$55))</f>
        <v>49.6</v>
      </c>
      <c r="M13" s="2619" t="str">
        <f>IF(M$9&gt;$C$7,"",SUMIF($E30:$E$55,"Actual (m)",M30:M$55))</f>
        <v/>
      </c>
      <c r="N13" s="2619" t="str">
        <f>IF(N$9&gt;$C$7,"",SUMIF($E30:$E$55,"Actual (m)",N30:N$55))</f>
        <v/>
      </c>
      <c r="O13" s="2619" t="str">
        <f>IF(O$9&gt;$C$7,"",SUMIF($E30:$E$55,"Actual (m)",O30:O$55))</f>
        <v/>
      </c>
      <c r="P13" s="2619" t="str">
        <f>IF(P$9&gt;$C$7,"",SUMIF($E30:$E$55,"Actual (m)",P30:P$55))</f>
        <v/>
      </c>
      <c r="Q13" s="2619" t="str">
        <f>IF(Q$9&gt;$C$7,"",SUMIF($E30:$E$55,"Actual (m)",Q30:Q$55))</f>
        <v/>
      </c>
      <c r="R13" s="2619" t="str">
        <f>IF(R$9&gt;$C$7,"",SUMIF($E30:$E$55,"Actual (m)",R30:R$55))</f>
        <v/>
      </c>
      <c r="S13" s="2619" t="str">
        <f>IF(S$9&gt;$C$7,"",SUMIF($E30:$E$55,"Actual (m)",S30:S$55))</f>
        <v/>
      </c>
      <c r="T13" s="2619" t="str">
        <f>IF(T$9&gt;$C$7,"",SUMIF($E30:$E$55,"Actual (m)",T30:T$55))</f>
        <v/>
      </c>
      <c r="U13" s="2619" t="str">
        <f>IF(U$9&gt;$C$7,"",SUMIF($E30:$E$55,"Actual (m)",U30:U$55))</f>
        <v/>
      </c>
      <c r="V13" s="2619" t="str">
        <f>IF(V$9&gt;$C$7,"",SUMIF($E30:$E$55,"Actual (m)",V30:V$55))</f>
        <v/>
      </c>
      <c r="W13" s="2619" t="str">
        <f>IF(W$9&gt;$C$7,"",SUMIF($E30:$E$55,"Actual (m)",W30:W$55))</f>
        <v/>
      </c>
      <c r="X13" s="2619" t="str">
        <f>IF(X$9&gt;$C$7,"",SUMIF($E30:$E$55,"Actual (m)",X30:X$55))</f>
        <v/>
      </c>
      <c r="Y13" s="2619" t="str">
        <f>IF(Y$9&gt;$C$7,"",SUMIF($E30:$E$55,"Actual (m)",Y30:Y$55))</f>
        <v/>
      </c>
      <c r="Z13" s="2619" t="str">
        <f>IF(Z$9&gt;$C$7,"",SUMIF($E30:$E$55,"Actual (m)",Z30:Z$55))</f>
        <v/>
      </c>
      <c r="AA13" s="2619" t="str">
        <f>IF(AA$9&gt;$C$7,"",SUMIF($E30:$E$55,"Actual (m)",AA30:AA$55))</f>
        <v/>
      </c>
      <c r="AB13" s="2619" t="str">
        <f>IF(AB$9&gt;$C$7,"",SUMIF($E30:$E$55,"Actual (m)",AB30:AB$55))</f>
        <v/>
      </c>
      <c r="AC13" s="2619" t="str">
        <f>IF(AC$9&gt;$C$7,"",SUMIF($E30:$E$55,"Actual (m)",AC30:AC$55))</f>
        <v/>
      </c>
      <c r="AD13" s="2620" t="str">
        <f>IF(AD$9&gt;$C$7,"",SUMIF($E30:$E$55,"Actual (m)",AD30:AD$55))</f>
        <v/>
      </c>
      <c r="AE13" s="2620" t="str">
        <f>IF(AE$9&gt;$C$7,"",SUMIF($E30:$E$55,"Actual (m)",AE30:AE$55))</f>
        <v/>
      </c>
      <c r="AF13" s="2620" t="str">
        <f>IF(AF$9&gt;$C$7,"",SUMIF($E30:$E$55,"Actual (m)",AF30:AF$55))</f>
        <v/>
      </c>
      <c r="AG13" s="2620" t="str">
        <f>IF(AG$9&gt;$C$7,"",SUMIF($E30:$E$55,"Actual (m)",AG30:AG$55))</f>
        <v/>
      </c>
      <c r="AH13" s="2620" t="str">
        <f>IF(AH$9&gt;$C$7,"",SUMIF($E30:$E$55,"Actual (m)",AH30:AH$55))</f>
        <v/>
      </c>
      <c r="AI13" s="2620" t="str">
        <f>IF(AI$9&gt;$C$7,"",SUMIF($E30:$E$55,"Actual (m)",AI30:AI$55))</f>
        <v/>
      </c>
      <c r="AJ13" s="2620" t="str">
        <f>IF(AJ$9&gt;$C$7,"",SUMIF($E30:$E$55,"Actual (m)",AJ30:AJ$55))</f>
        <v/>
      </c>
      <c r="AK13" s="2620" t="str">
        <f>IF(AK$9&gt;$C$7,"",SUMIF($E30:$E$55,"Actual (m)",AK30:AK$55))</f>
        <v/>
      </c>
      <c r="AL13" s="2620" t="str">
        <f>IF(AL$9&gt;$C$7,"",SUMIF($E30:$E$55,"Actual (m)",AL30:AL$55))</f>
        <v/>
      </c>
    </row>
    <row r="14" spans="2:38" s="733" customFormat="1">
      <c r="G14" s="198" t="s">
        <v>215</v>
      </c>
      <c r="H14" s="2198">
        <f t="shared" ref="H14:AL14" si="0">IFERROR(H10+H12,"")</f>
        <v>38</v>
      </c>
      <c r="I14" s="2199">
        <f t="shared" si="0"/>
        <v>38</v>
      </c>
      <c r="J14" s="2199">
        <f t="shared" si="0"/>
        <v>48</v>
      </c>
      <c r="K14" s="2199">
        <f>IFERROR(K10+K12,"")</f>
        <v>66</v>
      </c>
      <c r="L14" s="2199">
        <f t="shared" si="0"/>
        <v>58</v>
      </c>
      <c r="M14" s="2199" t="str">
        <f t="shared" si="0"/>
        <v/>
      </c>
      <c r="N14" s="2199" t="str">
        <f t="shared" si="0"/>
        <v/>
      </c>
      <c r="O14" s="2199" t="str">
        <f t="shared" si="0"/>
        <v/>
      </c>
      <c r="P14" s="2199" t="str">
        <f t="shared" si="0"/>
        <v/>
      </c>
      <c r="Q14" s="2199" t="str">
        <f t="shared" si="0"/>
        <v/>
      </c>
      <c r="R14" s="2199" t="str">
        <f t="shared" si="0"/>
        <v/>
      </c>
      <c r="S14" s="2199" t="str">
        <f t="shared" si="0"/>
        <v/>
      </c>
      <c r="T14" s="2199" t="str">
        <f t="shared" si="0"/>
        <v/>
      </c>
      <c r="U14" s="2199" t="str">
        <f t="shared" si="0"/>
        <v/>
      </c>
      <c r="V14" s="2199" t="str">
        <f t="shared" si="0"/>
        <v/>
      </c>
      <c r="W14" s="2199" t="str">
        <f t="shared" si="0"/>
        <v/>
      </c>
      <c r="X14" s="2199" t="str">
        <f t="shared" si="0"/>
        <v/>
      </c>
      <c r="Y14" s="2199" t="str">
        <f t="shared" si="0"/>
        <v/>
      </c>
      <c r="Z14" s="2199" t="str">
        <f t="shared" si="0"/>
        <v/>
      </c>
      <c r="AA14" s="2199" t="str">
        <f t="shared" si="0"/>
        <v/>
      </c>
      <c r="AB14" s="2199" t="str">
        <f t="shared" si="0"/>
        <v/>
      </c>
      <c r="AC14" s="2199" t="str">
        <f t="shared" si="0"/>
        <v/>
      </c>
      <c r="AD14" s="112" t="str">
        <f t="shared" si="0"/>
        <v/>
      </c>
      <c r="AE14" s="112" t="str">
        <f t="shared" si="0"/>
        <v/>
      </c>
      <c r="AF14" s="112" t="str">
        <f t="shared" si="0"/>
        <v/>
      </c>
      <c r="AG14" s="112" t="str">
        <f t="shared" si="0"/>
        <v/>
      </c>
      <c r="AH14" s="112" t="str">
        <f t="shared" si="0"/>
        <v/>
      </c>
      <c r="AI14" s="112" t="str">
        <f t="shared" si="0"/>
        <v/>
      </c>
      <c r="AJ14" s="112" t="str">
        <f t="shared" si="0"/>
        <v/>
      </c>
      <c r="AK14" s="112" t="str">
        <f t="shared" si="0"/>
        <v/>
      </c>
      <c r="AL14" s="113" t="str">
        <f t="shared" si="0"/>
        <v/>
      </c>
    </row>
    <row r="15" spans="2:38" s="733" customFormat="1" ht="14.4" thickBot="1">
      <c r="G15" s="196" t="s">
        <v>216</v>
      </c>
      <c r="H15" s="2618">
        <f t="shared" ref="H15:AL15" si="1">IFERROR(H11+H13,"")</f>
        <v>68</v>
      </c>
      <c r="I15" s="2619">
        <f t="shared" si="1"/>
        <v>54.7</v>
      </c>
      <c r="J15" s="2619">
        <f t="shared" si="1"/>
        <v>39.5</v>
      </c>
      <c r="K15" s="2619">
        <f t="shared" si="1"/>
        <v>51</v>
      </c>
      <c r="L15" s="2619">
        <f t="shared" si="1"/>
        <v>49.6</v>
      </c>
      <c r="M15" s="2619" t="str">
        <f t="shared" si="1"/>
        <v/>
      </c>
      <c r="N15" s="2619" t="str">
        <f t="shared" si="1"/>
        <v/>
      </c>
      <c r="O15" s="2619" t="str">
        <f t="shared" si="1"/>
        <v/>
      </c>
      <c r="P15" s="2619" t="str">
        <f t="shared" si="1"/>
        <v/>
      </c>
      <c r="Q15" s="2619" t="str">
        <f t="shared" si="1"/>
        <v/>
      </c>
      <c r="R15" s="2619" t="str">
        <f t="shared" si="1"/>
        <v/>
      </c>
      <c r="S15" s="2619" t="str">
        <f t="shared" si="1"/>
        <v/>
      </c>
      <c r="T15" s="2619" t="str">
        <f t="shared" si="1"/>
        <v/>
      </c>
      <c r="U15" s="2619" t="str">
        <f t="shared" si="1"/>
        <v/>
      </c>
      <c r="V15" s="2619" t="str">
        <f t="shared" si="1"/>
        <v/>
      </c>
      <c r="W15" s="2619" t="str">
        <f t="shared" si="1"/>
        <v/>
      </c>
      <c r="X15" s="2619" t="str">
        <f t="shared" si="1"/>
        <v/>
      </c>
      <c r="Y15" s="2619" t="str">
        <f t="shared" si="1"/>
        <v/>
      </c>
      <c r="Z15" s="2619" t="str">
        <f t="shared" si="1"/>
        <v/>
      </c>
      <c r="AA15" s="2619" t="str">
        <f t="shared" si="1"/>
        <v/>
      </c>
      <c r="AB15" s="2619" t="str">
        <f t="shared" si="1"/>
        <v/>
      </c>
      <c r="AC15" s="2619" t="str">
        <f t="shared" si="1"/>
        <v/>
      </c>
      <c r="AD15" s="2619" t="str">
        <f t="shared" si="1"/>
        <v/>
      </c>
      <c r="AE15" s="2619" t="str">
        <f t="shared" si="1"/>
        <v/>
      </c>
      <c r="AF15" s="2619" t="str">
        <f t="shared" si="1"/>
        <v/>
      </c>
      <c r="AG15" s="2619" t="str">
        <f t="shared" si="1"/>
        <v/>
      </c>
      <c r="AH15" s="2619" t="str">
        <f t="shared" si="1"/>
        <v/>
      </c>
      <c r="AI15" s="2619" t="str">
        <f t="shared" si="1"/>
        <v/>
      </c>
      <c r="AJ15" s="2619" t="str">
        <f t="shared" si="1"/>
        <v/>
      </c>
      <c r="AK15" s="2619" t="str">
        <f t="shared" si="1"/>
        <v/>
      </c>
      <c r="AL15" s="2621" t="str">
        <f t="shared" si="1"/>
        <v/>
      </c>
    </row>
    <row r="16" spans="2:38" s="733" customFormat="1"/>
    <row r="17" spans="2:39" s="747" customFormat="1" ht="14.4" thickBot="1">
      <c r="B17" s="2164" t="s">
        <v>217</v>
      </c>
      <c r="C17" s="398" t="s">
        <v>218</v>
      </c>
      <c r="D17" s="2165" t="s">
        <v>219</v>
      </c>
      <c r="E17" s="401"/>
      <c r="F17" s="402" t="s">
        <v>14</v>
      </c>
      <c r="G17" s="403" t="s">
        <v>220</v>
      </c>
      <c r="H17" s="743">
        <f>SUMMARY!I16</f>
        <v>45870</v>
      </c>
      <c r="I17" s="744">
        <f>SUMMARY!J16</f>
        <v>45871</v>
      </c>
      <c r="J17" s="744">
        <f>SUMMARY!K16</f>
        <v>45872</v>
      </c>
      <c r="K17" s="744">
        <f>SUMMARY!L16</f>
        <v>45873</v>
      </c>
      <c r="L17" s="744">
        <f>SUMMARY!M16</f>
        <v>45874</v>
      </c>
      <c r="M17" s="744">
        <f>SUMMARY!N16</f>
        <v>45875</v>
      </c>
      <c r="N17" s="744">
        <f>SUMMARY!O16</f>
        <v>45876</v>
      </c>
      <c r="O17" s="744">
        <f>SUMMARY!P16</f>
        <v>45877</v>
      </c>
      <c r="P17" s="744">
        <f>SUMMARY!Q16</f>
        <v>45878</v>
      </c>
      <c r="Q17" s="744">
        <f>SUMMARY!R16</f>
        <v>45879</v>
      </c>
      <c r="R17" s="744">
        <f>SUMMARY!S16</f>
        <v>45880</v>
      </c>
      <c r="S17" s="744">
        <f>SUMMARY!T16</f>
        <v>45881</v>
      </c>
      <c r="T17" s="744">
        <f>SUMMARY!U16</f>
        <v>45882</v>
      </c>
      <c r="U17" s="744">
        <f>SUMMARY!V16</f>
        <v>45883</v>
      </c>
      <c r="V17" s="744">
        <f>SUMMARY!W16</f>
        <v>45884</v>
      </c>
      <c r="W17" s="744">
        <f>SUMMARY!X16</f>
        <v>45885</v>
      </c>
      <c r="X17" s="744">
        <f>SUMMARY!Y16</f>
        <v>45886</v>
      </c>
      <c r="Y17" s="744">
        <f>SUMMARY!Z16</f>
        <v>45887</v>
      </c>
      <c r="Z17" s="744">
        <f>SUMMARY!AA16</f>
        <v>45888</v>
      </c>
      <c r="AA17" s="744">
        <f>SUMMARY!AB16</f>
        <v>45889</v>
      </c>
      <c r="AB17" s="744">
        <f>SUMMARY!AC16</f>
        <v>45890</v>
      </c>
      <c r="AC17" s="744">
        <f>SUMMARY!AD16</f>
        <v>45891</v>
      </c>
      <c r="AD17" s="744">
        <f>SUMMARY!AE16</f>
        <v>45892</v>
      </c>
      <c r="AE17" s="744">
        <f>SUMMARY!AF16</f>
        <v>45893</v>
      </c>
      <c r="AF17" s="744">
        <f>SUMMARY!AG16</f>
        <v>45894</v>
      </c>
      <c r="AG17" s="744">
        <f>SUMMARY!AH16</f>
        <v>45895</v>
      </c>
      <c r="AH17" s="744">
        <f>SUMMARY!AI16</f>
        <v>45896</v>
      </c>
      <c r="AI17" s="744">
        <f>SUMMARY!AJ16</f>
        <v>45897</v>
      </c>
      <c r="AJ17" s="744">
        <f>SUMMARY!AK16</f>
        <v>45898</v>
      </c>
      <c r="AK17" s="745">
        <f>SUMMARY!AL16</f>
        <v>45899</v>
      </c>
      <c r="AL17" s="746">
        <f>SUMMARY!AM16</f>
        <v>45900</v>
      </c>
      <c r="AM17" s="374" t="s">
        <v>118</v>
      </c>
    </row>
    <row r="18" spans="2:39" ht="14.85" hidden="1" customHeight="1" thickBot="1">
      <c r="B18" s="2739" t="s">
        <v>221</v>
      </c>
      <c r="C18" s="2745" t="s">
        <v>222</v>
      </c>
      <c r="D18" s="2736" t="e">
        <f>DD.!#REF!</f>
        <v>#REF!</v>
      </c>
      <c r="E18" s="80" t="s">
        <v>223</v>
      </c>
      <c r="F18" s="117">
        <f>SUMIF($H$9:$AL$9,"&lt;="&amp;$C$7,H18:AL18)</f>
        <v>0</v>
      </c>
      <c r="G18" s="81"/>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c r="AK18" s="152"/>
      <c r="AL18" s="664"/>
      <c r="AM18" s="748"/>
    </row>
    <row r="19" spans="2:39" ht="14.85" hidden="1" customHeight="1" thickBot="1">
      <c r="B19" s="2740"/>
      <c r="C19" s="2745"/>
      <c r="D19" s="2736"/>
      <c r="E19" s="1094" t="s">
        <v>224</v>
      </c>
      <c r="F19" s="1095">
        <f>SUMIF($H$9:$AL$9,"&lt;="&amp;$C$7,H19:AL19)</f>
        <v>0</v>
      </c>
      <c r="G19" s="1096">
        <f>IFERROR((F19-F18)/F18,0)</f>
        <v>0</v>
      </c>
      <c r="H19" s="1097"/>
      <c r="I19" s="1095"/>
      <c r="J19" s="1095"/>
      <c r="K19" s="1095"/>
      <c r="L19" s="1095"/>
      <c r="M19" s="1095"/>
      <c r="N19" s="1095"/>
      <c r="O19" s="1095"/>
      <c r="P19" s="1095"/>
      <c r="Q19" s="1095"/>
      <c r="R19" s="1095"/>
      <c r="S19" s="1095"/>
      <c r="T19" s="1095"/>
      <c r="U19" s="1095"/>
      <c r="V19" s="1095"/>
      <c r="W19" s="1095"/>
      <c r="X19" s="1095"/>
      <c r="Y19" s="1095"/>
      <c r="Z19" s="1095"/>
      <c r="AA19" s="1095"/>
      <c r="AB19" s="1095"/>
      <c r="AC19" s="1095"/>
      <c r="AD19" s="1095"/>
      <c r="AE19" s="1095"/>
      <c r="AF19" s="1095"/>
      <c r="AG19" s="1095"/>
      <c r="AH19" s="1095"/>
      <c r="AI19" s="1095"/>
      <c r="AJ19" s="1095"/>
      <c r="AK19" s="1095"/>
      <c r="AL19" s="1098"/>
      <c r="AM19" s="750"/>
    </row>
    <row r="20" spans="2:39" s="754" customFormat="1" ht="15" hidden="1" customHeight="1" thickBot="1">
      <c r="B20" s="2740"/>
      <c r="C20" s="2745"/>
      <c r="D20" s="2736"/>
      <c r="E20" s="276" t="s">
        <v>199</v>
      </c>
      <c r="F20" s="751"/>
      <c r="G20" s="752"/>
      <c r="H20" s="1037"/>
      <c r="I20" s="990"/>
      <c r="J20" s="990"/>
      <c r="K20" s="990"/>
      <c r="L20" s="990"/>
      <c r="M20" s="990"/>
      <c r="N20" s="990"/>
      <c r="O20" s="990"/>
      <c r="P20" s="990"/>
      <c r="Q20" s="990"/>
      <c r="R20" s="990"/>
      <c r="S20" s="990"/>
      <c r="T20" s="990"/>
      <c r="U20" s="990"/>
      <c r="V20" s="990"/>
      <c r="W20" s="990"/>
      <c r="X20" s="990"/>
      <c r="Y20" s="990"/>
      <c r="Z20" s="990"/>
      <c r="AA20" s="990"/>
      <c r="AB20" s="990"/>
      <c r="AC20" s="990"/>
      <c r="AD20" s="990"/>
      <c r="AE20" s="990"/>
      <c r="AF20" s="990"/>
      <c r="AG20" s="990"/>
      <c r="AH20" s="990"/>
      <c r="AI20" s="990"/>
      <c r="AJ20" s="990"/>
      <c r="AK20" s="990"/>
      <c r="AL20" s="991"/>
      <c r="AM20" s="753"/>
    </row>
    <row r="21" spans="2:39" ht="14.4" hidden="1" thickBot="1">
      <c r="B21" s="2740"/>
      <c r="C21" s="2745"/>
      <c r="D21" s="2736" t="e">
        <f>DD.!#REF!</f>
        <v>#REF!</v>
      </c>
      <c r="E21" s="80" t="s">
        <v>223</v>
      </c>
      <c r="F21" s="117">
        <f>SUMIF($H$9:$AL$9,"&lt;="&amp;$C$7,H21:AL21)</f>
        <v>0</v>
      </c>
      <c r="G21" s="275"/>
      <c r="H21" s="152"/>
      <c r="I21" s="152"/>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c r="AK21" s="152"/>
      <c r="AL21" s="279"/>
      <c r="AM21" s="755"/>
    </row>
    <row r="22" spans="2:39" ht="14.4" hidden="1" thickBot="1">
      <c r="B22" s="2740"/>
      <c r="C22" s="2745"/>
      <c r="D22" s="2736"/>
      <c r="E22" s="1094" t="s">
        <v>224</v>
      </c>
      <c r="F22" s="1095">
        <f t="shared" ref="F22" si="2">SUMIF($H$9:$AL$9,"&lt;="&amp;$C$7,H22:AL22)</f>
        <v>0</v>
      </c>
      <c r="G22" s="1099">
        <f>IFERROR((F22-F21)/F21,0)</f>
        <v>0</v>
      </c>
      <c r="H22" s="1097"/>
      <c r="I22" s="1095"/>
      <c r="J22" s="1095"/>
      <c r="K22" s="1095"/>
      <c r="L22" s="1095"/>
      <c r="M22" s="1095"/>
      <c r="N22" s="1095"/>
      <c r="O22" s="1095"/>
      <c r="P22" s="1095"/>
      <c r="Q22" s="1095"/>
      <c r="R22" s="1095"/>
      <c r="S22" s="1095"/>
      <c r="T22" s="1095"/>
      <c r="U22" s="1095"/>
      <c r="V22" s="1095"/>
      <c r="W22" s="1095"/>
      <c r="X22" s="1095"/>
      <c r="Y22" s="1095"/>
      <c r="Z22" s="1095"/>
      <c r="AA22" s="1095"/>
      <c r="AB22" s="1095"/>
      <c r="AC22" s="1095"/>
      <c r="AD22" s="1095"/>
      <c r="AE22" s="1095"/>
      <c r="AF22" s="1095"/>
      <c r="AG22" s="1095"/>
      <c r="AH22" s="1095"/>
      <c r="AI22" s="1095"/>
      <c r="AJ22" s="1095"/>
      <c r="AK22" s="1095"/>
      <c r="AL22" s="1098"/>
      <c r="AM22" s="750"/>
    </row>
    <row r="23" spans="2:39" s="754" customFormat="1" ht="14.4" hidden="1" thickBot="1">
      <c r="B23" s="2740"/>
      <c r="C23" s="2745"/>
      <c r="D23" s="2736"/>
      <c r="E23" s="276" t="s">
        <v>199</v>
      </c>
      <c r="F23" s="751"/>
      <c r="G23" s="756"/>
      <c r="H23" s="1037"/>
      <c r="I23" s="990"/>
      <c r="J23" s="990"/>
      <c r="K23" s="990"/>
      <c r="L23" s="990"/>
      <c r="M23" s="990"/>
      <c r="N23" s="990"/>
      <c r="O23" s="990"/>
      <c r="P23" s="990"/>
      <c r="Q23" s="990"/>
      <c r="R23" s="990"/>
      <c r="S23" s="990"/>
      <c r="T23" s="990"/>
      <c r="U23" s="990"/>
      <c r="V23" s="990"/>
      <c r="W23" s="990"/>
      <c r="X23" s="990"/>
      <c r="Y23" s="990"/>
      <c r="Z23" s="990"/>
      <c r="AA23" s="990"/>
      <c r="AB23" s="990"/>
      <c r="AC23" s="990"/>
      <c r="AD23" s="990"/>
      <c r="AE23" s="990"/>
      <c r="AF23" s="990"/>
      <c r="AG23" s="990"/>
      <c r="AH23" s="990"/>
      <c r="AI23" s="990"/>
      <c r="AJ23" s="990"/>
      <c r="AK23" s="990"/>
      <c r="AL23" s="991"/>
      <c r="AM23" s="753"/>
    </row>
    <row r="24" spans="2:39" ht="14.85" hidden="1" customHeight="1" thickBot="1">
      <c r="B24" s="2740"/>
      <c r="C24" s="2745"/>
      <c r="D24" s="2736" t="s">
        <v>225</v>
      </c>
      <c r="E24" s="80" t="s">
        <v>223</v>
      </c>
      <c r="F24" s="117">
        <f>SUMIF($H$9:$AL$9,"&lt;="&amp;$C$7,H24:AL24)</f>
        <v>0</v>
      </c>
      <c r="G24" s="81"/>
      <c r="H24" s="277"/>
      <c r="I24" s="278"/>
      <c r="J24" s="278"/>
      <c r="K24" s="278"/>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279"/>
      <c r="AM24" s="755"/>
    </row>
    <row r="25" spans="2:39" ht="14.85" hidden="1" customHeight="1" thickBot="1">
      <c r="B25" s="2740"/>
      <c r="C25" s="2745"/>
      <c r="D25" s="2736"/>
      <c r="E25" s="1094" t="s">
        <v>224</v>
      </c>
      <c r="F25" s="1095">
        <f t="shared" ref="F25" si="3">SUMIF($H$9:$AL$9,"&lt;="&amp;$C$7,H25:AL25)</f>
        <v>0</v>
      </c>
      <c r="G25" s="1096">
        <f t="shared" ref="G25" si="4">IFERROR((F25-F24)/F24,0)</f>
        <v>0</v>
      </c>
      <c r="H25" s="1097"/>
      <c r="I25" s="1095"/>
      <c r="J25" s="1095"/>
      <c r="K25" s="1095"/>
      <c r="L25" s="1095"/>
      <c r="M25" s="1095"/>
      <c r="N25" s="1095"/>
      <c r="O25" s="1095"/>
      <c r="P25" s="1095"/>
      <c r="Q25" s="1095"/>
      <c r="R25" s="1095"/>
      <c r="S25" s="1095"/>
      <c r="T25" s="1095"/>
      <c r="U25" s="1095"/>
      <c r="V25" s="1095"/>
      <c r="W25" s="1095"/>
      <c r="X25" s="1095"/>
      <c r="Y25" s="1095"/>
      <c r="Z25" s="1095"/>
      <c r="AA25" s="1095"/>
      <c r="AB25" s="1095"/>
      <c r="AC25" s="1095"/>
      <c r="AD25" s="1095"/>
      <c r="AE25" s="1095"/>
      <c r="AF25" s="1095"/>
      <c r="AG25" s="1095"/>
      <c r="AH25" s="1095"/>
      <c r="AI25" s="1095"/>
      <c r="AJ25" s="1095"/>
      <c r="AK25" s="1095"/>
      <c r="AL25" s="1098"/>
      <c r="AM25" s="750"/>
    </row>
    <row r="26" spans="2:39" s="754" customFormat="1" ht="15" hidden="1" customHeight="1" thickBot="1">
      <c r="B26" s="2740"/>
      <c r="C26" s="2745"/>
      <c r="D26" s="2736"/>
      <c r="E26" s="276" t="s">
        <v>199</v>
      </c>
      <c r="F26" s="751"/>
      <c r="G26" s="752"/>
      <c r="H26" s="1037"/>
      <c r="I26" s="990"/>
      <c r="J26" s="990"/>
      <c r="K26" s="990"/>
      <c r="L26" s="990"/>
      <c r="M26" s="990"/>
      <c r="N26" s="990"/>
      <c r="O26" s="990"/>
      <c r="P26" s="990"/>
      <c r="Q26" s="990"/>
      <c r="R26" s="990"/>
      <c r="S26" s="990"/>
      <c r="T26" s="990"/>
      <c r="U26" s="990"/>
      <c r="V26" s="990"/>
      <c r="W26" s="990"/>
      <c r="X26" s="990"/>
      <c r="Y26" s="990"/>
      <c r="Z26" s="990"/>
      <c r="AA26" s="990"/>
      <c r="AB26" s="990"/>
      <c r="AC26" s="990"/>
      <c r="AD26" s="990"/>
      <c r="AE26" s="990"/>
      <c r="AF26" s="990"/>
      <c r="AG26" s="990"/>
      <c r="AH26" s="990"/>
      <c r="AI26" s="990"/>
      <c r="AJ26" s="990"/>
      <c r="AK26" s="990"/>
      <c r="AL26" s="992"/>
      <c r="AM26" s="753"/>
    </row>
    <row r="27" spans="2:39" s="757" customFormat="1" ht="15" hidden="1" customHeight="1">
      <c r="B27" s="2740"/>
      <c r="C27" s="2745"/>
      <c r="D27" s="2743" t="s">
        <v>226</v>
      </c>
      <c r="E27" s="80" t="s">
        <v>227</v>
      </c>
      <c r="F27" s="117">
        <f>SUMIF($H$9:$AL$9,"&lt;="&amp;$C$7,H27:AL27)</f>
        <v>0</v>
      </c>
      <c r="G27" s="117"/>
      <c r="H27" s="650">
        <f t="shared" ref="H27:AL27" si="5">SUM(H21,H18,H24)</f>
        <v>0</v>
      </c>
      <c r="I27" s="651">
        <f t="shared" si="5"/>
        <v>0</v>
      </c>
      <c r="J27" s="651">
        <f t="shared" si="5"/>
        <v>0</v>
      </c>
      <c r="K27" s="651">
        <f t="shared" si="5"/>
        <v>0</v>
      </c>
      <c r="L27" s="652">
        <f t="shared" si="5"/>
        <v>0</v>
      </c>
      <c r="M27" s="652">
        <f t="shared" si="5"/>
        <v>0</v>
      </c>
      <c r="N27" s="652">
        <f t="shared" si="5"/>
        <v>0</v>
      </c>
      <c r="O27" s="652">
        <f t="shared" si="5"/>
        <v>0</v>
      </c>
      <c r="P27" s="652">
        <f t="shared" si="5"/>
        <v>0</v>
      </c>
      <c r="Q27" s="652">
        <f t="shared" si="5"/>
        <v>0</v>
      </c>
      <c r="R27" s="652">
        <f t="shared" si="5"/>
        <v>0</v>
      </c>
      <c r="S27" s="652">
        <f t="shared" si="5"/>
        <v>0</v>
      </c>
      <c r="T27" s="652">
        <f t="shared" si="5"/>
        <v>0</v>
      </c>
      <c r="U27" s="652">
        <f t="shared" si="5"/>
        <v>0</v>
      </c>
      <c r="V27" s="652">
        <f t="shared" si="5"/>
        <v>0</v>
      </c>
      <c r="W27" s="652">
        <f t="shared" si="5"/>
        <v>0</v>
      </c>
      <c r="X27" s="652">
        <f t="shared" si="5"/>
        <v>0</v>
      </c>
      <c r="Y27" s="652">
        <f t="shared" si="5"/>
        <v>0</v>
      </c>
      <c r="Z27" s="652">
        <f t="shared" si="5"/>
        <v>0</v>
      </c>
      <c r="AA27" s="652">
        <f t="shared" si="5"/>
        <v>0</v>
      </c>
      <c r="AB27" s="652">
        <f t="shared" si="5"/>
        <v>0</v>
      </c>
      <c r="AC27" s="652">
        <f t="shared" si="5"/>
        <v>0</v>
      </c>
      <c r="AD27" s="652">
        <f t="shared" si="5"/>
        <v>0</v>
      </c>
      <c r="AE27" s="652">
        <f t="shared" si="5"/>
        <v>0</v>
      </c>
      <c r="AF27" s="652">
        <f t="shared" si="5"/>
        <v>0</v>
      </c>
      <c r="AG27" s="652">
        <f t="shared" si="5"/>
        <v>0</v>
      </c>
      <c r="AH27" s="652">
        <f t="shared" si="5"/>
        <v>0</v>
      </c>
      <c r="AI27" s="652">
        <f t="shared" si="5"/>
        <v>0</v>
      </c>
      <c r="AJ27" s="652">
        <f t="shared" si="5"/>
        <v>0</v>
      </c>
      <c r="AK27" s="652">
        <f t="shared" si="5"/>
        <v>0</v>
      </c>
      <c r="AL27" s="653">
        <f t="shared" si="5"/>
        <v>0</v>
      </c>
    </row>
    <row r="28" spans="2:39" s="757" customFormat="1" ht="15" hidden="1" customHeight="1" thickBot="1">
      <c r="B28" s="2742"/>
      <c r="C28" s="2746"/>
      <c r="D28" s="2744"/>
      <c r="E28" s="1038" t="s">
        <v>228</v>
      </c>
      <c r="F28" s="993">
        <f>SUMIF($H$9:$AL$9,"&lt;="&amp;$C$7,H28:AL28)</f>
        <v>0</v>
      </c>
      <c r="G28" s="1039">
        <f>IFERROR((F28-F27)/F27,0)</f>
        <v>0</v>
      </c>
      <c r="H28" s="1040">
        <f t="shared" ref="H28:AL28" si="6">SUM(H22,H19,H25)</f>
        <v>0</v>
      </c>
      <c r="I28" s="993">
        <f t="shared" si="6"/>
        <v>0</v>
      </c>
      <c r="J28" s="993">
        <f t="shared" si="6"/>
        <v>0</v>
      </c>
      <c r="K28" s="993">
        <f t="shared" si="6"/>
        <v>0</v>
      </c>
      <c r="L28" s="993">
        <f t="shared" si="6"/>
        <v>0</v>
      </c>
      <c r="M28" s="993">
        <f t="shared" si="6"/>
        <v>0</v>
      </c>
      <c r="N28" s="993">
        <f t="shared" si="6"/>
        <v>0</v>
      </c>
      <c r="O28" s="993">
        <f t="shared" si="6"/>
        <v>0</v>
      </c>
      <c r="P28" s="993">
        <f t="shared" si="6"/>
        <v>0</v>
      </c>
      <c r="Q28" s="993">
        <f t="shared" si="6"/>
        <v>0</v>
      </c>
      <c r="R28" s="993">
        <f t="shared" si="6"/>
        <v>0</v>
      </c>
      <c r="S28" s="993">
        <f t="shared" si="6"/>
        <v>0</v>
      </c>
      <c r="T28" s="993">
        <f t="shared" si="6"/>
        <v>0</v>
      </c>
      <c r="U28" s="993">
        <f t="shared" si="6"/>
        <v>0</v>
      </c>
      <c r="V28" s="993">
        <f t="shared" si="6"/>
        <v>0</v>
      </c>
      <c r="W28" s="993">
        <f t="shared" si="6"/>
        <v>0</v>
      </c>
      <c r="X28" s="993">
        <f t="shared" si="6"/>
        <v>0</v>
      </c>
      <c r="Y28" s="993">
        <f t="shared" si="6"/>
        <v>0</v>
      </c>
      <c r="Z28" s="993">
        <f t="shared" si="6"/>
        <v>0</v>
      </c>
      <c r="AA28" s="993">
        <f t="shared" si="6"/>
        <v>0</v>
      </c>
      <c r="AB28" s="993">
        <f t="shared" si="6"/>
        <v>0</v>
      </c>
      <c r="AC28" s="993">
        <f t="shared" si="6"/>
        <v>0</v>
      </c>
      <c r="AD28" s="993">
        <f t="shared" si="6"/>
        <v>0</v>
      </c>
      <c r="AE28" s="993">
        <f t="shared" si="6"/>
        <v>0</v>
      </c>
      <c r="AF28" s="993">
        <f t="shared" si="6"/>
        <v>0</v>
      </c>
      <c r="AG28" s="993">
        <f t="shared" si="6"/>
        <v>0</v>
      </c>
      <c r="AH28" s="993">
        <f t="shared" si="6"/>
        <v>0</v>
      </c>
      <c r="AI28" s="993">
        <f t="shared" si="6"/>
        <v>0</v>
      </c>
      <c r="AJ28" s="993">
        <f t="shared" si="6"/>
        <v>0</v>
      </c>
      <c r="AK28" s="993">
        <f t="shared" si="6"/>
        <v>0</v>
      </c>
      <c r="AL28" s="994">
        <f t="shared" si="6"/>
        <v>0</v>
      </c>
    </row>
    <row r="29" spans="2:39" s="757" customFormat="1" ht="15" hidden="1" customHeight="1" thickBot="1"/>
    <row r="30" spans="2:39" ht="14.85" hidden="1" customHeight="1" thickBot="1">
      <c r="B30" s="2739" t="s">
        <v>229</v>
      </c>
      <c r="C30" s="2747" t="s">
        <v>230</v>
      </c>
      <c r="D30" s="2735" t="s">
        <v>231</v>
      </c>
      <c r="E30" s="80" t="s">
        <v>223</v>
      </c>
      <c r="F30" s="117">
        <f t="shared" ref="F30:F31" si="7">SUMIF($H$9:$AL$9,"&lt;="&amp;$C$7,H30:AL30)</f>
        <v>0</v>
      </c>
      <c r="G30" s="81"/>
      <c r="H30" s="277"/>
      <c r="I30" s="278"/>
      <c r="J30" s="278"/>
      <c r="K30" s="278"/>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279"/>
      <c r="AM30" s="755"/>
    </row>
    <row r="31" spans="2:39" ht="14.85" hidden="1" customHeight="1" thickBot="1">
      <c r="B31" s="2740"/>
      <c r="C31" s="2745"/>
      <c r="D31" s="2735"/>
      <c r="E31" s="1094" t="s">
        <v>224</v>
      </c>
      <c r="F31" s="1095">
        <f t="shared" si="7"/>
        <v>0</v>
      </c>
      <c r="G31" s="1096">
        <f>IFERROR((F31-F30)/F30,0)</f>
        <v>0</v>
      </c>
      <c r="H31" s="1097">
        <v>0</v>
      </c>
      <c r="I31" s="1095">
        <v>0</v>
      </c>
      <c r="J31" s="1095">
        <v>0</v>
      </c>
      <c r="K31" s="1095">
        <v>0</v>
      </c>
      <c r="L31" s="1095"/>
      <c r="M31" s="1095">
        <v>0</v>
      </c>
      <c r="N31" s="1095">
        <v>0</v>
      </c>
      <c r="O31" s="1095">
        <v>0</v>
      </c>
      <c r="P31" s="1095">
        <v>0</v>
      </c>
      <c r="Q31" s="1095">
        <v>0</v>
      </c>
      <c r="R31" s="1095">
        <v>0</v>
      </c>
      <c r="S31" s="1095">
        <v>0</v>
      </c>
      <c r="T31" s="1095">
        <v>0</v>
      </c>
      <c r="U31" s="1095">
        <v>0</v>
      </c>
      <c r="V31" s="1095">
        <v>0</v>
      </c>
      <c r="W31" s="1095">
        <v>0</v>
      </c>
      <c r="X31" s="1095">
        <v>0</v>
      </c>
      <c r="Y31" s="1095">
        <v>0</v>
      </c>
      <c r="Z31" s="1095">
        <v>0</v>
      </c>
      <c r="AA31" s="1095">
        <v>0</v>
      </c>
      <c r="AB31" s="1095">
        <v>0</v>
      </c>
      <c r="AC31" s="1095">
        <v>0</v>
      </c>
      <c r="AD31" s="1095">
        <v>0</v>
      </c>
      <c r="AE31" s="1095">
        <v>0</v>
      </c>
      <c r="AF31" s="1095">
        <v>0</v>
      </c>
      <c r="AG31" s="1095">
        <v>0</v>
      </c>
      <c r="AH31" s="1095">
        <v>0</v>
      </c>
      <c r="AI31" s="1095">
        <v>0</v>
      </c>
      <c r="AJ31" s="1095">
        <v>0</v>
      </c>
      <c r="AK31" s="1095">
        <v>0</v>
      </c>
      <c r="AL31" s="1098">
        <v>0</v>
      </c>
      <c r="AM31" s="750"/>
    </row>
    <row r="32" spans="2:39" s="754" customFormat="1" ht="15" hidden="1" customHeight="1" thickBot="1">
      <c r="B32" s="2740"/>
      <c r="C32" s="2745"/>
      <c r="D32" s="2735"/>
      <c r="E32" s="276" t="s">
        <v>199</v>
      </c>
      <c r="F32" s="751"/>
      <c r="G32" s="752"/>
      <c r="H32" s="1037">
        <v>0</v>
      </c>
      <c r="I32" s="990">
        <v>0</v>
      </c>
      <c r="J32" s="990">
        <v>0</v>
      </c>
      <c r="K32" s="990">
        <v>0</v>
      </c>
      <c r="L32" s="990">
        <v>0</v>
      </c>
      <c r="M32" s="990">
        <v>0</v>
      </c>
      <c r="N32" s="990">
        <v>0</v>
      </c>
      <c r="O32" s="990">
        <v>0</v>
      </c>
      <c r="P32" s="990">
        <v>0</v>
      </c>
      <c r="Q32" s="990">
        <v>0</v>
      </c>
      <c r="R32" s="990">
        <v>0</v>
      </c>
      <c r="S32" s="990">
        <v>0</v>
      </c>
      <c r="T32" s="990">
        <v>0</v>
      </c>
      <c r="U32" s="990">
        <v>0</v>
      </c>
      <c r="V32" s="990">
        <v>0</v>
      </c>
      <c r="W32" s="990">
        <v>0</v>
      </c>
      <c r="X32" s="990">
        <v>0</v>
      </c>
      <c r="Y32" s="990">
        <v>0</v>
      </c>
      <c r="Z32" s="990">
        <v>0</v>
      </c>
      <c r="AA32" s="990">
        <v>0</v>
      </c>
      <c r="AB32" s="990">
        <v>0</v>
      </c>
      <c r="AC32" s="990">
        <v>0</v>
      </c>
      <c r="AD32" s="990">
        <v>0</v>
      </c>
      <c r="AE32" s="990">
        <v>0</v>
      </c>
      <c r="AF32" s="990">
        <v>0</v>
      </c>
      <c r="AG32" s="990">
        <v>0</v>
      </c>
      <c r="AH32" s="990">
        <v>0</v>
      </c>
      <c r="AI32" s="990">
        <v>0</v>
      </c>
      <c r="AJ32" s="990">
        <v>0</v>
      </c>
      <c r="AK32" s="990">
        <v>0</v>
      </c>
      <c r="AL32" s="992">
        <v>0</v>
      </c>
      <c r="AM32" s="753"/>
    </row>
    <row r="33" spans="2:39" ht="14.4" thickBot="1">
      <c r="B33" s="2740"/>
      <c r="C33" s="2745"/>
      <c r="D33" s="2735" t="s">
        <v>232</v>
      </c>
      <c r="E33" s="80" t="s">
        <v>223</v>
      </c>
      <c r="F33" s="117">
        <f>SUMIF($H$9:$AL$9,"&lt;="&amp;$C$7,H33:AL33)</f>
        <v>32</v>
      </c>
      <c r="G33" s="81"/>
      <c r="H33" s="277">
        <f>[2]Daily!L$36</f>
        <v>8</v>
      </c>
      <c r="I33" s="277">
        <f>[2]Daily!M$36</f>
        <v>8</v>
      </c>
      <c r="J33" s="277">
        <f>[2]Daily!N$36</f>
        <v>8</v>
      </c>
      <c r="K33" s="277">
        <f>[2]Daily!O$36</f>
        <v>8</v>
      </c>
      <c r="L33" s="277">
        <f>[2]Daily!P$36</f>
        <v>0</v>
      </c>
      <c r="M33" s="277">
        <f>[2]Daily!Q$36</f>
        <v>0</v>
      </c>
      <c r="N33" s="277">
        <f>[2]Daily!R$36</f>
        <v>8</v>
      </c>
      <c r="O33" s="277">
        <f>[2]Daily!S$36</f>
        <v>8</v>
      </c>
      <c r="P33" s="277">
        <f>[2]Daily!T$36</f>
        <v>8</v>
      </c>
      <c r="Q33" s="277">
        <f>[2]Daily!U$36</f>
        <v>8</v>
      </c>
      <c r="R33" s="277">
        <f>[2]Daily!V$36</f>
        <v>0</v>
      </c>
      <c r="S33" s="277">
        <f>[2]Daily!W$36</f>
        <v>8</v>
      </c>
      <c r="T33" s="277">
        <f>[2]Daily!X$36</f>
        <v>8</v>
      </c>
      <c r="U33" s="277">
        <f>[2]Daily!Y$36</f>
        <v>8</v>
      </c>
      <c r="V33" s="277">
        <f>[2]Daily!Z$36</f>
        <v>8</v>
      </c>
      <c r="W33" s="277">
        <f>[2]Daily!AA$36</f>
        <v>8</v>
      </c>
      <c r="X33" s="277">
        <f>[2]Daily!AB$36</f>
        <v>8</v>
      </c>
      <c r="Y33" s="277">
        <f>[2]Daily!AC$36</f>
        <v>8</v>
      </c>
      <c r="Z33" s="277">
        <f>[2]Daily!AD$36</f>
        <v>0</v>
      </c>
      <c r="AA33" s="277">
        <f>[2]Daily!AE$36</f>
        <v>8</v>
      </c>
      <c r="AB33" s="277">
        <f>[2]Daily!AF$36</f>
        <v>8</v>
      </c>
      <c r="AC33" s="277">
        <f>[2]Daily!AG$36</f>
        <v>8</v>
      </c>
      <c r="AD33" s="277">
        <f>[2]Daily!AH$36</f>
        <v>8</v>
      </c>
      <c r="AE33" s="277">
        <f>[2]Daily!AI$36</f>
        <v>8</v>
      </c>
      <c r="AF33" s="277">
        <f>[2]Daily!AJ$36</f>
        <v>8</v>
      </c>
      <c r="AG33" s="277">
        <f>[2]Daily!AK$36</f>
        <v>8</v>
      </c>
      <c r="AH33" s="277">
        <f>[2]Daily!AL$36</f>
        <v>8</v>
      </c>
      <c r="AI33" s="277">
        <f>[2]Daily!AM$36</f>
        <v>8</v>
      </c>
      <c r="AJ33" s="277">
        <f>[2]Daily!AN$36</f>
        <v>8</v>
      </c>
      <c r="AK33" s="277">
        <f>[2]Daily!AO$36</f>
        <v>8</v>
      </c>
      <c r="AL33" s="277">
        <f>[2]Daily!AP$36</f>
        <v>8</v>
      </c>
      <c r="AM33" s="755"/>
    </row>
    <row r="34" spans="2:39" ht="14.4" thickBot="1">
      <c r="B34" s="2740"/>
      <c r="C34" s="2745"/>
      <c r="D34" s="2735"/>
      <c r="E34" s="1094" t="s">
        <v>224</v>
      </c>
      <c r="F34" s="1095">
        <f>SUMIF($H$9:$AL$9,"&lt;="&amp;$C$7,H34:AL34)</f>
        <v>41.300000000000004</v>
      </c>
      <c r="G34" s="1096">
        <f>IFERROR((F34-F33)/F33,0)</f>
        <v>0.29062500000000013</v>
      </c>
      <c r="H34" s="2589">
        <f>[2]Daily!L$37</f>
        <v>9</v>
      </c>
      <c r="I34" s="2589">
        <f>[2]Daily!M$37</f>
        <v>8.1999999999999993</v>
      </c>
      <c r="J34" s="2589">
        <f>[2]Daily!N$37</f>
        <v>7</v>
      </c>
      <c r="K34" s="2589">
        <f>[2]Daily!O$37</f>
        <v>8</v>
      </c>
      <c r="L34" s="2589">
        <f>[2]Daily!P$37</f>
        <v>9.1000000000000014</v>
      </c>
      <c r="M34" s="2589">
        <f>[2]Daily!Q$37</f>
        <v>0</v>
      </c>
      <c r="N34" s="2589">
        <f>[2]Daily!R$37</f>
        <v>0</v>
      </c>
      <c r="O34" s="2589">
        <f>[2]Daily!S$37</f>
        <v>0</v>
      </c>
      <c r="P34" s="2589">
        <f>[2]Daily!T$37</f>
        <v>0</v>
      </c>
      <c r="Q34" s="2589">
        <f>[2]Daily!U$37</f>
        <v>0</v>
      </c>
      <c r="R34" s="2589">
        <f>[2]Daily!V$37</f>
        <v>0</v>
      </c>
      <c r="S34" s="2589">
        <f>[2]Daily!W$37</f>
        <v>0</v>
      </c>
      <c r="T34" s="2589">
        <f>[2]Daily!X$37</f>
        <v>0</v>
      </c>
      <c r="U34" s="2589">
        <f>[2]Daily!Y$37</f>
        <v>0</v>
      </c>
      <c r="V34" s="2589">
        <f>[2]Daily!Z$37</f>
        <v>0</v>
      </c>
      <c r="W34" s="2589">
        <f>[2]Daily!AA$37</f>
        <v>0</v>
      </c>
      <c r="X34" s="2589">
        <f>[2]Daily!AB$37</f>
        <v>0</v>
      </c>
      <c r="Y34" s="2589">
        <f>[2]Daily!AC$37</f>
        <v>0</v>
      </c>
      <c r="Z34" s="2589">
        <f>[2]Daily!AD$37</f>
        <v>0</v>
      </c>
      <c r="AA34" s="2589">
        <f>[2]Daily!AE$37</f>
        <v>0</v>
      </c>
      <c r="AB34" s="2589">
        <f>[2]Daily!AF$37</f>
        <v>0</v>
      </c>
      <c r="AC34" s="2589">
        <f>[2]Daily!AG$37</f>
        <v>0</v>
      </c>
      <c r="AD34" s="2589">
        <f>[2]Daily!AH$37</f>
        <v>0</v>
      </c>
      <c r="AE34" s="2589">
        <f>[2]Daily!AI$37</f>
        <v>0</v>
      </c>
      <c r="AF34" s="2589">
        <f>[2]Daily!AJ$37</f>
        <v>0</v>
      </c>
      <c r="AG34" s="2589">
        <f>[2]Daily!AK$37</f>
        <v>0</v>
      </c>
      <c r="AH34" s="2589">
        <f>[2]Daily!AL$37</f>
        <v>0</v>
      </c>
      <c r="AI34" s="2589">
        <f>[2]Daily!AM$37</f>
        <v>0</v>
      </c>
      <c r="AJ34" s="2589">
        <f>[2]Daily!AN$37</f>
        <v>0</v>
      </c>
      <c r="AK34" s="2589">
        <f>[2]Daily!AO$37</f>
        <v>0</v>
      </c>
      <c r="AL34" s="2589">
        <f>[2]Daily!AP$37</f>
        <v>0</v>
      </c>
      <c r="AM34" s="750"/>
    </row>
    <row r="35" spans="2:39" s="754" customFormat="1" ht="14.4" thickBot="1">
      <c r="B35" s="2740"/>
      <c r="C35" s="2745"/>
      <c r="D35" s="2735"/>
      <c r="E35" s="276" t="s">
        <v>199</v>
      </c>
      <c r="F35" s="751"/>
      <c r="G35" s="752"/>
      <c r="H35" s="2483"/>
      <c r="I35" s="2192"/>
      <c r="J35" s="2192"/>
      <c r="K35" s="2192"/>
      <c r="L35" s="2192"/>
      <c r="M35" s="2192"/>
      <c r="N35" s="2192"/>
      <c r="O35" s="2192"/>
      <c r="P35" s="2192"/>
      <c r="Q35" s="2192"/>
      <c r="R35" s="2192"/>
      <c r="S35" s="2192"/>
      <c r="T35" s="2192"/>
      <c r="U35" s="2192"/>
      <c r="V35" s="2192"/>
      <c r="W35" s="2192"/>
      <c r="X35" s="2192"/>
      <c r="Y35" s="2192"/>
      <c r="Z35" s="2192"/>
      <c r="AA35" s="2192"/>
      <c r="AB35" s="2192"/>
      <c r="AC35" s="2192"/>
      <c r="AD35" s="2192"/>
      <c r="AE35" s="2192"/>
      <c r="AF35" s="2192"/>
      <c r="AG35" s="2192"/>
      <c r="AH35" s="2192"/>
      <c r="AI35" s="2192"/>
      <c r="AJ35" s="2192"/>
      <c r="AK35" s="2192"/>
      <c r="AL35" s="2193"/>
      <c r="AM35" s="753"/>
    </row>
    <row r="36" spans="2:39" ht="14.4" thickBot="1">
      <c r="B36" s="2740"/>
      <c r="C36" s="2745"/>
      <c r="D36" s="2735" t="s">
        <v>233</v>
      </c>
      <c r="E36" s="80" t="s">
        <v>223</v>
      </c>
      <c r="F36" s="117">
        <f>SUMIF($H$9:$AL$9,"&lt;="&amp;$C$7,H36:AL36)</f>
        <v>50</v>
      </c>
      <c r="G36" s="81"/>
      <c r="H36" s="277">
        <f>[2]Daily!L$30</f>
        <v>10</v>
      </c>
      <c r="I36" s="277">
        <f>[2]Daily!M$30</f>
        <v>10</v>
      </c>
      <c r="J36" s="277">
        <f>[2]Daily!N$30</f>
        <v>10</v>
      </c>
      <c r="K36" s="277">
        <f>[2]Daily!O$30</f>
        <v>10</v>
      </c>
      <c r="L36" s="277">
        <f>[2]Daily!P$30</f>
        <v>10</v>
      </c>
      <c r="M36" s="277">
        <f>[2]Daily!Q$30</f>
        <v>10</v>
      </c>
      <c r="N36" s="277">
        <f>[2]Daily!R$30</f>
        <v>10</v>
      </c>
      <c r="O36" s="277">
        <f>[2]Daily!S$30</f>
        <v>10</v>
      </c>
      <c r="P36" s="277">
        <f>[2]Daily!T$30</f>
        <v>0</v>
      </c>
      <c r="Q36" s="277">
        <f>[2]Daily!U$30</f>
        <v>10</v>
      </c>
      <c r="R36" s="277">
        <f>[2]Daily!V$30</f>
        <v>10</v>
      </c>
      <c r="S36" s="277">
        <f>[2]Daily!W$30</f>
        <v>10</v>
      </c>
      <c r="T36" s="277">
        <f>[2]Daily!X$30</f>
        <v>10</v>
      </c>
      <c r="U36" s="277">
        <f>[2]Daily!Y$30</f>
        <v>10</v>
      </c>
      <c r="V36" s="277">
        <f>[2]Daily!Z$30</f>
        <v>10</v>
      </c>
      <c r="W36" s="277">
        <f>[2]Daily!AA$30</f>
        <v>10</v>
      </c>
      <c r="X36" s="277">
        <f>[2]Daily!AB$30</f>
        <v>0</v>
      </c>
      <c r="Y36" s="277">
        <f>[2]Daily!AC$30</f>
        <v>0</v>
      </c>
      <c r="Z36" s="277">
        <f>[2]Daily!AD$30</f>
        <v>10</v>
      </c>
      <c r="AA36" s="277">
        <f>[2]Daily!AE$30</f>
        <v>10</v>
      </c>
      <c r="AB36" s="277">
        <f>[2]Daily!AF$30</f>
        <v>10</v>
      </c>
      <c r="AC36" s="277">
        <f>[2]Daily!AG$30</f>
        <v>10</v>
      </c>
      <c r="AD36" s="277">
        <f>[2]Daily!AH$30</f>
        <v>10</v>
      </c>
      <c r="AE36" s="277">
        <f>[2]Daily!AI$30</f>
        <v>10</v>
      </c>
      <c r="AF36" s="277">
        <f>[2]Daily!AJ$30</f>
        <v>10</v>
      </c>
      <c r="AG36" s="277">
        <f>[2]Daily!AK$30</f>
        <v>10</v>
      </c>
      <c r="AH36" s="277">
        <f>[2]Daily!AL$30</f>
        <v>0</v>
      </c>
      <c r="AI36" s="277">
        <f>[2]Daily!AM$30</f>
        <v>10</v>
      </c>
      <c r="AJ36" s="277">
        <f>[2]Daily!AN$30</f>
        <v>10</v>
      </c>
      <c r="AK36" s="277">
        <f>[2]Daily!AO$30</f>
        <v>10</v>
      </c>
      <c r="AL36" s="277">
        <f>[2]Daily!AP$30</f>
        <v>10</v>
      </c>
      <c r="AM36" s="755"/>
    </row>
    <row r="37" spans="2:39" ht="14.4" thickBot="1">
      <c r="B37" s="2740"/>
      <c r="C37" s="2745"/>
      <c r="D37" s="2735"/>
      <c r="E37" s="1094" t="s">
        <v>224</v>
      </c>
      <c r="F37" s="1095">
        <f>SUMIF($H$9:$AL$9,"&lt;="&amp;$C$7,H37:AL37)</f>
        <v>39.5</v>
      </c>
      <c r="G37" s="1096">
        <f>IFERROR((F37-F36)/F36,0)</f>
        <v>-0.21</v>
      </c>
      <c r="H37" s="2589">
        <f>[2]Daily!L$31</f>
        <v>15.5</v>
      </c>
      <c r="I37" s="2589">
        <f>[2]Daily!M$31</f>
        <v>11.5</v>
      </c>
      <c r="J37" s="2589">
        <f>[2]Daily!N$31</f>
        <v>8.5</v>
      </c>
      <c r="K37" s="2589">
        <f>[2]Daily!O$31</f>
        <v>3.5</v>
      </c>
      <c r="L37" s="2589">
        <f>[2]Daily!P$31</f>
        <v>0.5</v>
      </c>
      <c r="M37" s="2589">
        <f>[2]Daily!Q$31</f>
        <v>0</v>
      </c>
      <c r="N37" s="2589">
        <f>[2]Daily!R$31</f>
        <v>0</v>
      </c>
      <c r="O37" s="2589">
        <f>[2]Daily!S$31</f>
        <v>0</v>
      </c>
      <c r="P37" s="2589">
        <f>[2]Daily!T$31</f>
        <v>0</v>
      </c>
      <c r="Q37" s="2589">
        <f>[2]Daily!U$31</f>
        <v>0</v>
      </c>
      <c r="R37" s="2589">
        <f>[2]Daily!V$31</f>
        <v>0</v>
      </c>
      <c r="S37" s="2589">
        <f>[2]Daily!W$31</f>
        <v>0</v>
      </c>
      <c r="T37" s="2589">
        <f>[2]Daily!X$31</f>
        <v>0</v>
      </c>
      <c r="U37" s="2589">
        <f>[2]Daily!Y$31</f>
        <v>0</v>
      </c>
      <c r="V37" s="2589">
        <f>[2]Daily!Z$31</f>
        <v>0</v>
      </c>
      <c r="W37" s="2589">
        <f>[2]Daily!AA$31</f>
        <v>0</v>
      </c>
      <c r="X37" s="2589">
        <f>[2]Daily!AB$31</f>
        <v>0</v>
      </c>
      <c r="Y37" s="2589">
        <f>[2]Daily!AC$31</f>
        <v>0</v>
      </c>
      <c r="Z37" s="2589">
        <f>[2]Daily!AD$31</f>
        <v>0</v>
      </c>
      <c r="AA37" s="2589">
        <f>[2]Daily!AE$31</f>
        <v>0</v>
      </c>
      <c r="AB37" s="2589">
        <f>[2]Daily!AF$31</f>
        <v>0</v>
      </c>
      <c r="AC37" s="2589">
        <f>[2]Daily!AG$31</f>
        <v>0</v>
      </c>
      <c r="AD37" s="2589">
        <f>[2]Daily!AH$31</f>
        <v>0</v>
      </c>
      <c r="AE37" s="2589">
        <f>[2]Daily!AI$31</f>
        <v>0</v>
      </c>
      <c r="AF37" s="2589">
        <f>[2]Daily!AJ$31</f>
        <v>0</v>
      </c>
      <c r="AG37" s="2589">
        <f>[2]Daily!AK$31</f>
        <v>0</v>
      </c>
      <c r="AH37" s="2589">
        <f>[2]Daily!AL$31</f>
        <v>0</v>
      </c>
      <c r="AI37" s="2589">
        <f>[2]Daily!AM$31</f>
        <v>0</v>
      </c>
      <c r="AJ37" s="2589">
        <f>[2]Daily!AN$31</f>
        <v>0</v>
      </c>
      <c r="AK37" s="2589">
        <f>[2]Daily!AO$31</f>
        <v>0</v>
      </c>
      <c r="AL37" s="2589">
        <f>[2]Daily!AP$31</f>
        <v>0</v>
      </c>
      <c r="AM37" s="750"/>
    </row>
    <row r="38" spans="2:39" s="754" customFormat="1" ht="14.4" thickBot="1">
      <c r="B38" s="2740"/>
      <c r="C38" s="2745"/>
      <c r="D38" s="2735"/>
      <c r="E38" s="276" t="s">
        <v>199</v>
      </c>
      <c r="F38" s="751"/>
      <c r="G38" s="752"/>
      <c r="H38" s="2403"/>
      <c r="I38" s="2192"/>
      <c r="J38" s="2192"/>
      <c r="K38" s="2192"/>
      <c r="L38" s="2192"/>
      <c r="M38" s="2192"/>
      <c r="N38" s="2192"/>
      <c r="O38" s="2192"/>
      <c r="P38" s="2192"/>
      <c r="Q38" s="2192"/>
      <c r="R38" s="2192"/>
      <c r="S38" s="2192"/>
      <c r="T38" s="2192"/>
      <c r="U38" s="2192"/>
      <c r="V38" s="2192"/>
      <c r="W38" s="2192"/>
      <c r="X38" s="2192"/>
      <c r="Y38" s="2192"/>
      <c r="Z38" s="2192"/>
      <c r="AA38" s="2192"/>
      <c r="AB38" s="2192"/>
      <c r="AC38" s="2192"/>
      <c r="AD38" s="2192"/>
      <c r="AE38" s="2192"/>
      <c r="AF38" s="2192"/>
      <c r="AG38" s="2192"/>
      <c r="AH38" s="2192"/>
      <c r="AI38" s="2192"/>
      <c r="AJ38" s="2192"/>
      <c r="AK38" s="2192"/>
      <c r="AL38" s="2193"/>
      <c r="AM38" s="753"/>
    </row>
    <row r="39" spans="2:39" ht="14.4" thickBot="1">
      <c r="B39" s="2740"/>
      <c r="C39" s="2745"/>
      <c r="D39" s="2735" t="s">
        <v>234</v>
      </c>
      <c r="E39" s="80" t="s">
        <v>223</v>
      </c>
      <c r="F39" s="117">
        <f>SUMIF($H$9:$AL$9,"&lt;="&amp;$C$7,H39:AL39)</f>
        <v>20</v>
      </c>
      <c r="G39" s="81"/>
      <c r="H39" s="277" t="str">
        <f>[2]Daily!L$27</f>
        <v>Moving</v>
      </c>
      <c r="I39" s="277" t="str">
        <f>[2]Daily!M$27</f>
        <v>Comissioning</v>
      </c>
      <c r="J39" s="277" t="str">
        <f>[2]Daily!N$27</f>
        <v>Comissioning</v>
      </c>
      <c r="K39" s="277">
        <f>[2]Daily!O$27</f>
        <v>10</v>
      </c>
      <c r="L39" s="277">
        <f>[2]Daily!P$27</f>
        <v>10</v>
      </c>
      <c r="M39" s="277" t="str">
        <f>[2]Daily!Q$27</f>
        <v>Moving</v>
      </c>
      <c r="N39" s="277">
        <f>[2]Daily!R$27</f>
        <v>10</v>
      </c>
      <c r="O39" s="277">
        <f>[2]Daily!S$27</f>
        <v>10</v>
      </c>
      <c r="P39" s="277">
        <f>[2]Daily!T$27</f>
        <v>10</v>
      </c>
      <c r="Q39" s="277">
        <f>[2]Daily!U$27</f>
        <v>10</v>
      </c>
      <c r="R39" s="277">
        <f>[2]Daily!V$27</f>
        <v>10</v>
      </c>
      <c r="S39" s="277">
        <f>[2]Daily!W$27</f>
        <v>10</v>
      </c>
      <c r="T39" s="277">
        <f>[2]Daily!X$27</f>
        <v>10</v>
      </c>
      <c r="U39" s="277">
        <f>[2]Daily!Y$27</f>
        <v>10</v>
      </c>
      <c r="V39" s="277">
        <f>[2]Daily!Z$27</f>
        <v>10</v>
      </c>
      <c r="W39" s="277">
        <f>[2]Daily!AA$27</f>
        <v>10</v>
      </c>
      <c r="X39" s="277">
        <f>[2]Daily!AB$27</f>
        <v>10</v>
      </c>
      <c r="Y39" s="277">
        <f>[2]Daily!AC$27</f>
        <v>10</v>
      </c>
      <c r="Z39" s="277">
        <f>[2]Daily!AD$27</f>
        <v>10</v>
      </c>
      <c r="AA39" s="277" t="str">
        <f>[2]Daily!AE$27</f>
        <v>PM</v>
      </c>
      <c r="AB39" s="277">
        <f>[2]Daily!AF$27</f>
        <v>10</v>
      </c>
      <c r="AC39" s="277">
        <f>[2]Daily!AG$27</f>
        <v>10</v>
      </c>
      <c r="AD39" s="277">
        <f>[2]Daily!AH$27</f>
        <v>10</v>
      </c>
      <c r="AE39" s="277">
        <f>[2]Daily!AI$27</f>
        <v>10</v>
      </c>
      <c r="AF39" s="277">
        <f>[2]Daily!AJ$27</f>
        <v>10</v>
      </c>
      <c r="AG39" s="277">
        <f>[2]Daily!AK$27</f>
        <v>10</v>
      </c>
      <c r="AH39" s="277">
        <f>[2]Daily!AL$27</f>
        <v>10</v>
      </c>
      <c r="AI39" s="277">
        <f>[2]Daily!AM$27</f>
        <v>10</v>
      </c>
      <c r="AJ39" s="277">
        <f>[2]Daily!AN$27</f>
        <v>10</v>
      </c>
      <c r="AK39" s="277" t="str">
        <f>[2]Daily!AO$27</f>
        <v>PM</v>
      </c>
      <c r="AL39" s="277" t="str">
        <f>[2]Daily!AP$27</f>
        <v>Moving</v>
      </c>
      <c r="AM39" s="755"/>
    </row>
    <row r="40" spans="2:39" ht="14.4" thickBot="1">
      <c r="B40" s="2740"/>
      <c r="C40" s="2745"/>
      <c r="D40" s="2735"/>
      <c r="E40" s="1094" t="s">
        <v>224</v>
      </c>
      <c r="F40" s="1095">
        <f>SUMIF($H$9:$AL$9,"&lt;="&amp;$C$7,H40:AL40)</f>
        <v>25</v>
      </c>
      <c r="G40" s="1096">
        <f>IFERROR((F40-F39)/F39,0)</f>
        <v>0.25</v>
      </c>
      <c r="H40" s="277">
        <f>[2]Daily!L$28</f>
        <v>0</v>
      </c>
      <c r="I40" s="277">
        <f>[2]Daily!M$28</f>
        <v>2</v>
      </c>
      <c r="J40" s="277">
        <v>5.5</v>
      </c>
      <c r="K40" s="277">
        <f>[2]Daily!O$28</f>
        <v>12.5</v>
      </c>
      <c r="L40" s="277">
        <f>[2]Daily!P$28</f>
        <v>5</v>
      </c>
      <c r="M40" s="277">
        <f>[2]Daily!Q$28</f>
        <v>0</v>
      </c>
      <c r="N40" s="277">
        <f>[2]Daily!R$28</f>
        <v>0</v>
      </c>
      <c r="O40" s="277">
        <f>[2]Daily!S$28</f>
        <v>0</v>
      </c>
      <c r="P40" s="277">
        <f>[2]Daily!T$28</f>
        <v>0</v>
      </c>
      <c r="Q40" s="277">
        <f>[2]Daily!U$28</f>
        <v>0</v>
      </c>
      <c r="R40" s="277">
        <f>[2]Daily!V$28</f>
        <v>0</v>
      </c>
      <c r="S40" s="277">
        <f>[2]Daily!W$28</f>
        <v>0</v>
      </c>
      <c r="T40" s="277">
        <f>[2]Daily!X$28</f>
        <v>0</v>
      </c>
      <c r="U40" s="277">
        <f>[2]Daily!Y$28</f>
        <v>0</v>
      </c>
      <c r="V40" s="277">
        <f>[2]Daily!Z$28</f>
        <v>0</v>
      </c>
      <c r="W40" s="277">
        <f>[2]Daily!AA$28</f>
        <v>0</v>
      </c>
      <c r="X40" s="277">
        <f>[2]Daily!AB$28</f>
        <v>0</v>
      </c>
      <c r="Y40" s="277">
        <f>[2]Daily!AC$28</f>
        <v>0</v>
      </c>
      <c r="Z40" s="277">
        <f>[2]Daily!AD$28</f>
        <v>0</v>
      </c>
      <c r="AA40" s="277">
        <f>[2]Daily!AE$28</f>
        <v>0</v>
      </c>
      <c r="AB40" s="277">
        <f>[2]Daily!AF$28</f>
        <v>0</v>
      </c>
      <c r="AC40" s="277">
        <f>[2]Daily!AG$28</f>
        <v>0</v>
      </c>
      <c r="AD40" s="277">
        <f>[2]Daily!AH$28</f>
        <v>0</v>
      </c>
      <c r="AE40" s="277">
        <f>[2]Daily!AI$28</f>
        <v>0</v>
      </c>
      <c r="AF40" s="277">
        <f>[2]Daily!AJ$28</f>
        <v>0</v>
      </c>
      <c r="AG40" s="277">
        <f>[2]Daily!AK$28</f>
        <v>0</v>
      </c>
      <c r="AH40" s="277">
        <f>[2]Daily!AL$28</f>
        <v>0</v>
      </c>
      <c r="AI40" s="277">
        <f>[2]Daily!AM$28</f>
        <v>0</v>
      </c>
      <c r="AJ40" s="277">
        <f>[2]Daily!AN$28</f>
        <v>0</v>
      </c>
      <c r="AK40" s="277">
        <f>[2]Daily!AO$28</f>
        <v>0</v>
      </c>
      <c r="AL40" s="277">
        <f>[2]Daily!AP$28</f>
        <v>0</v>
      </c>
      <c r="AM40" s="750"/>
    </row>
    <row r="41" spans="2:39" s="754" customFormat="1" ht="14.4" thickBot="1">
      <c r="B41" s="2740"/>
      <c r="C41" s="2745"/>
      <c r="D41" s="2735"/>
      <c r="E41" s="2480" t="s">
        <v>199</v>
      </c>
      <c r="F41" s="2481"/>
      <c r="G41" s="2482"/>
      <c r="H41" s="2483"/>
      <c r="I41" s="2195"/>
      <c r="J41" s="2195"/>
      <c r="K41" s="2195"/>
      <c r="L41" s="2195"/>
      <c r="M41" s="2195"/>
      <c r="N41" s="2195"/>
      <c r="O41" s="2195"/>
      <c r="P41" s="2195"/>
      <c r="Q41" s="2195"/>
      <c r="R41" s="2195"/>
      <c r="S41" s="2195"/>
      <c r="T41" s="2195"/>
      <c r="U41" s="2195"/>
      <c r="V41" s="2195"/>
      <c r="W41" s="2195"/>
      <c r="X41" s="2195"/>
      <c r="Y41" s="2195"/>
      <c r="Z41" s="2195"/>
      <c r="AA41" s="2195"/>
      <c r="AB41" s="2195"/>
      <c r="AC41" s="2195"/>
      <c r="AD41" s="2195"/>
      <c r="AE41" s="2195"/>
      <c r="AF41" s="2195"/>
      <c r="AG41" s="2195"/>
      <c r="AH41" s="2195"/>
      <c r="AI41" s="2195"/>
      <c r="AJ41" s="2195"/>
      <c r="AK41" s="2195"/>
      <c r="AL41" s="2484"/>
      <c r="AM41" s="753"/>
    </row>
    <row r="42" spans="2:39" ht="14.4" thickBot="1">
      <c r="B42" s="2740"/>
      <c r="C42" s="2745"/>
      <c r="D42" s="2735" t="s">
        <v>235</v>
      </c>
      <c r="E42" s="80" t="s">
        <v>223</v>
      </c>
      <c r="F42" s="117">
        <f>SUMIF($H$9:$AL$9,"&lt;="&amp;$C$7,H42:AL42)</f>
        <v>30</v>
      </c>
      <c r="G42" s="81"/>
      <c r="H42" s="277">
        <f>[2]Daily!L$33</f>
        <v>0</v>
      </c>
      <c r="I42" s="277">
        <f>[2]Daily!M$33</f>
        <v>0</v>
      </c>
      <c r="J42" s="277">
        <f>[2]Daily!N$33</f>
        <v>10</v>
      </c>
      <c r="K42" s="277">
        <f>[2]Daily!O$33</f>
        <v>10</v>
      </c>
      <c r="L42" s="277">
        <f>[2]Daily!P$33</f>
        <v>10</v>
      </c>
      <c r="M42" s="277">
        <f>[2]Daily!Q$33</f>
        <v>10</v>
      </c>
      <c r="N42" s="277">
        <f>[2]Daily!R$33</f>
        <v>10</v>
      </c>
      <c r="O42" s="277">
        <f>[2]Daily!S$33</f>
        <v>10</v>
      </c>
      <c r="P42" s="277">
        <f>[2]Daily!T$33</f>
        <v>10</v>
      </c>
      <c r="Q42" s="277">
        <f>[2]Daily!U$33</f>
        <v>10</v>
      </c>
      <c r="R42" s="277">
        <f>[2]Daily!V$33</f>
        <v>10</v>
      </c>
      <c r="S42" s="277">
        <f>[2]Daily!W$33</f>
        <v>10</v>
      </c>
      <c r="T42" s="277">
        <f>[2]Daily!X$33</f>
        <v>0</v>
      </c>
      <c r="U42" s="277">
        <f>[2]Daily!Y$33</f>
        <v>10</v>
      </c>
      <c r="V42" s="277">
        <f>[2]Daily!Z$33</f>
        <v>20</v>
      </c>
      <c r="W42" s="277">
        <f>[2]Daily!AA$33</f>
        <v>10</v>
      </c>
      <c r="X42" s="277">
        <f>[2]Daily!AB$33</f>
        <v>10</v>
      </c>
      <c r="Y42" s="277">
        <f>[2]Daily!AC$33</f>
        <v>10</v>
      </c>
      <c r="Z42" s="277">
        <f>[2]Daily!AD$33</f>
        <v>10</v>
      </c>
      <c r="AA42" s="277">
        <f>[2]Daily!AE$33</f>
        <v>10</v>
      </c>
      <c r="AB42" s="277">
        <f>[2]Daily!AF$33</f>
        <v>10</v>
      </c>
      <c r="AC42" s="277">
        <f>[2]Daily!AG$33</f>
        <v>10</v>
      </c>
      <c r="AD42" s="277">
        <f>[2]Daily!AH$33</f>
        <v>10</v>
      </c>
      <c r="AE42" s="277">
        <f>[2]Daily!AI$33</f>
        <v>10</v>
      </c>
      <c r="AF42" s="277">
        <f>[2]Daily!AJ$33</f>
        <v>0</v>
      </c>
      <c r="AG42" s="277">
        <f>[2]Daily!AK$33</f>
        <v>10</v>
      </c>
      <c r="AH42" s="277">
        <f>[2]Daily!AL$33</f>
        <v>10</v>
      </c>
      <c r="AI42" s="277">
        <f>[2]Daily!AM$33</f>
        <v>10</v>
      </c>
      <c r="AJ42" s="277">
        <f>[2]Daily!AN$33</f>
        <v>10</v>
      </c>
      <c r="AK42" s="277">
        <f>[2]Daily!AO$33</f>
        <v>10</v>
      </c>
      <c r="AL42" s="277">
        <f>[2]Daily!AP$33</f>
        <v>10</v>
      </c>
      <c r="AM42" s="755"/>
    </row>
    <row r="43" spans="2:39" ht="14.4" thickBot="1">
      <c r="B43" s="2740"/>
      <c r="C43" s="2745"/>
      <c r="D43" s="2735"/>
      <c r="E43" s="1094" t="s">
        <v>224</v>
      </c>
      <c r="F43" s="1095">
        <f>SUMIF($H$9:$AL$9,"&lt;="&amp;$C$7,H43:AL43)</f>
        <v>0</v>
      </c>
      <c r="G43" s="1096">
        <f>IFERROR((F43-F42)/F42,0)</f>
        <v>-1</v>
      </c>
      <c r="H43" s="2479">
        <f>[2]Daily!L$34</f>
        <v>0</v>
      </c>
      <c r="I43" s="2479">
        <f>[2]Daily!M$34</f>
        <v>0</v>
      </c>
      <c r="J43" s="2479">
        <f>[2]Daily!N$34</f>
        <v>0</v>
      </c>
      <c r="K43" s="2479">
        <f>[2]Daily!O$34</f>
        <v>0</v>
      </c>
      <c r="L43" s="2479">
        <f>[2]Daily!P$34</f>
        <v>0</v>
      </c>
      <c r="M43" s="2479">
        <f>[2]Daily!Q$34</f>
        <v>0</v>
      </c>
      <c r="N43" s="2479">
        <f>[2]Daily!R$34</f>
        <v>0</v>
      </c>
      <c r="O43" s="2479">
        <f>[2]Daily!S$34</f>
        <v>0</v>
      </c>
      <c r="P43" s="2479">
        <f>[2]Daily!T$34</f>
        <v>0</v>
      </c>
      <c r="Q43" s="2479">
        <f>[2]Daily!U$34</f>
        <v>0</v>
      </c>
      <c r="R43" s="2479">
        <f>[2]Daily!V$34</f>
        <v>0</v>
      </c>
      <c r="S43" s="2479">
        <f>[2]Daily!W$34</f>
        <v>0</v>
      </c>
      <c r="T43" s="2479">
        <f>[2]Daily!X$34</f>
        <v>0</v>
      </c>
      <c r="U43" s="2479">
        <f>[2]Daily!Y$34</f>
        <v>0</v>
      </c>
      <c r="V43" s="2479">
        <f>[2]Daily!Z$34</f>
        <v>0</v>
      </c>
      <c r="W43" s="2479">
        <f>[2]Daily!AA$34</f>
        <v>0</v>
      </c>
      <c r="X43" s="2479">
        <f>[2]Daily!AB$34</f>
        <v>0</v>
      </c>
      <c r="Y43" s="2479">
        <f>[2]Daily!AC$34</f>
        <v>0</v>
      </c>
      <c r="Z43" s="2479">
        <f>[2]Daily!AD$34</f>
        <v>0</v>
      </c>
      <c r="AA43" s="2479">
        <f>[2]Daily!AE$34</f>
        <v>0</v>
      </c>
      <c r="AB43" s="2479">
        <f>[2]Daily!AF$34</f>
        <v>0</v>
      </c>
      <c r="AC43" s="2479">
        <f>[2]Daily!AG$34</f>
        <v>0</v>
      </c>
      <c r="AD43" s="2479">
        <f>[2]Daily!AH$34</f>
        <v>0</v>
      </c>
      <c r="AE43" s="2479">
        <f>[2]Daily!AI$34</f>
        <v>0</v>
      </c>
      <c r="AF43" s="2479">
        <f>[2]Daily!AJ$34</f>
        <v>0</v>
      </c>
      <c r="AG43" s="2479">
        <f>[2]Daily!AK$34</f>
        <v>0</v>
      </c>
      <c r="AH43" s="2479">
        <f>[2]Daily!AL$34</f>
        <v>0</v>
      </c>
      <c r="AI43" s="2479">
        <f>[2]Daily!AM$34</f>
        <v>0</v>
      </c>
      <c r="AJ43" s="2479">
        <f>[2]Daily!AN$34</f>
        <v>0</v>
      </c>
      <c r="AK43" s="2479">
        <f>[2]Daily!AO$34</f>
        <v>0</v>
      </c>
      <c r="AL43" s="2479">
        <f>[2]Daily!AP$34</f>
        <v>0</v>
      </c>
      <c r="AM43" s="750"/>
    </row>
    <row r="44" spans="2:39" s="754" customFormat="1" ht="14.4" thickBot="1">
      <c r="B44" s="2740"/>
      <c r="C44" s="2745"/>
      <c r="D44" s="2735"/>
      <c r="E44" s="2480" t="s">
        <v>199</v>
      </c>
      <c r="F44" s="2481"/>
      <c r="G44" s="2482"/>
      <c r="H44" s="2483"/>
      <c r="I44" s="2195"/>
      <c r="J44" s="2195"/>
      <c r="K44" s="2195"/>
      <c r="L44" s="2195"/>
      <c r="M44" s="2195"/>
      <c r="N44" s="2195"/>
      <c r="O44" s="2195"/>
      <c r="P44" s="2195"/>
      <c r="Q44" s="2195"/>
      <c r="R44" s="2195"/>
      <c r="S44" s="2195"/>
      <c r="T44" s="2195"/>
      <c r="U44" s="2195"/>
      <c r="V44" s="2195"/>
      <c r="W44" s="2195"/>
      <c r="X44" s="2195"/>
      <c r="Y44" s="2195"/>
      <c r="Z44" s="2195"/>
      <c r="AA44" s="2195"/>
      <c r="AB44" s="2195"/>
      <c r="AC44" s="2195"/>
      <c r="AD44" s="2195"/>
      <c r="AE44" s="2195"/>
      <c r="AF44" s="2195"/>
      <c r="AG44" s="2195"/>
      <c r="AH44" s="2195"/>
      <c r="AI44" s="2195"/>
      <c r="AJ44" s="2195"/>
      <c r="AK44" s="2195"/>
      <c r="AL44" s="2484"/>
      <c r="AM44" s="753"/>
    </row>
    <row r="45" spans="2:39" s="757" customFormat="1">
      <c r="B45" s="2740"/>
      <c r="C45" s="2745"/>
      <c r="D45" s="2743" t="s">
        <v>236</v>
      </c>
      <c r="E45" s="80" t="s">
        <v>237</v>
      </c>
      <c r="F45" s="117">
        <f>SUMIF($H$9:$AL$9,"&lt;="&amp;$C$7,H45:AL45)</f>
        <v>132</v>
      </c>
      <c r="G45" s="117"/>
      <c r="H45" s="650">
        <f t="shared" ref="H45:AL45" si="8">+SUM(H42,H39,H36,H33)</f>
        <v>18</v>
      </c>
      <c r="I45" s="650">
        <f t="shared" si="8"/>
        <v>18</v>
      </c>
      <c r="J45" s="650">
        <f t="shared" si="8"/>
        <v>28</v>
      </c>
      <c r="K45" s="650">
        <f t="shared" si="8"/>
        <v>38</v>
      </c>
      <c r="L45" s="650">
        <f t="shared" si="8"/>
        <v>30</v>
      </c>
      <c r="M45" s="650">
        <f t="shared" si="8"/>
        <v>20</v>
      </c>
      <c r="N45" s="650">
        <f t="shared" si="8"/>
        <v>38</v>
      </c>
      <c r="O45" s="650">
        <f t="shared" si="8"/>
        <v>38</v>
      </c>
      <c r="P45" s="650">
        <f t="shared" si="8"/>
        <v>28</v>
      </c>
      <c r="Q45" s="650">
        <f t="shared" si="8"/>
        <v>38</v>
      </c>
      <c r="R45" s="650">
        <f t="shared" si="8"/>
        <v>30</v>
      </c>
      <c r="S45" s="650">
        <f t="shared" si="8"/>
        <v>38</v>
      </c>
      <c r="T45" s="650">
        <f t="shared" si="8"/>
        <v>28</v>
      </c>
      <c r="U45" s="650">
        <f t="shared" si="8"/>
        <v>38</v>
      </c>
      <c r="V45" s="650">
        <f t="shared" si="8"/>
        <v>48</v>
      </c>
      <c r="W45" s="650">
        <f t="shared" si="8"/>
        <v>38</v>
      </c>
      <c r="X45" s="650">
        <f t="shared" si="8"/>
        <v>28</v>
      </c>
      <c r="Y45" s="650">
        <f t="shared" si="8"/>
        <v>28</v>
      </c>
      <c r="Z45" s="650">
        <f t="shared" si="8"/>
        <v>30</v>
      </c>
      <c r="AA45" s="650">
        <f t="shared" si="8"/>
        <v>28</v>
      </c>
      <c r="AB45" s="650">
        <f t="shared" si="8"/>
        <v>38</v>
      </c>
      <c r="AC45" s="650">
        <f t="shared" si="8"/>
        <v>38</v>
      </c>
      <c r="AD45" s="650">
        <f t="shared" si="8"/>
        <v>38</v>
      </c>
      <c r="AE45" s="650">
        <f t="shared" si="8"/>
        <v>38</v>
      </c>
      <c r="AF45" s="650">
        <f t="shared" si="8"/>
        <v>28</v>
      </c>
      <c r="AG45" s="650">
        <f t="shared" si="8"/>
        <v>38</v>
      </c>
      <c r="AH45" s="650">
        <f t="shared" si="8"/>
        <v>28</v>
      </c>
      <c r="AI45" s="650">
        <f t="shared" si="8"/>
        <v>38</v>
      </c>
      <c r="AJ45" s="650">
        <f t="shared" si="8"/>
        <v>38</v>
      </c>
      <c r="AK45" s="650">
        <f t="shared" si="8"/>
        <v>28</v>
      </c>
      <c r="AL45" s="650">
        <f t="shared" si="8"/>
        <v>28</v>
      </c>
    </row>
    <row r="46" spans="2:39" s="757" customFormat="1" ht="14.4" thickBot="1">
      <c r="B46" s="2740"/>
      <c r="C46" s="2746"/>
      <c r="D46" s="2744"/>
      <c r="E46" s="1038" t="s">
        <v>238</v>
      </c>
      <c r="F46" s="993">
        <f>SUMIF($H$9:$AL$9,"&lt;="&amp;$C$7,H46:AL46)</f>
        <v>105.80000000000001</v>
      </c>
      <c r="G46" s="1039">
        <f>IFERROR((F46-F45)/F45,0)</f>
        <v>-0.1984848484848484</v>
      </c>
      <c r="H46" s="1097">
        <f t="shared" ref="H46:AL46" si="9">+SUM(H43,H40,H37,H34)</f>
        <v>24.5</v>
      </c>
      <c r="I46" s="1097">
        <f t="shared" si="9"/>
        <v>21.7</v>
      </c>
      <c r="J46" s="1097">
        <f t="shared" si="9"/>
        <v>21</v>
      </c>
      <c r="K46" s="1097">
        <f t="shared" si="9"/>
        <v>24</v>
      </c>
      <c r="L46" s="1097">
        <f t="shared" si="9"/>
        <v>14.600000000000001</v>
      </c>
      <c r="M46" s="1097">
        <f t="shared" si="9"/>
        <v>0</v>
      </c>
      <c r="N46" s="1097">
        <f t="shared" si="9"/>
        <v>0</v>
      </c>
      <c r="O46" s="1097">
        <f t="shared" si="9"/>
        <v>0</v>
      </c>
      <c r="P46" s="1097">
        <f t="shared" si="9"/>
        <v>0</v>
      </c>
      <c r="Q46" s="1097">
        <f t="shared" si="9"/>
        <v>0</v>
      </c>
      <c r="R46" s="1097">
        <f t="shared" si="9"/>
        <v>0</v>
      </c>
      <c r="S46" s="1097">
        <f t="shared" si="9"/>
        <v>0</v>
      </c>
      <c r="T46" s="1097">
        <f t="shared" si="9"/>
        <v>0</v>
      </c>
      <c r="U46" s="1097">
        <f t="shared" si="9"/>
        <v>0</v>
      </c>
      <c r="V46" s="1097">
        <f t="shared" si="9"/>
        <v>0</v>
      </c>
      <c r="W46" s="1097">
        <f t="shared" si="9"/>
        <v>0</v>
      </c>
      <c r="X46" s="1097">
        <f t="shared" si="9"/>
        <v>0</v>
      </c>
      <c r="Y46" s="1097">
        <f t="shared" si="9"/>
        <v>0</v>
      </c>
      <c r="Z46" s="1097">
        <f t="shared" si="9"/>
        <v>0</v>
      </c>
      <c r="AA46" s="1097">
        <f t="shared" si="9"/>
        <v>0</v>
      </c>
      <c r="AB46" s="1097">
        <f t="shared" si="9"/>
        <v>0</v>
      </c>
      <c r="AC46" s="1097">
        <f t="shared" si="9"/>
        <v>0</v>
      </c>
      <c r="AD46" s="1097">
        <f t="shared" si="9"/>
        <v>0</v>
      </c>
      <c r="AE46" s="1097">
        <f t="shared" si="9"/>
        <v>0</v>
      </c>
      <c r="AF46" s="1097">
        <f t="shared" si="9"/>
        <v>0</v>
      </c>
      <c r="AG46" s="1097">
        <f t="shared" si="9"/>
        <v>0</v>
      </c>
      <c r="AH46" s="1097">
        <f t="shared" si="9"/>
        <v>0</v>
      </c>
      <c r="AI46" s="1097">
        <f t="shared" si="9"/>
        <v>0</v>
      </c>
      <c r="AJ46" s="1097">
        <f t="shared" si="9"/>
        <v>0</v>
      </c>
      <c r="AK46" s="1097">
        <f t="shared" si="9"/>
        <v>0</v>
      </c>
      <c r="AL46" s="1097">
        <f t="shared" si="9"/>
        <v>0</v>
      </c>
    </row>
    <row r="47" spans="2:39" s="757" customFormat="1" ht="14.4" thickBot="1">
      <c r="B47" s="2741"/>
      <c r="H47" s="2404"/>
      <c r="I47" s="2194" t="s">
        <v>239</v>
      </c>
      <c r="J47" s="2194"/>
      <c r="K47" s="2194"/>
      <c r="L47" s="2194"/>
      <c r="M47" s="2194"/>
      <c r="N47" s="2194"/>
      <c r="O47" s="2194"/>
      <c r="P47" s="2194"/>
      <c r="Q47" s="2194"/>
      <c r="R47" s="2194"/>
      <c r="S47" s="2194"/>
      <c r="T47" s="2194"/>
      <c r="U47" s="2194"/>
      <c r="V47" s="2194"/>
      <c r="W47" s="2194"/>
      <c r="X47" s="2194"/>
      <c r="Y47" s="2194"/>
      <c r="Z47" s="2194"/>
      <c r="AA47" s="2194"/>
      <c r="AB47" s="2194"/>
      <c r="AC47" s="2194"/>
      <c r="AD47" s="2194"/>
      <c r="AE47" s="2194"/>
      <c r="AF47" s="2194"/>
      <c r="AG47" s="2194"/>
      <c r="AH47" s="2194"/>
      <c r="AI47" s="2194"/>
      <c r="AJ47" s="2194"/>
      <c r="AK47" s="2194"/>
      <c r="AL47" s="2194"/>
    </row>
    <row r="48" spans="2:39" ht="14.4" thickBot="1">
      <c r="B48" s="2740"/>
      <c r="C48" s="2747" t="s">
        <v>240</v>
      </c>
      <c r="D48" s="2736" t="s">
        <v>241</v>
      </c>
      <c r="E48" s="80" t="s">
        <v>223</v>
      </c>
      <c r="F48" s="117">
        <f>SUMIF($H$9:$AL$9,"&lt;="&amp;$C$7,H48:AL48)</f>
        <v>50</v>
      </c>
      <c r="G48" s="81"/>
      <c r="H48" s="277">
        <f>[2]Daily!L$42</f>
        <v>10</v>
      </c>
      <c r="I48" s="277">
        <f>[2]Daily!M$42</f>
        <v>10</v>
      </c>
      <c r="J48" s="277">
        <f>[2]Daily!N$42</f>
        <v>10</v>
      </c>
      <c r="K48" s="277">
        <f>[2]Daily!O$42</f>
        <v>10</v>
      </c>
      <c r="L48" s="277">
        <f>[2]Daily!P$42</f>
        <v>10</v>
      </c>
      <c r="M48" s="277">
        <f>[2]Daily!Q$42</f>
        <v>10</v>
      </c>
      <c r="N48" s="277">
        <f>[2]Daily!R$42</f>
        <v>0</v>
      </c>
      <c r="O48" s="277">
        <f>[2]Daily!S$42</f>
        <v>10</v>
      </c>
      <c r="P48" s="277">
        <f>[2]Daily!T$42</f>
        <v>10</v>
      </c>
      <c r="Q48" s="277">
        <f>[2]Daily!U$42</f>
        <v>10</v>
      </c>
      <c r="R48" s="277">
        <f>[2]Daily!V$42</f>
        <v>10</v>
      </c>
      <c r="S48" s="277">
        <f>[2]Daily!W$42</f>
        <v>10</v>
      </c>
      <c r="T48" s="277">
        <f>[2]Daily!X$42</f>
        <v>10</v>
      </c>
      <c r="U48" s="277">
        <f>[2]Daily!Y$42</f>
        <v>0</v>
      </c>
      <c r="V48" s="277">
        <f>[2]Daily!Z$42</f>
        <v>0</v>
      </c>
      <c r="W48" s="277">
        <f>[2]Daily!AA$42</f>
        <v>10</v>
      </c>
      <c r="X48" s="277">
        <f>[2]Daily!AB$42</f>
        <v>10</v>
      </c>
      <c r="Y48" s="277">
        <f>[2]Daily!AC$42</f>
        <v>10</v>
      </c>
      <c r="Z48" s="277">
        <f>[2]Daily!AD$42</f>
        <v>10</v>
      </c>
      <c r="AA48" s="277">
        <f>[2]Daily!AE$42</f>
        <v>10</v>
      </c>
      <c r="AB48" s="277">
        <f>[2]Daily!AF$42</f>
        <v>10</v>
      </c>
      <c r="AC48" s="277">
        <f>[2]Daily!AG$42</f>
        <v>0</v>
      </c>
      <c r="AD48" s="277">
        <f>[2]Daily!AH$42</f>
        <v>10</v>
      </c>
      <c r="AE48" s="277">
        <f>[2]Daily!AI$42</f>
        <v>10</v>
      </c>
      <c r="AF48" s="277">
        <f>[2]Daily!AJ$42</f>
        <v>10</v>
      </c>
      <c r="AG48" s="277">
        <f>[2]Daily!AK$42</f>
        <v>10</v>
      </c>
      <c r="AH48" s="277">
        <f>[2]Daily!AL$42</f>
        <v>10</v>
      </c>
      <c r="AI48" s="277">
        <f>[2]Daily!AM$42</f>
        <v>10</v>
      </c>
      <c r="AJ48" s="277">
        <f>[2]Daily!AN$42</f>
        <v>10</v>
      </c>
      <c r="AK48" s="277">
        <f>[2]Daily!AO$42</f>
        <v>0</v>
      </c>
      <c r="AL48" s="277">
        <f>[2]Daily!AP$42</f>
        <v>0</v>
      </c>
      <c r="AM48" s="755"/>
    </row>
    <row r="49" spans="2:39" ht="14.4" thickBot="1">
      <c r="B49" s="2740"/>
      <c r="C49" s="2745"/>
      <c r="D49" s="2736"/>
      <c r="E49" s="1094" t="s">
        <v>224</v>
      </c>
      <c r="F49" s="1095">
        <f>SUMIF($H$9:$AL$9,"&lt;="&amp;$C$7,H49:AL49)</f>
        <v>61</v>
      </c>
      <c r="G49" s="1096">
        <f>IFERROR((F49-F48)/F48,0)</f>
        <v>0.22</v>
      </c>
      <c r="H49" s="2405">
        <f>[2]Daily!L$43</f>
        <v>9.5</v>
      </c>
      <c r="I49" s="2405">
        <f>[2]Daily!M$43</f>
        <v>13</v>
      </c>
      <c r="J49" s="2405">
        <f>[2]Daily!N$43</f>
        <v>10.5</v>
      </c>
      <c r="K49" s="2405">
        <f>[2]Daily!O$43</f>
        <v>12</v>
      </c>
      <c r="L49" s="2405">
        <f>[2]Daily!P$43</f>
        <v>16</v>
      </c>
      <c r="M49" s="2405">
        <f>[2]Daily!Q$43</f>
        <v>0</v>
      </c>
      <c r="N49" s="2405">
        <f>[2]Daily!R$43</f>
        <v>0</v>
      </c>
      <c r="O49" s="2405">
        <f>[2]Daily!S$43</f>
        <v>0</v>
      </c>
      <c r="P49" s="2405">
        <f>[2]Daily!T$43</f>
        <v>0</v>
      </c>
      <c r="Q49" s="2405">
        <f>[2]Daily!U$43</f>
        <v>0</v>
      </c>
      <c r="R49" s="2405">
        <f>[2]Daily!V$43</f>
        <v>0</v>
      </c>
      <c r="S49" s="2405">
        <f>[2]Daily!W$43</f>
        <v>0</v>
      </c>
      <c r="T49" s="2405">
        <f>[2]Daily!X$43</f>
        <v>0</v>
      </c>
      <c r="U49" s="2405">
        <f>[2]Daily!Y$43</f>
        <v>0</v>
      </c>
      <c r="V49" s="2405">
        <f>[2]Daily!Z$43</f>
        <v>0</v>
      </c>
      <c r="W49" s="2405">
        <f>[2]Daily!AA$43</f>
        <v>0</v>
      </c>
      <c r="X49" s="2405">
        <f>[2]Daily!AB$43</f>
        <v>0</v>
      </c>
      <c r="Y49" s="2405">
        <f>[2]Daily!AC$43</f>
        <v>0</v>
      </c>
      <c r="Z49" s="2405">
        <f>[2]Daily!AD$43</f>
        <v>0</v>
      </c>
      <c r="AA49" s="2405">
        <f>[2]Daily!AE$43</f>
        <v>0</v>
      </c>
      <c r="AB49" s="2405">
        <f>[2]Daily!AF$43</f>
        <v>0</v>
      </c>
      <c r="AC49" s="2405">
        <f>[2]Daily!AG$43</f>
        <v>0</v>
      </c>
      <c r="AD49" s="2405">
        <f>[2]Daily!AH$43</f>
        <v>0</v>
      </c>
      <c r="AE49" s="2405">
        <f>[2]Daily!AI$43</f>
        <v>0</v>
      </c>
      <c r="AF49" s="2405">
        <f>[2]Daily!AJ$43</f>
        <v>0</v>
      </c>
      <c r="AG49" s="2405">
        <f>[2]Daily!AK$43</f>
        <v>0</v>
      </c>
      <c r="AH49" s="2405">
        <f>[2]Daily!AL$43</f>
        <v>0</v>
      </c>
      <c r="AI49" s="2405">
        <f>[2]Daily!AM$43</f>
        <v>0</v>
      </c>
      <c r="AJ49" s="2405">
        <f>[2]Daily!AN$43</f>
        <v>0</v>
      </c>
      <c r="AK49" s="2405">
        <f>[2]Daily!AO$43</f>
        <v>0</v>
      </c>
      <c r="AL49" s="2405">
        <f>[2]Daily!AP$43</f>
        <v>0</v>
      </c>
      <c r="AM49" s="750"/>
    </row>
    <row r="50" spans="2:39" s="758" customFormat="1" ht="14.4" thickBot="1">
      <c r="B50" s="2740"/>
      <c r="C50" s="2745"/>
      <c r="D50" s="2736"/>
      <c r="E50" s="276" t="s">
        <v>199</v>
      </c>
      <c r="F50" s="751"/>
      <c r="G50" s="752"/>
      <c r="H50" s="2406"/>
      <c r="I50" s="2192" t="s">
        <v>242</v>
      </c>
      <c r="J50" s="2192"/>
      <c r="K50" s="2192"/>
      <c r="L50" s="2192"/>
      <c r="M50" s="2192"/>
      <c r="N50" s="2192"/>
      <c r="O50" s="2195"/>
      <c r="P50" s="2192"/>
      <c r="Q50" s="2192"/>
      <c r="R50" s="2192"/>
      <c r="S50" s="2192"/>
      <c r="T50" s="2192"/>
      <c r="U50" s="2192"/>
      <c r="V50" s="2192"/>
      <c r="W50" s="2192"/>
      <c r="X50" s="2192"/>
      <c r="Y50" s="2192"/>
      <c r="Z50" s="2192"/>
      <c r="AA50" s="2192"/>
      <c r="AB50" s="2192"/>
      <c r="AC50" s="2192"/>
      <c r="AD50" s="2192"/>
      <c r="AE50" s="2192"/>
      <c r="AF50" s="2192"/>
      <c r="AG50" s="2192"/>
      <c r="AH50" s="2192"/>
      <c r="AI50" s="2192"/>
      <c r="AJ50" s="2192"/>
      <c r="AK50" s="2192"/>
      <c r="AL50" s="2193"/>
      <c r="AM50" s="753"/>
    </row>
    <row r="51" spans="2:39" ht="14.4" thickBot="1">
      <c r="B51" s="2740"/>
      <c r="C51" s="2745"/>
      <c r="D51" s="2736" t="s">
        <v>243</v>
      </c>
      <c r="E51" s="80" t="s">
        <v>223</v>
      </c>
      <c r="F51" s="117">
        <f>SUMIF($H$9:$AL$9,"&lt;="&amp;$C$7,H51:AL51)</f>
        <v>50</v>
      </c>
      <c r="G51" s="81"/>
      <c r="H51" s="277">
        <f>[2]Daily!L$45</f>
        <v>10</v>
      </c>
      <c r="I51" s="277">
        <f>[2]Daily!M$45</f>
        <v>10</v>
      </c>
      <c r="J51" s="277">
        <f>[2]Daily!N$45</f>
        <v>10</v>
      </c>
      <c r="K51" s="277">
        <f>[2]Daily!O$45</f>
        <v>10</v>
      </c>
      <c r="L51" s="277">
        <f>[2]Daily!P$45</f>
        <v>10</v>
      </c>
      <c r="M51" s="277">
        <f>[2]Daily!Q$45</f>
        <v>10</v>
      </c>
      <c r="N51" s="277">
        <f>[2]Daily!R$45</f>
        <v>0</v>
      </c>
      <c r="O51" s="277">
        <f>[2]Daily!S$45</f>
        <v>10</v>
      </c>
      <c r="P51" s="277">
        <f>[2]Daily!T$45</f>
        <v>10</v>
      </c>
      <c r="Q51" s="277">
        <f>[2]Daily!U$45</f>
        <v>10</v>
      </c>
      <c r="R51" s="277">
        <f>[2]Daily!V$45</f>
        <v>10</v>
      </c>
      <c r="S51" s="277">
        <f>[2]Daily!W$45</f>
        <v>10</v>
      </c>
      <c r="T51" s="277">
        <f>[2]Daily!X$45</f>
        <v>10</v>
      </c>
      <c r="U51" s="277">
        <f>[2]Daily!Y$45</f>
        <v>0</v>
      </c>
      <c r="V51" s="277">
        <f>[2]Daily!Z$45</f>
        <v>10</v>
      </c>
      <c r="W51" s="277">
        <f>[2]Daily!AA$45</f>
        <v>10</v>
      </c>
      <c r="X51" s="277">
        <f>[2]Daily!AB$45</f>
        <v>10</v>
      </c>
      <c r="Y51" s="277">
        <f>[2]Daily!AC$45</f>
        <v>10</v>
      </c>
      <c r="Z51" s="277">
        <f>[2]Daily!AD$45</f>
        <v>10</v>
      </c>
      <c r="AA51" s="277">
        <f>[2]Daily!AE$45</f>
        <v>10</v>
      </c>
      <c r="AB51" s="277">
        <f>[2]Daily!AF$45</f>
        <v>10</v>
      </c>
      <c r="AC51" s="277">
        <f>[2]Daily!AG$45</f>
        <v>10</v>
      </c>
      <c r="AD51" s="277">
        <f>[2]Daily!AH$45</f>
        <v>10</v>
      </c>
      <c r="AE51" s="277">
        <f>[2]Daily!AI$45</f>
        <v>0</v>
      </c>
      <c r="AF51" s="277">
        <f>[2]Daily!AJ$45</f>
        <v>10</v>
      </c>
      <c r="AG51" s="277">
        <f>[2]Daily!AK$45</f>
        <v>10</v>
      </c>
      <c r="AH51" s="277">
        <f>[2]Daily!AL$45</f>
        <v>10</v>
      </c>
      <c r="AI51" s="277">
        <f>[2]Daily!AM$45</f>
        <v>10</v>
      </c>
      <c r="AJ51" s="277">
        <f>[2]Daily!AN$45</f>
        <v>10</v>
      </c>
      <c r="AK51" s="277">
        <f>[2]Daily!AO$45</f>
        <v>10</v>
      </c>
      <c r="AL51" s="277">
        <f>[2]Daily!AP$45</f>
        <v>0</v>
      </c>
      <c r="AM51" s="755"/>
    </row>
    <row r="52" spans="2:39" ht="14.4" thickBot="1">
      <c r="B52" s="2740"/>
      <c r="C52" s="2745"/>
      <c r="D52" s="2736"/>
      <c r="E52" s="1094" t="s">
        <v>224</v>
      </c>
      <c r="F52" s="1095">
        <f>SUMIF($H$9:$AL$9,"&lt;="&amp;$C$7,H52:AL52)</f>
        <v>47</v>
      </c>
      <c r="G52" s="1096">
        <f>IFERROR((F52-F51)/F51,0)</f>
        <v>-0.06</v>
      </c>
      <c r="H52" s="2405">
        <f>[2]Daily!L$46</f>
        <v>20</v>
      </c>
      <c r="I52" s="2405">
        <f>[2]Daily!M$46</f>
        <v>11</v>
      </c>
      <c r="J52" s="2405">
        <f>[2]Daily!N$46</f>
        <v>3</v>
      </c>
      <c r="K52" s="2405">
        <f>[2]Daily!O$46</f>
        <v>6</v>
      </c>
      <c r="L52" s="2405">
        <f>[2]Daily!P$46</f>
        <v>7</v>
      </c>
      <c r="M52" s="2405">
        <f>[2]Daily!Q$46</f>
        <v>0</v>
      </c>
      <c r="N52" s="2405">
        <f>[2]Daily!R$46</f>
        <v>0</v>
      </c>
      <c r="O52" s="2405">
        <f>[2]Daily!S$46</f>
        <v>0</v>
      </c>
      <c r="P52" s="2405">
        <f>[2]Daily!T$46</f>
        <v>0</v>
      </c>
      <c r="Q52" s="2405">
        <f>[2]Daily!U$46</f>
        <v>0</v>
      </c>
      <c r="R52" s="2405">
        <f>[2]Daily!V$46</f>
        <v>0</v>
      </c>
      <c r="S52" s="2405">
        <f>[2]Daily!W$46</f>
        <v>0</v>
      </c>
      <c r="T52" s="2405">
        <f>[2]Daily!X$46</f>
        <v>0</v>
      </c>
      <c r="U52" s="2405">
        <f>[2]Daily!Y$46</f>
        <v>0</v>
      </c>
      <c r="V52" s="2405">
        <f>[2]Daily!Z$46</f>
        <v>0</v>
      </c>
      <c r="W52" s="2405">
        <f>[2]Daily!AA$46</f>
        <v>0</v>
      </c>
      <c r="X52" s="2405">
        <f>[2]Daily!AB$46</f>
        <v>0</v>
      </c>
      <c r="Y52" s="2405">
        <f>[2]Daily!AC$46</f>
        <v>0</v>
      </c>
      <c r="Z52" s="2405">
        <f>[2]Daily!AD$46</f>
        <v>0</v>
      </c>
      <c r="AA52" s="2405">
        <f>[2]Daily!AE$46</f>
        <v>0</v>
      </c>
      <c r="AB52" s="2405">
        <f>[2]Daily!AF$46</f>
        <v>0</v>
      </c>
      <c r="AC52" s="2405">
        <f>[2]Daily!AG$46</f>
        <v>0</v>
      </c>
      <c r="AD52" s="2405">
        <f>[2]Daily!AH$46</f>
        <v>0</v>
      </c>
      <c r="AE52" s="2405">
        <f>[2]Daily!AI$46</f>
        <v>0</v>
      </c>
      <c r="AF52" s="2405">
        <f>[2]Daily!AJ$46</f>
        <v>0</v>
      </c>
      <c r="AG52" s="2405">
        <f>[2]Daily!AK$46</f>
        <v>0</v>
      </c>
      <c r="AH52" s="2405">
        <f>[2]Daily!AL$46</f>
        <v>0</v>
      </c>
      <c r="AI52" s="2405">
        <f>[2]Daily!AM$46</f>
        <v>0</v>
      </c>
      <c r="AJ52" s="2405">
        <f>[2]Daily!AN$46</f>
        <v>0</v>
      </c>
      <c r="AK52" s="2405">
        <f>[2]Daily!AO$46</f>
        <v>0</v>
      </c>
      <c r="AL52" s="2405">
        <f>[2]Daily!AP$46</f>
        <v>0</v>
      </c>
      <c r="AM52" s="750"/>
    </row>
    <row r="53" spans="2:39" s="758" customFormat="1" ht="14.4" thickBot="1">
      <c r="B53" s="2740"/>
      <c r="C53" s="2745"/>
      <c r="D53" s="2736"/>
      <c r="E53" s="276" t="s">
        <v>199</v>
      </c>
      <c r="F53" s="751"/>
      <c r="G53" s="752"/>
      <c r="H53" s="2406"/>
      <c r="I53" s="2196"/>
      <c r="J53" s="2196"/>
      <c r="K53" s="2196"/>
      <c r="L53" s="2196"/>
      <c r="M53" s="2196"/>
      <c r="N53" s="2196"/>
      <c r="O53" s="2196"/>
      <c r="P53" s="2196"/>
      <c r="Q53" s="2196"/>
      <c r="R53" s="2196"/>
      <c r="S53" s="2196"/>
      <c r="T53" s="2196"/>
      <c r="U53" s="2196"/>
      <c r="V53" s="2196"/>
      <c r="W53" s="2196"/>
      <c r="X53" s="2196"/>
      <c r="Y53" s="2196"/>
      <c r="Z53" s="2196"/>
      <c r="AA53" s="2196"/>
      <c r="AB53" s="2196"/>
      <c r="AC53" s="2196"/>
      <c r="AD53" s="2196"/>
      <c r="AE53" s="2196"/>
      <c r="AF53" s="2196"/>
      <c r="AG53" s="2196"/>
      <c r="AH53" s="2196"/>
      <c r="AI53" s="2196"/>
      <c r="AJ53" s="2196"/>
      <c r="AK53" s="2196"/>
      <c r="AL53" s="2197"/>
      <c r="AM53" s="753"/>
    </row>
    <row r="54" spans="2:39" ht="14.4" thickBot="1">
      <c r="B54" s="2740"/>
      <c r="C54" s="2745"/>
      <c r="D54" s="2736" t="s">
        <v>244</v>
      </c>
      <c r="E54" s="80" t="s">
        <v>223</v>
      </c>
      <c r="F54" s="117">
        <f t="shared" ref="F54:F55" si="10">SUMIF($H$9:$AL$9,"&lt;="&amp;$C$7,H54:AL54)</f>
        <v>32</v>
      </c>
      <c r="G54" s="275"/>
      <c r="H54" s="277">
        <f>[2]Daily!L$48</f>
        <v>8</v>
      </c>
      <c r="I54" s="277">
        <f>[2]Daily!M$48</f>
        <v>8</v>
      </c>
      <c r="J54" s="277">
        <f>[2]Daily!N$48</f>
        <v>0</v>
      </c>
      <c r="K54" s="277">
        <f>[2]Daily!O$48</f>
        <v>8</v>
      </c>
      <c r="L54" s="277">
        <f>[2]Daily!P$48</f>
        <v>8</v>
      </c>
      <c r="M54" s="277">
        <f>[2]Daily!Q$48</f>
        <v>8</v>
      </c>
      <c r="N54" s="277">
        <f>[2]Daily!R$48</f>
        <v>8</v>
      </c>
      <c r="O54" s="277">
        <f>[2]Daily!S$48</f>
        <v>8</v>
      </c>
      <c r="P54" s="277">
        <f>[2]Daily!T$48</f>
        <v>8</v>
      </c>
      <c r="Q54" s="277">
        <f>[2]Daily!U$48</f>
        <v>8</v>
      </c>
      <c r="R54" s="277">
        <f>[2]Daily!V$48</f>
        <v>0</v>
      </c>
      <c r="S54" s="277">
        <f>[2]Daily!W$48</f>
        <v>8</v>
      </c>
      <c r="T54" s="277">
        <f>[2]Daily!X$48</f>
        <v>8</v>
      </c>
      <c r="U54" s="277">
        <f>[2]Daily!Y$48</f>
        <v>8</v>
      </c>
      <c r="V54" s="277">
        <f>[2]Daily!Z$48</f>
        <v>8</v>
      </c>
      <c r="W54" s="277">
        <f>[2]Daily!AA$48</f>
        <v>8</v>
      </c>
      <c r="X54" s="277">
        <f>[2]Daily!AB$48</f>
        <v>8</v>
      </c>
      <c r="Y54" s="277">
        <f>[2]Daily!AC$48</f>
        <v>8</v>
      </c>
      <c r="Z54" s="277">
        <f>[2]Daily!AD$48</f>
        <v>0</v>
      </c>
      <c r="AA54" s="277">
        <f>[2]Daily!AE$48</f>
        <v>0</v>
      </c>
      <c r="AB54" s="277">
        <f>[2]Daily!AF$48</f>
        <v>8</v>
      </c>
      <c r="AC54" s="277">
        <f>[2]Daily!AG$48</f>
        <v>8</v>
      </c>
      <c r="AD54" s="277">
        <f>[2]Daily!AH$48</f>
        <v>8</v>
      </c>
      <c r="AE54" s="277">
        <f>[2]Daily!AI$48</f>
        <v>8</v>
      </c>
      <c r="AF54" s="277">
        <f>[2]Daily!AJ$48</f>
        <v>8</v>
      </c>
      <c r="AG54" s="277">
        <f>[2]Daily!AK$48</f>
        <v>8</v>
      </c>
      <c r="AH54" s="277">
        <f>[2]Daily!AL$48</f>
        <v>8</v>
      </c>
      <c r="AI54" s="277">
        <f>[2]Daily!AM$48</f>
        <v>0</v>
      </c>
      <c r="AJ54" s="277">
        <f>[2]Daily!AN$48</f>
        <v>8</v>
      </c>
      <c r="AK54" s="277">
        <f>[2]Daily!AO$48</f>
        <v>8</v>
      </c>
      <c r="AL54" s="277">
        <f>[2]Daily!AP$48</f>
        <v>8</v>
      </c>
      <c r="AM54" s="755"/>
    </row>
    <row r="55" spans="2:39" ht="14.4" thickBot="1">
      <c r="B55" s="2740"/>
      <c r="C55" s="2745"/>
      <c r="D55" s="2736"/>
      <c r="E55" s="1094" t="s">
        <v>224</v>
      </c>
      <c r="F55" s="1095">
        <f t="shared" si="10"/>
        <v>49</v>
      </c>
      <c r="G55" s="1099">
        <f t="shared" ref="G55" si="11">IFERROR((F55-F54)/F54,0)</f>
        <v>0.53125</v>
      </c>
      <c r="H55" s="277">
        <f>[2]Daily!L$49</f>
        <v>14</v>
      </c>
      <c r="I55" s="277">
        <f>[2]Daily!M$49</f>
        <v>9</v>
      </c>
      <c r="J55" s="277">
        <f>[2]Daily!N$49</f>
        <v>5</v>
      </c>
      <c r="K55" s="277">
        <f>[2]Daily!O$49</f>
        <v>9</v>
      </c>
      <c r="L55" s="277">
        <f>[2]Daily!P$49</f>
        <v>12</v>
      </c>
      <c r="M55" s="277">
        <f>[2]Daily!Q$49</f>
        <v>0</v>
      </c>
      <c r="N55" s="277">
        <f>[2]Daily!R$49</f>
        <v>0</v>
      </c>
      <c r="O55" s="277">
        <f>[2]Daily!S$49</f>
        <v>0</v>
      </c>
      <c r="P55" s="277">
        <f>[2]Daily!T$49</f>
        <v>0</v>
      </c>
      <c r="Q55" s="277">
        <f>[2]Daily!U$49</f>
        <v>0</v>
      </c>
      <c r="R55" s="277">
        <f>[2]Daily!V$49</f>
        <v>0</v>
      </c>
      <c r="S55" s="277">
        <f>[2]Daily!W$49</f>
        <v>0</v>
      </c>
      <c r="T55" s="277">
        <f>[2]Daily!X$49</f>
        <v>0</v>
      </c>
      <c r="U55" s="277">
        <f>[2]Daily!Y$49</f>
        <v>0</v>
      </c>
      <c r="V55" s="277">
        <f>[2]Daily!Z$49</f>
        <v>0</v>
      </c>
      <c r="W55" s="277">
        <f>[2]Daily!AA$49</f>
        <v>0</v>
      </c>
      <c r="X55" s="277">
        <f>[2]Daily!AB$49</f>
        <v>0</v>
      </c>
      <c r="Y55" s="277">
        <f>[2]Daily!AC$49</f>
        <v>0</v>
      </c>
      <c r="Z55" s="277">
        <f>[2]Daily!AD$49</f>
        <v>0</v>
      </c>
      <c r="AA55" s="277">
        <f>[2]Daily!AE$49</f>
        <v>0</v>
      </c>
      <c r="AB55" s="277">
        <f>[2]Daily!AF$49</f>
        <v>0</v>
      </c>
      <c r="AC55" s="277">
        <f>[2]Daily!AG$49</f>
        <v>0</v>
      </c>
      <c r="AD55" s="277">
        <f>[2]Daily!AH$49</f>
        <v>0</v>
      </c>
      <c r="AE55" s="277">
        <f>[2]Daily!AI$49</f>
        <v>0</v>
      </c>
      <c r="AF55" s="277">
        <f>[2]Daily!AJ$49</f>
        <v>0</v>
      </c>
      <c r="AG55" s="277">
        <f>[2]Daily!AK$49</f>
        <v>0</v>
      </c>
      <c r="AH55" s="277">
        <f>[2]Daily!AL$49</f>
        <v>0</v>
      </c>
      <c r="AI55" s="277">
        <f>[2]Daily!AM$49</f>
        <v>0</v>
      </c>
      <c r="AJ55" s="277">
        <f>[2]Daily!AN$49</f>
        <v>0</v>
      </c>
      <c r="AK55" s="277">
        <f>[2]Daily!AO$49</f>
        <v>0</v>
      </c>
      <c r="AL55" s="277">
        <f>[2]Daily!AP$49</f>
        <v>0</v>
      </c>
      <c r="AM55" s="750"/>
    </row>
    <row r="56" spans="2:39" s="758" customFormat="1" ht="14.4" thickBot="1">
      <c r="B56" s="2740"/>
      <c r="C56" s="2745"/>
      <c r="D56" s="2736"/>
      <c r="E56" s="276" t="s">
        <v>199</v>
      </c>
      <c r="F56" s="751"/>
      <c r="G56" s="756"/>
      <c r="H56" s="2403"/>
      <c r="I56" s="2192"/>
      <c r="J56" s="2192"/>
      <c r="K56" s="2192"/>
      <c r="L56" s="2192"/>
      <c r="M56" s="2192"/>
      <c r="N56" s="2192"/>
      <c r="O56" s="2192"/>
      <c r="P56" s="2192"/>
      <c r="Q56" s="2192"/>
      <c r="R56" s="2192"/>
      <c r="S56" s="2192"/>
      <c r="T56" s="2192"/>
      <c r="U56" s="2192"/>
      <c r="V56" s="2192"/>
      <c r="W56" s="2192"/>
      <c r="X56" s="2192"/>
      <c r="Y56" s="2192"/>
      <c r="Z56" s="2192"/>
      <c r="AA56" s="2192"/>
      <c r="AB56" s="2192"/>
      <c r="AC56" s="2192"/>
      <c r="AD56" s="2192"/>
      <c r="AE56" s="2192"/>
      <c r="AF56" s="2192"/>
      <c r="AG56" s="2192"/>
      <c r="AH56" s="2192"/>
      <c r="AI56" s="2192"/>
      <c r="AJ56" s="2192"/>
      <c r="AK56" s="2192"/>
      <c r="AL56" s="2193"/>
      <c r="AM56" s="753"/>
    </row>
    <row r="57" spans="2:39" s="757" customFormat="1">
      <c r="B57" s="2740"/>
      <c r="C57" s="2745"/>
      <c r="D57" s="2743" t="s">
        <v>245</v>
      </c>
      <c r="E57" s="80" t="s">
        <v>246</v>
      </c>
      <c r="F57" s="117">
        <f>SUMIF($H$9:$AL$9,"&lt;="&amp;$C$7,H57:AL57)</f>
        <v>132</v>
      </c>
      <c r="G57" s="117"/>
      <c r="H57" s="650">
        <f t="shared" ref="H57:AL57" si="12">+SUM(H54,H51,H48)</f>
        <v>28</v>
      </c>
      <c r="I57" s="650">
        <f t="shared" si="12"/>
        <v>28</v>
      </c>
      <c r="J57" s="650">
        <f t="shared" si="12"/>
        <v>20</v>
      </c>
      <c r="K57" s="650">
        <f t="shared" si="12"/>
        <v>28</v>
      </c>
      <c r="L57" s="650">
        <f t="shared" si="12"/>
        <v>28</v>
      </c>
      <c r="M57" s="650">
        <f t="shared" si="12"/>
        <v>28</v>
      </c>
      <c r="N57" s="650">
        <f t="shared" si="12"/>
        <v>8</v>
      </c>
      <c r="O57" s="650">
        <f t="shared" si="12"/>
        <v>28</v>
      </c>
      <c r="P57" s="650">
        <f t="shared" si="12"/>
        <v>28</v>
      </c>
      <c r="Q57" s="650">
        <f t="shared" si="12"/>
        <v>28</v>
      </c>
      <c r="R57" s="650">
        <f t="shared" si="12"/>
        <v>20</v>
      </c>
      <c r="S57" s="650">
        <f t="shared" si="12"/>
        <v>28</v>
      </c>
      <c r="T57" s="650">
        <f t="shared" si="12"/>
        <v>28</v>
      </c>
      <c r="U57" s="650">
        <f t="shared" si="12"/>
        <v>8</v>
      </c>
      <c r="V57" s="650">
        <f t="shared" si="12"/>
        <v>18</v>
      </c>
      <c r="W57" s="650">
        <f t="shared" si="12"/>
        <v>28</v>
      </c>
      <c r="X57" s="650">
        <f t="shared" si="12"/>
        <v>28</v>
      </c>
      <c r="Y57" s="650">
        <f t="shared" si="12"/>
        <v>28</v>
      </c>
      <c r="Z57" s="650">
        <f t="shared" si="12"/>
        <v>20</v>
      </c>
      <c r="AA57" s="650">
        <f t="shared" si="12"/>
        <v>20</v>
      </c>
      <c r="AB57" s="650">
        <f t="shared" si="12"/>
        <v>28</v>
      </c>
      <c r="AC57" s="650">
        <f t="shared" si="12"/>
        <v>18</v>
      </c>
      <c r="AD57" s="650">
        <f t="shared" si="12"/>
        <v>28</v>
      </c>
      <c r="AE57" s="650">
        <f t="shared" si="12"/>
        <v>18</v>
      </c>
      <c r="AF57" s="650">
        <f t="shared" si="12"/>
        <v>28</v>
      </c>
      <c r="AG57" s="650">
        <f t="shared" si="12"/>
        <v>28</v>
      </c>
      <c r="AH57" s="650">
        <f t="shared" si="12"/>
        <v>28</v>
      </c>
      <c r="AI57" s="650">
        <f t="shared" si="12"/>
        <v>20</v>
      </c>
      <c r="AJ57" s="650">
        <f t="shared" si="12"/>
        <v>28</v>
      </c>
      <c r="AK57" s="650">
        <f t="shared" si="12"/>
        <v>18</v>
      </c>
      <c r="AL57" s="650">
        <f t="shared" si="12"/>
        <v>8</v>
      </c>
    </row>
    <row r="58" spans="2:39" s="757" customFormat="1" ht="14.4" thickBot="1">
      <c r="B58" s="2742"/>
      <c r="C58" s="2746"/>
      <c r="D58" s="2744"/>
      <c r="E58" s="1038" t="s">
        <v>247</v>
      </c>
      <c r="F58" s="993">
        <f>SUMIF($H$9:$AL$9,"&lt;="&amp;$C$7,H58:AL58)</f>
        <v>157</v>
      </c>
      <c r="G58" s="1039">
        <f>IFERROR((F58-F57)/F57,0)</f>
        <v>0.18939393939393939</v>
      </c>
      <c r="H58" s="1095">
        <f t="shared" ref="H58:AL58" si="13">+SUM(H55,H52,H49)</f>
        <v>43.5</v>
      </c>
      <c r="I58" s="1095">
        <f t="shared" si="13"/>
        <v>33</v>
      </c>
      <c r="J58" s="1095">
        <f t="shared" si="13"/>
        <v>18.5</v>
      </c>
      <c r="K58" s="1095">
        <f t="shared" si="13"/>
        <v>27</v>
      </c>
      <c r="L58" s="1095">
        <f t="shared" si="13"/>
        <v>35</v>
      </c>
      <c r="M58" s="1095">
        <f t="shared" si="13"/>
        <v>0</v>
      </c>
      <c r="N58" s="1095">
        <f t="shared" si="13"/>
        <v>0</v>
      </c>
      <c r="O58" s="1095">
        <f t="shared" si="13"/>
        <v>0</v>
      </c>
      <c r="P58" s="1095">
        <f t="shared" si="13"/>
        <v>0</v>
      </c>
      <c r="Q58" s="1095">
        <f t="shared" si="13"/>
        <v>0</v>
      </c>
      <c r="R58" s="1095">
        <f t="shared" si="13"/>
        <v>0</v>
      </c>
      <c r="S58" s="1095">
        <f t="shared" si="13"/>
        <v>0</v>
      </c>
      <c r="T58" s="1095">
        <f t="shared" si="13"/>
        <v>0</v>
      </c>
      <c r="U58" s="1095">
        <f t="shared" si="13"/>
        <v>0</v>
      </c>
      <c r="V58" s="1095">
        <f t="shared" si="13"/>
        <v>0</v>
      </c>
      <c r="W58" s="1095">
        <f t="shared" si="13"/>
        <v>0</v>
      </c>
      <c r="X58" s="1095">
        <f t="shared" si="13"/>
        <v>0</v>
      </c>
      <c r="Y58" s="1095">
        <f t="shared" si="13"/>
        <v>0</v>
      </c>
      <c r="Z58" s="1095">
        <f t="shared" si="13"/>
        <v>0</v>
      </c>
      <c r="AA58" s="1095">
        <f t="shared" si="13"/>
        <v>0</v>
      </c>
      <c r="AB58" s="1095">
        <f t="shared" si="13"/>
        <v>0</v>
      </c>
      <c r="AC58" s="1095">
        <f t="shared" si="13"/>
        <v>0</v>
      </c>
      <c r="AD58" s="1095">
        <f t="shared" si="13"/>
        <v>0</v>
      </c>
      <c r="AE58" s="1095">
        <f t="shared" si="13"/>
        <v>0</v>
      </c>
      <c r="AF58" s="1095">
        <f t="shared" si="13"/>
        <v>0</v>
      </c>
      <c r="AG58" s="1095">
        <f t="shared" si="13"/>
        <v>0</v>
      </c>
      <c r="AH58" s="1095">
        <f t="shared" si="13"/>
        <v>0</v>
      </c>
      <c r="AI58" s="1095">
        <f t="shared" si="13"/>
        <v>0</v>
      </c>
      <c r="AJ58" s="1095">
        <f t="shared" si="13"/>
        <v>0</v>
      </c>
      <c r="AK58" s="1095">
        <f t="shared" si="13"/>
        <v>0</v>
      </c>
      <c r="AL58" s="1095">
        <f t="shared" si="13"/>
        <v>0</v>
      </c>
    </row>
    <row r="59" spans="2:39">
      <c r="F59" s="1330"/>
      <c r="H59" s="1330"/>
      <c r="AI59" s="749"/>
      <c r="AJ59" s="754"/>
    </row>
    <row r="60" spans="2:39">
      <c r="F60" s="1330"/>
      <c r="AI60" s="749"/>
      <c r="AJ60" s="754"/>
    </row>
    <row r="61" spans="2:39">
      <c r="F61" s="1330"/>
    </row>
    <row r="62" spans="2:39">
      <c r="AG62" s="1330"/>
    </row>
    <row r="94" spans="13:16">
      <c r="P94" s="759"/>
    </row>
    <row r="95" spans="13:16">
      <c r="M95" s="158"/>
      <c r="N95" s="759"/>
      <c r="O95" s="759"/>
    </row>
  </sheetData>
  <mergeCells count="22">
    <mergeCell ref="B30:B58"/>
    <mergeCell ref="D27:D28"/>
    <mergeCell ref="C18:C28"/>
    <mergeCell ref="D45:D46"/>
    <mergeCell ref="C30:C46"/>
    <mergeCell ref="D57:D58"/>
    <mergeCell ref="C48:C58"/>
    <mergeCell ref="B18:B28"/>
    <mergeCell ref="D54:D56"/>
    <mergeCell ref="D39:D41"/>
    <mergeCell ref="D42:D44"/>
    <mergeCell ref="H2:I2"/>
    <mergeCell ref="H3:I3"/>
    <mergeCell ref="D36:D38"/>
    <mergeCell ref="D48:D50"/>
    <mergeCell ref="D51:D53"/>
    <mergeCell ref="D21:D23"/>
    <mergeCell ref="D24:D26"/>
    <mergeCell ref="D30:D32"/>
    <mergeCell ref="D33:D35"/>
    <mergeCell ref="H4:I4"/>
    <mergeCell ref="D18:D20"/>
  </mergeCells>
  <conditionalFormatting sqref="D10:D12">
    <cfRule type="cellIs" dxfId="875" priority="46" stopIfTrue="1" operator="greaterThanOrEqual">
      <formula>C10</formula>
    </cfRule>
    <cfRule type="cellIs" dxfId="874" priority="45" stopIfTrue="1" operator="lessThan">
      <formula>C10</formula>
    </cfRule>
  </conditionalFormatting>
  <conditionalFormatting sqref="E10:E12">
    <cfRule type="cellIs" dxfId="873" priority="43" stopIfTrue="1" operator="lessThan">
      <formula>0</formula>
    </cfRule>
    <cfRule type="cellIs" dxfId="872" priority="44" stopIfTrue="1" operator="greaterThanOrEqual">
      <formula>0</formula>
    </cfRule>
  </conditionalFormatting>
  <conditionalFormatting sqref="F19 F22 F25 F31 F34 F37 F49 F52 F55">
    <cfRule type="cellIs" dxfId="871" priority="129" stopIfTrue="1" operator="greaterThanOrEqual">
      <formula>F18</formula>
    </cfRule>
    <cfRule type="cellIs" dxfId="870" priority="128" stopIfTrue="1" operator="lessThan">
      <formula>F18</formula>
    </cfRule>
  </conditionalFormatting>
  <conditionalFormatting sqref="F28">
    <cfRule type="cellIs" dxfId="869" priority="70" stopIfTrue="1" operator="greaterThanOrEqual">
      <formula>F27</formula>
    </cfRule>
    <cfRule type="cellIs" dxfId="868" priority="69" stopIfTrue="1" operator="lessThan">
      <formula>F27</formula>
    </cfRule>
  </conditionalFormatting>
  <conditionalFormatting sqref="F40">
    <cfRule type="cellIs" dxfId="867" priority="31" stopIfTrue="1" operator="lessThan">
      <formula>F39</formula>
    </cfRule>
    <cfRule type="cellIs" dxfId="866" priority="32" stopIfTrue="1" operator="greaterThanOrEqual">
      <formula>F39</formula>
    </cfRule>
  </conditionalFormatting>
  <conditionalFormatting sqref="F43">
    <cfRule type="cellIs" dxfId="865" priority="23" stopIfTrue="1" operator="lessThan">
      <formula>F42</formula>
    </cfRule>
    <cfRule type="cellIs" dxfId="864" priority="24" stopIfTrue="1" operator="greaterThanOrEqual">
      <formula>F42</formula>
    </cfRule>
  </conditionalFormatting>
  <conditionalFormatting sqref="F46">
    <cfRule type="cellIs" dxfId="863" priority="58" stopIfTrue="1" operator="greaterThanOrEqual">
      <formula>F45</formula>
    </cfRule>
    <cfRule type="cellIs" dxfId="862" priority="57" stopIfTrue="1" operator="lessThan">
      <formula>F45</formula>
    </cfRule>
  </conditionalFormatting>
  <conditionalFormatting sqref="F58">
    <cfRule type="cellIs" dxfId="861" priority="49" stopIfTrue="1" operator="lessThan">
      <formula>F57</formula>
    </cfRule>
    <cfRule type="cellIs" dxfId="860" priority="50" stopIfTrue="1" operator="greaterThanOrEqual">
      <formula>F57</formula>
    </cfRule>
  </conditionalFormatting>
  <conditionalFormatting sqref="G19 G22 G25 G31 G34 G37 G49 G52 G55">
    <cfRule type="cellIs" dxfId="859" priority="126" operator="greaterThan">
      <formula>0</formula>
    </cfRule>
    <cfRule type="cellIs" dxfId="858" priority="127" operator="lessThan">
      <formula>0</formula>
    </cfRule>
  </conditionalFormatting>
  <conditionalFormatting sqref="G28">
    <cfRule type="cellIs" dxfId="857" priority="64" operator="lessThan">
      <formula>0</formula>
    </cfRule>
    <cfRule type="cellIs" dxfId="856" priority="63" operator="greaterThan">
      <formula>0</formula>
    </cfRule>
  </conditionalFormatting>
  <conditionalFormatting sqref="G40">
    <cfRule type="cellIs" dxfId="855" priority="29" operator="greaterThan">
      <formula>0</formula>
    </cfRule>
    <cfRule type="cellIs" dxfId="854" priority="30" operator="lessThan">
      <formula>0</formula>
    </cfRule>
  </conditionalFormatting>
  <conditionalFormatting sqref="G43">
    <cfRule type="cellIs" dxfId="853" priority="22" operator="lessThan">
      <formula>0</formula>
    </cfRule>
    <cfRule type="cellIs" dxfId="852" priority="21" operator="greaterThan">
      <formula>0</formula>
    </cfRule>
  </conditionalFormatting>
  <conditionalFormatting sqref="G46">
    <cfRule type="cellIs" dxfId="851" priority="56" operator="lessThan">
      <formula>0</formula>
    </cfRule>
    <cfRule type="cellIs" dxfId="850" priority="55" operator="greaterThan">
      <formula>0</formula>
    </cfRule>
  </conditionalFormatting>
  <conditionalFormatting sqref="G58">
    <cfRule type="cellIs" dxfId="849" priority="47" operator="greaterThan">
      <formula>0</formula>
    </cfRule>
    <cfRule type="cellIs" dxfId="848" priority="48" operator="lessThan">
      <formula>0</formula>
    </cfRule>
  </conditionalFormatting>
  <conditionalFormatting sqref="H11:AL11">
    <cfRule type="cellIs" dxfId="847" priority="104" stopIfTrue="1" operator="lessThan">
      <formula>H10</formula>
    </cfRule>
    <cfRule type="expression" dxfId="846" priority="103" stopIfTrue="1">
      <formula>H$9&gt;$C$7</formula>
    </cfRule>
    <cfRule type="cellIs" dxfId="845" priority="105" stopIfTrue="1" operator="greaterThanOrEqual">
      <formula>H10</formula>
    </cfRule>
  </conditionalFormatting>
  <conditionalFormatting sqref="H13:AL13">
    <cfRule type="cellIs" dxfId="844" priority="41" stopIfTrue="1" operator="lessThan">
      <formula>H12</formula>
    </cfRule>
    <cfRule type="cellIs" dxfId="843" priority="42" stopIfTrue="1" operator="greaterThanOrEqual">
      <formula>H12</formula>
    </cfRule>
    <cfRule type="expression" dxfId="842" priority="40" stopIfTrue="1">
      <formula>H$9&gt;$C$7</formula>
    </cfRule>
  </conditionalFormatting>
  <conditionalFormatting sqref="H15:AL15">
    <cfRule type="expression" dxfId="841" priority="37" stopIfTrue="1">
      <formula>H$9&gt;$C$7</formula>
    </cfRule>
    <cfRule type="cellIs" dxfId="840" priority="38" stopIfTrue="1" operator="lessThan">
      <formula>H14</formula>
    </cfRule>
    <cfRule type="cellIs" dxfId="839" priority="39" stopIfTrue="1" operator="greaterThanOrEqual">
      <formula>H14</formula>
    </cfRule>
  </conditionalFormatting>
  <conditionalFormatting sqref="H19:AL19 H22:AL22 H25:AL25 H31:AL31">
    <cfRule type="cellIs" dxfId="838" priority="121" stopIfTrue="1" operator="greaterThanOrEqual">
      <formula>H18</formula>
    </cfRule>
    <cfRule type="expression" priority="118" stopIfTrue="1">
      <formula>H$9&gt;$C$7</formula>
    </cfRule>
    <cfRule type="expression" priority="119" stopIfTrue="1">
      <formula>H18=""</formula>
    </cfRule>
    <cfRule type="cellIs" dxfId="837" priority="120" stopIfTrue="1" operator="lessThan">
      <formula>H18</formula>
    </cfRule>
  </conditionalFormatting>
  <conditionalFormatting sqref="H28:AL28">
    <cfRule type="expression" priority="2967" stopIfTrue="1">
      <formula>H$9&gt;$C$7</formula>
    </cfRule>
    <cfRule type="expression" priority="2968" stopIfTrue="1">
      <formula>H27=""</formula>
    </cfRule>
    <cfRule type="cellIs" dxfId="836" priority="2969" stopIfTrue="1" operator="lessThan">
      <formula>H27</formula>
    </cfRule>
    <cfRule type="cellIs" dxfId="835" priority="2970" stopIfTrue="1" operator="greaterThanOrEqual">
      <formula>H27</formula>
    </cfRule>
  </conditionalFormatting>
  <conditionalFormatting sqref="H34:AL34 H46:AL46 H58:AL58">
    <cfRule type="cellIs" dxfId="834" priority="36" stopIfTrue="1" operator="greaterThanOrEqual">
      <formula>H33</formula>
    </cfRule>
    <cfRule type="cellIs" dxfId="833" priority="35" stopIfTrue="1" operator="lessThan">
      <formula>H33</formula>
    </cfRule>
    <cfRule type="expression" priority="34" stopIfTrue="1">
      <formula>H33=""</formula>
    </cfRule>
    <cfRule type="expression" priority="33" stopIfTrue="1">
      <formula>H$9&gt;$C$7</formula>
    </cfRule>
  </conditionalFormatting>
  <conditionalFormatting sqref="H37:AL37">
    <cfRule type="cellIs" dxfId="832" priority="12" stopIfTrue="1" operator="greaterThanOrEqual">
      <formula>H36</formula>
    </cfRule>
    <cfRule type="cellIs" dxfId="831" priority="11" stopIfTrue="1" operator="lessThan">
      <formula>H36</formula>
    </cfRule>
    <cfRule type="expression" priority="10" stopIfTrue="1">
      <formula>H36=""</formula>
    </cfRule>
    <cfRule type="expression" priority="9" stopIfTrue="1">
      <formula>H$9&gt;$C$7</formula>
    </cfRule>
  </conditionalFormatting>
  <conditionalFormatting sqref="H43:AL43">
    <cfRule type="expression" priority="17" stopIfTrue="1">
      <formula>H$9&gt;$C$7</formula>
    </cfRule>
    <cfRule type="cellIs" dxfId="830" priority="20" stopIfTrue="1" operator="greaterThanOrEqual">
      <formula>H42</formula>
    </cfRule>
    <cfRule type="cellIs" dxfId="829" priority="19" stopIfTrue="1" operator="lessThan">
      <formula>H42</formula>
    </cfRule>
    <cfRule type="expression" priority="18" stopIfTrue="1">
      <formula>H42=""</formula>
    </cfRule>
  </conditionalFormatting>
  <conditionalFormatting sqref="H49:AL49">
    <cfRule type="cellIs" dxfId="828" priority="8" stopIfTrue="1" operator="greaterThanOrEqual">
      <formula>H48</formula>
    </cfRule>
    <cfRule type="cellIs" dxfId="827" priority="7" stopIfTrue="1" operator="lessThan">
      <formula>H48</formula>
    </cfRule>
    <cfRule type="expression" priority="6" stopIfTrue="1">
      <formula>H48=""</formula>
    </cfRule>
    <cfRule type="expression" priority="5" stopIfTrue="1">
      <formula>H$9&gt;$C$7</formula>
    </cfRule>
  </conditionalFormatting>
  <conditionalFormatting sqref="H52:AL52">
    <cfRule type="cellIs" dxfId="826" priority="4" stopIfTrue="1" operator="greaterThanOrEqual">
      <formula>H51</formula>
    </cfRule>
    <cfRule type="cellIs" dxfId="825" priority="3" stopIfTrue="1" operator="lessThan">
      <formula>H51</formula>
    </cfRule>
    <cfRule type="expression" priority="2" stopIfTrue="1">
      <formula>H51=""</formula>
    </cfRule>
    <cfRule type="expression" priority="1" stopIfTrue="1">
      <formula>H$9&gt;$C$7</formula>
    </cfRule>
  </conditionalFormatting>
  <pageMargins left="0.25" right="0.25" top="0.75" bottom="0.75" header="0.3" footer="0.3"/>
  <pageSetup paperSize="9" scale="96" fitToWidth="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8FCD-EDB2-44AE-8D3F-48250272BA43}">
  <sheetPr>
    <tabColor theme="4" tint="0.59999389629810485"/>
  </sheetPr>
  <dimension ref="A1:AZ250"/>
  <sheetViews>
    <sheetView showGridLines="0" zoomScale="110" zoomScaleNormal="110" workbookViewId="0">
      <pane xSplit="7" ySplit="6" topLeftCell="J7" activePane="bottomRight" state="frozen"/>
      <selection pane="topRight" activeCell="H1" sqref="H1"/>
      <selection pane="bottomLeft" activeCell="A7" sqref="A7"/>
      <selection pane="bottomRight" activeCell="M76" sqref="M76"/>
    </sheetView>
  </sheetViews>
  <sheetFormatPr defaultRowHeight="13.8"/>
  <cols>
    <col min="1" max="1" width="3.21875" style="69" bestFit="1" customWidth="1"/>
    <col min="2" max="2" width="19.21875" style="69" customWidth="1"/>
    <col min="3" max="3" width="11.21875" style="74" customWidth="1"/>
    <col min="4" max="4" width="12.21875" style="74" customWidth="1"/>
    <col min="5" max="5" width="10.21875" style="471" customWidth="1"/>
    <col min="6" max="7" width="11.21875" style="75" customWidth="1"/>
    <col min="8" max="26" width="7.21875" style="69" customWidth="1"/>
    <col min="27" max="28" width="9.21875" style="69" customWidth="1"/>
    <col min="29" max="38" width="7.21875" style="69" customWidth="1"/>
    <col min="39" max="39" width="23.21875" style="69" customWidth="1"/>
    <col min="40" max="70" width="7.21875" style="69" customWidth="1"/>
    <col min="71" max="16359" width="8.21875" style="69"/>
    <col min="16360" max="16381" width="9" style="69" bestFit="1" customWidth="1"/>
    <col min="16382" max="16384" width="9" style="69" customWidth="1"/>
  </cols>
  <sheetData>
    <row r="1" spans="2:38" s="302" customFormat="1" ht="8.85" customHeight="1" thickBot="1">
      <c r="C1" s="342"/>
      <c r="D1" s="342"/>
      <c r="E1" s="439"/>
      <c r="F1" s="343"/>
      <c r="G1" s="343"/>
    </row>
    <row r="2" spans="2:38" s="302" customFormat="1" ht="15" thickBot="1">
      <c r="B2" s="295" t="s">
        <v>0</v>
      </c>
      <c r="C2" s="439"/>
      <c r="H2" s="2696" t="s">
        <v>6</v>
      </c>
      <c r="I2" s="2697"/>
    </row>
    <row r="3" spans="2:38" s="302" customFormat="1" ht="15" thickBot="1">
      <c r="B3" s="64" t="s">
        <v>52</v>
      </c>
      <c r="C3" s="439"/>
      <c r="H3" s="2733" t="s">
        <v>8</v>
      </c>
      <c r="I3" s="2763"/>
      <c r="S3" s="846"/>
      <c r="U3" s="859"/>
    </row>
    <row r="4" spans="2:38" s="302" customFormat="1" ht="15" customHeight="1" thickBot="1">
      <c r="B4" s="297" t="s">
        <v>41</v>
      </c>
      <c r="C4" s="439"/>
      <c r="H4" s="2737" t="s">
        <v>10</v>
      </c>
      <c r="I4" s="2764"/>
      <c r="K4" s="842" t="s">
        <v>248</v>
      </c>
      <c r="L4" s="834"/>
      <c r="M4" s="834"/>
      <c r="N4" s="834"/>
      <c r="O4" s="834"/>
      <c r="P4" s="844"/>
      <c r="S4" s="846"/>
    </row>
    <row r="5" spans="2:38" s="302" customFormat="1" ht="14.4" thickBot="1">
      <c r="B5" s="65"/>
      <c r="C5" s="439"/>
      <c r="S5" s="859"/>
      <c r="U5" s="859"/>
    </row>
    <row r="6" spans="2:38" s="302" customFormat="1" ht="14.4" thickBot="1">
      <c r="B6" s="294" t="s">
        <v>3</v>
      </c>
      <c r="C6" s="298">
        <f>SUMMARY!$C$6</f>
        <v>45870</v>
      </c>
      <c r="G6" s="196" t="s">
        <v>13</v>
      </c>
      <c r="H6" s="359">
        <v>1</v>
      </c>
      <c r="I6" s="360">
        <v>2</v>
      </c>
      <c r="J6" s="360">
        <v>3</v>
      </c>
      <c r="K6" s="360">
        <v>4</v>
      </c>
      <c r="L6" s="360">
        <v>5</v>
      </c>
      <c r="M6" s="360">
        <v>6</v>
      </c>
      <c r="N6" s="360">
        <v>7</v>
      </c>
      <c r="O6" s="360">
        <v>8</v>
      </c>
      <c r="P6" s="360">
        <v>9</v>
      </c>
      <c r="Q6" s="360">
        <v>10</v>
      </c>
      <c r="R6" s="360">
        <v>11</v>
      </c>
      <c r="S6" s="360">
        <v>12</v>
      </c>
      <c r="T6" s="360">
        <v>13</v>
      </c>
      <c r="U6" s="360">
        <v>14</v>
      </c>
      <c r="V6" s="360">
        <v>15</v>
      </c>
      <c r="W6" s="360">
        <v>16</v>
      </c>
      <c r="X6" s="360">
        <v>17</v>
      </c>
      <c r="Y6" s="360">
        <v>18</v>
      </c>
      <c r="Z6" s="360">
        <v>19</v>
      </c>
      <c r="AA6" s="360">
        <v>20</v>
      </c>
      <c r="AB6" s="360">
        <v>21</v>
      </c>
      <c r="AC6" s="360">
        <v>22</v>
      </c>
      <c r="AD6" s="360">
        <v>23</v>
      </c>
      <c r="AE6" s="360">
        <v>24</v>
      </c>
      <c r="AF6" s="360">
        <v>25</v>
      </c>
      <c r="AG6" s="360">
        <v>26</v>
      </c>
      <c r="AH6" s="360">
        <v>27</v>
      </c>
      <c r="AI6" s="360">
        <v>28</v>
      </c>
      <c r="AJ6" s="360">
        <v>29</v>
      </c>
      <c r="AK6" s="360">
        <v>30</v>
      </c>
      <c r="AL6" s="361">
        <v>31</v>
      </c>
    </row>
    <row r="7" spans="2:38" s="302" customFormat="1">
      <c r="B7" s="294" t="s">
        <v>4</v>
      </c>
      <c r="C7" s="303">
        <f>SUMMARY!$C$7</f>
        <v>6</v>
      </c>
      <c r="G7" s="668" t="s">
        <v>249</v>
      </c>
      <c r="H7" s="640">
        <f>IF(H$6&gt;$C$7,"",SUMIF($E$19:$E192,"Budget (m)",H$19:H192))</f>
        <v>32.099999999999994</v>
      </c>
      <c r="I7" s="491">
        <f>IF(I$6&gt;$C$7,"",SUMIF($E$19:$E192,"Budget (m)",I$19:I192))</f>
        <v>32.099999999999994</v>
      </c>
      <c r="J7" s="491">
        <f>IF(J$6&gt;$C$7,"",SUMIF($E$19:$E192,"Budget (m)",J$19:J192))</f>
        <v>0</v>
      </c>
      <c r="K7" s="491">
        <f>IF(K$6&gt;$C$7,"",SUMIF($E$19:$E192,"Budget (m)",K$19:K192))</f>
        <v>32.999999999999993</v>
      </c>
      <c r="L7" s="491">
        <f>IF(L$6&gt;$C$7,"",SUMIF($E$19:$E192,"Budget (m)",L$19:L192))</f>
        <v>33.899999999999991</v>
      </c>
      <c r="M7" s="491">
        <f>IF(M$6&gt;$C$7,"",SUMIF($E$19:$E192,"Budget (m)",M$19:M192))</f>
        <v>33.899999999999991</v>
      </c>
      <c r="N7" s="491" t="str">
        <f>IF(N$6&gt;$C$7,"",SUMIF($E$19:$E192,"Budget (m)",N$19:N192))</f>
        <v/>
      </c>
      <c r="O7" s="491" t="str">
        <f>IF(O$6&gt;$C$7,"",SUMIF($E$19:$E192,"Budget (m)",O$19:O192))</f>
        <v/>
      </c>
      <c r="P7" s="491" t="str">
        <f>IF(P$6&gt;$C$7,"",SUMIF($E$19:$E192,"Budget (m)",P$19:P192))</f>
        <v/>
      </c>
      <c r="Q7" s="491" t="str">
        <f>IF(Q$6&gt;$C$7,"",SUMIF($E$19:$E192,"Budget (m)",Q$19:Q192))</f>
        <v/>
      </c>
      <c r="R7" s="491" t="str">
        <f>IF(R$6&gt;$C$7,"",SUMIF($E$19:$E192,"Budget (m)",R$19:R192))</f>
        <v/>
      </c>
      <c r="S7" s="491" t="str">
        <f>IF(S$6&gt;$C$7,"",SUMIF($E$19:$E192,"Budget (m)",S$19:S192))</f>
        <v/>
      </c>
      <c r="T7" s="491" t="str">
        <f>IF(T$6&gt;$C$7,"",SUMIF($E$19:$E192,"Budget (m)",T$19:T192))</f>
        <v/>
      </c>
      <c r="U7" s="491" t="str">
        <f>IF(U$6&gt;$C$7,"",SUMIF($E$19:$E192,"Budget (m)",U$19:U192))</f>
        <v/>
      </c>
      <c r="V7" s="491" t="str">
        <f>IF(V$6&gt;$C$7,"",SUMIF($E$19:$E192,"Budget (m)",V$19:V192))</f>
        <v/>
      </c>
      <c r="W7" s="491" t="str">
        <f>IF(W$6&gt;$C$7,"",SUMIF($E$19:$E192,"Budget (m)",W$19:W192))</f>
        <v/>
      </c>
      <c r="X7" s="491" t="str">
        <f>IF(X$6&gt;$C$7,"",SUMIF($E$19:$E192,"Budget (m)",X$19:X192))</f>
        <v/>
      </c>
      <c r="Y7" s="491" t="str">
        <f>IF(Y$6&gt;$C$7,"",SUMIF($E$19:$E192,"Budget (m)",Y$19:Y192))</f>
        <v/>
      </c>
      <c r="Z7" s="491" t="str">
        <f>IF(Z$6&gt;$C$7,"",SUMIF($E$19:$E192,"Budget (m)",Z$19:Z192))</f>
        <v/>
      </c>
      <c r="AA7" s="491" t="str">
        <f>IF(AA$6&gt;$C$7,"",SUMIF($E$19:$E192,"Budget (m)",AA$19:AA192))</f>
        <v/>
      </c>
      <c r="AB7" s="491" t="str">
        <f>IF(AB$6&gt;$C$7,"",SUMIF($E$19:$E192,"Budget (m)",AB$19:AB192))</f>
        <v/>
      </c>
      <c r="AC7" s="491" t="str">
        <f>IF(AC$6&gt;$C$7,"",SUMIF($E$19:$E192,"Budget (m)",AC$19:AC192))</f>
        <v/>
      </c>
      <c r="AD7" s="491" t="str">
        <f>IF(AD$6&gt;$C$7,"",SUMIF($E$19:$E192,"Budget (m)",AD$19:AD192))</f>
        <v/>
      </c>
      <c r="AE7" s="491" t="str">
        <f>IF(AE$6&gt;$C$7,"",SUMIF($E$19:$E192,"Budget (m)",AE$19:AE192))</f>
        <v/>
      </c>
      <c r="AF7" s="491" t="str">
        <f>IF(AF$6&gt;$C$7,"",SUMIF($E$19:$E192,"Budget (m)",AF$19:AF192))</f>
        <v/>
      </c>
      <c r="AG7" s="491" t="str">
        <f>IF(AG$6&gt;$C$7,"",SUMIF($E$19:$E192,"Budget (m)",AG$19:AG192))</f>
        <v/>
      </c>
      <c r="AH7" s="491" t="str">
        <f>IF(AH$6&gt;$C$7,"",SUMIF($E$19:$E192,"Budget (m)",AH$19:AH192))</f>
        <v/>
      </c>
      <c r="AI7" s="491" t="str">
        <f>IF(AI$6&gt;$C$7,"",SUMIF($E$19:$E192,"Budget (m)",AI$19:AI192))</f>
        <v/>
      </c>
      <c r="AJ7" s="491" t="str">
        <f>IF(AJ$6&gt;$C$7,"",SUMIF($E$19:$E192,"Budget (m)",AJ$19:AJ192))</f>
        <v/>
      </c>
      <c r="AK7" s="491" t="str">
        <f>IF(AK$6&gt;$C$7,"",SUMIF($E$19:$E192,"Budget (m)",AK$19:AK192))</f>
        <v/>
      </c>
      <c r="AL7" s="454" t="str">
        <f>IF(AL$6&gt;$C$7,"",SUMIF($E$19:$E192,"Budget (m)",AL$19:AL192))</f>
        <v/>
      </c>
    </row>
    <row r="8" spans="2:38" s="302" customFormat="1" ht="14.4" thickBot="1">
      <c r="G8" s="667" t="s">
        <v>250</v>
      </c>
      <c r="H8" s="1041">
        <f>IF(H$6&gt;$C$7,"",SUMIF($E$19:$E192,"Actual (m)",H$19:H192))</f>
        <v>33.199999999999989</v>
      </c>
      <c r="I8" s="995">
        <f>IF(I$6&gt;$C$7,"",SUMIF($E$19:$E192,"Actual (m)",I$19:I192))</f>
        <v>34.699999999999996</v>
      </c>
      <c r="J8" s="995">
        <f>IF(J$6&gt;$C$7,"",SUMIF($E$19:$E192,"Actual (m)",J$19:J192))</f>
        <v>0</v>
      </c>
      <c r="K8" s="995">
        <f>IF(K$6&gt;$C$7,"",SUMIF($E$19:$E192,"Actual (m)",K$19:K192))</f>
        <v>35.1</v>
      </c>
      <c r="L8" s="995">
        <f>IF(L$6&gt;$C$7,"",SUMIF($E$19:$E192,"Actual (m)",L$19:L192))</f>
        <v>34.9</v>
      </c>
      <c r="M8" s="995">
        <f>IF(M$6&gt;$C$7,"",SUMIF($E$19:$E192,"Actual (m)",M$19:M192))</f>
        <v>17.299999999999997</v>
      </c>
      <c r="N8" s="995" t="str">
        <f>IF(N$6&gt;$C$7,"",SUMIF($E$19:$E192,"Actual (m)",N$19:N192))</f>
        <v/>
      </c>
      <c r="O8" s="995" t="str">
        <f>IF(O$6&gt;$C$7,"",SUMIF($E$19:$E192,"Actual (m)",O$19:O192))</f>
        <v/>
      </c>
      <c r="P8" s="995" t="str">
        <f>IF(P$6&gt;$C$7,"",SUMIF($E$19:$E192,"Actual (m)",P$19:P192))</f>
        <v/>
      </c>
      <c r="Q8" s="995" t="str">
        <f>IF(Q$6&gt;$C$7,"",SUMIF($E$19:$E192,"Actual (m)",Q$19:Q192))</f>
        <v/>
      </c>
      <c r="R8" s="995" t="str">
        <f>IF(R$6&gt;$C$7,"",SUMIF($E$19:$E192,"Actual (m)",R$19:R192))</f>
        <v/>
      </c>
      <c r="S8" s="995" t="str">
        <f>IF(S$6&gt;$C$7,"",SUMIF($E$19:$E192,"Actual (m)",S$19:S192))</f>
        <v/>
      </c>
      <c r="T8" s="995" t="str">
        <f>IF(T$6&gt;$C$7,"",SUMIF($E$19:$E192,"Actual (m)",T$19:T192))</f>
        <v/>
      </c>
      <c r="U8" s="995" t="str">
        <f>IF(U$6&gt;$C$7,"",SUMIF($E$19:$E192,"Actual (m)",U$19:U192))</f>
        <v/>
      </c>
      <c r="V8" s="995" t="str">
        <f>IF(V$6&gt;$C$7,"",SUMIF($E$19:$E192,"Actual (m)",V$19:V192))</f>
        <v/>
      </c>
      <c r="W8" s="995" t="str">
        <f>IF(W$6&gt;$C$7,"",SUMIF($E$19:$E192,"Actual (m)",W$19:W192))</f>
        <v/>
      </c>
      <c r="X8" s="995" t="str">
        <f>IF(X$6&gt;$C$7,"",SUMIF($E$19:$E192,"Actual (m)",X$19:X192))</f>
        <v/>
      </c>
      <c r="Y8" s="995" t="str">
        <f>IF(Y$6&gt;$C$7,"",SUMIF($E$19:$E192,"Actual (m)",Y$19:Y192))</f>
        <v/>
      </c>
      <c r="Z8" s="995" t="str">
        <f>IF(Z$6&gt;$C$7,"",SUMIF($E$19:$E192,"Actual (m)",Z$19:Z192))</f>
        <v/>
      </c>
      <c r="AA8" s="995" t="str">
        <f>IF(AA$6&gt;$C$7,"",SUMIF($E$19:$E192,"Actual (m)",AA$19:AA192))</f>
        <v/>
      </c>
      <c r="AB8" s="995" t="str">
        <f>IF(AB$6&gt;$C$7,"",SUMIF($E$19:$E192,"Actual (m)",AB$19:AB192))</f>
        <v/>
      </c>
      <c r="AC8" s="995" t="str">
        <f>IF(AC$6&gt;$C$7,"",SUMIF($E$19:$E192,"Actual (m)",AC$19:AC192))</f>
        <v/>
      </c>
      <c r="AD8" s="995" t="str">
        <f>IF(AD$6&gt;$C$7,"",SUMIF($E$19:$E192,"Actual (m)",AD$19:AD192))</f>
        <v/>
      </c>
      <c r="AE8" s="995" t="str">
        <f>IF(AE$6&gt;$C$7,"",SUMIF($E$19:$E192,"Actual (m)",AE$19:AE192))</f>
        <v/>
      </c>
      <c r="AF8" s="995" t="str">
        <f>IF(AF$6&gt;$C$7,"",SUMIF($E$19:$E192,"Actual (m)",AF$19:AF192))</f>
        <v/>
      </c>
      <c r="AG8" s="995" t="str">
        <f>IF(AG$6&gt;$C$7,"",SUMIF($E$19:$E192,"Actual (m)",AG$19:AG192))</f>
        <v/>
      </c>
      <c r="AH8" s="995" t="str">
        <f>IF(AH$6&gt;$C$7,"",SUMIF($E$19:$E192,"Actual (m)",AH$19:AH192))</f>
        <v/>
      </c>
      <c r="AI8" s="995" t="str">
        <f>IF(AI$6&gt;$C$7,"",SUMIF($E$19:$E192,"Actual (m)",AI$19:AI192))</f>
        <v/>
      </c>
      <c r="AJ8" s="995" t="str">
        <f>IF(AJ$6&gt;$C$7,"",SUMIF($E$19:$E192,"Actual (m)",AJ$19:AJ192))</f>
        <v/>
      </c>
      <c r="AK8" s="995" t="str">
        <f>IF(AK$6&gt;$C$7,"",SUMIF($E$19:$E192,"Actual (m)",AK$19:AK192))</f>
        <v/>
      </c>
      <c r="AL8" s="996" t="str">
        <f>IF(AL$6&gt;$C$7,"",SUMIF($E$19:$E192,"Actual (m)",AL$19:AL192))</f>
        <v/>
      </c>
    </row>
    <row r="9" spans="2:38" s="302" customFormat="1" ht="14.4" thickBot="1">
      <c r="B9" s="362" t="s">
        <v>14</v>
      </c>
      <c r="C9" s="469" t="s">
        <v>206</v>
      </c>
      <c r="D9" s="364" t="s">
        <v>16</v>
      </c>
      <c r="E9" s="365" t="s">
        <v>207</v>
      </c>
      <c r="G9" s="668" t="s">
        <v>251</v>
      </c>
      <c r="H9" s="640">
        <f>IF(H$6&gt;$C$7,"",SUMIF($E$194:$E272,"Budget (m)",H$194:H272))</f>
        <v>3.6</v>
      </c>
      <c r="I9" s="112">
        <f>IF(I$6&gt;$C$7,"",SUMIF($E$194:$E272,"Budget (m)",I$194:I272))</f>
        <v>3.6</v>
      </c>
      <c r="J9" s="112">
        <f>IF(J$6&gt;$C$7,"",SUMIF($E$194:$E272,"Budget (m)",J$194:J272))</f>
        <v>0.9</v>
      </c>
      <c r="K9" s="112">
        <f>IF(K$6&gt;$C$7,"",SUMIF($E$194:$E272,"Budget (m)",K$194:K272))</f>
        <v>3.6</v>
      </c>
      <c r="L9" s="112">
        <f>IF(L$6&gt;$C$7,"",SUMIF($E$194:$E272,"Budget (m)",L$194:L272))</f>
        <v>2.7</v>
      </c>
      <c r="M9" s="112">
        <f>IF(M$6&gt;$C$7,"",SUMIF($E$194:$E272,"Budget (m)",M$194:M272))</f>
        <v>4.9000000000000004</v>
      </c>
      <c r="N9" s="112" t="str">
        <f>IF(N$6&gt;$C$7,"",SUMIF($E$194:$E272,"Budget (m)",N$194:N272))</f>
        <v/>
      </c>
      <c r="O9" s="112" t="str">
        <f>IF(O$6&gt;$C$7,"",SUMIF($E$194:$E272,"Budget (m)",O$194:O272))</f>
        <v/>
      </c>
      <c r="P9" s="112" t="str">
        <f>IF(P$6&gt;$C$7,"",SUMIF($E$194:$E272,"Budget (m)",P$194:P272))</f>
        <v/>
      </c>
      <c r="Q9" s="112" t="str">
        <f>IF(Q$6&gt;$C$7,"",SUMIF($E$194:$E272,"Budget (m)",Q$194:Q272))</f>
        <v/>
      </c>
      <c r="R9" s="112" t="str">
        <f>IF(R$6&gt;$C$7,"",SUMIF($E$194:$E272,"Budget (m)",R$194:R272))</f>
        <v/>
      </c>
      <c r="S9" s="112" t="str">
        <f>IF(S$6&gt;$C$7,"",SUMIF($E$194:$E272,"Budget (m)",S$194:S272))</f>
        <v/>
      </c>
      <c r="T9" s="112" t="str">
        <f>IF(T$6&gt;$C$7,"",SUMIF($E$194:$E272,"Budget (m)",T$194:T272))</f>
        <v/>
      </c>
      <c r="U9" s="112" t="str">
        <f>IF(U$6&gt;$C$7,"",SUMIF($E$194:$E272,"Budget (m)",U$194:U272))</f>
        <v/>
      </c>
      <c r="V9" s="112" t="str">
        <f>IF(V$6&gt;$C$7,"",SUMIF($E$194:$E272,"Budget (m)",V$194:V272))</f>
        <v/>
      </c>
      <c r="W9" s="112" t="str">
        <f>IF(W$6&gt;$C$7,"",SUMIF($E$194:$E272,"Budget (m)",W$194:W272))</f>
        <v/>
      </c>
      <c r="X9" s="112" t="str">
        <f>IF(X$6&gt;$C$7,"",SUMIF($E$194:$E272,"Budget (m)",X$194:X272))</f>
        <v/>
      </c>
      <c r="Y9" s="112" t="str">
        <f>IF(Y$6&gt;$C$7,"",SUMIF($E$194:$E272,"Budget (m)",Y$194:Y272))</f>
        <v/>
      </c>
      <c r="Z9" s="112" t="str">
        <f>IF(Z$6&gt;$C$7,"",SUMIF($E$194:$E272,"Budget (m)",Z$194:Z272))</f>
        <v/>
      </c>
      <c r="AA9" s="112" t="str">
        <f>IF(AA$6&gt;$C$7,"",SUMIF($E$194:$E272,"Budget (m)",AA$194:AA272))</f>
        <v/>
      </c>
      <c r="AB9" s="112" t="str">
        <f>IF(AB$6&gt;$C$7,"",SUMIF($E$194:$E272,"Budget (m)",AB$194:AB272))</f>
        <v/>
      </c>
      <c r="AC9" s="112" t="str">
        <f>IF(AC$6&gt;$C$7,"",SUMIF($E$194:$E272,"Budget (m)",AC$194:AC272))</f>
        <v/>
      </c>
      <c r="AD9" s="112" t="str">
        <f>IF(AD$6&gt;$C$7,"",SUMIF($E$194:$E272,"Budget (m)",AD$194:AD272))</f>
        <v/>
      </c>
      <c r="AE9" s="112" t="str">
        <f>IF(AE$6&gt;$C$7,"",SUMIF($E$194:$E272,"Budget (m)",AE$194:AE272))</f>
        <v/>
      </c>
      <c r="AF9" s="112" t="str">
        <f>IF(AF$6&gt;$C$7,"",SUMIF($E$194:$E272,"Budget (m)",AF$194:AF272))</f>
        <v/>
      </c>
      <c r="AG9" s="112" t="str">
        <f>IF(AG$6&gt;$C$7,"",SUMIF($E$194:$E272,"Budget (m)",AG$194:AG272))</f>
        <v/>
      </c>
      <c r="AH9" s="112" t="str">
        <f>IF(AH$6&gt;$C$7,"",SUMIF($E$194:$E272,"Budget (m)",AH$194:AH272))</f>
        <v/>
      </c>
      <c r="AI9" s="112" t="str">
        <f>IF(AI$6&gt;$C$7,"",SUMIF($E$194:$E272,"Budget (m)",AI$194:AI272))</f>
        <v/>
      </c>
      <c r="AJ9" s="112" t="str">
        <f>IF(AJ$6&gt;$C$7,"",SUMIF($E$194:$E272,"Budget (m)",AJ$194:AJ272))</f>
        <v/>
      </c>
      <c r="AK9" s="112" t="str">
        <f>IF(AK$6&gt;$C$7,"",SUMIF($E$194:$E272,"Budget (m)",AK$194:AK272))</f>
        <v/>
      </c>
      <c r="AL9" s="113" t="str">
        <f>IF(AL$6&gt;$C$7,"",SUMIF($E$194:$E272,"Budget (m)",AL$194:AL272))</f>
        <v/>
      </c>
    </row>
    <row r="10" spans="2:38" s="302" customFormat="1" ht="14.4" thickBot="1">
      <c r="B10" s="472" t="s">
        <v>252</v>
      </c>
      <c r="C10" s="604">
        <f>SUM(H7:AL7)</f>
        <v>164.99999999999994</v>
      </c>
      <c r="D10" s="605">
        <f>SUM(H8:AL8)</f>
        <v>155.19999999999999</v>
      </c>
      <c r="E10" s="671">
        <f>IFERROR((D10-C10)/C10,0)</f>
        <v>-5.9393939393939138E-2</v>
      </c>
      <c r="G10" s="667" t="s">
        <v>253</v>
      </c>
      <c r="H10" s="1041">
        <f>IF(H$6&gt;$C$7,"",SUMIF($E$194:$E272,"Actual (m)",H$194:H272))</f>
        <v>5.7</v>
      </c>
      <c r="I10" s="997">
        <f>IF(I$6&gt;$C$7,"",SUMIF($E$194:$E272,"Actual (m)",I$194:I272))</f>
        <v>4.9000000000000004</v>
      </c>
      <c r="J10" s="997">
        <f>IF(J$6&gt;$C$7,"",SUMIF($E$194:$E272,"Actual (m)",J$194:J272))</f>
        <v>2.9000000000000004</v>
      </c>
      <c r="K10" s="997">
        <f>IF(K$6&gt;$C$7,"",SUMIF($E$194:$E272,"Actual (m)",K$194:K272))</f>
        <v>3.8</v>
      </c>
      <c r="L10" s="997">
        <f>IF(L$6&gt;$C$7,"",SUMIF($E$194:$E272,"Actual (m)",L$194:L272))</f>
        <v>4</v>
      </c>
      <c r="M10" s="997">
        <f>IF(M$6&gt;$C$7,"",SUMIF($E$194:$E272,"Actual (m)",M$194:M272))</f>
        <v>3.8000000000000003</v>
      </c>
      <c r="N10" s="997" t="str">
        <f>IF(N$6&gt;$C$7,"",SUMIF($E$194:$E272,"Actual (m)",N$194:N272))</f>
        <v/>
      </c>
      <c r="O10" s="997" t="str">
        <f>IF(O$6&gt;$C$7,"",SUMIF($E$194:$E272,"Actual (m)",O$194:O272))</f>
        <v/>
      </c>
      <c r="P10" s="997" t="str">
        <f>IF(P$6&gt;$C$7,"",SUMIF($E$194:$E272,"Actual (m)",P$194:P272))</f>
        <v/>
      </c>
      <c r="Q10" s="997" t="str">
        <f>IF(Q$6&gt;$C$7,"",SUMIF($E$194:$E272,"Actual (m)",Q$194:Q272))</f>
        <v/>
      </c>
      <c r="R10" s="997" t="str">
        <f>IF(R$6&gt;$C$7,"",SUMIF($E$194:$E272,"Actual (m)",R$194:R272))</f>
        <v/>
      </c>
      <c r="S10" s="997" t="str">
        <f>IF(S$6&gt;$C$7,"",SUMIF($E$194:$E272,"Actual (m)",S$194:S272))</f>
        <v/>
      </c>
      <c r="T10" s="997" t="str">
        <f>IF(T$6&gt;$C$7,"",SUMIF($E$194:$E272,"Actual (m)",T$194:T272))</f>
        <v/>
      </c>
      <c r="U10" s="997" t="str">
        <f>IF(U$6&gt;$C$7,"",SUMIF($E$194:$E272,"Actual (m)",U$194:U272))</f>
        <v/>
      </c>
      <c r="V10" s="997" t="str">
        <f>IF(V$6&gt;$C$7,"",SUMIF($E$194:$E272,"Actual (m)",V$194:V272))</f>
        <v/>
      </c>
      <c r="W10" s="997" t="str">
        <f>IF(W$6&gt;$C$7,"",SUMIF($E$194:$E272,"Actual (m)",W$194:W272))</f>
        <v/>
      </c>
      <c r="X10" s="997" t="str">
        <f>IF(X$6&gt;$C$7,"",SUMIF($E$194:$E272,"Actual (m)",X$194:X272))</f>
        <v/>
      </c>
      <c r="Y10" s="997" t="str">
        <f>IF(Y$6&gt;$C$7,"",SUMIF($E$194:$E272,"Actual (m)",Y$194:Y272))</f>
        <v/>
      </c>
      <c r="Z10" s="997" t="str">
        <f>IF(Z$6&gt;$C$7,"",SUMIF($E$194:$E272,"Actual (m)",Z$194:Z272))</f>
        <v/>
      </c>
      <c r="AA10" s="997" t="str">
        <f>IF(AA$6&gt;$C$7,"",SUMIF($E$194:$E272,"Actual (m)",AA$194:AA272))</f>
        <v/>
      </c>
      <c r="AB10" s="997" t="str">
        <f>IF(AB$6&gt;$C$7,"",SUMIF($E$194:$E272,"Actual (m)",AB$194:AB272))</f>
        <v/>
      </c>
      <c r="AC10" s="997" t="str">
        <f>IF(AC$6&gt;$C$7,"",SUMIF($E$194:$E272,"Actual (m)",AC$194:AC272))</f>
        <v/>
      </c>
      <c r="AD10" s="997" t="str">
        <f>IF(AD$6&gt;$C$7,"",SUMIF($E$194:$E272,"Actual (m)",AD$194:AD272))</f>
        <v/>
      </c>
      <c r="AE10" s="997" t="str">
        <f>IF(AE$6&gt;$C$7,"",SUMIF($E$194:$E272,"Actual (m)",AE$194:AE272))</f>
        <v/>
      </c>
      <c r="AF10" s="997" t="str">
        <f>IF(AF$6&gt;$C$7,"",SUMIF($E$194:$E272,"Actual (m)",AF$194:AF272))</f>
        <v/>
      </c>
      <c r="AG10" s="997" t="str">
        <f>IF(AG$6&gt;$C$7,"",SUMIF($E$194:$E272,"Actual (m)",AG$194:AG272))</f>
        <v/>
      </c>
      <c r="AH10" s="997" t="str">
        <f>IF(AH$6&gt;$C$7,"",SUMIF($E$194:$E272,"Actual (m)",AH$194:AH272))</f>
        <v/>
      </c>
      <c r="AI10" s="997" t="str">
        <f>IF(AI$6&gt;$C$7,"",SUMIF($E$194:$E272,"Actual (m)",AI$194:AI272))</f>
        <v/>
      </c>
      <c r="AJ10" s="997" t="str">
        <f>IF(AJ$6&gt;$C$7,"",SUMIF($E$194:$E272,"Actual (m)",AJ$194:AJ272))</f>
        <v/>
      </c>
      <c r="AK10" s="997" t="str">
        <f>IF(AK$6&gt;$C$7,"",SUMIF($E$194:$E272,"Actual (m)",AK$194:AK272))</f>
        <v/>
      </c>
      <c r="AL10" s="998" t="str">
        <f>IF(AL$6&gt;$C$7,"",SUMIF($E$194:$E272,"Actual (m)",AL$194:AL272))</f>
        <v/>
      </c>
    </row>
    <row r="11" spans="2:38" s="302" customFormat="1">
      <c r="B11" s="474" t="s">
        <v>254</v>
      </c>
      <c r="C11" s="606">
        <f>SUM(H9:AL9)</f>
        <v>19.299999999999997</v>
      </c>
      <c r="D11" s="607">
        <f>SUM(H10:AL10)</f>
        <v>25.1</v>
      </c>
      <c r="E11" s="929">
        <f>IFERROR((D11-C11)/C11,0)</f>
        <v>0.3005181347150262</v>
      </c>
      <c r="G11" s="668" t="s">
        <v>215</v>
      </c>
      <c r="H11" s="640">
        <f t="shared" ref="H11" si="0">IFERROR(H7+H9,"")</f>
        <v>35.699999999999996</v>
      </c>
      <c r="I11" s="491">
        <f t="shared" ref="I11:AL11" si="1">IFERROR(I7+I9,"")</f>
        <v>35.699999999999996</v>
      </c>
      <c r="J11" s="643">
        <f t="shared" si="1"/>
        <v>0.9</v>
      </c>
      <c r="K11" s="491">
        <f t="shared" si="1"/>
        <v>36.599999999999994</v>
      </c>
      <c r="L11" s="491">
        <f t="shared" si="1"/>
        <v>36.599999999999994</v>
      </c>
      <c r="M11" s="491">
        <f t="shared" si="1"/>
        <v>38.79999999999999</v>
      </c>
      <c r="N11" s="491" t="str">
        <f t="shared" si="1"/>
        <v/>
      </c>
      <c r="O11" s="491" t="str">
        <f t="shared" si="1"/>
        <v/>
      </c>
      <c r="P11" s="491" t="str">
        <f t="shared" si="1"/>
        <v/>
      </c>
      <c r="Q11" s="491" t="str">
        <f t="shared" si="1"/>
        <v/>
      </c>
      <c r="R11" s="491" t="str">
        <f t="shared" si="1"/>
        <v/>
      </c>
      <c r="S11" s="491" t="str">
        <f t="shared" si="1"/>
        <v/>
      </c>
      <c r="T11" s="491" t="str">
        <f t="shared" si="1"/>
        <v/>
      </c>
      <c r="U11" s="491" t="str">
        <f t="shared" si="1"/>
        <v/>
      </c>
      <c r="V11" s="491" t="str">
        <f t="shared" si="1"/>
        <v/>
      </c>
      <c r="W11" s="491" t="str">
        <f t="shared" si="1"/>
        <v/>
      </c>
      <c r="X11" s="491" t="str">
        <f t="shared" si="1"/>
        <v/>
      </c>
      <c r="Y11" s="491" t="str">
        <f t="shared" si="1"/>
        <v/>
      </c>
      <c r="Z11" s="491" t="str">
        <f t="shared" si="1"/>
        <v/>
      </c>
      <c r="AA11" s="491" t="str">
        <f>IFERROR(AA7+AA9,"")</f>
        <v/>
      </c>
      <c r="AB11" s="491" t="str">
        <f t="shared" si="1"/>
        <v/>
      </c>
      <c r="AC11" s="491" t="str">
        <f t="shared" si="1"/>
        <v/>
      </c>
      <c r="AD11" s="491" t="str">
        <f t="shared" si="1"/>
        <v/>
      </c>
      <c r="AE11" s="491" t="str">
        <f t="shared" si="1"/>
        <v/>
      </c>
      <c r="AF11" s="491" t="str">
        <f t="shared" si="1"/>
        <v/>
      </c>
      <c r="AG11" s="491" t="str">
        <f t="shared" si="1"/>
        <v/>
      </c>
      <c r="AH11" s="491" t="str">
        <f t="shared" si="1"/>
        <v/>
      </c>
      <c r="AI11" s="491" t="str">
        <f t="shared" si="1"/>
        <v/>
      </c>
      <c r="AJ11" s="491" t="str">
        <f t="shared" si="1"/>
        <v/>
      </c>
      <c r="AK11" s="491" t="str">
        <f t="shared" si="1"/>
        <v/>
      </c>
      <c r="AL11" s="454" t="str">
        <f t="shared" si="1"/>
        <v/>
      </c>
    </row>
    <row r="12" spans="2:38" s="302" customFormat="1" ht="14.4" thickBot="1">
      <c r="B12" s="1035" t="s">
        <v>212</v>
      </c>
      <c r="C12" s="1042">
        <f>SUM(C10:C11)</f>
        <v>184.29999999999995</v>
      </c>
      <c r="D12" s="1092">
        <f>SUM(D10:D11)</f>
        <v>180.29999999999998</v>
      </c>
      <c r="E12" s="1093">
        <f>IFERROR((D12-C12)/C12,0)</f>
        <v>-2.170374389582188E-2</v>
      </c>
      <c r="G12" s="667" t="s">
        <v>216</v>
      </c>
      <c r="H12" s="1041">
        <f t="shared" ref="H12" si="2">IFERROR(H8+H10,"")</f>
        <v>38.899999999999991</v>
      </c>
      <c r="I12" s="995">
        <f t="shared" ref="I12:AL12" si="3">IFERROR(I8+I10,"")</f>
        <v>39.599999999999994</v>
      </c>
      <c r="J12" s="995">
        <f t="shared" si="3"/>
        <v>2.9000000000000004</v>
      </c>
      <c r="K12" s="995">
        <f t="shared" si="3"/>
        <v>38.9</v>
      </c>
      <c r="L12" s="995">
        <f t="shared" si="3"/>
        <v>38.9</v>
      </c>
      <c r="M12" s="995">
        <f t="shared" si="3"/>
        <v>21.099999999999998</v>
      </c>
      <c r="N12" s="995" t="str">
        <f t="shared" si="3"/>
        <v/>
      </c>
      <c r="O12" s="995" t="str">
        <f t="shared" si="3"/>
        <v/>
      </c>
      <c r="P12" s="995" t="str">
        <f t="shared" si="3"/>
        <v/>
      </c>
      <c r="Q12" s="995" t="str">
        <f t="shared" si="3"/>
        <v/>
      </c>
      <c r="R12" s="995" t="str">
        <f t="shared" si="3"/>
        <v/>
      </c>
      <c r="S12" s="995" t="str">
        <f t="shared" si="3"/>
        <v/>
      </c>
      <c r="T12" s="995" t="str">
        <f t="shared" si="3"/>
        <v/>
      </c>
      <c r="U12" s="995" t="str">
        <f t="shared" si="3"/>
        <v/>
      </c>
      <c r="V12" s="995" t="str">
        <f t="shared" si="3"/>
        <v/>
      </c>
      <c r="W12" s="995" t="str">
        <f t="shared" si="3"/>
        <v/>
      </c>
      <c r="X12" s="995" t="str">
        <f t="shared" si="3"/>
        <v/>
      </c>
      <c r="Y12" s="995" t="str">
        <f t="shared" si="3"/>
        <v/>
      </c>
      <c r="Z12" s="995" t="str">
        <f t="shared" si="3"/>
        <v/>
      </c>
      <c r="AA12" s="995" t="str">
        <f t="shared" si="3"/>
        <v/>
      </c>
      <c r="AB12" s="995" t="str">
        <f t="shared" si="3"/>
        <v/>
      </c>
      <c r="AC12" s="995" t="str">
        <f t="shared" si="3"/>
        <v/>
      </c>
      <c r="AD12" s="995" t="str">
        <f t="shared" si="3"/>
        <v/>
      </c>
      <c r="AE12" s="995" t="str">
        <f t="shared" si="3"/>
        <v/>
      </c>
      <c r="AF12" s="995" t="str">
        <f t="shared" si="3"/>
        <v/>
      </c>
      <c r="AG12" s="995" t="str">
        <f t="shared" si="3"/>
        <v/>
      </c>
      <c r="AH12" s="995" t="str">
        <f t="shared" si="3"/>
        <v/>
      </c>
      <c r="AI12" s="995" t="str">
        <f t="shared" si="3"/>
        <v/>
      </c>
      <c r="AJ12" s="995" t="str">
        <f t="shared" si="3"/>
        <v/>
      </c>
      <c r="AK12" s="995" t="str">
        <f t="shared" si="3"/>
        <v/>
      </c>
      <c r="AL12" s="996" t="str">
        <f t="shared" si="3"/>
        <v/>
      </c>
    </row>
    <row r="13" spans="2:38" s="302" customFormat="1">
      <c r="B13" s="367" t="s">
        <v>255</v>
      </c>
      <c r="C13" s="470">
        <f>SUM(H13:AL13)</f>
        <v>151</v>
      </c>
      <c r="D13" s="87">
        <f>SUM(H14:AL14)</f>
        <v>148</v>
      </c>
      <c r="E13" s="928">
        <f>IFERROR((D13-C13)/C13,0)</f>
        <v>-1.9867549668874173E-2</v>
      </c>
      <c r="G13" s="668" t="s">
        <v>256</v>
      </c>
      <c r="H13" s="927">
        <f>IF(H$6&gt;$C$7,"",COUNTIFS(H$19:H270,"&gt;0",$E$19:$E270,"Budget (m)"))</f>
        <v>29</v>
      </c>
      <c r="I13" s="189">
        <f>IF(I$6&gt;$C$7,"",COUNTIFS(I$19:I270,"&gt;0",$E$19:$E270,"Budget (m)"))</f>
        <v>29</v>
      </c>
      <c r="J13" s="189">
        <f>IF(J$6&gt;$C$7,"",COUNTIFS(J$19:J270,"&gt;0",$E$19:$E270,"Budget (m)"))</f>
        <v>1</v>
      </c>
      <c r="K13" s="189">
        <f>IF(K$6&gt;$C$7,"",COUNTIFS(K$19:K270,"&gt;0",$E$19:$E270,"Budget (m)"))</f>
        <v>30</v>
      </c>
      <c r="L13" s="189">
        <f>IF(L$6&gt;$C$7,"",COUNTIFS(L$19:L270,"&gt;0",$E$19:$E270,"Budget (m)"))</f>
        <v>30</v>
      </c>
      <c r="M13" s="189">
        <f>IF(M$6&gt;$C$7,"",COUNTIFS(M$19:M270,"&gt;0",$E$19:$E270,"Budget (m)"))</f>
        <v>32</v>
      </c>
      <c r="N13" s="189" t="str">
        <f>IF(N$6&gt;$C$7,"",COUNTIFS(N$19:N270,"&gt;0",$E$19:$E270,"Budget (m)"))</f>
        <v/>
      </c>
      <c r="O13" s="189" t="str">
        <f>IF(O$6&gt;$C$7,"",COUNTIFS(O$19:O270,"&gt;0",$E$19:$E270,"Budget (m)"))</f>
        <v/>
      </c>
      <c r="P13" s="189" t="str">
        <f>IF(P$6&gt;$C$7,"",COUNTIFS(P$19:P270,"&gt;0",$E$19:$E270,"Budget (m)"))</f>
        <v/>
      </c>
      <c r="Q13" s="189" t="str">
        <f>IF(Q$6&gt;$C$7,"",COUNTIFS(Q$19:Q270,"&gt;0",$E$19:$E270,"Budget (m)"))</f>
        <v/>
      </c>
      <c r="R13" s="189" t="str">
        <f>IF(R$6&gt;$C$7,"",COUNTIFS(R$19:R270,"&gt;0",$E$19:$E270,"Budget (m)"))</f>
        <v/>
      </c>
      <c r="S13" s="189" t="str">
        <f>IF(S$6&gt;$C$7,"",COUNTIFS(S$19:S270,"&gt;0",$E$19:$E270,"Budget (m)"))</f>
        <v/>
      </c>
      <c r="T13" s="189" t="str">
        <f>IF(T$6&gt;$C$7,"",COUNTIFS(T$19:T270,"&gt;0",$E$19:$E270,"Budget (m)"))</f>
        <v/>
      </c>
      <c r="U13" s="189" t="str">
        <f>IF(U$6&gt;$C$7,"",COUNTIFS(U$19:U270,"&gt;0",$E$19:$E270,"Budget (m)"))</f>
        <v/>
      </c>
      <c r="V13" s="189" t="str">
        <f>IF(V$6&gt;$C$7,"",COUNTIFS(V$19:V270,"&gt;0",$E$19:$E270,"Budget (m)"))</f>
        <v/>
      </c>
      <c r="W13" s="189" t="str">
        <f>IF(W$6&gt;$C$7,"",COUNTIFS(W$19:W270,"&gt;0",$E$19:$E270,"Budget (m)"))</f>
        <v/>
      </c>
      <c r="X13" s="189" t="str">
        <f>IF(X$6&gt;$C$7,"",COUNTIFS(X$19:X270,"&gt;0",$E$19:$E270,"Budget (m)"))</f>
        <v/>
      </c>
      <c r="Y13" s="189" t="str">
        <f>IF(Y$6&gt;$C$7,"",COUNTIFS(Y$19:Y270,"&gt;0",$E$19:$E270,"Budget (m)"))</f>
        <v/>
      </c>
      <c r="Z13" s="189" t="str">
        <f>IF(Z$6&gt;$C$7,"",COUNTIFS(Z$19:Z270,"&gt;0",$E$19:$E270,"Budget (m)"))</f>
        <v/>
      </c>
      <c r="AA13" s="189" t="str">
        <f>IF(AA$6&gt;$C$7,"",COUNTIFS(AA$19:AA270,"&gt;0",$E$19:$E270,"Budget (m)"))</f>
        <v/>
      </c>
      <c r="AB13" s="189" t="str">
        <f>IF(AB$6&gt;$C$7,"",COUNTIFS(AB$19:AB270,"&gt;0",$E$19:$E270,"Budget (m)"))</f>
        <v/>
      </c>
      <c r="AC13" s="189" t="str">
        <f>IF(AC$6&gt;$C$7,"",COUNTIFS(AC$19:AC270,"&gt;0",$E$19:$E270,"Budget (m)"))</f>
        <v/>
      </c>
      <c r="AD13" s="189" t="str">
        <f>IF(AD$6&gt;$C$7,"",COUNTIFS(AD$19:AD270,"&gt;0",$E$19:$E270,"Budget (m)"))</f>
        <v/>
      </c>
      <c r="AE13" s="189" t="str">
        <f>IF(AE$6&gt;$C$7,"",COUNTIFS(AE$19:AE270,"&gt;0",$E$19:$E270,"Budget (m)"))</f>
        <v/>
      </c>
      <c r="AF13" s="189" t="str">
        <f>IF(AF$6&gt;$C$7,"",COUNTIFS(AF$19:AF270,"&gt;0",$E$19:$E270,"Budget (m)"))</f>
        <v/>
      </c>
      <c r="AG13" s="189" t="str">
        <f>IF(AG$6&gt;$C$7,"",COUNTIFS(AG$19:AG270,"&gt;0",$E$19:$E270,"Budget (m)"))</f>
        <v/>
      </c>
      <c r="AH13" s="189" t="str">
        <f>IF(AH$6&gt;$C$7,"",COUNTIFS(AH$19:AH270,"&gt;0",$E$19:$E270,"Budget (m)"))</f>
        <v/>
      </c>
      <c r="AI13" s="189" t="str">
        <f>IF(AI$6&gt;$C$7,"",COUNTIFS(AI$19:AI270,"&gt;0",$E$19:$E270,"Budget (m)"))</f>
        <v/>
      </c>
      <c r="AJ13" s="189" t="str">
        <f>IF(AJ$6&gt;$C$7,"",COUNTIFS(AJ$19:AJ270,"&gt;0",$E$19:$E270,"Budget (m)"))</f>
        <v/>
      </c>
      <c r="AK13" s="189" t="str">
        <f>IF(AK$6&gt;$C$7,"",COUNTIFS(AK$19:AK270,"&gt;0",$E$19:$E270,"Budget (m)"))</f>
        <v/>
      </c>
      <c r="AL13" s="190" t="str">
        <f>IF(AL$6&gt;$C$7,"",COUNTIFS(AL$19:AL270,"&gt;0",$E$19:$E270,"Budget (m)"))</f>
        <v/>
      </c>
    </row>
    <row r="14" spans="2:38" s="302" customFormat="1" ht="14.4" thickBot="1">
      <c r="B14" s="1035" t="s">
        <v>257</v>
      </c>
      <c r="C14" s="1042">
        <f>IFERROR(C10/C13,0)</f>
        <v>1.0927152317880791</v>
      </c>
      <c r="D14" s="1100">
        <f>IFERROR(D10/D13,0)</f>
        <v>1.0486486486486486</v>
      </c>
      <c r="E14" s="1093">
        <f>IFERROR((D14-C14)/C14,0)</f>
        <v>-4.0327600327600015E-2</v>
      </c>
      <c r="G14" s="667" t="s">
        <v>258</v>
      </c>
      <c r="H14" s="1043">
        <f>IF(H$6&gt;$C$7,"",COUNTIFS(H$19:H270,"&gt;0",$E$19:$E270,"Actual (m)"))</f>
        <v>34</v>
      </c>
      <c r="I14" s="988">
        <f>IF(I$6&gt;$C$7,"",COUNTIFS(I$19:I270,"&gt;0",$E$19:$E270,"Actual (m)"))</f>
        <v>32</v>
      </c>
      <c r="J14" s="988">
        <f>IF(J$6&gt;$C$7,"",COUNTIFS(J$19:J270,"&gt;0",$E$19:$E270,"Actual (m)"))</f>
        <v>3</v>
      </c>
      <c r="K14" s="988">
        <f>IF(K$6&gt;$C$7,"",COUNTIFS(K$19:K270,"&gt;0",$E$19:$E270,"Actual (m)"))</f>
        <v>30</v>
      </c>
      <c r="L14" s="988">
        <f>IF(L$6&gt;$C$7,"",COUNTIFS(L$19:L270,"&gt;0",$E$19:$E270,"Actual (m)"))</f>
        <v>31</v>
      </c>
      <c r="M14" s="988">
        <f>IF(M$6&gt;$C$7,"",COUNTIFS(M$19:M270,"&gt;0",$E$19:$E270,"Actual (m)"))</f>
        <v>18</v>
      </c>
      <c r="N14" s="988" t="str">
        <f>IF(N$6&gt;$C$7,"",COUNTIFS(N$19:N270,"&gt;0",$E$19:$E270,"Actual (m)"))</f>
        <v/>
      </c>
      <c r="O14" s="988" t="str">
        <f>IF(O$6&gt;$C$7,"",COUNTIFS(O$19:O270,"&gt;0",$E$19:$E270,"Actual (m)"))</f>
        <v/>
      </c>
      <c r="P14" s="988" t="str">
        <f>IF(P$6&gt;$C$7,"",COUNTIFS(P$19:P270,"&gt;0",$E$19:$E270,"Actual (m)"))</f>
        <v/>
      </c>
      <c r="Q14" s="988" t="str">
        <f>IF(Q$6&gt;$C$7,"",COUNTIFS(Q$19:Q270,"&gt;0",$E$19:$E270,"Actual (m)"))</f>
        <v/>
      </c>
      <c r="R14" s="988" t="str">
        <f>IF(R$6&gt;$C$7,"",COUNTIFS(R$19:R270,"&gt;0",$E$19:$E270,"Actual (m)"))</f>
        <v/>
      </c>
      <c r="S14" s="988" t="str">
        <f>IF(S$6&gt;$C$7,"",COUNTIFS(S$19:S270,"&gt;0",$E$19:$E270,"Actual (m)"))</f>
        <v/>
      </c>
      <c r="T14" s="988" t="str">
        <f>IF(T$6&gt;$C$7,"",COUNTIFS(T$19:T270,"&gt;0",$E$19:$E270,"Actual (m)"))</f>
        <v/>
      </c>
      <c r="U14" s="988" t="str">
        <f>IF(U$6&gt;$C$7,"",COUNTIFS(U$19:U270,"&gt;0",$E$19:$E270,"Actual (m)"))</f>
        <v/>
      </c>
      <c r="V14" s="988" t="str">
        <f>IF(V$6&gt;$C$7,"",COUNTIFS(V$19:V270,"&gt;0",$E$19:$E270,"Actual (m)"))</f>
        <v/>
      </c>
      <c r="W14" s="988" t="str">
        <f>IF(W$6&gt;$C$7,"",COUNTIFS(W$19:W270,"&gt;0",$E$19:$E270,"Actual (m)"))</f>
        <v/>
      </c>
      <c r="X14" s="988" t="str">
        <f>IF(X$6&gt;$C$7,"",COUNTIFS(X$19:X270,"&gt;0",$E$19:$E270,"Actual (m)"))</f>
        <v/>
      </c>
      <c r="Y14" s="988" t="str">
        <f>IF(Y$6&gt;$C$7,"",COUNTIFS(Y$19:Y270,"&gt;0",$E$19:$E270,"Actual (m)"))</f>
        <v/>
      </c>
      <c r="Z14" s="988" t="str">
        <f>IF(Z$6&gt;$C$7,"",COUNTIFS(Z$19:Z270,"&gt;0",$E$19:$E270,"Actual (m)"))</f>
        <v/>
      </c>
      <c r="AA14" s="999" t="str">
        <f>IF(AA$6&gt;$C$7,"",COUNTIFS(AA$19:AA270,"&gt;0",$E$19:$E270,"Actual (m)"))</f>
        <v/>
      </c>
      <c r="AB14" s="988" t="str">
        <f>IF(AB$6&gt;$C$7,"",COUNTIFS(AB$19:AB270,"&gt;0",$E$19:$E270,"Actual (m)"))</f>
        <v/>
      </c>
      <c r="AC14" s="988" t="str">
        <f>IF(AC$6&gt;$C$7,"",COUNTIFS(AC$19:AC270,"&gt;0",$E$19:$E270,"Actual (m)"))</f>
        <v/>
      </c>
      <c r="AD14" s="988" t="str">
        <f>IF(AD$6&gt;$C$7,"",COUNTIFS(AD$19:AD270,"&gt;0",$E$19:$E270,"Actual (m)"))</f>
        <v/>
      </c>
      <c r="AE14" s="988"/>
      <c r="AF14" s="988" t="str">
        <f>IF(AF$6&gt;$C$7,"",COUNTIFS(AF$19:AF270,"&gt;0",$E$19:$E270,"Actual (m)"))</f>
        <v/>
      </c>
      <c r="AG14" s="988" t="str">
        <f>IF(AG$6&gt;$C$7,"",COUNTIFS(AG$19:AG270,"&gt;0",$E$19:$E270,"Actual (m)"))</f>
        <v/>
      </c>
      <c r="AH14" s="988" t="str">
        <f>IF(AH$6&gt;$C$7,"",COUNTIFS(AH$19:AH270,"&gt;0",$E$19:$E270,"Actual (m)"))</f>
        <v/>
      </c>
      <c r="AI14" s="988" t="str">
        <f>IF(AI$6&gt;$C$7,"",COUNTIFS(AI$19:AI270,"&gt;0",$E$19:$E270,"Actual (m)"))</f>
        <v/>
      </c>
      <c r="AJ14" s="988" t="str">
        <f>IF(AJ$6&gt;$C$7,"",COUNTIFS(AJ$19:AJ270,"&gt;0",$E$19:$E270,"Actual (m)"))</f>
        <v/>
      </c>
      <c r="AK14" s="988" t="str">
        <f>IF(AK$6&gt;$C$7,"",COUNTIFS(AK$19:AK270,"&gt;0",$E$19:$E270,"Actual (m)"))</f>
        <v/>
      </c>
      <c r="AL14" s="989" t="str">
        <f>IF(AL$6&gt;$C$7,"",COUNTIFS(AL$19:AL270,"&gt;0",$E$19:$E270,"Actual (m)"))</f>
        <v/>
      </c>
    </row>
    <row r="15" spans="2:38" s="302" customFormat="1">
      <c r="G15" s="668" t="s">
        <v>259</v>
      </c>
      <c r="H15" s="926">
        <f t="shared" ref="H15:AL15" si="4">IF(H$6&gt;$C$7,"",IFERROR(H7/H13,0))</f>
        <v>1.1068965517241378</v>
      </c>
      <c r="I15" s="191">
        <f t="shared" si="4"/>
        <v>1.1068965517241378</v>
      </c>
      <c r="J15" s="191">
        <f t="shared" si="4"/>
        <v>0</v>
      </c>
      <c r="K15" s="191">
        <f t="shared" si="4"/>
        <v>1.0999999999999999</v>
      </c>
      <c r="L15" s="191">
        <f t="shared" si="4"/>
        <v>1.1299999999999997</v>
      </c>
      <c r="M15" s="191">
        <f t="shared" si="4"/>
        <v>1.0593749999999997</v>
      </c>
      <c r="N15" s="191" t="str">
        <f t="shared" si="4"/>
        <v/>
      </c>
      <c r="O15" s="191" t="str">
        <f t="shared" si="4"/>
        <v/>
      </c>
      <c r="P15" s="191" t="str">
        <f t="shared" si="4"/>
        <v/>
      </c>
      <c r="Q15" s="191" t="str">
        <f t="shared" si="4"/>
        <v/>
      </c>
      <c r="R15" s="191" t="str">
        <f t="shared" si="4"/>
        <v/>
      </c>
      <c r="S15" s="191" t="str">
        <f t="shared" si="4"/>
        <v/>
      </c>
      <c r="T15" s="191" t="str">
        <f t="shared" si="4"/>
        <v/>
      </c>
      <c r="U15" s="191" t="str">
        <f t="shared" si="4"/>
        <v/>
      </c>
      <c r="V15" s="191" t="str">
        <f t="shared" si="4"/>
        <v/>
      </c>
      <c r="W15" s="191" t="str">
        <f t="shared" si="4"/>
        <v/>
      </c>
      <c r="X15" s="191" t="str">
        <f t="shared" si="4"/>
        <v/>
      </c>
      <c r="Y15" s="191" t="str">
        <f t="shared" si="4"/>
        <v/>
      </c>
      <c r="Z15" s="191" t="str">
        <f t="shared" si="4"/>
        <v/>
      </c>
      <c r="AA15" s="191" t="str">
        <f t="shared" si="4"/>
        <v/>
      </c>
      <c r="AB15" s="191" t="str">
        <f t="shared" si="4"/>
        <v/>
      </c>
      <c r="AC15" s="191" t="str">
        <f t="shared" si="4"/>
        <v/>
      </c>
      <c r="AD15" s="191" t="str">
        <f t="shared" si="4"/>
        <v/>
      </c>
      <c r="AE15" s="191" t="str">
        <f t="shared" si="4"/>
        <v/>
      </c>
      <c r="AF15" s="191" t="str">
        <f t="shared" si="4"/>
        <v/>
      </c>
      <c r="AG15" s="191" t="str">
        <f t="shared" si="4"/>
        <v/>
      </c>
      <c r="AH15" s="191" t="str">
        <f t="shared" si="4"/>
        <v/>
      </c>
      <c r="AI15" s="191" t="str">
        <f t="shared" si="4"/>
        <v/>
      </c>
      <c r="AJ15" s="191" t="str">
        <f t="shared" si="4"/>
        <v/>
      </c>
      <c r="AK15" s="191" t="str">
        <f t="shared" si="4"/>
        <v/>
      </c>
      <c r="AL15" s="192" t="str">
        <f t="shared" si="4"/>
        <v/>
      </c>
    </row>
    <row r="16" spans="2:38" s="302" customFormat="1" ht="14.4" thickBot="1">
      <c r="E16" s="439"/>
      <c r="G16" s="667" t="s">
        <v>260</v>
      </c>
      <c r="H16" s="1041">
        <f t="shared" ref="H16:AL16" si="5">IF(H$6&gt;$C$7,"",IFERROR(H8/H14,0))</f>
        <v>0.97647058823529376</v>
      </c>
      <c r="I16" s="997">
        <f t="shared" si="5"/>
        <v>1.0843749999999999</v>
      </c>
      <c r="J16" s="997">
        <f t="shared" si="5"/>
        <v>0</v>
      </c>
      <c r="K16" s="997">
        <f t="shared" si="5"/>
        <v>1.1700000000000002</v>
      </c>
      <c r="L16" s="997">
        <f t="shared" si="5"/>
        <v>1.1258064516129032</v>
      </c>
      <c r="M16" s="997">
        <f t="shared" si="5"/>
        <v>0.96111111111111092</v>
      </c>
      <c r="N16" s="997" t="str">
        <f t="shared" si="5"/>
        <v/>
      </c>
      <c r="O16" s="997" t="str">
        <f t="shared" si="5"/>
        <v/>
      </c>
      <c r="P16" s="997" t="str">
        <f t="shared" si="5"/>
        <v/>
      </c>
      <c r="Q16" s="997" t="str">
        <f t="shared" si="5"/>
        <v/>
      </c>
      <c r="R16" s="997" t="str">
        <f t="shared" si="5"/>
        <v/>
      </c>
      <c r="S16" s="997" t="str">
        <f t="shared" si="5"/>
        <v/>
      </c>
      <c r="T16" s="997" t="str">
        <f t="shared" si="5"/>
        <v/>
      </c>
      <c r="U16" s="997" t="str">
        <f t="shared" si="5"/>
        <v/>
      </c>
      <c r="V16" s="997" t="str">
        <f t="shared" si="5"/>
        <v/>
      </c>
      <c r="W16" s="997" t="str">
        <f t="shared" si="5"/>
        <v/>
      </c>
      <c r="X16" s="997" t="str">
        <f t="shared" si="5"/>
        <v/>
      </c>
      <c r="Y16" s="997" t="str">
        <f t="shared" si="5"/>
        <v/>
      </c>
      <c r="Z16" s="997" t="str">
        <f t="shared" si="5"/>
        <v/>
      </c>
      <c r="AA16" s="997" t="str">
        <f t="shared" si="5"/>
        <v/>
      </c>
      <c r="AB16" s="997" t="str">
        <f t="shared" si="5"/>
        <v/>
      </c>
      <c r="AC16" s="997" t="str">
        <f t="shared" si="5"/>
        <v/>
      </c>
      <c r="AD16" s="997" t="str">
        <f t="shared" si="5"/>
        <v/>
      </c>
      <c r="AE16" s="997" t="str">
        <f t="shared" si="5"/>
        <v/>
      </c>
      <c r="AF16" s="997" t="str">
        <f t="shared" si="5"/>
        <v/>
      </c>
      <c r="AG16" s="997" t="str">
        <f t="shared" si="5"/>
        <v/>
      </c>
      <c r="AH16" s="997" t="str">
        <f t="shared" si="5"/>
        <v/>
      </c>
      <c r="AI16" s="997" t="str">
        <f t="shared" si="5"/>
        <v/>
      </c>
      <c r="AJ16" s="997" t="str">
        <f t="shared" si="5"/>
        <v/>
      </c>
      <c r="AK16" s="997" t="str">
        <f t="shared" si="5"/>
        <v/>
      </c>
      <c r="AL16" s="998" t="str">
        <f t="shared" si="5"/>
        <v/>
      </c>
    </row>
    <row r="17" spans="1:39" s="302" customFormat="1" ht="14.4" thickBot="1">
      <c r="E17" s="439"/>
      <c r="G17" s="343"/>
    </row>
    <row r="18" spans="1:39" s="375" customFormat="1" ht="15" customHeight="1" thickBot="1">
      <c r="A18" s="368">
        <f>COUNT(B19:B270)</f>
        <v>45</v>
      </c>
      <c r="B18" s="847" t="s">
        <v>261</v>
      </c>
      <c r="C18" s="847" t="s">
        <v>262</v>
      </c>
      <c r="D18" s="847"/>
      <c r="E18" s="2765" t="s">
        <v>263</v>
      </c>
      <c r="F18" s="2766"/>
      <c r="G18" s="930" t="s">
        <v>14</v>
      </c>
      <c r="H18" s="371">
        <f>SUMMARY!I16</f>
        <v>45870</v>
      </c>
      <c r="I18" s="372">
        <f>SUMMARY!J16</f>
        <v>45871</v>
      </c>
      <c r="J18" s="372">
        <f>SUMMARY!K16</f>
        <v>45872</v>
      </c>
      <c r="K18" s="372">
        <f>SUMMARY!L16</f>
        <v>45873</v>
      </c>
      <c r="L18" s="372">
        <f>SUMMARY!M16</f>
        <v>45874</v>
      </c>
      <c r="M18" s="372">
        <f>SUMMARY!N16</f>
        <v>45875</v>
      </c>
      <c r="N18" s="372">
        <f>SUMMARY!O16</f>
        <v>45876</v>
      </c>
      <c r="O18" s="372">
        <f>SUMMARY!P16</f>
        <v>45877</v>
      </c>
      <c r="P18" s="372">
        <f>SUMMARY!Q16</f>
        <v>45878</v>
      </c>
      <c r="Q18" s="372">
        <f>SUMMARY!R16</f>
        <v>45879</v>
      </c>
      <c r="R18" s="372">
        <f>SUMMARY!S16</f>
        <v>45880</v>
      </c>
      <c r="S18" s="372">
        <f>SUMMARY!T16</f>
        <v>45881</v>
      </c>
      <c r="T18" s="372">
        <f>SUMMARY!U16</f>
        <v>45882</v>
      </c>
      <c r="U18" s="372">
        <f>SUMMARY!V16</f>
        <v>45883</v>
      </c>
      <c r="V18" s="372">
        <f>SUMMARY!W16</f>
        <v>45884</v>
      </c>
      <c r="W18" s="372">
        <f>SUMMARY!X16</f>
        <v>45885</v>
      </c>
      <c r="X18" s="372">
        <f>SUMMARY!Y16</f>
        <v>45886</v>
      </c>
      <c r="Y18" s="372">
        <f>SUMMARY!Z16</f>
        <v>45887</v>
      </c>
      <c r="Z18" s="372">
        <f>SUMMARY!AA16</f>
        <v>45888</v>
      </c>
      <c r="AA18" s="372">
        <f>SUMMARY!AB16</f>
        <v>45889</v>
      </c>
      <c r="AB18" s="372">
        <f>SUMMARY!AC16</f>
        <v>45890</v>
      </c>
      <c r="AC18" s="372">
        <f>SUMMARY!AD16</f>
        <v>45891</v>
      </c>
      <c r="AD18" s="372">
        <f>SUMMARY!AE16</f>
        <v>45892</v>
      </c>
      <c r="AE18" s="372">
        <f>SUMMARY!AF16</f>
        <v>45893</v>
      </c>
      <c r="AF18" s="372">
        <f>SUMMARY!AG16</f>
        <v>45894</v>
      </c>
      <c r="AG18" s="372">
        <f>SUMMARY!AH16</f>
        <v>45895</v>
      </c>
      <c r="AH18" s="372">
        <f>SUMMARY!AI16</f>
        <v>45896</v>
      </c>
      <c r="AI18" s="372">
        <f>SUMMARY!AJ16</f>
        <v>45897</v>
      </c>
      <c r="AJ18" s="372">
        <f>SUMMARY!AK16</f>
        <v>45898</v>
      </c>
      <c r="AK18" s="372">
        <f>SUMMARY!AL16</f>
        <v>45899</v>
      </c>
      <c r="AL18" s="373">
        <f>SUMMARY!AM16</f>
        <v>45900</v>
      </c>
      <c r="AM18" s="374" t="s">
        <v>118</v>
      </c>
    </row>
    <row r="19" spans="1:39" s="79" customFormat="1" ht="13.35" customHeight="1">
      <c r="B19" s="2721">
        <v>1</v>
      </c>
      <c r="C19" s="2748" t="str">
        <f>Development.!A2</f>
        <v>3L_E9_HAULAGE_EAST</v>
      </c>
      <c r="D19" s="2760"/>
      <c r="E19" s="2767" t="s">
        <v>223</v>
      </c>
      <c r="F19" s="2768"/>
      <c r="G19" s="931">
        <f>SUMIF($H$6:$AL$6,"&lt;="&amp;$C$7,H19:AL19)</f>
        <v>8</v>
      </c>
      <c r="H19" s="1639">
        <f>Development.!B2</f>
        <v>1.6</v>
      </c>
      <c r="I19" s="1639">
        <f>Development.!C2</f>
        <v>1.6</v>
      </c>
      <c r="J19" s="1639">
        <f>Development.!D2</f>
        <v>0</v>
      </c>
      <c r="K19" s="1639">
        <f>Development.!E2</f>
        <v>1.6</v>
      </c>
      <c r="L19" s="1639">
        <f>Development.!F2</f>
        <v>1.6</v>
      </c>
      <c r="M19" s="1639">
        <f>Development.!G2</f>
        <v>1.6</v>
      </c>
      <c r="N19" s="1639">
        <f>Development.!H2</f>
        <v>1.6</v>
      </c>
      <c r="O19" s="1639">
        <f>Development.!I2</f>
        <v>1.6</v>
      </c>
      <c r="P19" s="1639">
        <f>Development.!J2</f>
        <v>1.6</v>
      </c>
      <c r="Q19" s="1639">
        <f>Development.!K2</f>
        <v>0</v>
      </c>
      <c r="R19" s="1639">
        <f>Development.!L2</f>
        <v>0</v>
      </c>
      <c r="S19" s="1639">
        <f>Development.!M2</f>
        <v>0</v>
      </c>
      <c r="T19" s="1639">
        <f>Development.!N2</f>
        <v>1.6</v>
      </c>
      <c r="U19" s="1639">
        <f>Development.!O2</f>
        <v>1.6</v>
      </c>
      <c r="V19" s="1639">
        <f>Development.!P2</f>
        <v>1.6</v>
      </c>
      <c r="W19" s="1639">
        <f>Development.!Q2</f>
        <v>1.6</v>
      </c>
      <c r="X19" s="1639">
        <f>Development.!R2</f>
        <v>0</v>
      </c>
      <c r="Y19" s="1639">
        <f>Development.!S2</f>
        <v>1.6</v>
      </c>
      <c r="Z19" s="1639">
        <f>Development.!T2</f>
        <v>1.6</v>
      </c>
      <c r="AA19" s="1639">
        <f>Development.!U2</f>
        <v>1.6</v>
      </c>
      <c r="AB19" s="1639">
        <f>Development.!V2</f>
        <v>1.6</v>
      </c>
      <c r="AC19" s="1639">
        <f>Development.!W2</f>
        <v>1.6</v>
      </c>
      <c r="AD19" s="1639">
        <f>Development.!X2</f>
        <v>1.6</v>
      </c>
      <c r="AE19" s="1639">
        <f>Development.!Y2</f>
        <v>0</v>
      </c>
      <c r="AF19" s="1639">
        <f>Development.!Z2</f>
        <v>1.6</v>
      </c>
      <c r="AG19" s="1639">
        <f>Development.!AA2</f>
        <v>1.6</v>
      </c>
      <c r="AH19" s="1639">
        <f>Development.!AB2</f>
        <v>1.6</v>
      </c>
      <c r="AI19" s="1639">
        <f>Development.!AC2</f>
        <v>1.6</v>
      </c>
      <c r="AJ19" s="1639">
        <f>Development.!AD2</f>
        <v>1.6</v>
      </c>
      <c r="AK19" s="1639">
        <f>Development.!AE2</f>
        <v>1.6</v>
      </c>
      <c r="AL19" s="1639">
        <f>Development.!AF2</f>
        <v>0</v>
      </c>
      <c r="AM19" s="84"/>
    </row>
    <row r="20" spans="1:39" s="79" customFormat="1" ht="14.85" customHeight="1">
      <c r="B20" s="2722"/>
      <c r="C20" s="2750"/>
      <c r="D20" s="2761"/>
      <c r="E20" s="2769" t="s">
        <v>224</v>
      </c>
      <c r="F20" s="2770"/>
      <c r="G20" s="1101">
        <f>SUMIF($H$6:$AL$6,"&lt;="&amp;$C$7,H20:AL20)</f>
        <v>6.1000000000000005</v>
      </c>
      <c r="H20" s="1102">
        <v>1.4</v>
      </c>
      <c r="I20" s="1103">
        <v>1.3</v>
      </c>
      <c r="J20" s="1103"/>
      <c r="K20" s="1103">
        <v>1.7</v>
      </c>
      <c r="L20" s="1103">
        <v>1.7</v>
      </c>
      <c r="M20" s="1103"/>
      <c r="N20" s="1103"/>
      <c r="O20" s="1103"/>
      <c r="P20" s="1103"/>
      <c r="Q20" s="1103"/>
      <c r="R20" s="1103"/>
      <c r="S20" s="1103"/>
      <c r="T20" s="1103"/>
      <c r="U20" s="1103"/>
      <c r="V20" s="1103"/>
      <c r="W20" s="1103"/>
      <c r="X20" s="1103"/>
      <c r="Y20" s="1103"/>
      <c r="Z20" s="1103"/>
      <c r="AA20" s="1103"/>
      <c r="AB20" s="1103"/>
      <c r="AC20" s="1103"/>
      <c r="AD20" s="1103"/>
      <c r="AE20" s="1103"/>
      <c r="AF20" s="1103"/>
      <c r="AG20" s="1103"/>
      <c r="AH20" s="1103"/>
      <c r="AI20" s="1103"/>
      <c r="AJ20" s="1103"/>
      <c r="AK20" s="1103"/>
      <c r="AL20" s="1104"/>
      <c r="AM20" s="85"/>
    </row>
    <row r="21" spans="1:39" s="79" customFormat="1" ht="14.85" customHeight="1" thickBot="1">
      <c r="B21" s="2723"/>
      <c r="C21" s="2752"/>
      <c r="D21" s="2762"/>
      <c r="E21" s="2758" t="s">
        <v>264</v>
      </c>
      <c r="F21" s="2759"/>
      <c r="G21" s="1105">
        <f>IFERROR((G20-G19)/G19,0)</f>
        <v>-0.23749999999999993</v>
      </c>
      <c r="H21" s="1037"/>
      <c r="I21" s="990"/>
      <c r="J21" s="990"/>
      <c r="K21" s="990"/>
      <c r="L21" s="990"/>
      <c r="M21" s="990"/>
      <c r="N21" s="990"/>
      <c r="O21" s="990"/>
      <c r="P21" s="990"/>
      <c r="Q21" s="990"/>
      <c r="R21" s="990"/>
      <c r="S21" s="990"/>
      <c r="T21" s="990"/>
      <c r="U21" s="990"/>
      <c r="V21" s="990"/>
      <c r="W21" s="849"/>
      <c r="X21" s="990"/>
      <c r="Y21" s="990"/>
      <c r="Z21" s="990"/>
      <c r="AA21" s="990"/>
      <c r="AB21" s="990"/>
      <c r="AC21" s="990"/>
      <c r="AD21" s="990"/>
      <c r="AE21" s="990"/>
      <c r="AF21" s="990"/>
      <c r="AG21" s="990"/>
      <c r="AH21" s="990"/>
      <c r="AI21" s="990"/>
      <c r="AJ21" s="990"/>
      <c r="AK21" s="990"/>
      <c r="AL21" s="992"/>
      <c r="AM21" s="490"/>
    </row>
    <row r="22" spans="1:39" s="79" customFormat="1" ht="13.35" customHeight="1">
      <c r="B22" s="2721">
        <v>2</v>
      </c>
      <c r="C22" s="2748" t="str">
        <f>Development.!A3</f>
        <v>3L_W28_SL_2_EAST</v>
      </c>
      <c r="D22" s="2760"/>
      <c r="E22" s="2754" t="s">
        <v>223</v>
      </c>
      <c r="F22" s="2755"/>
      <c r="G22" s="850">
        <f>SUMIF($H$6:$AL$6,"&lt;="&amp;$C$7,H22:AL22)</f>
        <v>0</v>
      </c>
      <c r="H22" s="1639">
        <f>Development.!B3</f>
        <v>0</v>
      </c>
      <c r="I22" s="1639">
        <f>Development.!C3</f>
        <v>0</v>
      </c>
      <c r="J22" s="1639">
        <f>Development.!D3</f>
        <v>0</v>
      </c>
      <c r="K22" s="1639">
        <f>Development.!E3</f>
        <v>0</v>
      </c>
      <c r="L22" s="1639">
        <f>Development.!F3</f>
        <v>0</v>
      </c>
      <c r="M22" s="1639">
        <f>Development.!G3</f>
        <v>0</v>
      </c>
      <c r="N22" s="1639">
        <f>Development.!H3</f>
        <v>0</v>
      </c>
      <c r="O22" s="1639">
        <f>Development.!I3</f>
        <v>0</v>
      </c>
      <c r="P22" s="1639">
        <f>Development.!J3</f>
        <v>0</v>
      </c>
      <c r="Q22" s="1639">
        <f>Development.!K3</f>
        <v>0</v>
      </c>
      <c r="R22" s="1639">
        <f>Development.!L3</f>
        <v>0</v>
      </c>
      <c r="S22" s="1639">
        <f>Development.!M3</f>
        <v>0</v>
      </c>
      <c r="T22" s="1639">
        <f>Development.!N3</f>
        <v>0</v>
      </c>
      <c r="U22" s="1639">
        <f>Development.!O3</f>
        <v>0</v>
      </c>
      <c r="V22" s="1639">
        <f>Development.!P3</f>
        <v>0</v>
      </c>
      <c r="W22" s="1639">
        <f>Development.!Q3</f>
        <v>0</v>
      </c>
      <c r="X22" s="1639">
        <f>Development.!R3</f>
        <v>0</v>
      </c>
      <c r="Y22" s="1639">
        <f>Development.!S3</f>
        <v>0</v>
      </c>
      <c r="Z22" s="1639">
        <f>Development.!T3</f>
        <v>0</v>
      </c>
      <c r="AA22" s="1639">
        <f>Development.!U3</f>
        <v>1.6</v>
      </c>
      <c r="AB22" s="1639">
        <f>Development.!V3</f>
        <v>1.6</v>
      </c>
      <c r="AC22" s="1639">
        <f>Development.!W3</f>
        <v>1.6</v>
      </c>
      <c r="AD22" s="1639">
        <f>Development.!X3</f>
        <v>1.6</v>
      </c>
      <c r="AE22" s="1639">
        <f>Development.!Y3</f>
        <v>0</v>
      </c>
      <c r="AF22" s="1639">
        <f>Development.!Z3</f>
        <v>1.6</v>
      </c>
      <c r="AG22" s="1639">
        <f>Development.!AA3</f>
        <v>1.6</v>
      </c>
      <c r="AH22" s="1639">
        <f>Development.!AB3</f>
        <v>1.6</v>
      </c>
      <c r="AI22" s="1639">
        <f>Development.!AC3</f>
        <v>1.6</v>
      </c>
      <c r="AJ22" s="1639">
        <f>Development.!AD3</f>
        <v>1.6</v>
      </c>
      <c r="AK22" s="1639">
        <f>Development.!AE3</f>
        <v>1.6</v>
      </c>
      <c r="AL22" s="1639">
        <f>Development.!AF3</f>
        <v>0</v>
      </c>
      <c r="AM22" s="84"/>
    </row>
    <row r="23" spans="1:39" s="79" customFormat="1" ht="14.85" customHeight="1">
      <c r="B23" s="2722"/>
      <c r="C23" s="2750"/>
      <c r="D23" s="2761"/>
      <c r="E23" s="2756" t="s">
        <v>224</v>
      </c>
      <c r="F23" s="2757"/>
      <c r="G23" s="1106">
        <f>SUMIF($H$6:$AL$6,"&lt;="&amp;$C$7,H23:AL23)</f>
        <v>0</v>
      </c>
      <c r="H23" s="1102"/>
      <c r="I23" s="1103"/>
      <c r="J23" s="1103"/>
      <c r="K23" s="1103"/>
      <c r="L23" s="1103"/>
      <c r="M23" s="1103"/>
      <c r="N23" s="1103"/>
      <c r="O23" s="1103"/>
      <c r="P23" s="1103"/>
      <c r="Q23" s="1103"/>
      <c r="R23" s="1103"/>
      <c r="S23" s="1103"/>
      <c r="T23" s="1103"/>
      <c r="U23" s="1103"/>
      <c r="V23" s="1103"/>
      <c r="W23" s="1103"/>
      <c r="X23" s="1103"/>
      <c r="Y23" s="1103"/>
      <c r="Z23" s="1103"/>
      <c r="AA23" s="1103"/>
      <c r="AB23" s="1103"/>
      <c r="AC23" s="1103"/>
      <c r="AD23" s="1103"/>
      <c r="AE23" s="1103"/>
      <c r="AF23" s="1103"/>
      <c r="AG23" s="1103"/>
      <c r="AH23" s="1103"/>
      <c r="AI23" s="1103"/>
      <c r="AJ23" s="1103"/>
      <c r="AK23" s="1103"/>
      <c r="AL23" s="1104"/>
      <c r="AM23" s="85"/>
    </row>
    <row r="24" spans="1:39" s="79" customFormat="1" ht="14.85" customHeight="1" thickBot="1">
      <c r="B24" s="2723"/>
      <c r="C24" s="2752"/>
      <c r="D24" s="2762"/>
      <c r="E24" s="2758" t="s">
        <v>264</v>
      </c>
      <c r="F24" s="2759"/>
      <c r="G24" s="1044">
        <f t="shared" ref="G24" si="6">IFERROR((G23-G22)/G22,0)</f>
        <v>0</v>
      </c>
      <c r="H24" s="1107"/>
      <c r="I24" s="1108"/>
      <c r="J24" s="1108"/>
      <c r="K24" s="1108"/>
      <c r="L24" s="1108"/>
      <c r="M24" s="1108"/>
      <c r="N24" s="1108"/>
      <c r="O24" s="1108"/>
      <c r="P24" s="1108"/>
      <c r="Q24" s="1108"/>
      <c r="R24" s="1108"/>
      <c r="S24" s="1108"/>
      <c r="T24" s="1108"/>
      <c r="U24" s="1108"/>
      <c r="V24" s="1108"/>
      <c r="W24" s="1108"/>
      <c r="X24" s="1108"/>
      <c r="Y24" s="1108"/>
      <c r="Z24" s="1108"/>
      <c r="AA24" s="1108"/>
      <c r="AB24" s="1108"/>
      <c r="AC24" s="1108"/>
      <c r="AD24" s="1108"/>
      <c r="AE24" s="1108"/>
      <c r="AF24" s="2771"/>
      <c r="AG24" s="2772"/>
      <c r="AH24" s="2772"/>
      <c r="AI24" s="2772"/>
      <c r="AJ24" s="2772"/>
      <c r="AK24" s="2772"/>
      <c r="AL24" s="2773"/>
      <c r="AM24" s="85"/>
    </row>
    <row r="25" spans="1:39" s="79" customFormat="1" ht="15" customHeight="1">
      <c r="B25" s="2721">
        <v>2</v>
      </c>
      <c r="C25" s="2748" t="str">
        <f>Development.!A4</f>
        <v>3L_W29_RAISE</v>
      </c>
      <c r="D25" s="2760"/>
      <c r="E25" s="2754" t="s">
        <v>223</v>
      </c>
      <c r="F25" s="2755"/>
      <c r="G25" s="850">
        <f>SUMIF($H$6:$AL$6,"&lt;="&amp;$C$7,H25:AL25)</f>
        <v>4.5</v>
      </c>
      <c r="H25" s="1639">
        <f>Development.!B4</f>
        <v>0.9</v>
      </c>
      <c r="I25" s="1639">
        <f>Development.!C4</f>
        <v>0.9</v>
      </c>
      <c r="J25" s="1639">
        <f>Development.!D4</f>
        <v>0</v>
      </c>
      <c r="K25" s="1639">
        <f>Development.!E4</f>
        <v>0.9</v>
      </c>
      <c r="L25" s="1639">
        <f>Development.!F4</f>
        <v>0.9</v>
      </c>
      <c r="M25" s="1639">
        <f>Development.!G4</f>
        <v>0.9</v>
      </c>
      <c r="N25" s="1639">
        <f>Development.!H4</f>
        <v>0.9</v>
      </c>
      <c r="O25" s="1639">
        <f>Development.!I4</f>
        <v>0.9</v>
      </c>
      <c r="P25" s="1639">
        <f>Development.!J4</f>
        <v>0.9</v>
      </c>
      <c r="Q25" s="1639">
        <f>Development.!K4</f>
        <v>0</v>
      </c>
      <c r="R25" s="1639">
        <f>Development.!L4</f>
        <v>0</v>
      </c>
      <c r="S25" s="1639">
        <f>Development.!M4</f>
        <v>0</v>
      </c>
      <c r="T25" s="1639">
        <f>Development.!N4</f>
        <v>0.9</v>
      </c>
      <c r="U25" s="1639">
        <f>Development.!O4</f>
        <v>0.9</v>
      </c>
      <c r="V25" s="1639">
        <f>Development.!P4</f>
        <v>0.9</v>
      </c>
      <c r="W25" s="1639">
        <f>Development.!Q4</f>
        <v>0.9</v>
      </c>
      <c r="X25" s="1639">
        <f>Development.!R4</f>
        <v>0</v>
      </c>
      <c r="Y25" s="1639">
        <f>Development.!S4</f>
        <v>0.9</v>
      </c>
      <c r="Z25" s="1639">
        <f>Development.!T4</f>
        <v>0.9</v>
      </c>
      <c r="AA25" s="1639">
        <f>Development.!U4</f>
        <v>0</v>
      </c>
      <c r="AB25" s="1639">
        <f>Development.!V4</f>
        <v>0</v>
      </c>
      <c r="AC25" s="1639">
        <f>Development.!W4</f>
        <v>0</v>
      </c>
      <c r="AD25" s="1639">
        <f>Development.!X4</f>
        <v>0</v>
      </c>
      <c r="AE25" s="1639">
        <f>Development.!Y4</f>
        <v>0</v>
      </c>
      <c r="AF25" s="1639">
        <f>Development.!Z4</f>
        <v>0</v>
      </c>
      <c r="AG25" s="1639">
        <f>Development.!AA4</f>
        <v>0</v>
      </c>
      <c r="AH25" s="1639">
        <f>Development.!AB4</f>
        <v>0</v>
      </c>
      <c r="AI25" s="1639">
        <f>Development.!AC4</f>
        <v>0</v>
      </c>
      <c r="AJ25" s="1639">
        <f>Development.!AD4</f>
        <v>0</v>
      </c>
      <c r="AK25" s="1639">
        <f>Development.!AE4</f>
        <v>0</v>
      </c>
      <c r="AL25" s="1639">
        <f>Development.!AF4</f>
        <v>0</v>
      </c>
      <c r="AM25" s="477"/>
    </row>
    <row r="26" spans="1:39" s="79" customFormat="1" ht="15" customHeight="1">
      <c r="B26" s="2722"/>
      <c r="C26" s="2750"/>
      <c r="D26" s="2761"/>
      <c r="E26" s="2756" t="s">
        <v>224</v>
      </c>
      <c r="F26" s="2757"/>
      <c r="G26" s="1106">
        <f>SUMIF($H$6:$AL$6,"&lt;="&amp;$C$7,H26:AL26)</f>
        <v>3.4</v>
      </c>
      <c r="H26" s="1102">
        <v>0.7</v>
      </c>
      <c r="I26" s="1103">
        <v>0.9</v>
      </c>
      <c r="J26" s="1103"/>
      <c r="K26" s="1103">
        <v>0.9</v>
      </c>
      <c r="L26" s="1103">
        <v>0.9</v>
      </c>
      <c r="M26" s="1103"/>
      <c r="N26" s="1103"/>
      <c r="O26" s="1103"/>
      <c r="P26" s="1103"/>
      <c r="Q26" s="1103"/>
      <c r="R26" s="1103"/>
      <c r="S26" s="1103"/>
      <c r="T26" s="1103"/>
      <c r="U26" s="1103"/>
      <c r="V26" s="1103"/>
      <c r="W26" s="1103"/>
      <c r="X26" s="1103"/>
      <c r="Y26" s="1103"/>
      <c r="Z26" s="1103"/>
      <c r="AA26" s="1103"/>
      <c r="AB26" s="1103"/>
      <c r="AC26" s="1103"/>
      <c r="AD26" s="1103"/>
      <c r="AE26" s="1103"/>
      <c r="AF26" s="1103"/>
      <c r="AG26" s="1103"/>
      <c r="AH26" s="1103"/>
      <c r="AI26" s="1103"/>
      <c r="AJ26" s="1103"/>
      <c r="AK26" s="1103"/>
      <c r="AL26" s="1104"/>
      <c r="AM26" s="478"/>
    </row>
    <row r="27" spans="1:39" s="79" customFormat="1" ht="15" customHeight="1" thickBot="1">
      <c r="B27" s="2723"/>
      <c r="C27" s="2752"/>
      <c r="D27" s="2762"/>
      <c r="E27" s="2758" t="s">
        <v>264</v>
      </c>
      <c r="F27" s="2759"/>
      <c r="G27" s="1044">
        <f t="shared" ref="G27" si="7">IFERROR((G26-G25)/G25,0)</f>
        <v>-0.24444444444444446</v>
      </c>
      <c r="H27" s="1109"/>
      <c r="I27" s="1110"/>
      <c r="J27" s="1110"/>
      <c r="K27" s="1110"/>
      <c r="L27" s="1110"/>
      <c r="M27" s="1110"/>
      <c r="N27" s="1110"/>
      <c r="O27" s="1110"/>
      <c r="P27" s="1110"/>
      <c r="Q27" s="1110"/>
      <c r="R27" s="1110"/>
      <c r="S27" s="1110"/>
      <c r="T27" s="1110"/>
      <c r="U27" s="1110"/>
      <c r="V27" s="1110"/>
      <c r="W27" s="1110"/>
      <c r="X27" s="1110"/>
      <c r="Y27" s="1110"/>
      <c r="Z27" s="1110"/>
      <c r="AA27" s="1110"/>
      <c r="AB27" s="1110"/>
      <c r="AC27" s="1110"/>
      <c r="AD27" s="1110"/>
      <c r="AE27" s="1110"/>
      <c r="AF27" s="1110"/>
      <c r="AG27" s="1110"/>
      <c r="AH27" s="1110"/>
      <c r="AI27" s="1110"/>
      <c r="AJ27" s="1110"/>
      <c r="AK27" s="1110"/>
      <c r="AL27" s="1111"/>
      <c r="AM27" s="478"/>
    </row>
    <row r="28" spans="1:39" s="79" customFormat="1" ht="13.35" customHeight="1">
      <c r="B28" s="2721">
        <v>1</v>
      </c>
      <c r="C28" s="2748" t="str">
        <f>Development.!A5</f>
        <v>4L_E13_HAULAGE</v>
      </c>
      <c r="D28" s="2760"/>
      <c r="E28" s="2754" t="s">
        <v>223</v>
      </c>
      <c r="F28" s="2755"/>
      <c r="G28" s="850">
        <f>SUMIF($H$6:$AL$6,"&lt;="&amp;$C$7,H28:AL28)</f>
        <v>8</v>
      </c>
      <c r="H28" s="1639">
        <f>Development.!B5</f>
        <v>1.6</v>
      </c>
      <c r="I28" s="1639">
        <f>Development.!C5</f>
        <v>1.6</v>
      </c>
      <c r="J28" s="1639">
        <f>Development.!D5</f>
        <v>0</v>
      </c>
      <c r="K28" s="1639">
        <f>Development.!E5</f>
        <v>1.6</v>
      </c>
      <c r="L28" s="1639">
        <f>Development.!F5</f>
        <v>1.6</v>
      </c>
      <c r="M28" s="1639">
        <f>Development.!G5</f>
        <v>1.6</v>
      </c>
      <c r="N28" s="1639">
        <f>Development.!H5</f>
        <v>1.6</v>
      </c>
      <c r="O28" s="1639">
        <f>Development.!I5</f>
        <v>1.6</v>
      </c>
      <c r="P28" s="1639">
        <f>Development.!J5</f>
        <v>1.6</v>
      </c>
      <c r="Q28" s="1639">
        <f>Development.!K5</f>
        <v>0</v>
      </c>
      <c r="R28" s="1639">
        <f>Development.!L5</f>
        <v>0</v>
      </c>
      <c r="S28" s="1639">
        <f>Development.!M5</f>
        <v>0</v>
      </c>
      <c r="T28" s="1639">
        <f>Development.!N5</f>
        <v>1.6</v>
      </c>
      <c r="U28" s="1639">
        <f>Development.!O5</f>
        <v>1.6</v>
      </c>
      <c r="V28" s="1639">
        <f>Development.!P5</f>
        <v>1.6</v>
      </c>
      <c r="W28" s="1639">
        <f>Development.!Q5</f>
        <v>1.6</v>
      </c>
      <c r="X28" s="1639">
        <f>Development.!R5</f>
        <v>0</v>
      </c>
      <c r="Y28" s="1639">
        <f>Development.!S5</f>
        <v>1.6</v>
      </c>
      <c r="Z28" s="1639">
        <f>Development.!T5</f>
        <v>1.6</v>
      </c>
      <c r="AA28" s="1639">
        <f>Development.!U5</f>
        <v>1.6</v>
      </c>
      <c r="AB28" s="1639">
        <f>Development.!V5</f>
        <v>1.6</v>
      </c>
      <c r="AC28" s="1639">
        <f>Development.!W5</f>
        <v>1.6</v>
      </c>
      <c r="AD28" s="1639">
        <f>Development.!X5</f>
        <v>1.6</v>
      </c>
      <c r="AE28" s="1639">
        <f>Development.!Y5</f>
        <v>0</v>
      </c>
      <c r="AF28" s="1639">
        <f>Development.!Z5</f>
        <v>1.6</v>
      </c>
      <c r="AG28" s="1639">
        <f>Development.!AA5</f>
        <v>1.6</v>
      </c>
      <c r="AH28" s="1639">
        <f>Development.!AB5</f>
        <v>1.6</v>
      </c>
      <c r="AI28" s="1639">
        <f>Development.!AC5</f>
        <v>1.6</v>
      </c>
      <c r="AJ28" s="1639">
        <f>Development.!AD5</f>
        <v>1.6</v>
      </c>
      <c r="AK28" s="1639">
        <f>Development.!AE5</f>
        <v>1.6</v>
      </c>
      <c r="AL28" s="1639">
        <f>Development.!AF5</f>
        <v>0</v>
      </c>
      <c r="AM28" s="84"/>
    </row>
    <row r="29" spans="1:39" s="79" customFormat="1" ht="14.85" customHeight="1">
      <c r="B29" s="2722"/>
      <c r="C29" s="2750"/>
      <c r="D29" s="2761"/>
      <c r="E29" s="2756" t="s">
        <v>224</v>
      </c>
      <c r="F29" s="2757"/>
      <c r="G29" s="1106">
        <f>SUMIF($H$6:$AL$6,"&lt;="&amp;$C$7,H29:AL29)</f>
        <v>7.1</v>
      </c>
      <c r="H29" s="1102">
        <v>1.7</v>
      </c>
      <c r="I29" s="1103">
        <v>1.8</v>
      </c>
      <c r="J29" s="1103"/>
      <c r="K29" s="1103">
        <v>1.8</v>
      </c>
      <c r="L29" s="1103">
        <v>1.8</v>
      </c>
      <c r="M29" s="1103"/>
      <c r="N29" s="1103"/>
      <c r="O29" s="1103"/>
      <c r="P29" s="1103"/>
      <c r="Q29" s="1103"/>
      <c r="R29" s="1103"/>
      <c r="S29" s="1103"/>
      <c r="T29" s="1103"/>
      <c r="U29" s="1103"/>
      <c r="V29" s="1103"/>
      <c r="W29" s="1103"/>
      <c r="X29" s="1103"/>
      <c r="Y29" s="1103"/>
      <c r="Z29" s="1103"/>
      <c r="AA29" s="1103"/>
      <c r="AB29" s="1103"/>
      <c r="AC29" s="1103"/>
      <c r="AD29" s="1103"/>
      <c r="AE29" s="1103"/>
      <c r="AF29" s="1103"/>
      <c r="AG29" s="1103"/>
      <c r="AH29" s="1103"/>
      <c r="AI29" s="1103"/>
      <c r="AJ29" s="1103"/>
      <c r="AK29" s="1103"/>
      <c r="AL29" s="1104"/>
      <c r="AM29" s="85"/>
    </row>
    <row r="30" spans="1:39" s="79" customFormat="1" ht="14.85" customHeight="1" thickBot="1">
      <c r="B30" s="2723"/>
      <c r="C30" s="2752"/>
      <c r="D30" s="2762"/>
      <c r="E30" s="2758" t="s">
        <v>264</v>
      </c>
      <c r="F30" s="2759"/>
      <c r="G30" s="1044">
        <f t="shared" ref="G30" si="8">IFERROR((G29-G28)/G28,0)</f>
        <v>-0.11250000000000004</v>
      </c>
      <c r="H30" s="1107"/>
      <c r="I30" s="1108"/>
      <c r="J30" s="1108"/>
      <c r="K30" s="1112"/>
      <c r="L30" s="1112"/>
      <c r="M30" s="1112"/>
      <c r="N30" s="1108"/>
      <c r="O30" s="1108"/>
      <c r="P30" s="1108"/>
      <c r="Q30" s="1108"/>
      <c r="R30" s="1108"/>
      <c r="S30" s="1108"/>
      <c r="T30" s="1108"/>
      <c r="U30" s="1108"/>
      <c r="V30" s="1108"/>
      <c r="W30" s="1108"/>
      <c r="X30" s="1108"/>
      <c r="Y30" s="1108"/>
      <c r="Z30" s="1108"/>
      <c r="AA30" s="1108"/>
      <c r="AB30" s="1108"/>
      <c r="AC30" s="1113"/>
      <c r="AD30" s="2771"/>
      <c r="AE30" s="2772"/>
      <c r="AF30" s="2772"/>
      <c r="AG30" s="2772"/>
      <c r="AH30" s="2772"/>
      <c r="AI30" s="2772"/>
      <c r="AJ30" s="2772"/>
      <c r="AK30" s="2772"/>
      <c r="AL30" s="2773"/>
      <c r="AM30" s="85"/>
    </row>
    <row r="31" spans="1:39" s="79" customFormat="1" ht="13.35" customHeight="1">
      <c r="B31" s="2721">
        <v>1</v>
      </c>
      <c r="C31" s="2748" t="str">
        <f>Development.!A6</f>
        <v>4L_W29_HAULAGE</v>
      </c>
      <c r="D31" s="2760"/>
      <c r="E31" s="2754" t="s">
        <v>223</v>
      </c>
      <c r="F31" s="2755"/>
      <c r="G31" s="850">
        <f>SUMIF($H$6:$AL$6,"&lt;="&amp;$C$7,H31:AL31)</f>
        <v>6.5</v>
      </c>
      <c r="H31" s="1639">
        <f>Development.!B6</f>
        <v>1.3</v>
      </c>
      <c r="I31" s="1639">
        <f>Development.!C6</f>
        <v>1.3</v>
      </c>
      <c r="J31" s="1639">
        <f>Development.!D6</f>
        <v>0</v>
      </c>
      <c r="K31" s="1639">
        <f>Development.!E6</f>
        <v>1.3</v>
      </c>
      <c r="L31" s="1639">
        <f>Development.!F6</f>
        <v>1.3</v>
      </c>
      <c r="M31" s="1639">
        <f>Development.!G6</f>
        <v>1.3</v>
      </c>
      <c r="N31" s="1639">
        <f>Development.!H6</f>
        <v>1.3</v>
      </c>
      <c r="O31" s="1639">
        <f>Development.!I6</f>
        <v>1.3</v>
      </c>
      <c r="P31" s="1639">
        <f>Development.!J6</f>
        <v>1.3</v>
      </c>
      <c r="Q31" s="1639">
        <f>Development.!K6</f>
        <v>0</v>
      </c>
      <c r="R31" s="1639">
        <f>Development.!L6</f>
        <v>0</v>
      </c>
      <c r="S31" s="1639">
        <f>Development.!M6</f>
        <v>0</v>
      </c>
      <c r="T31" s="1639">
        <f>Development.!N6</f>
        <v>1.3</v>
      </c>
      <c r="U31" s="1639">
        <f>Development.!O6</f>
        <v>1.3</v>
      </c>
      <c r="V31" s="1639">
        <f>Development.!P6</f>
        <v>1.3</v>
      </c>
      <c r="W31" s="1639">
        <f>Development.!Q6</f>
        <v>1.3</v>
      </c>
      <c r="X31" s="1639">
        <f>Development.!R6</f>
        <v>0</v>
      </c>
      <c r="Y31" s="1639">
        <f>Development.!S6</f>
        <v>1.3</v>
      </c>
      <c r="Z31" s="1639">
        <f>Development.!T6</f>
        <v>1.3</v>
      </c>
      <c r="AA31" s="1639">
        <f>Development.!U6</f>
        <v>1.3</v>
      </c>
      <c r="AB31" s="1639">
        <f>Development.!V6</f>
        <v>1.3</v>
      </c>
      <c r="AC31" s="1639">
        <f>Development.!W6</f>
        <v>1.3</v>
      </c>
      <c r="AD31" s="1639">
        <f>Development.!X6</f>
        <v>1.3</v>
      </c>
      <c r="AE31" s="1639">
        <f>Development.!Y6</f>
        <v>0</v>
      </c>
      <c r="AF31" s="1639">
        <f>Development.!Z6</f>
        <v>1.3</v>
      </c>
      <c r="AG31" s="1639">
        <f>Development.!AA6</f>
        <v>1.1299999999999999</v>
      </c>
      <c r="AH31" s="1639">
        <f>Development.!AB6</f>
        <v>1.3</v>
      </c>
      <c r="AI31" s="1639">
        <f>Development.!AC6</f>
        <v>1.3</v>
      </c>
      <c r="AJ31" s="1639">
        <f>Development.!AD6</f>
        <v>1.3</v>
      </c>
      <c r="AK31" s="1639">
        <f>Development.!AE6</f>
        <v>1.3</v>
      </c>
      <c r="AL31" s="1639">
        <f>Development.!AF6</f>
        <v>0</v>
      </c>
      <c r="AM31" s="84"/>
    </row>
    <row r="32" spans="1:39" s="79" customFormat="1" ht="14.85" customHeight="1">
      <c r="B32" s="2722"/>
      <c r="C32" s="2750"/>
      <c r="D32" s="2761"/>
      <c r="E32" s="2756" t="s">
        <v>224</v>
      </c>
      <c r="F32" s="2757"/>
      <c r="G32" s="1106">
        <f>SUMIF($H$6:$AL$6,"&lt;="&amp;$C$7,H32:AL32)</f>
        <v>4.0999999999999996</v>
      </c>
      <c r="H32" s="1102">
        <v>1.3</v>
      </c>
      <c r="I32" s="1103">
        <v>1.4</v>
      </c>
      <c r="J32" s="1103"/>
      <c r="K32" s="1103"/>
      <c r="L32" s="1103">
        <v>1.4</v>
      </c>
      <c r="M32" s="1103"/>
      <c r="N32" s="1103"/>
      <c r="O32" s="1103"/>
      <c r="P32" s="1103"/>
      <c r="Q32" s="1103"/>
      <c r="R32" s="1103"/>
      <c r="S32" s="1103"/>
      <c r="T32" s="1103"/>
      <c r="U32" s="1103"/>
      <c r="V32" s="1103"/>
      <c r="W32" s="1103"/>
      <c r="X32" s="1103"/>
      <c r="Y32" s="1103"/>
      <c r="Z32" s="1103"/>
      <c r="AA32" s="1103"/>
      <c r="AB32" s="1103"/>
      <c r="AC32" s="1103"/>
      <c r="AD32" s="1103"/>
      <c r="AE32" s="1103"/>
      <c r="AF32" s="1103"/>
      <c r="AG32" s="1103"/>
      <c r="AH32" s="1103"/>
      <c r="AI32" s="1103"/>
      <c r="AJ32" s="1103"/>
      <c r="AK32" s="1103"/>
      <c r="AL32" s="1104"/>
      <c r="AM32" s="85"/>
    </row>
    <row r="33" spans="2:39" s="79" customFormat="1" ht="14.85" customHeight="1" thickBot="1">
      <c r="B33" s="2723"/>
      <c r="C33" s="2752"/>
      <c r="D33" s="2762"/>
      <c r="E33" s="2758" t="s">
        <v>264</v>
      </c>
      <c r="F33" s="2759"/>
      <c r="G33" s="1044">
        <f t="shared" ref="G33" si="9">IFERROR((G32-G31)/G31,0)</f>
        <v>-0.36923076923076931</v>
      </c>
      <c r="H33" s="1107"/>
      <c r="I33" s="1108"/>
      <c r="J33" s="1108"/>
      <c r="K33" s="1108"/>
      <c r="L33" s="1108"/>
      <c r="M33" s="1108"/>
      <c r="N33" s="1108"/>
      <c r="O33" s="1108"/>
      <c r="P33" s="1108"/>
      <c r="Q33" s="1108"/>
      <c r="R33" s="1108"/>
      <c r="S33" s="1108"/>
      <c r="T33" s="1108"/>
      <c r="U33" s="1108"/>
      <c r="V33" s="1108"/>
      <c r="W33" s="1108"/>
      <c r="X33" s="1108"/>
      <c r="Y33" s="1108"/>
      <c r="Z33" s="1108"/>
      <c r="AA33" s="1108"/>
      <c r="AB33" s="1108"/>
      <c r="AC33" s="1108"/>
      <c r="AD33" s="1108"/>
      <c r="AE33" s="1108"/>
      <c r="AF33" s="1108"/>
      <c r="AG33" s="1108"/>
      <c r="AH33" s="1108"/>
      <c r="AI33" s="1108"/>
      <c r="AJ33" s="1108"/>
      <c r="AK33" s="1108"/>
      <c r="AL33" s="1114"/>
      <c r="AM33" s="85"/>
    </row>
    <row r="34" spans="2:39" s="79" customFormat="1" ht="13.35" customHeight="1">
      <c r="B34" s="2721">
        <v>2</v>
      </c>
      <c r="C34" s="2748" t="str">
        <f>Development.!A8</f>
        <v>5L_W11_SL_1_WEST'</v>
      </c>
      <c r="D34" s="2760"/>
      <c r="E34" s="2754" t="s">
        <v>223</v>
      </c>
      <c r="F34" s="2755"/>
      <c r="G34" s="850">
        <f>SUMIF($H$6:$AL$6,"&lt;="&amp;$C$7,H34:AL34)</f>
        <v>8</v>
      </c>
      <c r="H34" s="1639">
        <f>Development.!B8</f>
        <v>1.6</v>
      </c>
      <c r="I34" s="1639">
        <f>Development.!C8</f>
        <v>1.6</v>
      </c>
      <c r="J34" s="1639">
        <f>Development.!D8</f>
        <v>0</v>
      </c>
      <c r="K34" s="1639">
        <f>Development.!E8</f>
        <v>1.6</v>
      </c>
      <c r="L34" s="1639">
        <f>Development.!F8</f>
        <v>1.6</v>
      </c>
      <c r="M34" s="1639">
        <f>Development.!G8</f>
        <v>1.6</v>
      </c>
      <c r="N34" s="1639">
        <f>Development.!H8</f>
        <v>1.6</v>
      </c>
      <c r="O34" s="1639">
        <f>Development.!I8</f>
        <v>1.6</v>
      </c>
      <c r="P34" s="1639">
        <f>Development.!J8</f>
        <v>1.6</v>
      </c>
      <c r="Q34" s="1639">
        <f>Development.!K8</f>
        <v>0</v>
      </c>
      <c r="R34" s="1639">
        <f>Development.!L8</f>
        <v>0</v>
      </c>
      <c r="S34" s="1639">
        <f>Development.!M8</f>
        <v>0</v>
      </c>
      <c r="T34" s="1639">
        <f>Development.!N8</f>
        <v>1.6</v>
      </c>
      <c r="U34" s="1639">
        <f>Development.!O8</f>
        <v>1.6</v>
      </c>
      <c r="V34" s="1639">
        <f>Development.!P8</f>
        <v>1.6</v>
      </c>
      <c r="W34" s="1639">
        <f>Development.!Q8</f>
        <v>1.6</v>
      </c>
      <c r="X34" s="1639">
        <f>Development.!R8</f>
        <v>0</v>
      </c>
      <c r="Y34" s="1639">
        <f>Development.!S8</f>
        <v>0</v>
      </c>
      <c r="Z34" s="1639">
        <f>Development.!T8</f>
        <v>0</v>
      </c>
      <c r="AA34" s="1639">
        <f>Development.!U8</f>
        <v>0</v>
      </c>
      <c r="AB34" s="1639">
        <f>Development.!V8</f>
        <v>0</v>
      </c>
      <c r="AC34" s="1639">
        <f>Development.!W8</f>
        <v>0</v>
      </c>
      <c r="AD34" s="1639">
        <f>Development.!X8</f>
        <v>0</v>
      </c>
      <c r="AE34" s="1639">
        <f>Development.!Y8</f>
        <v>0</v>
      </c>
      <c r="AF34" s="1639">
        <f>Development.!Z8</f>
        <v>0</v>
      </c>
      <c r="AG34" s="1639">
        <f>Development.!AA8</f>
        <v>0</v>
      </c>
      <c r="AH34" s="1639">
        <f>Development.!AB8</f>
        <v>0</v>
      </c>
      <c r="AI34" s="1639">
        <f>Development.!AC8</f>
        <v>0</v>
      </c>
      <c r="AJ34" s="1639">
        <f>Development.!AD8</f>
        <v>0</v>
      </c>
      <c r="AK34" s="1639">
        <f>Development.!AE8</f>
        <v>0</v>
      </c>
      <c r="AL34" s="1639">
        <f>Development.!AF8</f>
        <v>0</v>
      </c>
      <c r="AM34" s="84"/>
    </row>
    <row r="35" spans="2:39" s="79" customFormat="1" ht="14.85" customHeight="1">
      <c r="B35" s="2722"/>
      <c r="C35" s="2750"/>
      <c r="D35" s="2761"/>
      <c r="E35" s="2756" t="s">
        <v>224</v>
      </c>
      <c r="F35" s="2757"/>
      <c r="G35" s="1106">
        <f>SUMIF($H$6:$AL$6,"&lt;="&amp;$C$7,H35:AL35)</f>
        <v>5.6000000000000005</v>
      </c>
      <c r="H35" s="1102">
        <v>1.6</v>
      </c>
      <c r="I35" s="1103">
        <v>1.3</v>
      </c>
      <c r="J35" s="1103"/>
      <c r="K35" s="1103">
        <v>1.8</v>
      </c>
      <c r="L35" s="1103">
        <v>0.9</v>
      </c>
      <c r="M35" s="1103"/>
      <c r="N35" s="1103"/>
      <c r="O35" s="1103"/>
      <c r="P35" s="1103"/>
      <c r="Q35" s="1103"/>
      <c r="R35" s="1103"/>
      <c r="S35" s="1103"/>
      <c r="T35" s="1103"/>
      <c r="U35" s="1103"/>
      <c r="V35" s="1103"/>
      <c r="W35" s="1103"/>
      <c r="X35" s="1103"/>
      <c r="Y35" s="1103"/>
      <c r="Z35" s="1103"/>
      <c r="AA35" s="1103"/>
      <c r="AB35" s="1103"/>
      <c r="AC35" s="1103"/>
      <c r="AD35" s="1103"/>
      <c r="AE35" s="1103"/>
      <c r="AF35" s="1103"/>
      <c r="AG35" s="1103"/>
      <c r="AH35" s="1103"/>
      <c r="AI35" s="1103"/>
      <c r="AJ35" s="1103"/>
      <c r="AK35" s="1103"/>
      <c r="AL35" s="1104"/>
      <c r="AM35" s="85"/>
    </row>
    <row r="36" spans="2:39" s="79" customFormat="1" ht="14.85" customHeight="1" thickBot="1">
      <c r="B36" s="2723"/>
      <c r="C36" s="2752"/>
      <c r="D36" s="2762"/>
      <c r="E36" s="2758" t="s">
        <v>264</v>
      </c>
      <c r="F36" s="2759"/>
      <c r="G36" s="1044">
        <f t="shared" ref="G36" si="10">IFERROR((G35-G34)/G34,0)</f>
        <v>-0.29999999999999993</v>
      </c>
      <c r="H36" s="1107"/>
      <c r="I36" s="1108"/>
      <c r="J36" s="1108"/>
      <c r="K36" s="1108"/>
      <c r="L36" s="1108"/>
      <c r="M36" s="1108"/>
      <c r="N36" s="1108"/>
      <c r="O36" s="1108"/>
      <c r="P36" s="1108"/>
      <c r="Q36" s="1108"/>
      <c r="R36" s="1108"/>
      <c r="S36" s="1108"/>
      <c r="T36" s="1108"/>
      <c r="U36" s="1108"/>
      <c r="V36" s="1108"/>
      <c r="W36" s="1108"/>
      <c r="X36" s="1108"/>
      <c r="Y36" s="1108"/>
      <c r="Z36" s="1108"/>
      <c r="AA36" s="1108"/>
      <c r="AB36" s="1108"/>
      <c r="AC36" s="1108"/>
      <c r="AD36" s="1108"/>
      <c r="AE36" s="1108"/>
      <c r="AF36" s="1108"/>
      <c r="AG36" s="1108"/>
      <c r="AH36" s="1108"/>
      <c r="AI36" s="1108"/>
      <c r="AJ36" s="1108"/>
      <c r="AK36" s="1108"/>
      <c r="AL36" s="1114"/>
      <c r="AM36" s="85"/>
    </row>
    <row r="37" spans="2:39" s="79" customFormat="1" ht="15" customHeight="1">
      <c r="B37" s="2721">
        <v>2</v>
      </c>
      <c r="C37" s="2748" t="str">
        <f>Development.!A9</f>
        <v>5L_W13_CROSS_CUT</v>
      </c>
      <c r="D37" s="2760"/>
      <c r="E37" s="2754" t="s">
        <v>223</v>
      </c>
      <c r="F37" s="2755"/>
      <c r="G37" s="850">
        <f>SUMIF($H$6:$AL$6,"&lt;="&amp;$C$7,H37:AL37)</f>
        <v>6.5</v>
      </c>
      <c r="H37" s="1639">
        <f>Development.!B9</f>
        <v>1.3</v>
      </c>
      <c r="I37" s="1639">
        <f>Development.!C9</f>
        <v>1.3</v>
      </c>
      <c r="J37" s="1639">
        <f>Development.!D9</f>
        <v>0</v>
      </c>
      <c r="K37" s="1639">
        <f>Development.!E9</f>
        <v>1.3</v>
      </c>
      <c r="L37" s="1639">
        <f>Development.!F9</f>
        <v>1.3</v>
      </c>
      <c r="M37" s="1639">
        <f>Development.!G9</f>
        <v>1.3</v>
      </c>
      <c r="N37" s="1639">
        <f>Development.!H9</f>
        <v>1.3</v>
      </c>
      <c r="O37" s="1639">
        <f>Development.!I9</f>
        <v>1.3</v>
      </c>
      <c r="P37" s="1639">
        <f>Development.!J9</f>
        <v>1.3</v>
      </c>
      <c r="Q37" s="1639">
        <f>Development.!K9</f>
        <v>0</v>
      </c>
      <c r="R37" s="1639">
        <f>Development.!L9</f>
        <v>0</v>
      </c>
      <c r="S37" s="1639">
        <f>Development.!M9</f>
        <v>0</v>
      </c>
      <c r="T37" s="1639">
        <f>Development.!N9</f>
        <v>1.3</v>
      </c>
      <c r="U37" s="1639">
        <f>Development.!O9</f>
        <v>1.3</v>
      </c>
      <c r="V37" s="1639">
        <f>Development.!P9</f>
        <v>1.3</v>
      </c>
      <c r="W37" s="1639">
        <f>Development.!Q9</f>
        <v>1.3</v>
      </c>
      <c r="X37" s="1639">
        <f>Development.!R9</f>
        <v>0</v>
      </c>
      <c r="Y37" s="1639">
        <f>Development.!S9</f>
        <v>1.3</v>
      </c>
      <c r="Z37" s="1639">
        <f>Development.!T9</f>
        <v>1.3</v>
      </c>
      <c r="AA37" s="1639">
        <f>Development.!U9</f>
        <v>0</v>
      </c>
      <c r="AB37" s="1639">
        <f>Development.!V9</f>
        <v>0</v>
      </c>
      <c r="AC37" s="1639">
        <f>Development.!W9</f>
        <v>0</v>
      </c>
      <c r="AD37" s="1639">
        <f>Development.!X9</f>
        <v>0</v>
      </c>
      <c r="AE37" s="1639">
        <f>Development.!Y9</f>
        <v>0</v>
      </c>
      <c r="AF37" s="1639">
        <f>Development.!Z9</f>
        <v>0</v>
      </c>
      <c r="AG37" s="1639">
        <f>Development.!AA9</f>
        <v>0</v>
      </c>
      <c r="AH37" s="1639">
        <f>Development.!AB9</f>
        <v>0</v>
      </c>
      <c r="AI37" s="1639">
        <f>Development.!AC9</f>
        <v>0</v>
      </c>
      <c r="AJ37" s="1639">
        <f>Development.!AD9</f>
        <v>0</v>
      </c>
      <c r="AK37" s="1639">
        <f>Development.!AE9</f>
        <v>0</v>
      </c>
      <c r="AL37" s="1639">
        <f>Development.!AF9</f>
        <v>0</v>
      </c>
      <c r="AM37" s="477"/>
    </row>
    <row r="38" spans="2:39" s="79" customFormat="1" ht="15" customHeight="1">
      <c r="B38" s="2722"/>
      <c r="C38" s="2750"/>
      <c r="D38" s="2761"/>
      <c r="E38" s="2756" t="s">
        <v>224</v>
      </c>
      <c r="F38" s="2757"/>
      <c r="G38" s="1106">
        <f>SUMIF($H$6:$AL$6,"&lt;="&amp;$C$7,H38:AL38)</f>
        <v>4.8</v>
      </c>
      <c r="H38" s="1102">
        <v>0.8</v>
      </c>
      <c r="I38" s="1103">
        <v>1.3</v>
      </c>
      <c r="J38" s="1103"/>
      <c r="K38" s="1103">
        <v>1.4</v>
      </c>
      <c r="L38" s="1103">
        <v>1.3</v>
      </c>
      <c r="M38" s="1103"/>
      <c r="N38" s="1103"/>
      <c r="O38" s="1103"/>
      <c r="P38" s="1103"/>
      <c r="Q38" s="1103"/>
      <c r="R38" s="1103"/>
      <c r="S38" s="1103"/>
      <c r="T38" s="1103"/>
      <c r="U38" s="1103"/>
      <c r="V38" s="1103"/>
      <c r="W38" s="1103"/>
      <c r="X38" s="1103"/>
      <c r="Y38" s="1103"/>
      <c r="Z38" s="1103"/>
      <c r="AA38" s="1103"/>
      <c r="AB38" s="1103"/>
      <c r="AC38" s="1103"/>
      <c r="AD38" s="1103"/>
      <c r="AE38" s="1103"/>
      <c r="AF38" s="1103"/>
      <c r="AG38" s="1103"/>
      <c r="AH38" s="1103"/>
      <c r="AI38" s="1103"/>
      <c r="AJ38" s="1103"/>
      <c r="AK38" s="1103"/>
      <c r="AL38" s="1104"/>
      <c r="AM38" s="478"/>
    </row>
    <row r="39" spans="2:39" s="79" customFormat="1" ht="15" customHeight="1" thickBot="1">
      <c r="B39" s="2723"/>
      <c r="C39" s="2752"/>
      <c r="D39" s="2762"/>
      <c r="E39" s="2758" t="s">
        <v>264</v>
      </c>
      <c r="F39" s="2759"/>
      <c r="G39" s="1044">
        <f t="shared" ref="G39" si="11">IFERROR((G38-G37)/G37,0)</f>
        <v>-0.26153846153846155</v>
      </c>
      <c r="H39" s="1109"/>
      <c r="I39" s="1110"/>
      <c r="J39" s="1110"/>
      <c r="K39" s="1110"/>
      <c r="L39" s="1110"/>
      <c r="M39" s="1110"/>
      <c r="N39" s="1110"/>
      <c r="O39" s="1110"/>
      <c r="P39" s="1110"/>
      <c r="Q39" s="1110"/>
      <c r="R39" s="1110"/>
      <c r="S39" s="1110"/>
      <c r="T39" s="1110"/>
      <c r="U39" s="1110"/>
      <c r="V39" s="1110"/>
      <c r="W39" s="1110"/>
      <c r="X39" s="1110"/>
      <c r="Y39" s="1110"/>
      <c r="Z39" s="1110"/>
      <c r="AA39" s="1110"/>
      <c r="AB39" s="1110"/>
      <c r="AC39" s="1110"/>
      <c r="AD39" s="1110"/>
      <c r="AE39" s="1110"/>
      <c r="AF39" s="1110"/>
      <c r="AG39" s="1110"/>
      <c r="AH39" s="1110"/>
      <c r="AI39" s="1110"/>
      <c r="AJ39" s="1110"/>
      <c r="AK39" s="1110"/>
      <c r="AL39" s="1111"/>
      <c r="AM39" s="478"/>
    </row>
    <row r="40" spans="2:39" s="79" customFormat="1" ht="13.35" customHeight="1">
      <c r="B40" s="2721">
        <v>2</v>
      </c>
      <c r="C40" s="2748" t="str">
        <f>Development.!A10</f>
        <v>5L_W14_CDRIVE_WEST</v>
      </c>
      <c r="D40" s="2760"/>
      <c r="E40" s="2754" t="s">
        <v>223</v>
      </c>
      <c r="F40" s="2755"/>
      <c r="G40" s="850">
        <f>SUMIF($H$6:$AL$6,"&lt;="&amp;$C$7,H40:AL40)</f>
        <v>8</v>
      </c>
      <c r="H40" s="1639">
        <f>Development.!B10</f>
        <v>1.6</v>
      </c>
      <c r="I40" s="1639">
        <f>Development.!C10</f>
        <v>1.6</v>
      </c>
      <c r="J40" s="1639">
        <f>Development.!D10</f>
        <v>0</v>
      </c>
      <c r="K40" s="1639">
        <f>Development.!E10</f>
        <v>1.6</v>
      </c>
      <c r="L40" s="1639">
        <f>Development.!F10</f>
        <v>1.6</v>
      </c>
      <c r="M40" s="1639">
        <f>Development.!G10</f>
        <v>1.6</v>
      </c>
      <c r="N40" s="1639">
        <f>Development.!H10</f>
        <v>1.6</v>
      </c>
      <c r="O40" s="1639">
        <f>Development.!I10</f>
        <v>1.6</v>
      </c>
      <c r="P40" s="1639">
        <f>Development.!J10</f>
        <v>1.6</v>
      </c>
      <c r="Q40" s="1639">
        <f>Development.!K10</f>
        <v>0</v>
      </c>
      <c r="R40" s="1639">
        <f>Development.!L10</f>
        <v>0</v>
      </c>
      <c r="S40" s="1639">
        <f>Development.!M10</f>
        <v>0</v>
      </c>
      <c r="T40" s="1639">
        <f>Development.!N10</f>
        <v>1.6</v>
      </c>
      <c r="U40" s="1639">
        <f>Development.!O10</f>
        <v>1.6</v>
      </c>
      <c r="V40" s="1639">
        <f>Development.!P10</f>
        <v>1.6</v>
      </c>
      <c r="W40" s="1639">
        <f>Development.!Q10</f>
        <v>1.6</v>
      </c>
      <c r="X40" s="1639">
        <f>Development.!R10</f>
        <v>0</v>
      </c>
      <c r="Y40" s="1639">
        <f>Development.!S10</f>
        <v>1.6</v>
      </c>
      <c r="Z40" s="1639">
        <f>Development.!T10</f>
        <v>1.6</v>
      </c>
      <c r="AA40" s="1639">
        <f>Development.!U10</f>
        <v>1.6</v>
      </c>
      <c r="AB40" s="1639">
        <f>Development.!V10</f>
        <v>1.6</v>
      </c>
      <c r="AC40" s="1639">
        <f>Development.!W10</f>
        <v>1.6</v>
      </c>
      <c r="AD40" s="1639">
        <f>Development.!X10</f>
        <v>1.6</v>
      </c>
      <c r="AE40" s="1639">
        <f>Development.!Y10</f>
        <v>0</v>
      </c>
      <c r="AF40" s="1639">
        <f>Development.!Z10</f>
        <v>1.6</v>
      </c>
      <c r="AG40" s="1639">
        <f>Development.!AA10</f>
        <v>1.6</v>
      </c>
      <c r="AH40" s="1639">
        <f>Development.!AB10</f>
        <v>1.6</v>
      </c>
      <c r="AI40" s="1639">
        <f>Development.!AC10</f>
        <v>1.6</v>
      </c>
      <c r="AJ40" s="1639">
        <f>Development.!AD10</f>
        <v>1.6</v>
      </c>
      <c r="AK40" s="1639">
        <f>Development.!AE10</f>
        <v>1.6</v>
      </c>
      <c r="AL40" s="1639">
        <f>Development.!AF10</f>
        <v>0</v>
      </c>
      <c r="AM40" s="84"/>
    </row>
    <row r="41" spans="2:39" s="79" customFormat="1" ht="14.85" customHeight="1">
      <c r="B41" s="2722"/>
      <c r="C41" s="2750"/>
      <c r="D41" s="2761"/>
      <c r="E41" s="2756" t="s">
        <v>224</v>
      </c>
      <c r="F41" s="2757"/>
      <c r="G41" s="1106">
        <f>SUMIF($H$6:$AL$6,"&lt;="&amp;$C$7,H41:AL41)</f>
        <v>3.8000000000000003</v>
      </c>
      <c r="H41" s="1102"/>
      <c r="I41" s="1103">
        <v>1.3</v>
      </c>
      <c r="J41" s="1103"/>
      <c r="K41" s="1103">
        <v>0.9</v>
      </c>
      <c r="L41" s="1103">
        <v>1.6</v>
      </c>
      <c r="M41" s="1103"/>
      <c r="N41" s="1103"/>
      <c r="O41" s="1103"/>
      <c r="P41" s="1103"/>
      <c r="Q41" s="1103"/>
      <c r="R41" s="1103"/>
      <c r="S41" s="1103"/>
      <c r="T41" s="1103"/>
      <c r="U41" s="1103"/>
      <c r="V41" s="1103"/>
      <c r="W41" s="1103"/>
      <c r="X41" s="1103"/>
      <c r="Y41" s="1103"/>
      <c r="Z41" s="1103"/>
      <c r="AA41" s="1103"/>
      <c r="AB41" s="1103"/>
      <c r="AC41" s="1103"/>
      <c r="AD41" s="1103"/>
      <c r="AE41" s="1103"/>
      <c r="AF41" s="1103"/>
      <c r="AG41" s="1103"/>
      <c r="AH41" s="1103"/>
      <c r="AI41" s="1103"/>
      <c r="AJ41" s="1103"/>
      <c r="AK41" s="1103"/>
      <c r="AL41" s="1104"/>
      <c r="AM41" s="85"/>
    </row>
    <row r="42" spans="2:39" s="79" customFormat="1" ht="14.85" customHeight="1" thickBot="1">
      <c r="B42" s="2723"/>
      <c r="C42" s="2752"/>
      <c r="D42" s="2762"/>
      <c r="E42" s="2758" t="s">
        <v>264</v>
      </c>
      <c r="F42" s="2759"/>
      <c r="G42" s="1044">
        <f t="shared" ref="G42" si="12">IFERROR((G41-G40)/G40,0)</f>
        <v>-0.52499999999999991</v>
      </c>
      <c r="H42" s="1107"/>
      <c r="I42" s="1108"/>
      <c r="J42" s="1108"/>
      <c r="K42" s="1108"/>
      <c r="L42" s="1108"/>
      <c r="M42" s="1108"/>
      <c r="N42" s="1108"/>
      <c r="O42" s="1108"/>
      <c r="P42" s="1108"/>
      <c r="Q42" s="1108"/>
      <c r="R42" s="1108"/>
      <c r="S42" s="1108"/>
      <c r="T42" s="1108"/>
      <c r="U42" s="1108"/>
      <c r="V42" s="1108"/>
      <c r="W42" s="1108"/>
      <c r="X42" s="1108"/>
      <c r="Y42" s="1108"/>
      <c r="Z42" s="1108"/>
      <c r="AA42" s="1108"/>
      <c r="AB42" s="1108"/>
      <c r="AC42" s="1108"/>
      <c r="AD42" s="1108"/>
      <c r="AE42" s="1108"/>
      <c r="AF42" s="1108"/>
      <c r="AG42" s="1108"/>
      <c r="AH42" s="1108"/>
      <c r="AI42" s="1108"/>
      <c r="AJ42" s="1108"/>
      <c r="AK42" s="1108"/>
      <c r="AL42" s="1114"/>
      <c r="AM42" s="85"/>
    </row>
    <row r="43" spans="2:39" s="79" customFormat="1" ht="13.35" customHeight="1">
      <c r="B43" s="2721">
        <v>1</v>
      </c>
      <c r="C43" s="2748" t="str">
        <f>Development.!A11</f>
        <v>5L_W14_HAULAGE</v>
      </c>
      <c r="D43" s="2760"/>
      <c r="E43" s="2754" t="s">
        <v>223</v>
      </c>
      <c r="F43" s="2755"/>
      <c r="G43" s="850">
        <f>SUMIF($H$6:$AL$6,"&lt;="&amp;$C$7,H43:AL43)</f>
        <v>8</v>
      </c>
      <c r="H43" s="1639">
        <f>Development.!B11</f>
        <v>1.6</v>
      </c>
      <c r="I43" s="1639">
        <f>Development.!C11</f>
        <v>1.6</v>
      </c>
      <c r="J43" s="1639">
        <f>Development.!D11</f>
        <v>0</v>
      </c>
      <c r="K43" s="1639">
        <f>Development.!E11</f>
        <v>1.6</v>
      </c>
      <c r="L43" s="1639">
        <f>Development.!F11</f>
        <v>1.6</v>
      </c>
      <c r="M43" s="1639">
        <f>Development.!G11</f>
        <v>1.6</v>
      </c>
      <c r="N43" s="1639">
        <f>Development.!H11</f>
        <v>1.6</v>
      </c>
      <c r="O43" s="1639">
        <f>Development.!I11</f>
        <v>1.6</v>
      </c>
      <c r="P43" s="1639">
        <f>Development.!J11</f>
        <v>1.6</v>
      </c>
      <c r="Q43" s="1639">
        <f>Development.!K11</f>
        <v>0</v>
      </c>
      <c r="R43" s="1639">
        <f>Development.!L11</f>
        <v>0</v>
      </c>
      <c r="S43" s="1639">
        <f>Development.!M11</f>
        <v>0</v>
      </c>
      <c r="T43" s="1639">
        <f>Development.!N11</f>
        <v>1.6</v>
      </c>
      <c r="U43" s="1639">
        <f>Development.!O11</f>
        <v>1.6</v>
      </c>
      <c r="V43" s="1639">
        <f>Development.!P11</f>
        <v>1.6</v>
      </c>
      <c r="W43" s="1639">
        <f>Development.!Q11</f>
        <v>1.6</v>
      </c>
      <c r="X43" s="1639">
        <f>Development.!R11</f>
        <v>0</v>
      </c>
      <c r="Y43" s="1639">
        <f>Development.!S11</f>
        <v>1.6</v>
      </c>
      <c r="Z43" s="1639">
        <f>Development.!T11</f>
        <v>1.6</v>
      </c>
      <c r="AA43" s="1639">
        <f>Development.!U11</f>
        <v>1.6</v>
      </c>
      <c r="AB43" s="1639">
        <f>Development.!V11</f>
        <v>1.6</v>
      </c>
      <c r="AC43" s="1639">
        <f>Development.!W11</f>
        <v>1.6</v>
      </c>
      <c r="AD43" s="1639">
        <f>Development.!X11</f>
        <v>1.6</v>
      </c>
      <c r="AE43" s="1639">
        <f>Development.!Y11</f>
        <v>0</v>
      </c>
      <c r="AF43" s="1639">
        <f>Development.!Z11</f>
        <v>1.6</v>
      </c>
      <c r="AG43" s="1639">
        <f>Development.!AA11</f>
        <v>1.6</v>
      </c>
      <c r="AH43" s="1639">
        <f>Development.!AB11</f>
        <v>1.6</v>
      </c>
      <c r="AI43" s="1639">
        <f>Development.!AC11</f>
        <v>1.6</v>
      </c>
      <c r="AJ43" s="1639">
        <f>Development.!AD11</f>
        <v>1.6</v>
      </c>
      <c r="AK43" s="1639">
        <f>Development.!AE11</f>
        <v>1.6</v>
      </c>
      <c r="AL43" s="1639">
        <f>Development.!AF11</f>
        <v>0</v>
      </c>
      <c r="AM43" s="84"/>
    </row>
    <row r="44" spans="2:39" s="79" customFormat="1" ht="14.85" customHeight="1">
      <c r="B44" s="2722"/>
      <c r="C44" s="2750"/>
      <c r="D44" s="2761"/>
      <c r="E44" s="2756" t="s">
        <v>224</v>
      </c>
      <c r="F44" s="2757"/>
      <c r="G44" s="1106">
        <f>SUMIF($H$6:$AL$6,"&lt;="&amp;$C$7,H44:AL44)</f>
        <v>6.5</v>
      </c>
      <c r="H44" s="1102">
        <v>1.6</v>
      </c>
      <c r="I44" s="1103">
        <v>1.6</v>
      </c>
      <c r="J44" s="1103"/>
      <c r="K44" s="1103">
        <v>1.7</v>
      </c>
      <c r="L44" s="1103">
        <v>1.6</v>
      </c>
      <c r="M44" s="1103"/>
      <c r="N44" s="1103"/>
      <c r="O44" s="1103"/>
      <c r="P44" s="1103"/>
      <c r="Q44" s="1103"/>
      <c r="R44" s="1103"/>
      <c r="S44" s="1103"/>
      <c r="T44" s="1103"/>
      <c r="U44" s="1103"/>
      <c r="V44" s="1103"/>
      <c r="W44" s="1103"/>
      <c r="X44" s="1103"/>
      <c r="Y44" s="1103"/>
      <c r="Z44" s="1103"/>
      <c r="AA44" s="1103"/>
      <c r="AB44" s="1103"/>
      <c r="AC44" s="1103"/>
      <c r="AD44" s="1103"/>
      <c r="AE44" s="1103"/>
      <c r="AF44" s="1103"/>
      <c r="AG44" s="1103"/>
      <c r="AH44" s="1103"/>
      <c r="AI44" s="1103"/>
      <c r="AJ44" s="1103"/>
      <c r="AK44" s="1103"/>
      <c r="AL44" s="1104"/>
      <c r="AM44" s="85"/>
    </row>
    <row r="45" spans="2:39" s="79" customFormat="1" ht="14.85" customHeight="1" thickBot="1">
      <c r="B45" s="2723"/>
      <c r="C45" s="2752"/>
      <c r="D45" s="2762"/>
      <c r="E45" s="2758" t="s">
        <v>264</v>
      </c>
      <c r="F45" s="2759"/>
      <c r="G45" s="1044">
        <f t="shared" ref="G45" si="13">IFERROR((G44-G43)/G43,0)</f>
        <v>-0.1875</v>
      </c>
      <c r="H45" s="1107"/>
      <c r="I45" s="1108"/>
      <c r="J45" s="1108"/>
      <c r="K45" s="1108"/>
      <c r="L45" s="1108"/>
      <c r="M45" s="1108"/>
      <c r="N45" s="1108"/>
      <c r="O45" s="1108"/>
      <c r="P45" s="1108"/>
      <c r="Q45" s="1108"/>
      <c r="R45" s="1108"/>
      <c r="S45" s="1108"/>
      <c r="T45" s="1108"/>
      <c r="U45" s="1108"/>
      <c r="V45" s="1108"/>
      <c r="W45" s="1108"/>
      <c r="X45" s="1108"/>
      <c r="Y45" s="1108"/>
      <c r="Z45" s="1108"/>
      <c r="AA45" s="1108"/>
      <c r="AB45" s="1108"/>
      <c r="AC45" s="1108"/>
      <c r="AD45" s="1108"/>
      <c r="AE45" s="1108"/>
      <c r="AF45" s="1108"/>
      <c r="AG45" s="1108"/>
      <c r="AH45" s="1108"/>
      <c r="AI45" s="1108"/>
      <c r="AJ45" s="1108"/>
      <c r="AK45" s="1108"/>
      <c r="AL45" s="1114"/>
      <c r="AM45" s="85"/>
    </row>
    <row r="46" spans="2:39" s="79" customFormat="1" ht="13.35" customHeight="1">
      <c r="B46" s="2718">
        <v>1</v>
      </c>
      <c r="C46" s="2748" t="str">
        <f>Development.!A12</f>
        <v>5L_W2_CROSS_CUT</v>
      </c>
      <c r="D46" s="2760"/>
      <c r="E46" s="2754" t="s">
        <v>223</v>
      </c>
      <c r="F46" s="2755"/>
      <c r="G46" s="850">
        <f>SUMIF($H$6:$AL$6,"&lt;="&amp;$C$7,H46:AL46)</f>
        <v>8</v>
      </c>
      <c r="H46" s="1639">
        <f>Development.!B12</f>
        <v>1.6</v>
      </c>
      <c r="I46" s="1639">
        <f>Development.!C12</f>
        <v>1.6</v>
      </c>
      <c r="J46" s="1639">
        <f>Development.!D12</f>
        <v>0</v>
      </c>
      <c r="K46" s="1639">
        <f>Development.!E12</f>
        <v>1.6</v>
      </c>
      <c r="L46" s="1639">
        <f>Development.!F12</f>
        <v>1.6</v>
      </c>
      <c r="M46" s="1639">
        <f>Development.!G12</f>
        <v>1.6</v>
      </c>
      <c r="N46" s="1639">
        <f>Development.!H12</f>
        <v>1.6</v>
      </c>
      <c r="O46" s="1639">
        <f>Development.!I12</f>
        <v>1.6</v>
      </c>
      <c r="P46" s="1639">
        <f>Development.!J12</f>
        <v>1.6</v>
      </c>
      <c r="Q46" s="1639">
        <f>Development.!K12</f>
        <v>0</v>
      </c>
      <c r="R46" s="1639">
        <f>Development.!L12</f>
        <v>0</v>
      </c>
      <c r="S46" s="1639">
        <f>Development.!M12</f>
        <v>0</v>
      </c>
      <c r="T46" s="1639">
        <f>Development.!N12</f>
        <v>1.6</v>
      </c>
      <c r="U46" s="1639">
        <f>Development.!O12</f>
        <v>1.6</v>
      </c>
      <c r="V46" s="1639">
        <f>Development.!P12</f>
        <v>0</v>
      </c>
      <c r="W46" s="1639">
        <f>Development.!Q12</f>
        <v>0</v>
      </c>
      <c r="X46" s="1639">
        <f>Development.!R12</f>
        <v>0</v>
      </c>
      <c r="Y46" s="1639">
        <f>Development.!S12</f>
        <v>0</v>
      </c>
      <c r="Z46" s="1639">
        <f>Development.!T12</f>
        <v>0</v>
      </c>
      <c r="AA46" s="1639">
        <f>Development.!U12</f>
        <v>0</v>
      </c>
      <c r="AB46" s="1639">
        <f>Development.!V12</f>
        <v>0</v>
      </c>
      <c r="AC46" s="1639">
        <f>Development.!W12</f>
        <v>0</v>
      </c>
      <c r="AD46" s="1639">
        <f>Development.!X12</f>
        <v>0</v>
      </c>
      <c r="AE46" s="1639">
        <f>Development.!Y12</f>
        <v>0</v>
      </c>
      <c r="AF46" s="1639">
        <f>Development.!Z12</f>
        <v>0</v>
      </c>
      <c r="AG46" s="1639">
        <f>Development.!AA12</f>
        <v>0</v>
      </c>
      <c r="AH46" s="1639">
        <f>Development.!AB12</f>
        <v>0</v>
      </c>
      <c r="AI46" s="1639">
        <f>Development.!AC12</f>
        <v>0</v>
      </c>
      <c r="AJ46" s="1639">
        <f>Development.!AD12</f>
        <v>0</v>
      </c>
      <c r="AK46" s="1639">
        <f>Development.!AE12</f>
        <v>0</v>
      </c>
      <c r="AL46" s="1639">
        <f>Development.!AF12</f>
        <v>0</v>
      </c>
      <c r="AM46" s="84"/>
    </row>
    <row r="47" spans="2:39" s="79" customFormat="1" ht="14.85" customHeight="1">
      <c r="B47" s="2719"/>
      <c r="C47" s="2750"/>
      <c r="D47" s="2761"/>
      <c r="E47" s="2756" t="s">
        <v>224</v>
      </c>
      <c r="F47" s="2757"/>
      <c r="G47" s="1106">
        <f>SUMIF($H$6:$AL$6,"&lt;="&amp;$C$7,H47:AL47)</f>
        <v>6.1</v>
      </c>
      <c r="H47" s="1102">
        <v>1.6</v>
      </c>
      <c r="I47" s="1103">
        <v>1.6</v>
      </c>
      <c r="J47" s="1103"/>
      <c r="K47" s="1103">
        <v>1.3</v>
      </c>
      <c r="L47" s="1103">
        <v>1.6</v>
      </c>
      <c r="M47" s="1103"/>
      <c r="N47" s="1103"/>
      <c r="O47" s="1103"/>
      <c r="P47" s="1103"/>
      <c r="Q47" s="1103"/>
      <c r="R47" s="1103"/>
      <c r="S47" s="1103"/>
      <c r="T47" s="1103"/>
      <c r="U47" s="1103"/>
      <c r="V47" s="1103"/>
      <c r="W47" s="1103"/>
      <c r="X47" s="1103"/>
      <c r="Y47" s="1103"/>
      <c r="Z47" s="1103"/>
      <c r="AA47" s="1103"/>
      <c r="AB47" s="1103"/>
      <c r="AC47" s="1103"/>
      <c r="AD47" s="1103"/>
      <c r="AE47" s="1103"/>
      <c r="AF47" s="1103"/>
      <c r="AG47" s="1103"/>
      <c r="AH47" s="1103"/>
      <c r="AI47" s="1103"/>
      <c r="AJ47" s="1103"/>
      <c r="AK47" s="1103"/>
      <c r="AL47" s="1104"/>
      <c r="AM47" s="85"/>
    </row>
    <row r="48" spans="2:39" s="79" customFormat="1" ht="14.85" customHeight="1" thickBot="1">
      <c r="B48" s="2720"/>
      <c r="C48" s="2752"/>
      <c r="D48" s="2762"/>
      <c r="E48" s="2758" t="s">
        <v>264</v>
      </c>
      <c r="F48" s="2759"/>
      <c r="G48" s="1044">
        <f t="shared" ref="G48" si="14">IFERROR((G47-G46)/G46,0)</f>
        <v>-0.23750000000000004</v>
      </c>
      <c r="H48" s="1107"/>
      <c r="I48" s="1108"/>
      <c r="J48" s="1108"/>
      <c r="K48" s="1108"/>
      <c r="L48" s="1108"/>
      <c r="M48" s="1108"/>
      <c r="N48" s="1108"/>
      <c r="O48" s="1108"/>
      <c r="P48" s="1108"/>
      <c r="Q48" s="1108"/>
      <c r="R48" s="1108"/>
      <c r="S48" s="1108"/>
      <c r="T48" s="1108"/>
      <c r="U48" s="1108"/>
      <c r="V48" s="1108"/>
      <c r="W48" s="1108"/>
      <c r="X48" s="1108"/>
      <c r="Y48" s="1108"/>
      <c r="Z48" s="1108"/>
      <c r="AA48" s="1108"/>
      <c r="AB48" s="1108"/>
      <c r="AC48" s="1108"/>
      <c r="AD48" s="1108"/>
      <c r="AE48" s="1108"/>
      <c r="AF48" s="1112"/>
      <c r="AG48" s="1108"/>
      <c r="AH48" s="1108"/>
      <c r="AI48" s="1108"/>
      <c r="AJ48" s="1108"/>
      <c r="AK48" s="1108"/>
      <c r="AL48" s="1114"/>
      <c r="AM48" s="85"/>
    </row>
    <row r="49" spans="2:39" s="79" customFormat="1" ht="15" customHeight="1">
      <c r="B49" s="2721">
        <v>1</v>
      </c>
      <c r="C49" s="2748" t="str">
        <f>Development.!A13</f>
        <v>5L_W26_HOISTROOM</v>
      </c>
      <c r="D49" s="2760"/>
      <c r="E49" s="2754" t="s">
        <v>223</v>
      </c>
      <c r="F49" s="2755"/>
      <c r="G49" s="850">
        <f>SUMIF($H$6:$AL$6,"&lt;="&amp;$C$7,H49:AL49)</f>
        <v>0</v>
      </c>
      <c r="H49" s="1639">
        <f>Development.!B13</f>
        <v>0</v>
      </c>
      <c r="I49" s="1639">
        <f>Development.!C13</f>
        <v>0</v>
      </c>
      <c r="J49" s="1639">
        <f>Development.!D13</f>
        <v>0</v>
      </c>
      <c r="K49" s="1639">
        <f>Development.!E13</f>
        <v>0</v>
      </c>
      <c r="L49" s="1639">
        <f>Development.!F13</f>
        <v>0</v>
      </c>
      <c r="M49" s="1639">
        <f>Development.!G13</f>
        <v>0</v>
      </c>
      <c r="N49" s="1639">
        <f>Development.!H13</f>
        <v>0</v>
      </c>
      <c r="O49" s="1639">
        <f>Development.!I13</f>
        <v>0</v>
      </c>
      <c r="P49" s="1639">
        <f>Development.!J13</f>
        <v>0</v>
      </c>
      <c r="Q49" s="1639">
        <f>Development.!K13</f>
        <v>0</v>
      </c>
      <c r="R49" s="1639">
        <f>Development.!L13</f>
        <v>0</v>
      </c>
      <c r="S49" s="1639">
        <f>Development.!M13</f>
        <v>0</v>
      </c>
      <c r="T49" s="1639">
        <f>Development.!N13</f>
        <v>0</v>
      </c>
      <c r="U49" s="1639">
        <f>Development.!O13</f>
        <v>0</v>
      </c>
      <c r="V49" s="1639">
        <f>Development.!P13</f>
        <v>1.6</v>
      </c>
      <c r="W49" s="1639">
        <f>Development.!Q13</f>
        <v>1.6</v>
      </c>
      <c r="X49" s="1639">
        <f>Development.!R13</f>
        <v>0</v>
      </c>
      <c r="Y49" s="1639">
        <f>Development.!S13</f>
        <v>1.6</v>
      </c>
      <c r="Z49" s="1639">
        <f>Development.!T13</f>
        <v>1.6</v>
      </c>
      <c r="AA49" s="1639">
        <f>Development.!U13</f>
        <v>1.6</v>
      </c>
      <c r="AB49" s="1639">
        <f>Development.!V13</f>
        <v>1.6</v>
      </c>
      <c r="AC49" s="1639">
        <f>Development.!W13</f>
        <v>1.6</v>
      </c>
      <c r="AD49" s="1639">
        <f>Development.!X13</f>
        <v>1.6</v>
      </c>
      <c r="AE49" s="1639">
        <f>Development.!Y13</f>
        <v>0</v>
      </c>
      <c r="AF49" s="1639">
        <f>Development.!Z13</f>
        <v>1.6</v>
      </c>
      <c r="AG49" s="1639">
        <f>Development.!AA13</f>
        <v>1.6</v>
      </c>
      <c r="AH49" s="1639">
        <f>Development.!AB13</f>
        <v>1.6</v>
      </c>
      <c r="AI49" s="1639">
        <f>Development.!AC13</f>
        <v>1.6</v>
      </c>
      <c r="AJ49" s="1639">
        <f>Development.!AD13</f>
        <v>1.6</v>
      </c>
      <c r="AK49" s="1639">
        <f>Development.!AE13</f>
        <v>1.6</v>
      </c>
      <c r="AL49" s="1639">
        <f>Development.!AF13</f>
        <v>0</v>
      </c>
      <c r="AM49" s="477"/>
    </row>
    <row r="50" spans="2:39" s="79" customFormat="1" ht="15" customHeight="1">
      <c r="B50" s="2722"/>
      <c r="C50" s="2750"/>
      <c r="D50" s="2761"/>
      <c r="E50" s="2756" t="s">
        <v>224</v>
      </c>
      <c r="F50" s="2757"/>
      <c r="G50" s="1106">
        <f>SUMIF($H$6:$AL$6,"&lt;="&amp;$C$7,H50:AL50)</f>
        <v>0</v>
      </c>
      <c r="H50" s="1102"/>
      <c r="I50" s="1103"/>
      <c r="J50" s="1103"/>
      <c r="K50" s="1103"/>
      <c r="L50" s="1103"/>
      <c r="M50" s="1103"/>
      <c r="N50" s="1103"/>
      <c r="O50" s="1103"/>
      <c r="P50" s="1103"/>
      <c r="Q50" s="1103"/>
      <c r="R50" s="1103"/>
      <c r="S50" s="1103"/>
      <c r="T50" s="1103"/>
      <c r="U50" s="1103"/>
      <c r="V50" s="1103"/>
      <c r="W50" s="1103"/>
      <c r="X50" s="1103"/>
      <c r="Y50" s="1103"/>
      <c r="Z50" s="1103"/>
      <c r="AA50" s="1103"/>
      <c r="AB50" s="1103"/>
      <c r="AC50" s="1103"/>
      <c r="AD50" s="1103"/>
      <c r="AE50" s="1103"/>
      <c r="AF50" s="1103"/>
      <c r="AG50" s="1103"/>
      <c r="AH50" s="1103"/>
      <c r="AI50" s="1103"/>
      <c r="AJ50" s="1103"/>
      <c r="AK50" s="1103"/>
      <c r="AL50" s="1104"/>
      <c r="AM50" s="478"/>
    </row>
    <row r="51" spans="2:39" s="79" customFormat="1" ht="15" customHeight="1" thickBot="1">
      <c r="B51" s="2723"/>
      <c r="C51" s="2752"/>
      <c r="D51" s="2762"/>
      <c r="E51" s="2758" t="s">
        <v>264</v>
      </c>
      <c r="F51" s="2759"/>
      <c r="G51" s="1044">
        <f t="shared" ref="G51" si="15">IFERROR((G50-G49)/G49,0)</f>
        <v>0</v>
      </c>
      <c r="H51" s="1109"/>
      <c r="I51" s="1110"/>
      <c r="J51" s="1110"/>
      <c r="K51" s="1110"/>
      <c r="L51" s="1110"/>
      <c r="M51" s="1110"/>
      <c r="N51" s="1110"/>
      <c r="O51" s="1110"/>
      <c r="P51" s="1110"/>
      <c r="Q51" s="1110"/>
      <c r="R51" s="1110"/>
      <c r="S51" s="1110"/>
      <c r="T51" s="1110"/>
      <c r="U51" s="1110"/>
      <c r="V51" s="1110"/>
      <c r="W51" s="1110"/>
      <c r="X51" s="1110"/>
      <c r="Y51" s="1110"/>
      <c r="Z51" s="1110"/>
      <c r="AA51" s="1110"/>
      <c r="AB51" s="1110"/>
      <c r="AC51" s="1110"/>
      <c r="AD51" s="1110"/>
      <c r="AE51" s="1110"/>
      <c r="AF51" s="1110"/>
      <c r="AG51" s="1110"/>
      <c r="AH51" s="1110"/>
      <c r="AI51" s="1110"/>
      <c r="AJ51" s="1110"/>
      <c r="AK51" s="1110"/>
      <c r="AL51" s="1111"/>
      <c r="AM51" s="478"/>
    </row>
    <row r="52" spans="2:39" s="79" customFormat="1" ht="13.35" customHeight="1">
      <c r="B52" s="2718">
        <v>2</v>
      </c>
      <c r="C52" s="2748" t="str">
        <f>Development.!A14</f>
        <v>6LA_W5_DRIVE_EAST</v>
      </c>
      <c r="D52" s="2760"/>
      <c r="E52" s="2754" t="s">
        <v>223</v>
      </c>
      <c r="F52" s="2755"/>
      <c r="G52" s="850">
        <f>SUMIF($H$6:$AL$6,"&lt;="&amp;$C$7,H52:AL52)</f>
        <v>0</v>
      </c>
      <c r="H52" s="1639">
        <f>Development.!B14</f>
        <v>0</v>
      </c>
      <c r="I52" s="1639">
        <f>Development.!C14</f>
        <v>0</v>
      </c>
      <c r="J52" s="1639">
        <f>Development.!D14</f>
        <v>0</v>
      </c>
      <c r="K52" s="1639">
        <f>Development.!E14</f>
        <v>0</v>
      </c>
      <c r="L52" s="1639">
        <f>Development.!F14</f>
        <v>0</v>
      </c>
      <c r="M52" s="1639">
        <f>Development.!G14</f>
        <v>0</v>
      </c>
      <c r="N52" s="1639">
        <f>Development.!H14</f>
        <v>0</v>
      </c>
      <c r="O52" s="1639">
        <f>Development.!I14</f>
        <v>0</v>
      </c>
      <c r="P52" s="1639">
        <f>Development.!J14</f>
        <v>0</v>
      </c>
      <c r="Q52" s="1639">
        <f>Development.!K14</f>
        <v>0</v>
      </c>
      <c r="R52" s="1639">
        <f>Development.!L14</f>
        <v>0</v>
      </c>
      <c r="S52" s="1639">
        <f>Development.!M14</f>
        <v>0</v>
      </c>
      <c r="T52" s="1639">
        <f>Development.!N14</f>
        <v>0</v>
      </c>
      <c r="U52" s="1639">
        <f>Development.!O14</f>
        <v>0</v>
      </c>
      <c r="V52" s="1639">
        <f>Development.!P14</f>
        <v>0</v>
      </c>
      <c r="W52" s="1639">
        <f>Development.!Q14</f>
        <v>0</v>
      </c>
      <c r="X52" s="1639">
        <f>Development.!R14</f>
        <v>0</v>
      </c>
      <c r="Y52" s="1639">
        <f>Development.!S14</f>
        <v>1.3</v>
      </c>
      <c r="Z52" s="1639">
        <f>Development.!T14</f>
        <v>1.3</v>
      </c>
      <c r="AA52" s="1639">
        <f>Development.!U14</f>
        <v>1.3</v>
      </c>
      <c r="AB52" s="1639">
        <f>Development.!V14</f>
        <v>1.3</v>
      </c>
      <c r="AC52" s="1639">
        <f>Development.!W14</f>
        <v>1.3</v>
      </c>
      <c r="AD52" s="1639">
        <f>Development.!X14</f>
        <v>1.3</v>
      </c>
      <c r="AE52" s="1639">
        <f>Development.!Y14</f>
        <v>0</v>
      </c>
      <c r="AF52" s="1639">
        <f>Development.!Z14</f>
        <v>1.3</v>
      </c>
      <c r="AG52" s="1639">
        <f>Development.!AA14</f>
        <v>1.3</v>
      </c>
      <c r="AH52" s="1639">
        <f>Development.!AB14</f>
        <v>1.3</v>
      </c>
      <c r="AI52" s="1639">
        <f>Development.!AC14</f>
        <v>1.3</v>
      </c>
      <c r="AJ52" s="1639">
        <f>Development.!AD14</f>
        <v>1.3</v>
      </c>
      <c r="AK52" s="1639">
        <f>Development.!AE14</f>
        <v>1.3</v>
      </c>
      <c r="AL52" s="1639">
        <f>Development.!AF14</f>
        <v>0</v>
      </c>
      <c r="AM52" s="84"/>
    </row>
    <row r="53" spans="2:39" s="79" customFormat="1" ht="14.85" customHeight="1">
      <c r="B53" s="2719"/>
      <c r="C53" s="2750"/>
      <c r="D53" s="2761"/>
      <c r="E53" s="2756" t="s">
        <v>224</v>
      </c>
      <c r="F53" s="2757"/>
      <c r="G53" s="1106">
        <f>SUMIF($H$6:$AL$6,"&lt;="&amp;$C$7,H53:AL53)</f>
        <v>1.6</v>
      </c>
      <c r="H53" s="1102">
        <v>1.6</v>
      </c>
      <c r="I53" s="1103"/>
      <c r="J53" s="1103"/>
      <c r="K53" s="1103"/>
      <c r="L53" s="1103"/>
      <c r="M53" s="1103"/>
      <c r="N53" s="1103"/>
      <c r="O53" s="1103"/>
      <c r="P53" s="1103"/>
      <c r="Q53" s="1103"/>
      <c r="R53" s="1103"/>
      <c r="S53" s="1103"/>
      <c r="T53" s="1103"/>
      <c r="U53" s="1103"/>
      <c r="V53" s="1103"/>
      <c r="W53" s="1103"/>
      <c r="X53" s="1103"/>
      <c r="Y53" s="1103"/>
      <c r="Z53" s="1103"/>
      <c r="AA53" s="1103"/>
      <c r="AB53" s="1103"/>
      <c r="AC53" s="1103"/>
      <c r="AD53" s="1103"/>
      <c r="AE53" s="1103"/>
      <c r="AF53" s="1103"/>
      <c r="AG53" s="1103"/>
      <c r="AH53" s="1103"/>
      <c r="AI53" s="1103"/>
      <c r="AJ53" s="1103"/>
      <c r="AK53" s="1103"/>
      <c r="AL53" s="1104"/>
      <c r="AM53" s="85"/>
    </row>
    <row r="54" spans="2:39" s="79" customFormat="1" ht="14.85" customHeight="1" thickBot="1">
      <c r="B54" s="2720"/>
      <c r="C54" s="2752"/>
      <c r="D54" s="2762"/>
      <c r="E54" s="2758" t="s">
        <v>264</v>
      </c>
      <c r="F54" s="2759"/>
      <c r="G54" s="1044">
        <f t="shared" ref="G54" si="16">IFERROR((G53-G52)/G52,0)</f>
        <v>0</v>
      </c>
      <c r="H54" s="1107"/>
      <c r="I54" s="1108"/>
      <c r="J54" s="1108"/>
      <c r="K54" s="1108"/>
      <c r="L54" s="1108"/>
      <c r="M54" s="1108"/>
      <c r="N54" s="1108"/>
      <c r="O54" s="1108"/>
      <c r="P54" s="1108"/>
      <c r="Q54" s="1108"/>
      <c r="R54" s="1108"/>
      <c r="S54" s="1108"/>
      <c r="T54" s="1108"/>
      <c r="U54" s="1108"/>
      <c r="V54" s="1108"/>
      <c r="W54" s="1108"/>
      <c r="X54" s="1108"/>
      <c r="Y54" s="1108"/>
      <c r="Z54" s="1108"/>
      <c r="AA54" s="1108"/>
      <c r="AB54" s="1112"/>
      <c r="AC54" s="1108"/>
      <c r="AD54" s="1108"/>
      <c r="AE54" s="1108"/>
      <c r="AF54" s="1108"/>
      <c r="AG54" s="1108"/>
      <c r="AH54" s="1108"/>
      <c r="AI54" s="1108"/>
      <c r="AJ54" s="1108"/>
      <c r="AK54" s="1108"/>
      <c r="AL54" s="1114"/>
      <c r="AM54" s="85"/>
    </row>
    <row r="55" spans="2:39" s="79" customFormat="1" ht="13.35" customHeight="1">
      <c r="B55" s="2718">
        <v>2</v>
      </c>
      <c r="C55" s="2748" t="str">
        <f>Development.!A15</f>
        <v>6LA_W2_SL1_DRIVE</v>
      </c>
      <c r="D55" s="2760"/>
      <c r="E55" s="2754" t="s">
        <v>223</v>
      </c>
      <c r="F55" s="2755"/>
      <c r="G55" s="850">
        <f>SUMIF($H$6:$AL$6,"&lt;="&amp;$C$7,H55:AL55)</f>
        <v>6.5</v>
      </c>
      <c r="H55" s="1639">
        <f>Development.!B15</f>
        <v>1.3</v>
      </c>
      <c r="I55" s="1639">
        <f>Development.!C15</f>
        <v>1.3</v>
      </c>
      <c r="J55" s="1639">
        <f>Development.!D15</f>
        <v>0</v>
      </c>
      <c r="K55" s="1639">
        <f>Development.!E15</f>
        <v>1.3</v>
      </c>
      <c r="L55" s="1639">
        <f>Development.!F15</f>
        <v>1.3</v>
      </c>
      <c r="M55" s="1639">
        <f>Development.!G15</f>
        <v>1.3</v>
      </c>
      <c r="N55" s="1639">
        <f>Development.!H15</f>
        <v>1.3</v>
      </c>
      <c r="O55" s="1639">
        <f>Development.!I15</f>
        <v>1.3</v>
      </c>
      <c r="P55" s="1639">
        <f>Development.!J15</f>
        <v>1.3</v>
      </c>
      <c r="Q55" s="1639">
        <f>Development.!K15</f>
        <v>0</v>
      </c>
      <c r="R55" s="1639">
        <f>Development.!L15</f>
        <v>0</v>
      </c>
      <c r="S55" s="1639">
        <f>Development.!M15</f>
        <v>0</v>
      </c>
      <c r="T55" s="1639">
        <f>Development.!N15</f>
        <v>1.3</v>
      </c>
      <c r="U55" s="1639">
        <f>Development.!O15</f>
        <v>1.3</v>
      </c>
      <c r="V55" s="1639">
        <f>Development.!P15</f>
        <v>1.3</v>
      </c>
      <c r="W55" s="1639">
        <f>Development.!Q15</f>
        <v>1.3</v>
      </c>
      <c r="X55" s="1639">
        <f>Development.!R15</f>
        <v>0</v>
      </c>
      <c r="Y55" s="1639">
        <f>Development.!S15</f>
        <v>1.3</v>
      </c>
      <c r="Z55" s="1639">
        <f>Development.!T15</f>
        <v>1.3</v>
      </c>
      <c r="AA55" s="1639">
        <f>Development.!U15</f>
        <v>1.3</v>
      </c>
      <c r="AB55" s="1639">
        <f>Development.!V15</f>
        <v>1.3</v>
      </c>
      <c r="AC55" s="1639">
        <f>Development.!W15</f>
        <v>1.3</v>
      </c>
      <c r="AD55" s="1639">
        <f>Development.!X15</f>
        <v>1.3</v>
      </c>
      <c r="AE55" s="1639">
        <f>Development.!Y15</f>
        <v>0</v>
      </c>
      <c r="AF55" s="1639">
        <f>Development.!Z15</f>
        <v>1.3</v>
      </c>
      <c r="AG55" s="1639">
        <f>Development.!AA15</f>
        <v>1.3</v>
      </c>
      <c r="AH55" s="1639">
        <f>Development.!AB15</f>
        <v>1.3</v>
      </c>
      <c r="AI55" s="1639">
        <f>Development.!AC15</f>
        <v>1.3</v>
      </c>
      <c r="AJ55" s="1639">
        <f>Development.!AD15</f>
        <v>1.3</v>
      </c>
      <c r="AK55" s="1639">
        <f>Development.!AE15</f>
        <v>1.3</v>
      </c>
      <c r="AL55" s="1639">
        <f>Development.!AF15</f>
        <v>0</v>
      </c>
      <c r="AM55" s="84"/>
    </row>
    <row r="56" spans="2:39" s="79" customFormat="1" ht="14.85" customHeight="1">
      <c r="B56" s="2719"/>
      <c r="C56" s="2750"/>
      <c r="D56" s="2761"/>
      <c r="E56" s="2756" t="s">
        <v>224</v>
      </c>
      <c r="F56" s="2757"/>
      <c r="G56" s="1106">
        <f>SUMIF($H$6:$AL$6,"&lt;="&amp;$C$7,H56:AL56)</f>
        <v>4.9000000000000004</v>
      </c>
      <c r="H56" s="1102">
        <v>0.9</v>
      </c>
      <c r="I56" s="1103">
        <v>1.3</v>
      </c>
      <c r="J56" s="1103"/>
      <c r="K56" s="1103">
        <v>1.4</v>
      </c>
      <c r="L56" s="1103">
        <v>1.3</v>
      </c>
      <c r="M56" s="1103"/>
      <c r="N56" s="1103"/>
      <c r="O56" s="1103"/>
      <c r="P56" s="1103"/>
      <c r="Q56" s="1103"/>
      <c r="R56" s="1103"/>
      <c r="S56" s="1103"/>
      <c r="T56" s="1103"/>
      <c r="U56" s="1103"/>
      <c r="V56" s="1103"/>
      <c r="W56" s="1103"/>
      <c r="X56" s="1103"/>
      <c r="Y56" s="1103"/>
      <c r="Z56" s="1103"/>
      <c r="AA56" s="1103"/>
      <c r="AB56" s="1103"/>
      <c r="AC56" s="1103"/>
      <c r="AD56" s="1103"/>
      <c r="AE56" s="1103"/>
      <c r="AF56" s="1103"/>
      <c r="AG56" s="1103"/>
      <c r="AH56" s="1103"/>
      <c r="AI56" s="1103"/>
      <c r="AJ56" s="1103"/>
      <c r="AK56" s="1103"/>
      <c r="AL56" s="1104"/>
      <c r="AM56" s="85"/>
    </row>
    <row r="57" spans="2:39" s="79" customFormat="1" ht="14.85" customHeight="1" thickBot="1">
      <c r="B57" s="2720"/>
      <c r="C57" s="2752"/>
      <c r="D57" s="2762"/>
      <c r="E57" s="2758" t="s">
        <v>264</v>
      </c>
      <c r="F57" s="2759"/>
      <c r="G57" s="1044">
        <f t="shared" ref="G57" si="17">IFERROR((G56-G55)/G55,0)</f>
        <v>-0.24615384615384611</v>
      </c>
      <c r="H57" s="1107"/>
      <c r="I57" s="1108"/>
      <c r="J57" s="1108"/>
      <c r="K57" s="1108"/>
      <c r="L57" s="1108"/>
      <c r="M57" s="1108"/>
      <c r="N57" s="1108"/>
      <c r="O57" s="1108"/>
      <c r="P57" s="1108"/>
      <c r="Q57" s="1108"/>
      <c r="R57" s="1108"/>
      <c r="S57" s="1108"/>
      <c r="T57" s="1108"/>
      <c r="U57" s="1108"/>
      <c r="V57" s="1112"/>
      <c r="W57" s="1108"/>
      <c r="X57" s="1108"/>
      <c r="Y57" s="1108"/>
      <c r="Z57" s="1108"/>
      <c r="AA57" s="1108"/>
      <c r="AB57" s="1108"/>
      <c r="AC57" s="1108"/>
      <c r="AD57" s="1108"/>
      <c r="AE57" s="1108"/>
      <c r="AF57" s="1108"/>
      <c r="AG57" s="1108"/>
      <c r="AH57" s="1108"/>
      <c r="AI57" s="1108"/>
      <c r="AJ57" s="1108"/>
      <c r="AK57" s="1108"/>
      <c r="AL57" s="1114"/>
      <c r="AM57" s="85"/>
    </row>
    <row r="58" spans="2:39" s="79" customFormat="1" ht="13.35" customHeight="1">
      <c r="B58" s="2718">
        <v>2</v>
      </c>
      <c r="C58" s="2781" t="str">
        <f>Development.!A16</f>
        <v>6LA_W4_DRIVE_EAST</v>
      </c>
      <c r="D58" s="2790"/>
      <c r="E58" s="2754" t="s">
        <v>223</v>
      </c>
      <c r="F58" s="2755"/>
      <c r="G58" s="850">
        <f>SUMIF($H$6:$AL$6,"&lt;="&amp;$C$7,H58:AL58)</f>
        <v>8</v>
      </c>
      <c r="H58" s="1639">
        <f>Development.!B16</f>
        <v>1.6</v>
      </c>
      <c r="I58" s="1639">
        <f>Development.!C16</f>
        <v>1.6</v>
      </c>
      <c r="J58" s="1639">
        <f>Development.!D16</f>
        <v>0</v>
      </c>
      <c r="K58" s="1639">
        <f>Development.!E16</f>
        <v>1.6</v>
      </c>
      <c r="L58" s="1639">
        <f>Development.!F16</f>
        <v>1.6</v>
      </c>
      <c r="M58" s="1639">
        <f>Development.!G16</f>
        <v>1.6</v>
      </c>
      <c r="N58" s="1639">
        <f>Development.!H16</f>
        <v>1.6</v>
      </c>
      <c r="O58" s="1639">
        <f>Development.!I16</f>
        <v>1.6</v>
      </c>
      <c r="P58" s="1639">
        <f>Development.!J16</f>
        <v>1.6</v>
      </c>
      <c r="Q58" s="1639">
        <f>Development.!K16</f>
        <v>0</v>
      </c>
      <c r="R58" s="1639">
        <f>Development.!L16</f>
        <v>0</v>
      </c>
      <c r="S58" s="1639">
        <f>Development.!M16</f>
        <v>0</v>
      </c>
      <c r="T58" s="1639">
        <f>Development.!N16</f>
        <v>1.6</v>
      </c>
      <c r="U58" s="1639">
        <f>Development.!O16</f>
        <v>0</v>
      </c>
      <c r="V58" s="1639">
        <f>Development.!P16</f>
        <v>0</v>
      </c>
      <c r="W58" s="1639">
        <f>Development.!Q16</f>
        <v>0</v>
      </c>
      <c r="X58" s="1639">
        <f>Development.!R16</f>
        <v>0</v>
      </c>
      <c r="Y58" s="1639">
        <f>Development.!S16</f>
        <v>0</v>
      </c>
      <c r="Z58" s="1639">
        <f>Development.!T16</f>
        <v>0</v>
      </c>
      <c r="AA58" s="1639">
        <f>Development.!U16</f>
        <v>0</v>
      </c>
      <c r="AB58" s="1639">
        <f>Development.!V16</f>
        <v>0</v>
      </c>
      <c r="AC58" s="1639">
        <f>Development.!W16</f>
        <v>0</v>
      </c>
      <c r="AD58" s="1639">
        <f>Development.!X16</f>
        <v>0</v>
      </c>
      <c r="AE58" s="1639">
        <f>Development.!Y16</f>
        <v>0</v>
      </c>
      <c r="AF58" s="1639">
        <f>Development.!Z16</f>
        <v>0</v>
      </c>
      <c r="AG58" s="1639">
        <f>Development.!AA16</f>
        <v>0</v>
      </c>
      <c r="AH58" s="1639">
        <f>Development.!AB16</f>
        <v>0</v>
      </c>
      <c r="AI58" s="1639">
        <f>Development.!AC16</f>
        <v>0</v>
      </c>
      <c r="AJ58" s="1639">
        <f>Development.!AD16</f>
        <v>0</v>
      </c>
      <c r="AK58" s="1639">
        <f>Development.!AE16</f>
        <v>0</v>
      </c>
      <c r="AL58" s="1639">
        <f>Development.!AF16</f>
        <v>0</v>
      </c>
      <c r="AM58" s="84"/>
    </row>
    <row r="59" spans="2:39" s="79" customFormat="1" ht="14.85" customHeight="1">
      <c r="B59" s="2719"/>
      <c r="C59" s="2783"/>
      <c r="D59" s="2791"/>
      <c r="E59" s="2756" t="s">
        <v>224</v>
      </c>
      <c r="F59" s="2757"/>
      <c r="G59" s="1106">
        <f>SUMIF($H$6:$AL$6,"&lt;="&amp;$C$7,H59:AL59)</f>
        <v>4.8000000000000007</v>
      </c>
      <c r="H59" s="1102"/>
      <c r="I59" s="1103">
        <v>1.6</v>
      </c>
      <c r="J59" s="1103"/>
      <c r="K59" s="1103">
        <v>1.6</v>
      </c>
      <c r="L59" s="1103">
        <v>1.6</v>
      </c>
      <c r="M59" s="1103"/>
      <c r="N59" s="1103"/>
      <c r="O59" s="1103"/>
      <c r="P59" s="1103"/>
      <c r="Q59" s="1103"/>
      <c r="R59" s="1103"/>
      <c r="S59" s="1103"/>
      <c r="T59" s="1103"/>
      <c r="U59" s="1103"/>
      <c r="V59" s="1103"/>
      <c r="W59" s="1103"/>
      <c r="X59" s="1103"/>
      <c r="Y59" s="1103"/>
      <c r="Z59" s="1103"/>
      <c r="AA59" s="1103"/>
      <c r="AB59" s="1103"/>
      <c r="AC59" s="1103"/>
      <c r="AD59" s="1103"/>
      <c r="AE59" s="1103"/>
      <c r="AF59" s="1103"/>
      <c r="AG59" s="1103"/>
      <c r="AH59" s="1103"/>
      <c r="AI59" s="1103"/>
      <c r="AJ59" s="1103"/>
      <c r="AK59" s="1103"/>
      <c r="AL59" s="1104"/>
      <c r="AM59" s="85"/>
    </row>
    <row r="60" spans="2:39" s="79" customFormat="1" ht="14.85" customHeight="1" thickBot="1">
      <c r="B60" s="2720"/>
      <c r="C60" s="2785"/>
      <c r="D60" s="2792"/>
      <c r="E60" s="2758" t="s">
        <v>264</v>
      </c>
      <c r="F60" s="2759"/>
      <c r="G60" s="1044">
        <f t="shared" ref="G60" si="18">IFERROR((G59-G58)/G58,0)</f>
        <v>-0.39999999999999991</v>
      </c>
      <c r="H60" s="1107"/>
      <c r="I60" s="1108"/>
      <c r="J60" s="1108"/>
      <c r="K60" s="1108"/>
      <c r="L60" s="1108"/>
      <c r="M60" s="1108"/>
      <c r="N60" s="1108"/>
      <c r="O60" s="1108"/>
      <c r="P60" s="1108"/>
      <c r="Q60" s="1108"/>
      <c r="R60" s="1108"/>
      <c r="S60" s="1108"/>
      <c r="T60" s="1108"/>
      <c r="U60" s="1108"/>
      <c r="V60" s="1112"/>
      <c r="W60" s="1108"/>
      <c r="X60" s="1108"/>
      <c r="Y60" s="1108"/>
      <c r="Z60" s="1108"/>
      <c r="AA60" s="1108"/>
      <c r="AB60" s="1108"/>
      <c r="AC60" s="1108"/>
      <c r="AD60" s="1108"/>
      <c r="AE60" s="1108"/>
      <c r="AF60" s="1108"/>
      <c r="AG60" s="1108"/>
      <c r="AH60" s="1108"/>
      <c r="AI60" s="1108"/>
      <c r="AJ60" s="1108"/>
      <c r="AK60" s="1108"/>
      <c r="AL60" s="1114"/>
      <c r="AM60" s="85"/>
    </row>
    <row r="61" spans="2:39" s="79" customFormat="1" ht="13.35" customHeight="1">
      <c r="B61" s="2718">
        <v>2</v>
      </c>
      <c r="C61" s="2748" t="str">
        <f>Development.!A17</f>
        <v>6LA_W3_RAISE</v>
      </c>
      <c r="D61" s="2760"/>
      <c r="E61" s="2754" t="s">
        <v>223</v>
      </c>
      <c r="F61" s="2755"/>
      <c r="G61" s="850">
        <f>SUMIF($H$6:$AL$6,"&lt;="&amp;$C$7,H61:AL61)</f>
        <v>0</v>
      </c>
      <c r="H61" s="1639">
        <f>Development.!B17</f>
        <v>0</v>
      </c>
      <c r="I61" s="1639">
        <f>Development.!C17</f>
        <v>0</v>
      </c>
      <c r="J61" s="1639">
        <f>Development.!D17</f>
        <v>0</v>
      </c>
      <c r="K61" s="1639">
        <f>Development.!E17</f>
        <v>0</v>
      </c>
      <c r="L61" s="1639">
        <f>Development.!F17</f>
        <v>0</v>
      </c>
      <c r="M61" s="1639">
        <f>Development.!G17</f>
        <v>0</v>
      </c>
      <c r="N61" s="1639">
        <f>Development.!H17</f>
        <v>0</v>
      </c>
      <c r="O61" s="1639">
        <f>Development.!I17</f>
        <v>0</v>
      </c>
      <c r="P61" s="1639">
        <f>Development.!J17</f>
        <v>0</v>
      </c>
      <c r="Q61" s="1639">
        <f>Development.!K17</f>
        <v>0</v>
      </c>
      <c r="R61" s="1639">
        <f>Development.!L17</f>
        <v>0</v>
      </c>
      <c r="S61" s="1639">
        <f>Development.!M17</f>
        <v>0</v>
      </c>
      <c r="T61" s="1639">
        <f>Development.!N17</f>
        <v>0</v>
      </c>
      <c r="U61" s="1639">
        <f>Development.!O17</f>
        <v>0.9</v>
      </c>
      <c r="V61" s="1639">
        <f>Development.!P17</f>
        <v>0.9</v>
      </c>
      <c r="W61" s="1639">
        <f>Development.!Q17</f>
        <v>0.9</v>
      </c>
      <c r="X61" s="1639">
        <f>Development.!R17</f>
        <v>0</v>
      </c>
      <c r="Y61" s="1639">
        <f>Development.!S17</f>
        <v>0.9</v>
      </c>
      <c r="Z61" s="1639">
        <f>Development.!T17</f>
        <v>0.9</v>
      </c>
      <c r="AA61" s="1639">
        <f>Development.!U17</f>
        <v>0.9</v>
      </c>
      <c r="AB61" s="1639">
        <f>Development.!V17</f>
        <v>0.9</v>
      </c>
      <c r="AC61" s="1639">
        <f>Development.!W17</f>
        <v>0.9</v>
      </c>
      <c r="AD61" s="1639">
        <f>Development.!X17</f>
        <v>0.9</v>
      </c>
      <c r="AE61" s="1639">
        <f>Development.!Y17</f>
        <v>0</v>
      </c>
      <c r="AF61" s="1639">
        <f>Development.!Z17</f>
        <v>0.9</v>
      </c>
      <c r="AG61" s="1639">
        <f>Development.!AA17</f>
        <v>0.9</v>
      </c>
      <c r="AH61" s="1639">
        <f>Development.!AB17</f>
        <v>0.9</v>
      </c>
      <c r="AI61" s="1639">
        <f>Development.!AC17</f>
        <v>0.9</v>
      </c>
      <c r="AJ61" s="1639">
        <f>Development.!AD17</f>
        <v>0.9</v>
      </c>
      <c r="AK61" s="1639">
        <f>Development.!AE17</f>
        <v>0.9</v>
      </c>
      <c r="AL61" s="1639">
        <f>Development.!AF17</f>
        <v>0</v>
      </c>
      <c r="AM61" s="84"/>
    </row>
    <row r="62" spans="2:39" s="79" customFormat="1" ht="14.85" customHeight="1">
      <c r="B62" s="2719"/>
      <c r="C62" s="2750"/>
      <c r="D62" s="2761"/>
      <c r="E62" s="2756" t="s">
        <v>224</v>
      </c>
      <c r="F62" s="2757"/>
      <c r="G62" s="1106">
        <f>SUMIF($H$6:$AL$6,"&lt;="&amp;$C$7,H62:AL62)</f>
        <v>0</v>
      </c>
      <c r="H62" s="1102"/>
      <c r="I62" s="1103"/>
      <c r="J62" s="1103"/>
      <c r="K62" s="1103"/>
      <c r="L62" s="1103"/>
      <c r="M62" s="1103"/>
      <c r="N62" s="1103"/>
      <c r="O62" s="1103"/>
      <c r="P62" s="1103"/>
      <c r="Q62" s="1103"/>
      <c r="R62" s="1103"/>
      <c r="S62" s="1103"/>
      <c r="T62" s="1103"/>
      <c r="U62" s="1103"/>
      <c r="V62" s="1103"/>
      <c r="W62" s="1103"/>
      <c r="X62" s="1103"/>
      <c r="Y62" s="1103"/>
      <c r="Z62" s="1103"/>
      <c r="AA62" s="1103"/>
      <c r="AB62" s="1103"/>
      <c r="AC62" s="1103"/>
      <c r="AD62" s="1103"/>
      <c r="AE62" s="1103"/>
      <c r="AF62" s="1103"/>
      <c r="AG62" s="1103"/>
      <c r="AH62" s="1103"/>
      <c r="AI62" s="1103"/>
      <c r="AJ62" s="1103"/>
      <c r="AK62" s="1103"/>
      <c r="AL62" s="1104"/>
      <c r="AM62" s="85"/>
    </row>
    <row r="63" spans="2:39" s="79" customFormat="1" ht="14.85" customHeight="1" thickBot="1">
      <c r="B63" s="2720"/>
      <c r="C63" s="2752"/>
      <c r="D63" s="2762"/>
      <c r="E63" s="2758" t="s">
        <v>264</v>
      </c>
      <c r="F63" s="2759"/>
      <c r="G63" s="1044">
        <f t="shared" ref="G63" si="19">IFERROR((G62-G61)/G61,0)</f>
        <v>0</v>
      </c>
      <c r="H63" s="1107"/>
      <c r="I63" s="1108"/>
      <c r="J63" s="1108"/>
      <c r="K63" s="1108"/>
      <c r="L63" s="1108"/>
      <c r="M63" s="1108"/>
      <c r="N63" s="1108"/>
      <c r="O63" s="1108"/>
      <c r="P63" s="1108"/>
      <c r="Q63" s="1108"/>
      <c r="R63" s="1108"/>
      <c r="S63" s="1108"/>
      <c r="T63" s="1108"/>
      <c r="U63" s="1108"/>
      <c r="V63" s="1108"/>
      <c r="W63" s="1108"/>
      <c r="X63" s="1108"/>
      <c r="Y63" s="1108"/>
      <c r="Z63" s="1108"/>
      <c r="AA63" s="1108"/>
      <c r="AB63" s="1108"/>
      <c r="AC63" s="1108"/>
      <c r="AD63" s="1108"/>
      <c r="AE63" s="1108"/>
      <c r="AF63" s="1108"/>
      <c r="AG63" s="1108"/>
      <c r="AH63" s="1108"/>
      <c r="AI63" s="1108"/>
      <c r="AJ63" s="1108"/>
      <c r="AK63" s="1108"/>
      <c r="AL63" s="1114"/>
      <c r="AM63" s="85"/>
    </row>
    <row r="64" spans="2:39" s="79" customFormat="1" ht="13.35" customHeight="1" thickBot="1">
      <c r="B64" s="2718">
        <v>2</v>
      </c>
      <c r="C64" s="2748" t="str">
        <f>Development.!A18</f>
        <v>6L__W14_RAISE</v>
      </c>
      <c r="D64" s="2760"/>
      <c r="E64" s="2754" t="s">
        <v>223</v>
      </c>
      <c r="F64" s="2755"/>
      <c r="G64" s="850">
        <f>SUMIF($H$6:$AL$6,"&lt;="&amp;$C$7,H64:AL64)</f>
        <v>4.5</v>
      </c>
      <c r="H64" s="1639">
        <f>Development.!B18</f>
        <v>0.9</v>
      </c>
      <c r="I64" s="1639">
        <f>Development.!C18</f>
        <v>0.9</v>
      </c>
      <c r="J64" s="1639">
        <f>Development.!D18</f>
        <v>0</v>
      </c>
      <c r="K64" s="1639">
        <f>Development.!E18</f>
        <v>0.9</v>
      </c>
      <c r="L64" s="1639">
        <f>Development.!F18</f>
        <v>0.9</v>
      </c>
      <c r="M64" s="1639">
        <f>Development.!G18</f>
        <v>0.9</v>
      </c>
      <c r="N64" s="1639">
        <f>Development.!H18</f>
        <v>0.9</v>
      </c>
      <c r="O64" s="1639">
        <f>Development.!I18</f>
        <v>0.9</v>
      </c>
      <c r="P64" s="1639">
        <f>Development.!J18</f>
        <v>0.9</v>
      </c>
      <c r="Q64" s="1639">
        <f>Development.!K18</f>
        <v>9</v>
      </c>
      <c r="R64" s="1639">
        <f>Development.!L18</f>
        <v>0</v>
      </c>
      <c r="S64" s="1639">
        <f>Development.!M18</f>
        <v>0</v>
      </c>
      <c r="T64" s="1639">
        <f>Development.!N18</f>
        <v>0.9</v>
      </c>
      <c r="U64" s="1639">
        <f>Development.!O18</f>
        <v>0</v>
      </c>
      <c r="V64" s="1639">
        <f>Development.!P18</f>
        <v>0</v>
      </c>
      <c r="W64" s="1639">
        <f>Development.!Q18</f>
        <v>0</v>
      </c>
      <c r="X64" s="1639">
        <f>Development.!R18</f>
        <v>0</v>
      </c>
      <c r="Y64" s="1639">
        <f>Development.!S18</f>
        <v>0</v>
      </c>
      <c r="Z64" s="1639">
        <f>Development.!T18</f>
        <v>0</v>
      </c>
      <c r="AA64" s="1639">
        <f>Development.!U18</f>
        <v>0</v>
      </c>
      <c r="AB64" s="1639">
        <f>Development.!V18</f>
        <v>0</v>
      </c>
      <c r="AC64" s="1639">
        <f>Development.!W18</f>
        <v>0</v>
      </c>
      <c r="AD64" s="1639">
        <f>Development.!X18</f>
        <v>0</v>
      </c>
      <c r="AE64" s="1639">
        <f>Development.!Y18</f>
        <v>0</v>
      </c>
      <c r="AF64" s="1639">
        <f>Development.!Z18</f>
        <v>0</v>
      </c>
      <c r="AG64" s="1639">
        <f>Development.!AA18</f>
        <v>0</v>
      </c>
      <c r="AH64" s="1639">
        <f>Development.!AB18</f>
        <v>0</v>
      </c>
      <c r="AI64" s="1639">
        <f>Development.!AC18</f>
        <v>0</v>
      </c>
      <c r="AJ64" s="1639">
        <f>Development.!AD18</f>
        <v>0</v>
      </c>
      <c r="AK64" s="1639">
        <f>Development.!AE18</f>
        <v>0</v>
      </c>
      <c r="AL64" s="1639">
        <f>Development.!AF18</f>
        <v>0</v>
      </c>
    </row>
    <row r="65" spans="2:39" s="79" customFormat="1" ht="14.85" customHeight="1">
      <c r="B65" s="2719"/>
      <c r="C65" s="2750"/>
      <c r="D65" s="2761"/>
      <c r="E65" s="2756" t="s">
        <v>224</v>
      </c>
      <c r="F65" s="2757"/>
      <c r="G65" s="1106">
        <f>SUMIF($H$6:$AL$6,"&lt;="&amp;$C$7,H65:AL65)</f>
        <v>4.4000000000000004</v>
      </c>
      <c r="H65" s="1102">
        <v>0.9</v>
      </c>
      <c r="I65" s="1103">
        <v>1.3</v>
      </c>
      <c r="J65" s="1103"/>
      <c r="K65" s="1103">
        <v>1.3</v>
      </c>
      <c r="L65" s="1103">
        <v>0.9</v>
      </c>
      <c r="M65" s="1103"/>
      <c r="N65" s="1103"/>
      <c r="O65" s="1103"/>
      <c r="P65" s="1103"/>
      <c r="Q65" s="1103"/>
      <c r="R65" s="1103"/>
      <c r="S65" s="1103"/>
      <c r="T65" s="1103"/>
      <c r="U65" s="1103"/>
      <c r="V65" s="1103"/>
      <c r="W65" s="1103"/>
      <c r="X65" s="1103"/>
      <c r="Y65" s="1103"/>
      <c r="Z65" s="1103"/>
      <c r="AA65" s="1103"/>
      <c r="AB65" s="1103"/>
      <c r="AC65" s="1103"/>
      <c r="AD65" s="1103"/>
      <c r="AE65" s="1103"/>
      <c r="AF65" s="1103"/>
      <c r="AG65" s="1103"/>
      <c r="AH65" s="1103"/>
      <c r="AI65" s="1103"/>
      <c r="AJ65" s="1103"/>
      <c r="AK65" s="1103"/>
      <c r="AL65" s="1104"/>
      <c r="AM65" s="465"/>
    </row>
    <row r="66" spans="2:39" s="79" customFormat="1" ht="14.85" customHeight="1" thickBot="1">
      <c r="B66" s="2720"/>
      <c r="C66" s="2752"/>
      <c r="D66" s="2762"/>
      <c r="E66" s="2758" t="s">
        <v>264</v>
      </c>
      <c r="F66" s="2759"/>
      <c r="G66" s="1044">
        <f t="shared" ref="G66" si="20">IFERROR((G65-G64)/G64,0)</f>
        <v>-2.2222222222222143E-2</v>
      </c>
      <c r="H66" s="1107"/>
      <c r="I66" s="1108"/>
      <c r="J66" s="1108"/>
      <c r="K66" s="1108"/>
      <c r="L66" s="1108"/>
      <c r="M66" s="1108"/>
      <c r="N66" s="1108"/>
      <c r="O66" s="1108"/>
      <c r="P66" s="1108"/>
      <c r="Q66" s="1108"/>
      <c r="R66" s="1108"/>
      <c r="S66" s="1108"/>
      <c r="T66" s="1112"/>
      <c r="U66" s="1112"/>
      <c r="V66" s="1108"/>
      <c r="W66" s="1108"/>
      <c r="X66" s="1112"/>
      <c r="Y66" s="1108"/>
      <c r="Z66" s="1108"/>
      <c r="AA66" s="1108"/>
      <c r="AB66" s="1108"/>
      <c r="AC66" s="1108"/>
      <c r="AD66" s="1108"/>
      <c r="AE66" s="1108"/>
      <c r="AF66" s="1108"/>
      <c r="AG66" s="1108"/>
      <c r="AH66" s="1108"/>
      <c r="AI66" s="1108"/>
      <c r="AJ66" s="1108"/>
      <c r="AK66" s="1108"/>
      <c r="AL66" s="1114"/>
      <c r="AM66" s="85"/>
    </row>
    <row r="67" spans="2:39" s="79" customFormat="1" ht="13.35" customHeight="1">
      <c r="B67" s="2718">
        <v>2</v>
      </c>
      <c r="C67" s="2748" t="str">
        <f>Development.!A19</f>
        <v>6LA_W14_DRIVE_WEST</v>
      </c>
      <c r="D67" s="2760"/>
      <c r="E67" s="2754" t="s">
        <v>265</v>
      </c>
      <c r="F67" s="2755"/>
      <c r="G67" s="850">
        <f>SUMIF($H$6:$AL$6,"&lt;="&amp;$C$7,H67:AL67)</f>
        <v>0</v>
      </c>
      <c r="H67" s="1639">
        <f>Development.!B19</f>
        <v>0</v>
      </c>
      <c r="I67" s="1639">
        <f>Development.!C19</f>
        <v>0</v>
      </c>
      <c r="J67" s="1639">
        <f>Development.!D19</f>
        <v>0</v>
      </c>
      <c r="K67" s="1639">
        <f>Development.!E19</f>
        <v>0</v>
      </c>
      <c r="L67" s="1639">
        <f>Development.!F19</f>
        <v>0</v>
      </c>
      <c r="M67" s="1639">
        <f>Development.!G19</f>
        <v>0</v>
      </c>
      <c r="N67" s="1639">
        <f>Development.!H19</f>
        <v>0</v>
      </c>
      <c r="O67" s="1639">
        <f>Development.!I19</f>
        <v>0</v>
      </c>
      <c r="P67" s="1639">
        <f>Development.!J19</f>
        <v>0</v>
      </c>
      <c r="Q67" s="1639">
        <f>Development.!K19</f>
        <v>0</v>
      </c>
      <c r="R67" s="1639">
        <f>Development.!L19</f>
        <v>0</v>
      </c>
      <c r="S67" s="1639">
        <f>Development.!M19</f>
        <v>0</v>
      </c>
      <c r="T67" s="1639">
        <f>Development.!N19</f>
        <v>0</v>
      </c>
      <c r="U67" s="1639">
        <f>Development.!O19</f>
        <v>1.3</v>
      </c>
      <c r="V67" s="1639">
        <f>Development.!P19</f>
        <v>1.3</v>
      </c>
      <c r="W67" s="1639">
        <f>Development.!Q19</f>
        <v>1.3</v>
      </c>
      <c r="X67" s="1639">
        <f>Development.!R19</f>
        <v>0</v>
      </c>
      <c r="Y67" s="1639">
        <f>Development.!S19</f>
        <v>1.3</v>
      </c>
      <c r="Z67" s="1639">
        <f>Development.!T19</f>
        <v>1.3</v>
      </c>
      <c r="AA67" s="1639">
        <f>Development.!U19</f>
        <v>1.3</v>
      </c>
      <c r="AB67" s="1639">
        <f>Development.!V19</f>
        <v>1.3</v>
      </c>
      <c r="AC67" s="1639">
        <f>Development.!W19</f>
        <v>1.3</v>
      </c>
      <c r="AD67" s="1639">
        <f>Development.!X19</f>
        <v>1.3</v>
      </c>
      <c r="AE67" s="1639">
        <f>Development.!Y19</f>
        <v>0</v>
      </c>
      <c r="AF67" s="1639">
        <f>Development.!Z19</f>
        <v>1.3</v>
      </c>
      <c r="AG67" s="1639">
        <f>Development.!AA19</f>
        <v>1.3</v>
      </c>
      <c r="AH67" s="1639">
        <f>Development.!AB19</f>
        <v>1.3</v>
      </c>
      <c r="AI67" s="1639">
        <f>Development.!AC19</f>
        <v>1.3</v>
      </c>
      <c r="AJ67" s="1639">
        <f>Development.!AD19</f>
        <v>1.3</v>
      </c>
      <c r="AK67" s="1639">
        <f>Development.!AE19</f>
        <v>1.3</v>
      </c>
      <c r="AL67" s="1639">
        <f>Development.!AF19</f>
        <v>0</v>
      </c>
      <c r="AM67" s="84"/>
    </row>
    <row r="68" spans="2:39" s="79" customFormat="1" ht="14.85" customHeight="1">
      <c r="B68" s="2719"/>
      <c r="C68" s="2750"/>
      <c r="D68" s="2761"/>
      <c r="E68" s="2756" t="s">
        <v>224</v>
      </c>
      <c r="F68" s="2757"/>
      <c r="G68" s="1106">
        <f>SUMIF($H$6:$AL$6,"&lt;="&amp;$C$7,H68:AL68)</f>
        <v>0.8</v>
      </c>
      <c r="H68" s="1102">
        <v>0.8</v>
      </c>
      <c r="I68" s="1103"/>
      <c r="J68" s="1103"/>
      <c r="K68" s="1103"/>
      <c r="L68" s="1103"/>
      <c r="M68" s="1103"/>
      <c r="N68" s="1103"/>
      <c r="O68" s="1103"/>
      <c r="P68" s="1103"/>
      <c r="Q68" s="1103"/>
      <c r="R68" s="1103"/>
      <c r="S68" s="1103"/>
      <c r="T68" s="1103"/>
      <c r="U68" s="1103"/>
      <c r="V68" s="1103"/>
      <c r="W68" s="1103"/>
      <c r="X68" s="1103"/>
      <c r="Y68" s="1103"/>
      <c r="Z68" s="1103"/>
      <c r="AA68" s="1103"/>
      <c r="AB68" s="1103"/>
      <c r="AC68" s="1103"/>
      <c r="AD68" s="1103"/>
      <c r="AE68" s="1103"/>
      <c r="AF68" s="1103"/>
      <c r="AG68" s="1103"/>
      <c r="AH68" s="1103"/>
      <c r="AI68" s="1103"/>
      <c r="AJ68" s="1103"/>
      <c r="AK68" s="1103"/>
      <c r="AL68" s="1104"/>
      <c r="AM68" s="85"/>
    </row>
    <row r="69" spans="2:39" s="79" customFormat="1" ht="14.85" customHeight="1" thickBot="1">
      <c r="B69" s="2720"/>
      <c r="C69" s="2752"/>
      <c r="D69" s="2762"/>
      <c r="E69" s="2758" t="s">
        <v>264</v>
      </c>
      <c r="F69" s="2759"/>
      <c r="G69" s="1044">
        <f t="shared" ref="G69" si="21">IFERROR((G68-G67)/G67,0)</f>
        <v>0</v>
      </c>
      <c r="H69" s="1107"/>
      <c r="I69" s="1108"/>
      <c r="J69" s="1108"/>
      <c r="K69" s="1108"/>
      <c r="L69" s="1108"/>
      <c r="M69" s="1108"/>
      <c r="N69" s="1108"/>
      <c r="O69" s="1108"/>
      <c r="P69" s="1108"/>
      <c r="Q69" s="1108"/>
      <c r="R69" s="1108"/>
      <c r="S69" s="1108"/>
      <c r="T69" s="1108"/>
      <c r="U69" s="1108"/>
      <c r="V69" s="1108"/>
      <c r="W69" s="1108"/>
      <c r="X69" s="1108"/>
      <c r="Y69" s="1108"/>
      <c r="Z69" s="1108"/>
      <c r="AA69" s="1108"/>
      <c r="AB69" s="1108"/>
      <c r="AC69" s="1108"/>
      <c r="AD69" s="1108"/>
      <c r="AE69" s="1108"/>
      <c r="AF69" s="1108"/>
      <c r="AG69" s="1108"/>
      <c r="AH69" s="1108"/>
      <c r="AI69" s="1108"/>
      <c r="AJ69" s="1108"/>
      <c r="AK69" s="1108"/>
      <c r="AL69" s="1114"/>
      <c r="AM69" s="85"/>
    </row>
    <row r="70" spans="2:39" s="79" customFormat="1" ht="13.35" customHeight="1">
      <c r="B70" s="2718">
        <v>2</v>
      </c>
      <c r="C70" s="2748" t="str">
        <f>Development.!A21</f>
        <v>6LA_W19_DRIVE_WEST</v>
      </c>
      <c r="D70" s="2760"/>
      <c r="E70" s="2754" t="s">
        <v>223</v>
      </c>
      <c r="F70" s="2755"/>
      <c r="G70" s="850">
        <f>SUMIF($H$6:$AL$6,"&lt;="&amp;$C$7,H70:AL70)</f>
        <v>8</v>
      </c>
      <c r="H70" s="1639">
        <f>Development.!B21</f>
        <v>1.6</v>
      </c>
      <c r="I70" s="1639">
        <f>Development.!C21</f>
        <v>1.6</v>
      </c>
      <c r="J70" s="1639">
        <f>Development.!D21</f>
        <v>0</v>
      </c>
      <c r="K70" s="1639">
        <f>Development.!E21</f>
        <v>1.6</v>
      </c>
      <c r="L70" s="1639">
        <f>Development.!F21</f>
        <v>1.6</v>
      </c>
      <c r="M70" s="1639">
        <f>Development.!G21</f>
        <v>1.6</v>
      </c>
      <c r="N70" s="1639">
        <f>Development.!H21</f>
        <v>1.6</v>
      </c>
      <c r="O70" s="1639">
        <f>Development.!I21</f>
        <v>1.6</v>
      </c>
      <c r="P70" s="1639">
        <f>Development.!J21</f>
        <v>1.6</v>
      </c>
      <c r="Q70" s="1639">
        <f>Development.!K21</f>
        <v>0</v>
      </c>
      <c r="R70" s="1639">
        <f>Development.!L21</f>
        <v>0</v>
      </c>
      <c r="S70" s="1639">
        <f>Development.!M21</f>
        <v>0</v>
      </c>
      <c r="T70" s="1639">
        <f>Development.!N21</f>
        <v>1.6</v>
      </c>
      <c r="U70" s="1639">
        <f>Development.!O21</f>
        <v>1.6</v>
      </c>
      <c r="V70" s="1639">
        <f>Development.!P21</f>
        <v>1.6</v>
      </c>
      <c r="W70" s="1639">
        <f>Development.!Q21</f>
        <v>1.6</v>
      </c>
      <c r="X70" s="1639">
        <f>Development.!R21</f>
        <v>0</v>
      </c>
      <c r="Y70" s="1639">
        <f>Development.!S21</f>
        <v>1.6</v>
      </c>
      <c r="Z70" s="1639">
        <f>Development.!T21</f>
        <v>1.6</v>
      </c>
      <c r="AA70" s="1639">
        <f>Development.!U21</f>
        <v>1.6</v>
      </c>
      <c r="AB70" s="1639">
        <f>Development.!V21</f>
        <v>0</v>
      </c>
      <c r="AC70" s="1639">
        <f>Development.!W21</f>
        <v>0</v>
      </c>
      <c r="AD70" s="1639">
        <f>Development.!X21</f>
        <v>0</v>
      </c>
      <c r="AE70" s="1639">
        <f>Development.!Y21</f>
        <v>0</v>
      </c>
      <c r="AF70" s="1639">
        <f>Development.!Z21</f>
        <v>0</v>
      </c>
      <c r="AG70" s="1639">
        <f>Development.!AA21</f>
        <v>0</v>
      </c>
      <c r="AH70" s="1639">
        <f>Development.!AB21</f>
        <v>0</v>
      </c>
      <c r="AI70" s="1639">
        <f>Development.!AC21</f>
        <v>0</v>
      </c>
      <c r="AJ70" s="1639">
        <f>Development.!AD21</f>
        <v>0</v>
      </c>
      <c r="AK70" s="1639">
        <f>Development.!AE21</f>
        <v>0</v>
      </c>
      <c r="AL70" s="1639">
        <f>Development.!AF21</f>
        <v>0</v>
      </c>
      <c r="AM70" s="84"/>
    </row>
    <row r="71" spans="2:39" s="79" customFormat="1" ht="14.85" customHeight="1">
      <c r="B71" s="2719"/>
      <c r="C71" s="2750"/>
      <c r="D71" s="2761"/>
      <c r="E71" s="2756" t="s">
        <v>224</v>
      </c>
      <c r="F71" s="2757"/>
      <c r="G71" s="1106">
        <f>SUMIF($H$6:$AL$6,"&lt;="&amp;$C$7,H71:AL71)</f>
        <v>5.8</v>
      </c>
      <c r="H71" s="1102">
        <v>1.4</v>
      </c>
      <c r="I71" s="1103"/>
      <c r="J71" s="1103"/>
      <c r="K71" s="1103">
        <v>1.6</v>
      </c>
      <c r="L71" s="1103">
        <v>1.5</v>
      </c>
      <c r="M71" s="1103">
        <v>1.3</v>
      </c>
      <c r="N71" s="1103"/>
      <c r="O71" s="1103"/>
      <c r="P71" s="1103"/>
      <c r="Q71" s="1103"/>
      <c r="R71" s="1103"/>
      <c r="S71" s="1103"/>
      <c r="T71" s="1103"/>
      <c r="U71" s="1103"/>
      <c r="V71" s="1103"/>
      <c r="W71" s="1103"/>
      <c r="X71" s="1103"/>
      <c r="Y71" s="1103"/>
      <c r="Z71" s="1103"/>
      <c r="AA71" s="1103"/>
      <c r="AB71" s="1103"/>
      <c r="AC71" s="1103"/>
      <c r="AD71" s="1103"/>
      <c r="AE71" s="1103"/>
      <c r="AF71" s="1103"/>
      <c r="AG71" s="1103"/>
      <c r="AH71" s="1103"/>
      <c r="AI71" s="1103"/>
      <c r="AJ71" s="1103"/>
      <c r="AK71" s="1103"/>
      <c r="AL71" s="1104"/>
      <c r="AM71" s="85"/>
    </row>
    <row r="72" spans="2:39" s="79" customFormat="1" ht="14.85" customHeight="1" thickBot="1">
      <c r="B72" s="2720"/>
      <c r="C72" s="2752"/>
      <c r="D72" s="2762"/>
      <c r="E72" s="2758" t="s">
        <v>264</v>
      </c>
      <c r="F72" s="2759"/>
      <c r="G72" s="1044">
        <f t="shared" ref="G72" si="22">IFERROR((G71-G70)/G70,0)</f>
        <v>-0.27500000000000002</v>
      </c>
      <c r="H72" s="1107"/>
      <c r="I72" s="1108"/>
      <c r="J72" s="1108"/>
      <c r="K72" s="1108"/>
      <c r="L72" s="1108"/>
      <c r="M72" s="1108"/>
      <c r="N72" s="1108"/>
      <c r="O72" s="1108"/>
      <c r="P72" s="1108"/>
      <c r="Q72" s="1108"/>
      <c r="R72" s="1108"/>
      <c r="S72" s="1108"/>
      <c r="T72" s="1108"/>
      <c r="U72" s="1108"/>
      <c r="V72" s="1108"/>
      <c r="W72" s="1108"/>
      <c r="X72" s="1108"/>
      <c r="Y72" s="1108"/>
      <c r="Z72" s="1108"/>
      <c r="AA72" s="1108"/>
      <c r="AB72" s="1108"/>
      <c r="AC72" s="1108"/>
      <c r="AD72" s="1108"/>
      <c r="AE72" s="1108"/>
      <c r="AF72" s="1108"/>
      <c r="AG72" s="1108"/>
      <c r="AH72" s="1108"/>
      <c r="AI72" s="1108"/>
      <c r="AJ72" s="1108"/>
      <c r="AK72" s="1108"/>
      <c r="AL72" s="1114"/>
      <c r="AM72" s="85"/>
    </row>
    <row r="73" spans="2:39" s="79" customFormat="1" ht="13.35" customHeight="1">
      <c r="B73" s="2718">
        <v>1</v>
      </c>
      <c r="C73" s="2748" t="str">
        <f>Development.!A22</f>
        <v>6LW24_BYPASS</v>
      </c>
      <c r="D73" s="2760"/>
      <c r="E73" s="2754" t="s">
        <v>223</v>
      </c>
      <c r="F73" s="2755"/>
      <c r="G73" s="850">
        <f>SUMIF($H$6:$AL$6,"&lt;="&amp;$C$7,H73:AL73)</f>
        <v>0</v>
      </c>
      <c r="H73" s="1639">
        <f>Development.!B22</f>
        <v>0</v>
      </c>
      <c r="I73" s="1639">
        <f>Development.!C22</f>
        <v>0</v>
      </c>
      <c r="J73" s="1639">
        <f>Development.!D22</f>
        <v>0</v>
      </c>
      <c r="K73" s="1639">
        <f>Development.!E22</f>
        <v>0</v>
      </c>
      <c r="L73" s="1639">
        <f>Development.!F22</f>
        <v>0</v>
      </c>
      <c r="M73" s="1639">
        <f>Development.!G22</f>
        <v>0</v>
      </c>
      <c r="N73" s="1639">
        <f>Development.!H22</f>
        <v>0</v>
      </c>
      <c r="O73" s="1639">
        <f>Development.!I22</f>
        <v>0</v>
      </c>
      <c r="P73" s="1639">
        <f>Development.!J22</f>
        <v>0</v>
      </c>
      <c r="Q73" s="1639">
        <f>Development.!K22</f>
        <v>0</v>
      </c>
      <c r="R73" s="1639">
        <f>Development.!L22</f>
        <v>0</v>
      </c>
      <c r="S73" s="1639">
        <f>Development.!M22</f>
        <v>0</v>
      </c>
      <c r="T73" s="1639">
        <f>Development.!N22</f>
        <v>0</v>
      </c>
      <c r="U73" s="1639">
        <f>Development.!O22</f>
        <v>0</v>
      </c>
      <c r="V73" s="1639">
        <f>Development.!P22</f>
        <v>0</v>
      </c>
      <c r="W73" s="1639">
        <f>Development.!Q22</f>
        <v>0</v>
      </c>
      <c r="X73" s="1639">
        <f>Development.!R22</f>
        <v>0</v>
      </c>
      <c r="Y73" s="1639">
        <f>Development.!S22</f>
        <v>0</v>
      </c>
      <c r="Z73" s="1639">
        <f>Development.!T22</f>
        <v>0</v>
      </c>
      <c r="AA73" s="1639">
        <f>Development.!U22</f>
        <v>0</v>
      </c>
      <c r="AB73" s="1639">
        <f>Development.!V22</f>
        <v>1.6</v>
      </c>
      <c r="AC73" s="1639">
        <f>Development.!W22</f>
        <v>1.6</v>
      </c>
      <c r="AD73" s="1639">
        <f>Development.!X22</f>
        <v>1.6</v>
      </c>
      <c r="AE73" s="1639">
        <f>Development.!Y22</f>
        <v>0</v>
      </c>
      <c r="AF73" s="1639">
        <f>Development.!Z22</f>
        <v>1.6</v>
      </c>
      <c r="AG73" s="1639">
        <f>Development.!AA22</f>
        <v>1.6</v>
      </c>
      <c r="AH73" s="1639">
        <f>Development.!AB22</f>
        <v>1.6</v>
      </c>
      <c r="AI73" s="1639">
        <f>Development.!AC22</f>
        <v>1.6</v>
      </c>
      <c r="AJ73" s="1639">
        <f>Development.!AD22</f>
        <v>1.6</v>
      </c>
      <c r="AK73" s="1639">
        <f>Development.!AE22</f>
        <v>1.6</v>
      </c>
      <c r="AL73" s="1639">
        <f>Development.!AF22</f>
        <v>0</v>
      </c>
      <c r="AM73" s="84"/>
    </row>
    <row r="74" spans="2:39" s="79" customFormat="1" ht="14.85" customHeight="1">
      <c r="B74" s="2719"/>
      <c r="C74" s="2750"/>
      <c r="D74" s="2761"/>
      <c r="E74" s="2756" t="s">
        <v>224</v>
      </c>
      <c r="F74" s="2757"/>
      <c r="G74" s="1106">
        <f>SUMIF($H$6:$AL$6,"&lt;="&amp;$C$7,H74:AL74)</f>
        <v>0</v>
      </c>
      <c r="H74" s="1102"/>
      <c r="I74" s="1103"/>
      <c r="J74" s="1103"/>
      <c r="K74" s="1103"/>
      <c r="L74" s="1103"/>
      <c r="M74" s="1103"/>
      <c r="N74" s="1103"/>
      <c r="O74" s="1103"/>
      <c r="P74" s="1103"/>
      <c r="Q74" s="1103"/>
      <c r="R74" s="1103"/>
      <c r="S74" s="1103"/>
      <c r="T74" s="1103"/>
      <c r="U74" s="1103"/>
      <c r="V74" s="1103"/>
      <c r="W74" s="1103"/>
      <c r="X74" s="1103"/>
      <c r="Y74" s="1103"/>
      <c r="Z74" s="1103"/>
      <c r="AA74" s="1103"/>
      <c r="AB74" s="1103"/>
      <c r="AC74" s="1103"/>
      <c r="AD74" s="1103"/>
      <c r="AE74" s="1103"/>
      <c r="AF74" s="1103"/>
      <c r="AG74" s="1103"/>
      <c r="AH74" s="1103"/>
      <c r="AI74" s="1103"/>
      <c r="AJ74" s="1103"/>
      <c r="AK74" s="1103"/>
      <c r="AL74" s="1104"/>
      <c r="AM74" s="85"/>
    </row>
    <row r="75" spans="2:39" s="79" customFormat="1" ht="14.85" customHeight="1" thickBot="1">
      <c r="B75" s="2720"/>
      <c r="C75" s="2752"/>
      <c r="D75" s="2762"/>
      <c r="E75" s="2758" t="s">
        <v>264</v>
      </c>
      <c r="F75" s="2759"/>
      <c r="G75" s="1044">
        <f t="shared" ref="G75" si="23">IFERROR((G74-G73)/G73,0)</f>
        <v>0</v>
      </c>
      <c r="H75" s="1107"/>
      <c r="I75" s="1108"/>
      <c r="J75" s="1108"/>
      <c r="K75" s="1108"/>
      <c r="L75" s="1108"/>
      <c r="M75" s="1108"/>
      <c r="N75" s="1108"/>
      <c r="O75" s="1108"/>
      <c r="P75" s="1108"/>
      <c r="Q75" s="1108"/>
      <c r="S75" s="1108"/>
      <c r="T75" s="1108"/>
      <c r="U75" s="1108"/>
      <c r="V75" s="1108"/>
      <c r="W75" s="1108"/>
      <c r="X75" s="1108"/>
      <c r="Y75" s="1108"/>
      <c r="Z75" s="1108"/>
      <c r="AA75" s="1108"/>
      <c r="AB75" s="1108"/>
      <c r="AC75" s="1112"/>
      <c r="AD75" s="1108"/>
      <c r="AE75" s="1108"/>
      <c r="AF75" s="1108"/>
      <c r="AG75" s="1108"/>
      <c r="AH75" s="1108"/>
      <c r="AI75" s="1108"/>
      <c r="AJ75" s="1108"/>
      <c r="AK75" s="1108"/>
      <c r="AL75" s="1114"/>
      <c r="AM75" s="85"/>
    </row>
    <row r="76" spans="2:39" s="79" customFormat="1" ht="13.35" customHeight="1">
      <c r="B76" s="2718">
        <v>2</v>
      </c>
      <c r="C76" s="2748" t="str">
        <f>Development.!A23</f>
        <v>7L_E1_OREPASS</v>
      </c>
      <c r="D76" s="2760"/>
      <c r="E76" s="2754" t="s">
        <v>223</v>
      </c>
      <c r="F76" s="2755"/>
      <c r="G76" s="850">
        <f>SUMIF($H$6:$AL$6,"&lt;="&amp;$C$7,H76:AL76)</f>
        <v>4.5</v>
      </c>
      <c r="H76" s="1639">
        <f>Development.!B23</f>
        <v>0.9</v>
      </c>
      <c r="I76" s="1639">
        <f>Development.!C23</f>
        <v>0.9</v>
      </c>
      <c r="J76" s="1639">
        <f>Development.!D23</f>
        <v>0</v>
      </c>
      <c r="K76" s="1639">
        <f>Development.!E23</f>
        <v>0.9</v>
      </c>
      <c r="L76" s="1639">
        <f>Development.!F23</f>
        <v>0.9</v>
      </c>
      <c r="M76" s="1639">
        <f>Development.!G23</f>
        <v>0.9</v>
      </c>
      <c r="N76" s="1639">
        <f>Development.!H23</f>
        <v>0.9</v>
      </c>
      <c r="O76" s="1639">
        <f>Development.!I23</f>
        <v>0.9</v>
      </c>
      <c r="P76" s="1639">
        <f>Development.!J23</f>
        <v>0.9</v>
      </c>
      <c r="Q76" s="1639">
        <f>Development.!K23</f>
        <v>0</v>
      </c>
      <c r="R76" s="1639">
        <f>Development.!L23</f>
        <v>0</v>
      </c>
      <c r="S76" s="1639">
        <f>Development.!M23</f>
        <v>0</v>
      </c>
      <c r="T76" s="1639">
        <f>Development.!N23</f>
        <v>0.9</v>
      </c>
      <c r="U76" s="1639">
        <f>Development.!O23</f>
        <v>0.9</v>
      </c>
      <c r="V76" s="1639">
        <f>Development.!P23</f>
        <v>0.9</v>
      </c>
      <c r="W76" s="1639">
        <f>Development.!Q23</f>
        <v>0.9</v>
      </c>
      <c r="X76" s="1639">
        <f>Development.!R23</f>
        <v>0</v>
      </c>
      <c r="Y76" s="1639">
        <f>Development.!S23</f>
        <v>0.9</v>
      </c>
      <c r="Z76" s="1639">
        <f>Development.!T23</f>
        <v>0.9</v>
      </c>
      <c r="AA76" s="1639">
        <f>Development.!U23</f>
        <v>0.9</v>
      </c>
      <c r="AB76" s="1639">
        <f>Development.!V23</f>
        <v>0.9</v>
      </c>
      <c r="AC76" s="1639">
        <f>Development.!W23</f>
        <v>0.9</v>
      </c>
      <c r="AD76" s="1639">
        <f>Development.!X23</f>
        <v>0.9</v>
      </c>
      <c r="AE76" s="1639">
        <f>Development.!Y23</f>
        <v>0</v>
      </c>
      <c r="AF76" s="1639">
        <f>Development.!Z23</f>
        <v>0.9</v>
      </c>
      <c r="AG76" s="1639">
        <f>Development.!AA23</f>
        <v>0.9</v>
      </c>
      <c r="AH76" s="1639">
        <f>Development.!AB23</f>
        <v>0.9</v>
      </c>
      <c r="AI76" s="1639">
        <f>Development.!AC23</f>
        <v>0.9</v>
      </c>
      <c r="AJ76" s="1639">
        <f>Development.!AD23</f>
        <v>0.9</v>
      </c>
      <c r="AK76" s="1639">
        <f>Development.!AE23</f>
        <v>0.9</v>
      </c>
      <c r="AL76" s="1639">
        <f>Development.!AF23</f>
        <v>0</v>
      </c>
      <c r="AM76" s="84"/>
    </row>
    <row r="77" spans="2:39" s="79" customFormat="1" ht="14.85" customHeight="1">
      <c r="B77" s="2719"/>
      <c r="C77" s="2750"/>
      <c r="D77" s="2761"/>
      <c r="E77" s="2756" t="s">
        <v>224</v>
      </c>
      <c r="F77" s="2757"/>
      <c r="G77" s="1106">
        <f>SUMIF($H$6:$AL$6,"&lt;="&amp;$C$7,H77:AL77)</f>
        <v>4.5</v>
      </c>
      <c r="H77" s="1102">
        <v>0.9</v>
      </c>
      <c r="I77" s="1103">
        <v>0.9</v>
      </c>
      <c r="J77" s="1103"/>
      <c r="K77" s="1103">
        <v>0.9</v>
      </c>
      <c r="L77" s="1103">
        <v>0.9</v>
      </c>
      <c r="M77" s="1103">
        <v>0.9</v>
      </c>
      <c r="N77" s="1103"/>
      <c r="O77" s="1103"/>
      <c r="P77" s="1103"/>
      <c r="Q77" s="1103"/>
      <c r="R77" s="1108"/>
      <c r="S77" s="1103"/>
      <c r="T77" s="1103"/>
      <c r="U77" s="1103"/>
      <c r="V77" s="1103"/>
      <c r="W77" s="1103"/>
      <c r="X77" s="1103"/>
      <c r="Y77" s="1103"/>
      <c r="Z77" s="1103"/>
      <c r="AA77" s="1103"/>
      <c r="AB77" s="1103"/>
      <c r="AC77" s="1103"/>
      <c r="AD77" s="1103"/>
      <c r="AE77" s="1103"/>
      <c r="AF77" s="1103"/>
      <c r="AG77" s="1103"/>
      <c r="AH77" s="1103"/>
      <c r="AI77" s="1103"/>
      <c r="AJ77" s="1103"/>
      <c r="AK77" s="1103"/>
      <c r="AL77" s="1104"/>
      <c r="AM77" s="85"/>
    </row>
    <row r="78" spans="2:39" s="79" customFormat="1" ht="14.85" customHeight="1" thickBot="1">
      <c r="B78" s="2720"/>
      <c r="C78" s="2752"/>
      <c r="D78" s="2762"/>
      <c r="E78" s="2758" t="s">
        <v>264</v>
      </c>
      <c r="F78" s="2759"/>
      <c r="G78" s="1044">
        <f t="shared" ref="G78" si="24">IFERROR((G77-G76)/G76,0)</f>
        <v>0</v>
      </c>
      <c r="H78" s="1107"/>
      <c r="I78" s="1108"/>
      <c r="J78" s="1108"/>
      <c r="K78" s="1108"/>
      <c r="L78" s="1108"/>
      <c r="M78" s="1108"/>
      <c r="N78" s="1108"/>
      <c r="O78" s="1108"/>
      <c r="P78" s="1108"/>
      <c r="Q78" s="1108"/>
      <c r="R78" s="1108"/>
      <c r="S78" s="1108"/>
      <c r="T78" s="1108"/>
      <c r="U78" s="1108"/>
      <c r="V78" s="1108"/>
      <c r="W78" s="1108"/>
      <c r="X78" s="1108"/>
      <c r="Y78" s="1108"/>
      <c r="Z78" s="1108"/>
      <c r="AA78" s="1108"/>
      <c r="AB78" s="1108"/>
      <c r="AC78" s="1108"/>
      <c r="AD78" s="1108"/>
      <c r="AE78" s="1108"/>
      <c r="AF78" s="1108"/>
      <c r="AG78" s="1108"/>
      <c r="AH78" s="1108"/>
      <c r="AI78" s="1108"/>
      <c r="AJ78" s="1108"/>
      <c r="AK78" s="1108"/>
      <c r="AL78" s="1114"/>
      <c r="AM78" s="85"/>
    </row>
    <row r="79" spans="2:39" s="79" customFormat="1" ht="13.35" customHeight="1">
      <c r="B79" s="2718">
        <v>2</v>
      </c>
      <c r="C79" s="2748" t="str">
        <f>Development.!A24</f>
        <v>7L_E1_TWAY</v>
      </c>
      <c r="D79" s="2760"/>
      <c r="E79" s="2754" t="s">
        <v>223</v>
      </c>
      <c r="F79" s="2755"/>
      <c r="G79" s="850">
        <f>SUMIF($H$6:$AL$6,"&lt;="&amp;$C$7,H79:AL79)</f>
        <v>4.5</v>
      </c>
      <c r="H79" s="1639">
        <f>Development.!B24</f>
        <v>0.9</v>
      </c>
      <c r="I79" s="1639">
        <f>Development.!C24</f>
        <v>0.9</v>
      </c>
      <c r="J79" s="1639">
        <f>Development.!D24</f>
        <v>0</v>
      </c>
      <c r="K79" s="1639">
        <f>Development.!E24</f>
        <v>0.9</v>
      </c>
      <c r="L79" s="1639">
        <f>Development.!F24</f>
        <v>0.9</v>
      </c>
      <c r="M79" s="1639">
        <f>Development.!G24</f>
        <v>0.9</v>
      </c>
      <c r="N79" s="1639">
        <f>Development.!H24</f>
        <v>0.9</v>
      </c>
      <c r="O79" s="1639">
        <f>Development.!I24</f>
        <v>0.9</v>
      </c>
      <c r="P79" s="1639">
        <f>Development.!J24</f>
        <v>0.9</v>
      </c>
      <c r="Q79" s="1639">
        <f>Development.!K24</f>
        <v>0</v>
      </c>
      <c r="R79" s="1639">
        <f>Development.!L24</f>
        <v>0</v>
      </c>
      <c r="S79" s="1639">
        <f>Development.!M24</f>
        <v>0</v>
      </c>
      <c r="T79" s="1639">
        <f>Development.!N24</f>
        <v>0.9</v>
      </c>
      <c r="U79" s="1639">
        <f>Development.!O24</f>
        <v>0.9</v>
      </c>
      <c r="V79" s="1639">
        <f>Development.!P24</f>
        <v>0.9</v>
      </c>
      <c r="W79" s="1639">
        <f>Development.!Q24</f>
        <v>0.9</v>
      </c>
      <c r="X79" s="1639">
        <f>Development.!R24</f>
        <v>0</v>
      </c>
      <c r="Y79" s="1639">
        <f>Development.!S24</f>
        <v>0.9</v>
      </c>
      <c r="Z79" s="1639">
        <f>Development.!T24</f>
        <v>0.9</v>
      </c>
      <c r="AA79" s="1639">
        <f>Development.!U24</f>
        <v>0.9</v>
      </c>
      <c r="AB79" s="1639">
        <f>Development.!V24</f>
        <v>0.9</v>
      </c>
      <c r="AC79" s="1639">
        <f>Development.!W24</f>
        <v>0.9</v>
      </c>
      <c r="AD79" s="1639">
        <f>Development.!X24</f>
        <v>0.9</v>
      </c>
      <c r="AE79" s="1639">
        <f>Development.!Y24</f>
        <v>0</v>
      </c>
      <c r="AF79" s="1639">
        <f>Development.!Z24</f>
        <v>0.9</v>
      </c>
      <c r="AG79" s="1639">
        <f>Development.!AA24</f>
        <v>0.9</v>
      </c>
      <c r="AH79" s="1639">
        <f>Development.!AB24</f>
        <v>0.9</v>
      </c>
      <c r="AI79" s="1639">
        <f>Development.!AC24</f>
        <v>0.9</v>
      </c>
      <c r="AJ79" s="1639">
        <f>Development.!AD24</f>
        <v>0.9</v>
      </c>
      <c r="AK79" s="1639">
        <f>Development.!AE24</f>
        <v>0.9</v>
      </c>
      <c r="AL79" s="1639">
        <f>Development.!AF24</f>
        <v>0</v>
      </c>
      <c r="AM79" s="84"/>
    </row>
    <row r="80" spans="2:39" s="79" customFormat="1" ht="14.85" customHeight="1">
      <c r="B80" s="2719"/>
      <c r="C80" s="2750"/>
      <c r="D80" s="2761"/>
      <c r="E80" s="2756" t="s">
        <v>224</v>
      </c>
      <c r="F80" s="2757"/>
      <c r="G80" s="1106">
        <f>SUMIF($H$6:$AL$6,"&lt;="&amp;$C$7,H80:AL80)</f>
        <v>5.7</v>
      </c>
      <c r="H80" s="1102">
        <v>0.9</v>
      </c>
      <c r="I80" s="1103">
        <v>1.5</v>
      </c>
      <c r="J80" s="1103"/>
      <c r="K80" s="1103">
        <v>0.9</v>
      </c>
      <c r="L80" s="1103">
        <v>0.9</v>
      </c>
      <c r="M80" s="1103">
        <v>1.5</v>
      </c>
      <c r="N80" s="1103"/>
      <c r="O80" s="1103"/>
      <c r="P80" s="1103"/>
      <c r="Q80" s="1103"/>
      <c r="R80" s="1103"/>
      <c r="S80" s="1103"/>
      <c r="T80" s="1103"/>
      <c r="U80" s="1103"/>
      <c r="W80" s="1103"/>
      <c r="X80" s="1103"/>
      <c r="Y80" s="1103"/>
      <c r="Z80" s="1103"/>
      <c r="AA80" s="1103"/>
      <c r="AB80" s="1103"/>
      <c r="AC80" s="1103"/>
      <c r="AD80" s="1103"/>
      <c r="AE80" s="1103"/>
      <c r="AF80" s="1103"/>
      <c r="AG80" s="1103"/>
      <c r="AH80" s="1103"/>
      <c r="AI80" s="1103"/>
      <c r="AJ80" s="1103"/>
      <c r="AK80" s="1103"/>
      <c r="AL80" s="1104"/>
      <c r="AM80" s="85"/>
    </row>
    <row r="81" spans="2:39" s="79" customFormat="1" ht="14.85" customHeight="1" thickBot="1">
      <c r="B81" s="2720"/>
      <c r="C81" s="2752"/>
      <c r="D81" s="2762"/>
      <c r="E81" s="2758" t="s">
        <v>264</v>
      </c>
      <c r="F81" s="2759"/>
      <c r="G81" s="1044">
        <f t="shared" ref="G81" si="25">IFERROR((G80-G79)/G79,0)</f>
        <v>0.26666666666666672</v>
      </c>
      <c r="H81" s="1107"/>
      <c r="I81" s="1108"/>
      <c r="J81" s="1108"/>
      <c r="K81" s="1108"/>
      <c r="L81" s="1108"/>
      <c r="M81" s="1108"/>
      <c r="N81" s="1108"/>
      <c r="O81" s="1108"/>
      <c r="P81" s="1108"/>
      <c r="Q81" s="1108"/>
      <c r="R81" s="1108"/>
      <c r="S81" s="1108"/>
      <c r="T81" s="1108"/>
      <c r="U81" s="1108"/>
      <c r="V81" s="1108"/>
      <c r="W81" s="1108"/>
      <c r="X81" s="1108"/>
      <c r="Y81" s="1108"/>
      <c r="Z81" s="1108"/>
      <c r="AA81" s="1108"/>
      <c r="AB81" s="1108"/>
      <c r="AC81" s="1108"/>
      <c r="AD81" s="1108"/>
      <c r="AE81" s="1108"/>
      <c r="AF81" s="1108"/>
      <c r="AG81" s="1112"/>
      <c r="AH81" s="2779"/>
      <c r="AI81" s="2780"/>
      <c r="AJ81" s="1108"/>
      <c r="AK81" s="1108"/>
      <c r="AL81" s="1114"/>
      <c r="AM81" s="85"/>
    </row>
    <row r="82" spans="2:39" s="79" customFormat="1" ht="13.35" customHeight="1">
      <c r="B82" s="2718">
        <v>2</v>
      </c>
      <c r="C82" s="2748" t="str">
        <f>Development.!A25</f>
        <v>7L_W2_SL_2_WEST</v>
      </c>
      <c r="D82" s="2760"/>
      <c r="E82" s="2754" t="s">
        <v>223</v>
      </c>
      <c r="F82" s="2755"/>
      <c r="G82" s="850">
        <f>SUMIF($H$6:$AL$6,"&lt;="&amp;$C$7,H82:AL82)</f>
        <v>8</v>
      </c>
      <c r="H82" s="1639">
        <f>Development.!B25</f>
        <v>1.6</v>
      </c>
      <c r="I82" s="1639">
        <f>Development.!C25</f>
        <v>1.6</v>
      </c>
      <c r="J82" s="1639">
        <f>Development.!D25</f>
        <v>0</v>
      </c>
      <c r="K82" s="1639">
        <f>Development.!E25</f>
        <v>1.6</v>
      </c>
      <c r="L82" s="1639">
        <f>Development.!F25</f>
        <v>1.6</v>
      </c>
      <c r="M82" s="1639">
        <f>Development.!G25</f>
        <v>1.6</v>
      </c>
      <c r="N82" s="1639">
        <f>Development.!H25</f>
        <v>1.6</v>
      </c>
      <c r="O82" s="1639">
        <f>Development.!I25</f>
        <v>1.6</v>
      </c>
      <c r="P82" s="1639">
        <f>Development.!J25</f>
        <v>1.6</v>
      </c>
      <c r="Q82" s="1639">
        <f>Development.!K25</f>
        <v>0</v>
      </c>
      <c r="R82" s="1639">
        <f>Development.!L25</f>
        <v>0</v>
      </c>
      <c r="S82" s="1639">
        <f>Development.!M25</f>
        <v>0</v>
      </c>
      <c r="T82" s="1639">
        <f>Development.!N25</f>
        <v>1.6</v>
      </c>
      <c r="U82" s="1639">
        <f>Development.!O25</f>
        <v>1.6</v>
      </c>
      <c r="V82" s="1639">
        <f>Development.!P25</f>
        <v>1.6</v>
      </c>
      <c r="W82" s="1639">
        <f>Development.!Q25</f>
        <v>1.6</v>
      </c>
      <c r="X82" s="1639">
        <f>Development.!R25</f>
        <v>0</v>
      </c>
      <c r="Y82" s="1639">
        <f>Development.!S25</f>
        <v>1.6</v>
      </c>
      <c r="Z82" s="1639">
        <f>Development.!T25</f>
        <v>1.6</v>
      </c>
      <c r="AA82" s="1639">
        <f>Development.!U25</f>
        <v>1.6</v>
      </c>
      <c r="AB82" s="1639">
        <f>Development.!V25</f>
        <v>1.6</v>
      </c>
      <c r="AC82" s="1639">
        <f>Development.!W25</f>
        <v>1.6</v>
      </c>
      <c r="AD82" s="1639">
        <f>Development.!X25</f>
        <v>1.6</v>
      </c>
      <c r="AE82" s="1639">
        <f>Development.!Y25</f>
        <v>0</v>
      </c>
      <c r="AF82" s="1639">
        <f>Development.!Z25</f>
        <v>1.6</v>
      </c>
      <c r="AG82" s="1639">
        <f>Development.!AA25</f>
        <v>1.6</v>
      </c>
      <c r="AH82" s="1639">
        <f>Development.!AB25</f>
        <v>1.6</v>
      </c>
      <c r="AI82" s="1639">
        <f>Development.!AC25</f>
        <v>1.6</v>
      </c>
      <c r="AJ82" s="1639">
        <f>Development.!AD25</f>
        <v>1.6</v>
      </c>
      <c r="AK82" s="1639">
        <f>Development.!AE25</f>
        <v>1.6</v>
      </c>
      <c r="AL82" s="1639">
        <f>Development.!AF25</f>
        <v>0</v>
      </c>
      <c r="AM82" s="84"/>
    </row>
    <row r="83" spans="2:39" s="79" customFormat="1" ht="14.85" customHeight="1">
      <c r="B83" s="2719"/>
      <c r="C83" s="2750"/>
      <c r="D83" s="2761"/>
      <c r="E83" s="2756" t="s">
        <v>224</v>
      </c>
      <c r="F83" s="2757"/>
      <c r="G83" s="1106">
        <f>SUMIF($H$6:$AL$6,"&lt;="&amp;$C$7,H83:AL83)</f>
        <v>7.6999999999999993</v>
      </c>
      <c r="H83" s="1102">
        <v>1.4</v>
      </c>
      <c r="I83" s="1103">
        <v>1.6</v>
      </c>
      <c r="J83" s="1103"/>
      <c r="K83" s="1103">
        <v>1.6</v>
      </c>
      <c r="L83" s="1103">
        <v>1.6</v>
      </c>
      <c r="M83" s="1103">
        <v>1.5</v>
      </c>
      <c r="N83" s="1103"/>
      <c r="O83" s="1103"/>
      <c r="P83" s="1103"/>
      <c r="Q83" s="1103"/>
      <c r="R83" s="1103"/>
      <c r="S83" s="1103"/>
      <c r="T83" s="1103"/>
      <c r="U83" s="1103"/>
      <c r="V83" s="1103"/>
      <c r="W83" s="1103"/>
      <c r="X83" s="1103"/>
      <c r="Y83" s="1103"/>
      <c r="Z83" s="1103"/>
      <c r="AA83" s="1103"/>
      <c r="AB83" s="1103"/>
      <c r="AC83" s="1103"/>
      <c r="AD83" s="1103"/>
      <c r="AE83" s="1103"/>
      <c r="AF83" s="1103"/>
      <c r="AG83" s="1103"/>
      <c r="AH83" s="1103"/>
      <c r="AI83" s="1103"/>
      <c r="AJ83" s="1103"/>
      <c r="AK83" s="1103"/>
      <c r="AL83" s="1104"/>
      <c r="AM83" s="85"/>
    </row>
    <row r="84" spans="2:39" s="79" customFormat="1" ht="14.85" customHeight="1" thickBot="1">
      <c r="B84" s="2720"/>
      <c r="C84" s="2752"/>
      <c r="D84" s="2762"/>
      <c r="E84" s="2758" t="s">
        <v>264</v>
      </c>
      <c r="F84" s="2759"/>
      <c r="G84" s="1044">
        <f t="shared" ref="G84" si="26">IFERROR((G83-G82)/G82,0)</f>
        <v>-3.7500000000000089E-2</v>
      </c>
      <c r="H84" s="1107"/>
      <c r="I84" s="1108"/>
      <c r="J84" s="1108"/>
      <c r="K84" s="1108"/>
      <c r="L84" s="1108"/>
      <c r="M84" s="1108"/>
      <c r="N84" s="1108"/>
      <c r="O84" s="1108"/>
      <c r="P84" s="1108"/>
      <c r="Q84" s="1108"/>
      <c r="R84" s="1108"/>
      <c r="S84" s="1108"/>
      <c r="T84" s="1108"/>
      <c r="U84" s="1108"/>
      <c r="V84" s="1108"/>
      <c r="W84" s="1108"/>
      <c r="X84" s="1108"/>
      <c r="Y84" s="1108"/>
      <c r="Z84" s="1108"/>
      <c r="AA84" s="1108"/>
      <c r="AB84" s="1108"/>
      <c r="AC84" s="1108"/>
      <c r="AD84" s="1108"/>
      <c r="AE84" s="1108"/>
      <c r="AF84" s="1108"/>
      <c r="AG84" s="1108"/>
      <c r="AH84" s="1108"/>
      <c r="AI84" s="1108"/>
      <c r="AJ84" s="1108"/>
      <c r="AK84" s="1108"/>
      <c r="AL84" s="1114"/>
      <c r="AM84" s="85"/>
    </row>
    <row r="85" spans="2:39" s="79" customFormat="1" ht="13.35" customHeight="1">
      <c r="B85" s="2718">
        <v>2</v>
      </c>
      <c r="C85" s="2748" t="str">
        <f>Development.!A26</f>
        <v>8L_W17_SL_2_WEST</v>
      </c>
      <c r="D85" s="2760"/>
      <c r="E85" s="2754" t="s">
        <v>223</v>
      </c>
      <c r="F85" s="2755"/>
      <c r="G85" s="850">
        <f>SUMIF($H$6:$AL$6,"&lt;="&amp;$C$7,H85:AL85)</f>
        <v>8</v>
      </c>
      <c r="H85" s="1639">
        <f>Development.!B26</f>
        <v>1.6</v>
      </c>
      <c r="I85" s="1639">
        <f>Development.!C26</f>
        <v>1.6</v>
      </c>
      <c r="J85" s="1639">
        <f>Development.!D26</f>
        <v>0</v>
      </c>
      <c r="K85" s="1639">
        <f>Development.!E26</f>
        <v>1.6</v>
      </c>
      <c r="L85" s="1639">
        <f>Development.!F26</f>
        <v>1.6</v>
      </c>
      <c r="M85" s="1639">
        <f>Development.!G26</f>
        <v>1.6</v>
      </c>
      <c r="N85" s="1639">
        <f>Development.!H26</f>
        <v>1.6</v>
      </c>
      <c r="O85" s="1639">
        <f>Development.!I26</f>
        <v>1.6</v>
      </c>
      <c r="P85" s="1639">
        <f>Development.!J26</f>
        <v>1.6</v>
      </c>
      <c r="Q85" s="1639">
        <f>Development.!K26</f>
        <v>0</v>
      </c>
      <c r="R85" s="1639">
        <f>Development.!L26</f>
        <v>0</v>
      </c>
      <c r="S85" s="1639">
        <f>Development.!M26</f>
        <v>0</v>
      </c>
      <c r="T85" s="1639">
        <f>Development.!N26</f>
        <v>1.6</v>
      </c>
      <c r="U85" s="1639">
        <f>Development.!O26</f>
        <v>1.6</v>
      </c>
      <c r="V85" s="1639">
        <f>Development.!P26</f>
        <v>1.6</v>
      </c>
      <c r="W85" s="1639">
        <f>Development.!Q26</f>
        <v>1.6</v>
      </c>
      <c r="X85" s="1639">
        <f>Development.!R26</f>
        <v>0</v>
      </c>
      <c r="Y85" s="1639">
        <f>Development.!S26</f>
        <v>1.6</v>
      </c>
      <c r="Z85" s="1639">
        <f>Development.!T26</f>
        <v>1.6</v>
      </c>
      <c r="AA85" s="1639">
        <f>Development.!U26</f>
        <v>1.6</v>
      </c>
      <c r="AB85" s="1639">
        <f>Development.!V26</f>
        <v>1.6</v>
      </c>
      <c r="AC85" s="1639">
        <f>Development.!W26</f>
        <v>1.6</v>
      </c>
      <c r="AD85" s="1639">
        <f>Development.!X26</f>
        <v>1.6</v>
      </c>
      <c r="AE85" s="1639">
        <f>Development.!Y26</f>
        <v>0</v>
      </c>
      <c r="AF85" s="1639">
        <f>Development.!Z26</f>
        <v>1.6</v>
      </c>
      <c r="AG85" s="1639">
        <f>Development.!AA26</f>
        <v>1.6</v>
      </c>
      <c r="AH85" s="1639">
        <f>Development.!AB26</f>
        <v>1.6</v>
      </c>
      <c r="AI85" s="1639">
        <f>Development.!AC26</f>
        <v>1.6</v>
      </c>
      <c r="AJ85" s="1639">
        <f>Development.!AD26</f>
        <v>1.6</v>
      </c>
      <c r="AK85" s="1639">
        <f>Development.!AE26</f>
        <v>1.6</v>
      </c>
      <c r="AL85" s="1639">
        <f>Development.!AF26</f>
        <v>0</v>
      </c>
      <c r="AM85" s="84"/>
    </row>
    <row r="86" spans="2:39" s="79" customFormat="1" ht="14.85" customHeight="1">
      <c r="B86" s="2719"/>
      <c r="C86" s="2750"/>
      <c r="D86" s="2761"/>
      <c r="E86" s="2756" t="s">
        <v>224</v>
      </c>
      <c r="F86" s="2757"/>
      <c r="G86" s="1106">
        <f>SUMIF($H$6:$AL$6,"&lt;="&amp;$C$7,H86:AL86)</f>
        <v>7.1</v>
      </c>
      <c r="H86" s="1102">
        <v>0.9</v>
      </c>
      <c r="I86" s="1103">
        <v>1.6</v>
      </c>
      <c r="J86" s="1103"/>
      <c r="K86" s="1103">
        <v>1.6</v>
      </c>
      <c r="L86" s="1103">
        <v>1.5</v>
      </c>
      <c r="M86" s="1103">
        <v>1.5</v>
      </c>
      <c r="N86" s="1103"/>
      <c r="O86" s="1103"/>
      <c r="P86" s="1103"/>
      <c r="Q86" s="1103"/>
      <c r="R86" s="1103"/>
      <c r="S86" s="1103"/>
      <c r="T86" s="1103"/>
      <c r="U86" s="1103"/>
      <c r="V86" s="1103"/>
      <c r="W86" s="1103"/>
      <c r="X86" s="1103"/>
      <c r="Y86" s="1103"/>
      <c r="Z86" s="1103"/>
      <c r="AA86" s="1103"/>
      <c r="AB86" s="1103"/>
      <c r="AC86" s="1103"/>
      <c r="AD86" s="1103"/>
      <c r="AE86" s="1103"/>
      <c r="AF86" s="1103"/>
      <c r="AG86" s="1103"/>
      <c r="AH86" s="1103"/>
      <c r="AI86" s="1103"/>
      <c r="AJ86" s="1103"/>
      <c r="AK86" s="1103"/>
      <c r="AL86" s="1104"/>
      <c r="AM86" s="85"/>
    </row>
    <row r="87" spans="2:39" s="79" customFormat="1" ht="14.85" customHeight="1" thickBot="1">
      <c r="B87" s="2720"/>
      <c r="C87" s="2752"/>
      <c r="D87" s="2762"/>
      <c r="E87" s="2758" t="s">
        <v>264</v>
      </c>
      <c r="F87" s="2759"/>
      <c r="G87" s="1044">
        <f t="shared" ref="G87" si="27">IFERROR((G86-G85)/G85,0)</f>
        <v>-0.11250000000000004</v>
      </c>
      <c r="H87" s="1107"/>
      <c r="I87" s="1108"/>
      <c r="J87" s="1108"/>
      <c r="K87" s="1108"/>
      <c r="L87" s="1108"/>
      <c r="M87" s="1108"/>
      <c r="N87" s="1108"/>
      <c r="O87" s="1108"/>
      <c r="P87" s="1108"/>
      <c r="Q87" s="1108"/>
      <c r="R87" s="1108"/>
      <c r="S87" s="1108"/>
      <c r="T87" s="1108"/>
      <c r="U87" s="1108"/>
      <c r="V87" s="1108"/>
      <c r="W87" s="1108"/>
      <c r="X87" s="1108"/>
      <c r="Y87" s="1108"/>
      <c r="Z87" s="1108"/>
      <c r="AA87" s="1108"/>
      <c r="AB87" s="1108"/>
      <c r="AC87" s="1108"/>
      <c r="AD87" s="1108"/>
      <c r="AE87" s="1108"/>
      <c r="AF87" s="2771"/>
      <c r="AG87" s="2772"/>
      <c r="AH87" s="2772"/>
      <c r="AI87" s="2772"/>
      <c r="AJ87" s="2772"/>
      <c r="AK87" s="2772"/>
      <c r="AL87" s="2773"/>
      <c r="AM87" s="85"/>
    </row>
    <row r="88" spans="2:39" s="79" customFormat="1" ht="13.35" customHeight="1">
      <c r="B88" s="2718">
        <v>2</v>
      </c>
      <c r="C88" s="2748" t="str">
        <f>Development.!A27</f>
        <v>8L_W14_TWAY</v>
      </c>
      <c r="D88" s="2760"/>
      <c r="E88" s="2754" t="s">
        <v>223</v>
      </c>
      <c r="F88" s="2755"/>
      <c r="G88" s="850">
        <f>SUMIF($H$6:$AL$6,"&lt;="&amp;$C$7,H88:AL88)</f>
        <v>4.5</v>
      </c>
      <c r="H88" s="1639">
        <f>Development.!B27</f>
        <v>0.9</v>
      </c>
      <c r="I88" s="1639">
        <f>Development.!C27</f>
        <v>0.9</v>
      </c>
      <c r="J88" s="1639">
        <f>Development.!D27</f>
        <v>0</v>
      </c>
      <c r="K88" s="1639">
        <f>Development.!E27</f>
        <v>0.9</v>
      </c>
      <c r="L88" s="1639">
        <f>Development.!F27</f>
        <v>0.9</v>
      </c>
      <c r="M88" s="1639">
        <f>Development.!G27</f>
        <v>0.9</v>
      </c>
      <c r="N88" s="1639">
        <f>Development.!H27</f>
        <v>0.9</v>
      </c>
      <c r="O88" s="1639">
        <f>Development.!I27</f>
        <v>0.9</v>
      </c>
      <c r="P88" s="1639">
        <f>Development.!J27</f>
        <v>0.9</v>
      </c>
      <c r="Q88" s="1639">
        <f>Development.!K27</f>
        <v>0</v>
      </c>
      <c r="R88" s="1639">
        <f>Development.!L27</f>
        <v>0</v>
      </c>
      <c r="S88" s="1639">
        <f>Development.!M27</f>
        <v>0</v>
      </c>
      <c r="T88" s="1639">
        <f>Development.!N27</f>
        <v>0.9</v>
      </c>
      <c r="U88" s="1639">
        <f>Development.!O27</f>
        <v>0.9</v>
      </c>
      <c r="V88" s="1639">
        <f>Development.!P27</f>
        <v>0.9</v>
      </c>
      <c r="W88" s="1639">
        <f>Development.!Q27</f>
        <v>0.9</v>
      </c>
      <c r="X88" s="1639">
        <f>Development.!R27</f>
        <v>0</v>
      </c>
      <c r="Y88" s="1639">
        <f>Development.!S27</f>
        <v>0.9</v>
      </c>
      <c r="Z88" s="1639">
        <f>Development.!T27</f>
        <v>0.9</v>
      </c>
      <c r="AA88" s="1639">
        <f>Development.!U27</f>
        <v>0.9</v>
      </c>
      <c r="AB88" s="1639">
        <f>Development.!V27</f>
        <v>0.9</v>
      </c>
      <c r="AC88" s="1639">
        <f>Development.!W27</f>
        <v>0.9</v>
      </c>
      <c r="AD88" s="1639">
        <f>Development.!X27</f>
        <v>0.9</v>
      </c>
      <c r="AE88" s="1639">
        <f>Development.!Y27</f>
        <v>0</v>
      </c>
      <c r="AF88" s="1639">
        <f>Development.!Z27</f>
        <v>0</v>
      </c>
      <c r="AG88" s="1639">
        <f>Development.!AA27</f>
        <v>0</v>
      </c>
      <c r="AH88" s="1639">
        <f>Development.!AB27</f>
        <v>0</v>
      </c>
      <c r="AI88" s="1639">
        <f>Development.!AC27</f>
        <v>0</v>
      </c>
      <c r="AJ88" s="1639">
        <f>Development.!AD27</f>
        <v>0</v>
      </c>
      <c r="AK88" s="1639">
        <f>Development.!AE27</f>
        <v>0</v>
      </c>
      <c r="AL88" s="1639">
        <f>Development.!AF27</f>
        <v>0</v>
      </c>
      <c r="AM88" s="84"/>
    </row>
    <row r="89" spans="2:39" s="79" customFormat="1" ht="14.85" customHeight="1">
      <c r="B89" s="2719"/>
      <c r="C89" s="2750"/>
      <c r="D89" s="2761"/>
      <c r="E89" s="2756" t="s">
        <v>224</v>
      </c>
      <c r="F89" s="2757"/>
      <c r="G89" s="1106">
        <f>SUMIF($H$6:$AL$6,"&lt;="&amp;$C$7,H89:AL89)</f>
        <v>7.3000000000000007</v>
      </c>
      <c r="H89" s="1102">
        <v>1.5</v>
      </c>
      <c r="I89" s="1103">
        <v>1.3</v>
      </c>
      <c r="J89" s="1103"/>
      <c r="K89" s="1103">
        <v>1.6</v>
      </c>
      <c r="L89" s="1103">
        <v>1.5</v>
      </c>
      <c r="M89" s="1103">
        <v>1.4</v>
      </c>
      <c r="N89" s="1103"/>
      <c r="O89" s="1103"/>
      <c r="P89" s="1103"/>
      <c r="Q89" s="1103"/>
      <c r="R89" s="1103"/>
      <c r="S89" s="1103"/>
      <c r="T89" s="1103"/>
      <c r="U89" s="1103"/>
      <c r="V89" s="1103"/>
      <c r="W89" s="1103"/>
      <c r="X89" s="1103"/>
      <c r="Y89" s="1103"/>
      <c r="Z89" s="1103"/>
      <c r="AA89" s="1103"/>
      <c r="AB89" s="1103"/>
      <c r="AC89" s="1103"/>
      <c r="AD89" s="1103"/>
      <c r="AE89" s="1103"/>
      <c r="AF89" s="1103"/>
      <c r="AG89" s="1103"/>
      <c r="AH89" s="1103"/>
      <c r="AI89" s="1103"/>
      <c r="AJ89" s="1103"/>
      <c r="AK89" s="1103"/>
      <c r="AL89" s="1104"/>
      <c r="AM89" s="85"/>
    </row>
    <row r="90" spans="2:39" s="79" customFormat="1" ht="14.85" customHeight="1" thickBot="1">
      <c r="B90" s="2720"/>
      <c r="C90" s="2752"/>
      <c r="D90" s="2762"/>
      <c r="E90" s="2758" t="s">
        <v>264</v>
      </c>
      <c r="F90" s="2759"/>
      <c r="G90" s="1044">
        <f t="shared" ref="G90" si="28">IFERROR((G89-G88)/G88,0)</f>
        <v>0.62222222222222234</v>
      </c>
      <c r="H90" s="1107"/>
      <c r="I90" s="1108"/>
      <c r="J90" s="1108"/>
      <c r="K90" s="1108"/>
      <c r="L90" s="1108"/>
      <c r="M90" s="1108"/>
      <c r="N90" s="1108"/>
      <c r="O90" s="1108"/>
      <c r="P90" s="1108"/>
      <c r="Q90" s="1108"/>
      <c r="R90" s="1108"/>
      <c r="S90" s="1108"/>
      <c r="T90" s="1108"/>
      <c r="U90" s="1108"/>
      <c r="V90" s="1108"/>
      <c r="W90" s="1108"/>
      <c r="X90" s="1108"/>
      <c r="Y90" s="1108"/>
      <c r="Z90" s="1108"/>
      <c r="AA90" s="1108"/>
      <c r="AB90" s="1108"/>
      <c r="AC90" s="1108"/>
      <c r="AD90" s="1108"/>
      <c r="AE90" s="1108"/>
      <c r="AF90" s="2771"/>
      <c r="AG90" s="2772"/>
      <c r="AH90" s="2772"/>
      <c r="AI90" s="2772"/>
      <c r="AJ90" s="2772"/>
      <c r="AK90" s="2772"/>
      <c r="AL90" s="2773"/>
      <c r="AM90" s="85"/>
    </row>
    <row r="91" spans="2:39" s="79" customFormat="1" ht="13.35" customHeight="1">
      <c r="B91" s="2718">
        <v>2</v>
      </c>
      <c r="C91" s="2748" t="str">
        <f>Development.!A28</f>
        <v>8L_W15_SL_3_WEST</v>
      </c>
      <c r="D91" s="2760"/>
      <c r="E91" s="2754" t="s">
        <v>223</v>
      </c>
      <c r="F91" s="2755"/>
      <c r="G91" s="850">
        <f>SUMIF($H$6:$AL$6,"&lt;="&amp;$C$7,H91:AL91)</f>
        <v>8</v>
      </c>
      <c r="H91" s="1639">
        <f>Development.!B28</f>
        <v>1.6</v>
      </c>
      <c r="I91" s="1639">
        <f>Development.!C28</f>
        <v>1.6</v>
      </c>
      <c r="J91" s="1639">
        <f>Development.!D28</f>
        <v>0</v>
      </c>
      <c r="K91" s="1639">
        <f>Development.!E28</f>
        <v>1.6</v>
      </c>
      <c r="L91" s="1639">
        <f>Development.!F28</f>
        <v>1.6</v>
      </c>
      <c r="M91" s="1639">
        <f>Development.!G28</f>
        <v>1.6</v>
      </c>
      <c r="N91" s="1639">
        <f>Development.!H28</f>
        <v>1.6</v>
      </c>
      <c r="O91" s="1639">
        <f>Development.!I28</f>
        <v>1.6</v>
      </c>
      <c r="P91" s="1639">
        <f>Development.!J28</f>
        <v>1.6</v>
      </c>
      <c r="Q91" s="1639">
        <f>Development.!K28</f>
        <v>0</v>
      </c>
      <c r="R91" s="1639">
        <f>Development.!L28</f>
        <v>0</v>
      </c>
      <c r="S91" s="1639">
        <f>Development.!M28</f>
        <v>0</v>
      </c>
      <c r="T91" s="1639">
        <f>Development.!N28</f>
        <v>1.6</v>
      </c>
      <c r="U91" s="1639">
        <f>Development.!O28</f>
        <v>1.6</v>
      </c>
      <c r="V91" s="1639">
        <f>Development.!P28</f>
        <v>1.6</v>
      </c>
      <c r="W91" s="1639">
        <f>Development.!Q28</f>
        <v>1.6</v>
      </c>
      <c r="X91" s="1639">
        <f>Development.!R28</f>
        <v>0</v>
      </c>
      <c r="Y91" s="1639">
        <f>Development.!S28</f>
        <v>1.6</v>
      </c>
      <c r="Z91" s="1639">
        <f>Development.!T28</f>
        <v>1.6</v>
      </c>
      <c r="AA91" s="1639">
        <f>Development.!U28</f>
        <v>1.6</v>
      </c>
      <c r="AB91" s="1639">
        <f>Development.!V28</f>
        <v>1.6</v>
      </c>
      <c r="AC91" s="1639">
        <f>Development.!W28</f>
        <v>1.6</v>
      </c>
      <c r="AD91" s="1639">
        <f>Development.!X28</f>
        <v>1.6</v>
      </c>
      <c r="AE91" s="1639">
        <f>Development.!Y28</f>
        <v>0</v>
      </c>
      <c r="AF91" s="1639">
        <f>Development.!Z28</f>
        <v>1.6</v>
      </c>
      <c r="AG91" s="1639">
        <f>Development.!AA28</f>
        <v>1.6</v>
      </c>
      <c r="AH91" s="1639">
        <f>Development.!AB28</f>
        <v>1.6</v>
      </c>
      <c r="AI91" s="1639">
        <f>Development.!AC28</f>
        <v>1.6</v>
      </c>
      <c r="AJ91" s="1639">
        <f>Development.!AD28</f>
        <v>1.6</v>
      </c>
      <c r="AK91" s="1639">
        <f>Development.!AE28</f>
        <v>1.6</v>
      </c>
      <c r="AL91" s="1639">
        <f>Development.!AF28</f>
        <v>0</v>
      </c>
      <c r="AM91" s="84"/>
    </row>
    <row r="92" spans="2:39" s="79" customFormat="1" ht="14.85" customHeight="1">
      <c r="B92" s="2719"/>
      <c r="C92" s="2750"/>
      <c r="D92" s="2761"/>
      <c r="E92" s="2756" t="s">
        <v>224</v>
      </c>
      <c r="F92" s="2757"/>
      <c r="G92" s="1106">
        <f>SUMIF($H$6:$AL$6,"&lt;="&amp;$C$7,H92:AL92)</f>
        <v>7.8000000000000007</v>
      </c>
      <c r="H92" s="1102">
        <v>1.6</v>
      </c>
      <c r="I92" s="1103">
        <v>1.6</v>
      </c>
      <c r="J92" s="1103"/>
      <c r="K92" s="1103">
        <v>1.6</v>
      </c>
      <c r="L92" s="1103">
        <v>1.6</v>
      </c>
      <c r="M92" s="1103">
        <v>1.4</v>
      </c>
      <c r="N92" s="1103"/>
      <c r="O92" s="1103"/>
      <c r="P92" s="1103"/>
      <c r="Q92" s="1103"/>
      <c r="R92" s="1103"/>
      <c r="S92" s="1103"/>
      <c r="T92" s="1103"/>
      <c r="U92" s="1103"/>
      <c r="V92" s="1103"/>
      <c r="W92" s="1103"/>
      <c r="X92" s="1103"/>
      <c r="Y92" s="1103"/>
      <c r="Z92" s="1103"/>
      <c r="AA92" s="1103"/>
      <c r="AB92" s="1103"/>
      <c r="AC92" s="1103"/>
      <c r="AD92" s="1103"/>
      <c r="AE92" s="1103"/>
      <c r="AF92" s="1103"/>
      <c r="AG92" s="1103"/>
      <c r="AH92" s="1103"/>
      <c r="AI92" s="1103"/>
      <c r="AJ92" s="1103"/>
      <c r="AK92" s="1103"/>
      <c r="AL92" s="1104"/>
      <c r="AM92" s="85"/>
    </row>
    <row r="93" spans="2:39" s="79" customFormat="1" ht="14.85" customHeight="1" thickBot="1">
      <c r="B93" s="2720"/>
      <c r="C93" s="2752"/>
      <c r="D93" s="2762"/>
      <c r="E93" s="2758" t="s">
        <v>264</v>
      </c>
      <c r="F93" s="2759"/>
      <c r="G93" s="1044">
        <f t="shared" ref="G93" si="29">IFERROR((G92-G91)/G91,0)</f>
        <v>-2.4999999999999911E-2</v>
      </c>
      <c r="H93" s="1107"/>
      <c r="I93" s="1108"/>
      <c r="J93" s="1108"/>
      <c r="K93" s="1108"/>
      <c r="L93" s="1108"/>
      <c r="M93" s="1108"/>
      <c r="N93" s="1108"/>
      <c r="O93" s="1108"/>
      <c r="P93" s="1108"/>
      <c r="Q93" s="1108"/>
      <c r="R93" s="1108"/>
      <c r="S93" s="1108"/>
      <c r="T93" s="1108"/>
      <c r="U93" s="1108"/>
      <c r="V93" s="1108"/>
      <c r="W93" s="1108"/>
      <c r="X93" s="1108"/>
      <c r="Y93" s="1108"/>
      <c r="Z93" s="1108"/>
      <c r="AA93" s="1108"/>
      <c r="AB93" s="1108"/>
      <c r="AC93" s="1108"/>
      <c r="AD93" s="1108"/>
      <c r="AE93" s="1108"/>
      <c r="AF93" s="1108"/>
      <c r="AG93" s="1108"/>
      <c r="AH93" s="1108"/>
      <c r="AI93" s="1108"/>
      <c r="AJ93" s="1108"/>
      <c r="AK93" s="1108"/>
      <c r="AL93" s="1114"/>
      <c r="AM93" s="85"/>
    </row>
    <row r="94" spans="2:39" s="79" customFormat="1" ht="13.35" customHeight="1">
      <c r="B94" s="2718">
        <v>2</v>
      </c>
      <c r="C94" s="2748" t="str">
        <f>Development.!A29</f>
        <v>8L_W15_SLOT</v>
      </c>
      <c r="D94" s="2760"/>
      <c r="E94" s="2754" t="s">
        <v>223</v>
      </c>
      <c r="F94" s="2755"/>
      <c r="G94" s="850">
        <f>SUMIF($H$6:$AL$6,"&lt;="&amp;$C$7,H94:AL94)</f>
        <v>4.5</v>
      </c>
      <c r="H94" s="1639">
        <f>Development.!B29</f>
        <v>0.9</v>
      </c>
      <c r="I94" s="1639">
        <f>Development.!C29</f>
        <v>0.9</v>
      </c>
      <c r="J94" s="1639">
        <f>Development.!D29</f>
        <v>0</v>
      </c>
      <c r="K94" s="1639">
        <f>Development.!E29</f>
        <v>0.9</v>
      </c>
      <c r="L94" s="1639">
        <f>Development.!F29</f>
        <v>0.9</v>
      </c>
      <c r="M94" s="1639">
        <f>Development.!G29</f>
        <v>0.9</v>
      </c>
      <c r="N94" s="1639">
        <f>Development.!H29</f>
        <v>0.9</v>
      </c>
      <c r="O94" s="1639">
        <f>Development.!I29</f>
        <v>0.9</v>
      </c>
      <c r="P94" s="1639">
        <f>Development.!J29</f>
        <v>0.9</v>
      </c>
      <c r="Q94" s="1639">
        <f>Development.!K29</f>
        <v>0</v>
      </c>
      <c r="R94" s="1639">
        <f>Development.!L29</f>
        <v>0</v>
      </c>
      <c r="S94" s="1639">
        <f>Development.!M29</f>
        <v>0</v>
      </c>
      <c r="T94" s="1639">
        <f>Development.!N29</f>
        <v>0.9</v>
      </c>
      <c r="U94" s="1639">
        <f>Development.!O29</f>
        <v>0.9</v>
      </c>
      <c r="V94" s="1639">
        <f>Development.!P29</f>
        <v>0.9</v>
      </c>
      <c r="W94" s="1639">
        <f>Development.!Q29</f>
        <v>0.9</v>
      </c>
      <c r="X94" s="1639">
        <f>Development.!R29</f>
        <v>0</v>
      </c>
      <c r="Y94" s="1639">
        <f>Development.!S29</f>
        <v>0.9</v>
      </c>
      <c r="Z94" s="1639">
        <f>Development.!T29</f>
        <v>0.9</v>
      </c>
      <c r="AA94" s="1639">
        <f>Development.!U29</f>
        <v>0.9</v>
      </c>
      <c r="AB94" s="1639">
        <f>Development.!V29</f>
        <v>0.9</v>
      </c>
      <c r="AC94" s="1639">
        <f>Development.!W29</f>
        <v>0.9</v>
      </c>
      <c r="AD94" s="1639">
        <f>Development.!X29</f>
        <v>0.9</v>
      </c>
      <c r="AE94" s="1639">
        <f>Development.!Y29</f>
        <v>0</v>
      </c>
      <c r="AF94" s="1639">
        <f>Development.!Z29</f>
        <v>0.9</v>
      </c>
      <c r="AG94" s="1639">
        <f>Development.!AA29</f>
        <v>0.9</v>
      </c>
      <c r="AH94" s="1639">
        <f>Development.!AB29</f>
        <v>0.9</v>
      </c>
      <c r="AI94" s="1639">
        <f>Development.!AC29</f>
        <v>0.9</v>
      </c>
      <c r="AJ94" s="1639">
        <f>Development.!AD29</f>
        <v>0.9</v>
      </c>
      <c r="AK94" s="1639">
        <f>Development.!AE29</f>
        <v>0.9</v>
      </c>
      <c r="AL94" s="1639">
        <f>Development.!AF29</f>
        <v>0</v>
      </c>
      <c r="AM94" s="84"/>
    </row>
    <row r="95" spans="2:39" s="79" customFormat="1" ht="14.85" customHeight="1">
      <c r="B95" s="2719"/>
      <c r="C95" s="2750"/>
      <c r="D95" s="2761"/>
      <c r="E95" s="2756" t="s">
        <v>224</v>
      </c>
      <c r="F95" s="2757"/>
      <c r="G95" s="1106">
        <f>SUMIF($H$6:$AL$6,"&lt;="&amp;$C$7,H95:AL95)</f>
        <v>4.8</v>
      </c>
      <c r="H95" s="1102">
        <v>0.9</v>
      </c>
      <c r="I95" s="1103">
        <v>0.9</v>
      </c>
      <c r="J95" s="1103"/>
      <c r="K95" s="1103">
        <v>1</v>
      </c>
      <c r="L95" s="1103">
        <v>1</v>
      </c>
      <c r="M95" s="1103">
        <v>1</v>
      </c>
      <c r="N95" s="1103"/>
      <c r="O95" s="1103"/>
      <c r="P95" s="1103"/>
      <c r="Q95" s="1103"/>
      <c r="R95" s="1103"/>
      <c r="S95" s="1103"/>
      <c r="T95" s="1103"/>
      <c r="U95" s="1103"/>
      <c r="V95" s="1103"/>
      <c r="W95" s="1103"/>
      <c r="X95" s="1103"/>
      <c r="Y95" s="1103"/>
      <c r="Z95" s="1103"/>
      <c r="AA95" s="1103"/>
      <c r="AB95" s="1103"/>
      <c r="AC95" s="1103"/>
      <c r="AD95" s="1103"/>
      <c r="AE95" s="1103"/>
      <c r="AF95" s="1103"/>
      <c r="AG95" s="1103"/>
      <c r="AH95" s="1103"/>
      <c r="AI95" s="1103"/>
      <c r="AJ95" s="1103"/>
      <c r="AK95" s="1103"/>
      <c r="AL95" s="1104"/>
      <c r="AM95" s="85"/>
    </row>
    <row r="96" spans="2:39" s="79" customFormat="1" ht="14.85" customHeight="1" thickBot="1">
      <c r="B96" s="2720"/>
      <c r="C96" s="2752"/>
      <c r="D96" s="2762"/>
      <c r="E96" s="2758" t="s">
        <v>264</v>
      </c>
      <c r="F96" s="2759"/>
      <c r="G96" s="1044">
        <f t="shared" ref="G96" si="30">IFERROR((G95-G94)/G94,0)</f>
        <v>6.6666666666666624E-2</v>
      </c>
      <c r="H96" s="1107"/>
      <c r="I96" s="1108"/>
      <c r="J96" s="1108"/>
      <c r="K96" s="1108"/>
      <c r="L96" s="1108"/>
      <c r="M96" s="1108"/>
      <c r="N96" s="1108"/>
      <c r="O96" s="1108"/>
      <c r="P96" s="1108"/>
      <c r="Q96" s="1108"/>
      <c r="R96" s="1108"/>
      <c r="S96" s="1108"/>
      <c r="T96" s="1108"/>
      <c r="U96" s="1108"/>
      <c r="V96" s="1108"/>
      <c r="W96" s="1108"/>
      <c r="X96" s="1110"/>
      <c r="Y96" s="1108"/>
      <c r="Z96" s="1108"/>
      <c r="AA96" s="1108"/>
      <c r="AB96" s="1108"/>
      <c r="AC96" s="1108"/>
      <c r="AD96" s="1108"/>
      <c r="AE96" s="1108"/>
      <c r="AF96" s="1108"/>
      <c r="AG96" s="1108"/>
      <c r="AH96" s="1108"/>
      <c r="AI96" s="1108"/>
      <c r="AJ96" s="1108"/>
      <c r="AK96" s="1108"/>
      <c r="AL96" s="1114"/>
      <c r="AM96" s="85"/>
    </row>
    <row r="97" spans="2:52" s="79" customFormat="1" ht="13.35" customHeight="1">
      <c r="B97" s="2718">
        <v>1</v>
      </c>
      <c r="C97" s="2748" t="str">
        <f>Development.!A30</f>
        <v>8L_W16_HUALAGE_WEST</v>
      </c>
      <c r="D97" s="2760"/>
      <c r="E97" s="2754" t="s">
        <v>223</v>
      </c>
      <c r="F97" s="2755"/>
      <c r="G97" s="850">
        <f>SUMIF($H$6:$AL$6,"&lt;="&amp;$C$7,H97:AL97)</f>
        <v>0</v>
      </c>
      <c r="H97" s="1639">
        <f>Development.!B30</f>
        <v>0</v>
      </c>
      <c r="I97" s="1639">
        <f>Development.!C30</f>
        <v>0</v>
      </c>
      <c r="J97" s="1639">
        <f>Development.!D30</f>
        <v>0</v>
      </c>
      <c r="K97" s="1639">
        <f>Development.!E30</f>
        <v>0</v>
      </c>
      <c r="L97" s="1639">
        <f>Development.!F30</f>
        <v>0</v>
      </c>
      <c r="M97" s="1639">
        <f>Development.!G30</f>
        <v>0</v>
      </c>
      <c r="N97" s="1639">
        <f>Development.!H30</f>
        <v>0</v>
      </c>
      <c r="O97" s="1639">
        <f>Development.!I30</f>
        <v>0</v>
      </c>
      <c r="P97" s="1639">
        <f>Development.!J30</f>
        <v>0</v>
      </c>
      <c r="Q97" s="1639">
        <f>Development.!K30</f>
        <v>0</v>
      </c>
      <c r="R97" s="1639">
        <f>Development.!L30</f>
        <v>0</v>
      </c>
      <c r="S97" s="1639">
        <f>Development.!M30</f>
        <v>0</v>
      </c>
      <c r="T97" s="1639">
        <f>Development.!N30</f>
        <v>0</v>
      </c>
      <c r="U97" s="1639">
        <f>Development.!O30</f>
        <v>0</v>
      </c>
      <c r="V97" s="1639">
        <f>Development.!P30</f>
        <v>0</v>
      </c>
      <c r="W97" s="1639">
        <f>Development.!Q30</f>
        <v>0</v>
      </c>
      <c r="X97" s="1639">
        <f>Development.!R30</f>
        <v>0</v>
      </c>
      <c r="Y97" s="1639">
        <f>Development.!S30</f>
        <v>0</v>
      </c>
      <c r="Z97" s="1639">
        <f>Development.!T30</f>
        <v>1.6</v>
      </c>
      <c r="AA97" s="1639">
        <f>Development.!U30</f>
        <v>1.6</v>
      </c>
      <c r="AB97" s="1639">
        <f>Development.!V30</f>
        <v>1.6</v>
      </c>
      <c r="AC97" s="1639">
        <f>Development.!W30</f>
        <v>1.6</v>
      </c>
      <c r="AD97" s="1639">
        <f>Development.!X30</f>
        <v>1.6</v>
      </c>
      <c r="AE97" s="1639">
        <f>Development.!Y30</f>
        <v>0</v>
      </c>
      <c r="AF97" s="1639">
        <f>Development.!Z30</f>
        <v>1.6</v>
      </c>
      <c r="AG97" s="1639">
        <f>Development.!AA30</f>
        <v>1.6</v>
      </c>
      <c r="AH97" s="1639">
        <f>Development.!AB30</f>
        <v>1.6</v>
      </c>
      <c r="AI97" s="1639">
        <f>Development.!AC30</f>
        <v>1.6</v>
      </c>
      <c r="AJ97" s="1639">
        <f>Development.!AD30</f>
        <v>1.6</v>
      </c>
      <c r="AK97" s="1639">
        <f>Development.!AE30</f>
        <v>1.6</v>
      </c>
      <c r="AL97" s="1639">
        <f>Development.!AF30</f>
        <v>0</v>
      </c>
      <c r="AM97" s="84"/>
    </row>
    <row r="98" spans="2:52" s="79" customFormat="1" ht="14.85" customHeight="1">
      <c r="B98" s="2719"/>
      <c r="C98" s="2750"/>
      <c r="D98" s="2761"/>
      <c r="E98" s="2756" t="s">
        <v>224</v>
      </c>
      <c r="F98" s="2757"/>
      <c r="G98" s="1106">
        <f>SUMIF($H$6:$AL$6,"&lt;="&amp;$C$7,H98:AL98)</f>
        <v>1.4</v>
      </c>
      <c r="H98" s="1102">
        <v>1.4</v>
      </c>
      <c r="I98" s="1103"/>
      <c r="J98" s="1103"/>
      <c r="K98" s="1103"/>
      <c r="L98" s="1103"/>
      <c r="M98" s="1103"/>
      <c r="N98" s="1103"/>
      <c r="O98" s="1103"/>
      <c r="P98" s="1103"/>
      <c r="Q98" s="1103"/>
      <c r="R98" s="1103"/>
      <c r="S98" s="1103"/>
      <c r="T98" s="1103"/>
      <c r="U98" s="1103"/>
      <c r="V98" s="1103"/>
      <c r="W98" s="1103"/>
      <c r="X98" s="1103"/>
      <c r="Y98" s="1103"/>
      <c r="Z98" s="1103"/>
      <c r="AA98" s="1103"/>
      <c r="AB98" s="1103"/>
      <c r="AC98" s="1103"/>
      <c r="AD98" s="1103"/>
      <c r="AE98" s="1103"/>
      <c r="AF98" s="1103"/>
      <c r="AG98" s="1103"/>
      <c r="AH98" s="1103"/>
      <c r="AI98" s="1103"/>
      <c r="AJ98" s="1103"/>
      <c r="AK98" s="1103"/>
      <c r="AL98" s="1104"/>
      <c r="AM98" s="85"/>
    </row>
    <row r="99" spans="2:52" s="79" customFormat="1" ht="14.85" customHeight="1" thickBot="1">
      <c r="B99" s="2720"/>
      <c r="C99" s="2752"/>
      <c r="D99" s="2762"/>
      <c r="E99" s="2758" t="s">
        <v>264</v>
      </c>
      <c r="F99" s="2759"/>
      <c r="G99" s="1044">
        <f t="shared" ref="G99" si="31">IFERROR((G98-G97)/G97,0)</f>
        <v>0</v>
      </c>
      <c r="H99" s="1107"/>
      <c r="I99" s="1108"/>
      <c r="J99" s="1108"/>
      <c r="K99" s="1108"/>
      <c r="L99" s="1108"/>
      <c r="M99" s="1108"/>
      <c r="N99" s="1108"/>
      <c r="O99" s="1108"/>
      <c r="P99" s="1108"/>
      <c r="Q99" s="1108"/>
      <c r="R99" s="1108"/>
      <c r="S99" s="1108"/>
      <c r="T99" s="1108"/>
      <c r="U99" s="1108"/>
      <c r="V99" s="1108"/>
      <c r="W99" s="1108"/>
      <c r="X99" s="1108"/>
      <c r="Y99" s="1108"/>
      <c r="Z99" s="1108"/>
      <c r="AA99" s="1108"/>
      <c r="AB99" s="1108"/>
      <c r="AC99" s="1108"/>
      <c r="AD99" s="1108"/>
      <c r="AE99" s="1108"/>
      <c r="AF99" s="1108"/>
      <c r="AG99" s="1108"/>
      <c r="AH99" s="1108"/>
      <c r="AI99" s="1108"/>
      <c r="AJ99" s="1108"/>
      <c r="AK99" s="1108"/>
      <c r="AL99" s="1114"/>
      <c r="AM99" s="85"/>
    </row>
    <row r="100" spans="2:52" s="79" customFormat="1" ht="13.35" customHeight="1">
      <c r="B100" s="2718">
        <v>2</v>
      </c>
      <c r="C100" s="2748" t="str">
        <f>Development.!A31</f>
        <v>8L_W16_TWAY</v>
      </c>
      <c r="D100" s="2749"/>
      <c r="E100" s="2754" t="s">
        <v>223</v>
      </c>
      <c r="F100" s="2755"/>
      <c r="G100" s="850">
        <f>SUMIF($H$6:$AL$6,"&lt;="&amp;$C$7,H100:AL100)</f>
        <v>4.5</v>
      </c>
      <c r="H100" s="1639">
        <f>Development.!B31</f>
        <v>0.9</v>
      </c>
      <c r="I100" s="1639">
        <f>Development.!C31</f>
        <v>0.9</v>
      </c>
      <c r="J100" s="1639">
        <f>Development.!D31</f>
        <v>0</v>
      </c>
      <c r="K100" s="1639">
        <f>Development.!E31</f>
        <v>0.9</v>
      </c>
      <c r="L100" s="1639">
        <f>Development.!F31</f>
        <v>0.9</v>
      </c>
      <c r="M100" s="1639">
        <f>Development.!G31</f>
        <v>0.9</v>
      </c>
      <c r="N100" s="1639">
        <f>Development.!H31</f>
        <v>0.9</v>
      </c>
      <c r="O100" s="1639">
        <f>Development.!I31</f>
        <v>0</v>
      </c>
      <c r="P100" s="1639">
        <f>Development.!J31</f>
        <v>0</v>
      </c>
      <c r="Q100" s="1639">
        <f>Development.!K31</f>
        <v>0</v>
      </c>
      <c r="R100" s="1639">
        <f>Development.!L31</f>
        <v>0</v>
      </c>
      <c r="S100" s="1639">
        <f>Development.!M31</f>
        <v>0</v>
      </c>
      <c r="T100" s="1639">
        <f>Development.!N31</f>
        <v>0</v>
      </c>
      <c r="U100" s="1639">
        <f>Development.!O31</f>
        <v>0</v>
      </c>
      <c r="V100" s="1639">
        <f>Development.!P31</f>
        <v>0</v>
      </c>
      <c r="W100" s="1639">
        <f>Development.!Q31</f>
        <v>0</v>
      </c>
      <c r="X100" s="1639">
        <f>Development.!R31</f>
        <v>0</v>
      </c>
      <c r="Y100" s="1639">
        <f>Development.!S31</f>
        <v>0</v>
      </c>
      <c r="Z100" s="1639">
        <f>Development.!T31</f>
        <v>0</v>
      </c>
      <c r="AA100" s="1639">
        <f>Development.!U31</f>
        <v>0</v>
      </c>
      <c r="AB100" s="1639">
        <f>Development.!V31</f>
        <v>0</v>
      </c>
      <c r="AC100" s="1639">
        <f>Development.!W31</f>
        <v>0</v>
      </c>
      <c r="AD100" s="1639">
        <f>Development.!X31</f>
        <v>0</v>
      </c>
      <c r="AE100" s="1639">
        <f>Development.!Y31</f>
        <v>0</v>
      </c>
      <c r="AF100" s="1639">
        <f>Development.!Z31</f>
        <v>0</v>
      </c>
      <c r="AG100" s="1639">
        <f>Development.!AA31</f>
        <v>0</v>
      </c>
      <c r="AH100" s="1639">
        <f>Development.!AB31</f>
        <v>0</v>
      </c>
      <c r="AI100" s="1639">
        <f>Development.!AC31</f>
        <v>0</v>
      </c>
      <c r="AJ100" s="1639">
        <f>Development.!AD31</f>
        <v>0</v>
      </c>
      <c r="AK100" s="1639">
        <f>Development.!AE31</f>
        <v>0</v>
      </c>
      <c r="AL100" s="1639">
        <f>Development.!AF31</f>
        <v>0</v>
      </c>
      <c r="AM100" s="84"/>
    </row>
    <row r="101" spans="2:52" s="79" customFormat="1" ht="14.85" customHeight="1">
      <c r="B101" s="2719"/>
      <c r="C101" s="2750"/>
      <c r="D101" s="2751"/>
      <c r="E101" s="2756" t="s">
        <v>224</v>
      </c>
      <c r="F101" s="2757"/>
      <c r="G101" s="1106">
        <f>SUMIF($H$6:$AL$6,"&lt;="&amp;$C$7,H101:AL101)</f>
        <v>4.5</v>
      </c>
      <c r="H101" s="1102">
        <v>0.9</v>
      </c>
      <c r="I101" s="1103">
        <v>0.9</v>
      </c>
      <c r="J101" s="1103"/>
      <c r="K101" s="1103">
        <v>0.9</v>
      </c>
      <c r="L101" s="1103">
        <v>0.9</v>
      </c>
      <c r="M101" s="1103">
        <v>0.9</v>
      </c>
      <c r="N101" s="1103"/>
      <c r="O101" s="1103"/>
      <c r="P101" s="1103"/>
      <c r="Q101" s="1103"/>
      <c r="R101" s="1103"/>
      <c r="S101" s="1103"/>
      <c r="T101" s="1103"/>
      <c r="U101" s="1103"/>
      <c r="V101" s="1103"/>
      <c r="W101" s="1103"/>
      <c r="X101" s="1103"/>
      <c r="Y101" s="1103"/>
      <c r="Z101" s="1103"/>
      <c r="AA101" s="1103"/>
      <c r="AB101" s="1103"/>
      <c r="AC101" s="1103"/>
      <c r="AD101" s="1103"/>
      <c r="AE101" s="1103"/>
      <c r="AF101" s="1103"/>
      <c r="AG101" s="1103"/>
      <c r="AH101" s="1103"/>
      <c r="AI101" s="1103"/>
      <c r="AJ101" s="1103"/>
      <c r="AK101" s="1103"/>
      <c r="AL101" s="1104"/>
      <c r="AM101" s="85"/>
    </row>
    <row r="102" spans="2:52" s="79" customFormat="1" ht="14.85" customHeight="1" thickBot="1">
      <c r="B102" s="2720"/>
      <c r="C102" s="2752"/>
      <c r="D102" s="2753"/>
      <c r="E102" s="2758" t="s">
        <v>264</v>
      </c>
      <c r="F102" s="2759"/>
      <c r="G102" s="1044">
        <f t="shared" ref="G102" si="32">IFERROR((G101-G100)/G100,0)</f>
        <v>0</v>
      </c>
      <c r="H102" s="1107"/>
      <c r="I102" s="1108"/>
      <c r="J102" s="1108"/>
      <c r="K102" s="1108"/>
      <c r="L102" s="1108"/>
      <c r="M102" s="1108"/>
      <c r="N102" s="1108"/>
      <c r="O102" s="1108"/>
      <c r="P102" s="1108"/>
      <c r="Q102" s="1108"/>
      <c r="R102" s="1108"/>
      <c r="S102" s="1108"/>
      <c r="T102" s="1108"/>
      <c r="U102" s="1108"/>
      <c r="V102" s="1108"/>
      <c r="W102" s="1108"/>
      <c r="X102" s="1108"/>
      <c r="Y102" s="1108"/>
      <c r="Z102" s="1108"/>
      <c r="AA102" s="1103"/>
      <c r="AB102" s="1108"/>
      <c r="AC102" s="1108"/>
      <c r="AD102" s="1108"/>
      <c r="AE102" s="1108"/>
      <c r="AF102" s="1108"/>
      <c r="AG102" s="1108"/>
      <c r="AH102" s="1108"/>
      <c r="AI102" s="1108"/>
      <c r="AJ102" s="1108"/>
      <c r="AK102" s="1108"/>
      <c r="AL102" s="1114"/>
      <c r="AM102" s="85"/>
    </row>
    <row r="103" spans="2:52" s="79" customFormat="1" ht="13.35" customHeight="1">
      <c r="B103" s="2718">
        <v>2</v>
      </c>
      <c r="C103" s="2748" t="str">
        <f>Development.!A32</f>
        <v>8L_W16_SL_3_WEST</v>
      </c>
      <c r="D103" s="2749"/>
      <c r="E103" s="2754" t="s">
        <v>223</v>
      </c>
      <c r="F103" s="2755"/>
      <c r="G103" s="850">
        <f>SUMIF($H$6:$AL$6,"&lt;="&amp;$C$7,H103:AL103)</f>
        <v>0</v>
      </c>
      <c r="H103" s="1639">
        <f>Development.!B32</f>
        <v>0</v>
      </c>
      <c r="I103" s="1639">
        <f>Development.!C32</f>
        <v>0</v>
      </c>
      <c r="J103" s="1639">
        <f>Development.!D32</f>
        <v>0</v>
      </c>
      <c r="K103" s="1639">
        <f>Development.!E32</f>
        <v>0</v>
      </c>
      <c r="L103" s="1639">
        <f>Development.!F32</f>
        <v>0</v>
      </c>
      <c r="M103" s="1639">
        <f>Development.!G32</f>
        <v>0</v>
      </c>
      <c r="N103" s="1639">
        <f>Development.!H32</f>
        <v>0</v>
      </c>
      <c r="O103" s="1639">
        <f>Development.!I32</f>
        <v>1.6</v>
      </c>
      <c r="P103" s="1639">
        <f>Development.!J32</f>
        <v>1.6</v>
      </c>
      <c r="Q103" s="1639">
        <f>Development.!K32</f>
        <v>0</v>
      </c>
      <c r="R103" s="1639">
        <f>Development.!L32</f>
        <v>0</v>
      </c>
      <c r="S103" s="1639">
        <f>Development.!M32</f>
        <v>0</v>
      </c>
      <c r="T103" s="1639">
        <f>Development.!N32</f>
        <v>1.6</v>
      </c>
      <c r="U103" s="1639">
        <f>Development.!O32</f>
        <v>1.6</v>
      </c>
      <c r="V103" s="1639">
        <f>Development.!P32</f>
        <v>1.6</v>
      </c>
      <c r="W103" s="1639">
        <f>Development.!Q32</f>
        <v>1.6</v>
      </c>
      <c r="X103" s="1639">
        <f>Development.!R32</f>
        <v>0</v>
      </c>
      <c r="Y103" s="1639">
        <f>Development.!S32</f>
        <v>1.6</v>
      </c>
      <c r="Z103" s="1639">
        <f>Development.!T32</f>
        <v>1.6</v>
      </c>
      <c r="AA103" s="1639">
        <f>Development.!U32</f>
        <v>1.6</v>
      </c>
      <c r="AB103" s="1639">
        <f>Development.!V32</f>
        <v>1.6</v>
      </c>
      <c r="AC103" s="1639">
        <f>Development.!W32</f>
        <v>1.6</v>
      </c>
      <c r="AD103" s="1639">
        <f>Development.!X32</f>
        <v>1.6</v>
      </c>
      <c r="AE103" s="1639">
        <f>Development.!Y32</f>
        <v>0</v>
      </c>
      <c r="AF103" s="1639">
        <f>Development.!Z32</f>
        <v>1.6</v>
      </c>
      <c r="AG103" s="1639">
        <f>Development.!AA32</f>
        <v>1.6</v>
      </c>
      <c r="AH103" s="1639">
        <f>Development.!AB32</f>
        <v>1.6</v>
      </c>
      <c r="AI103" s="1639">
        <f>Development.!AC32</f>
        <v>1.6</v>
      </c>
      <c r="AJ103" s="1639">
        <f>Development.!AD32</f>
        <v>1.6</v>
      </c>
      <c r="AK103" s="1639">
        <f>Development.!AE32</f>
        <v>1.6</v>
      </c>
      <c r="AL103" s="1639">
        <f>Development.!AF32</f>
        <v>0</v>
      </c>
      <c r="AM103" s="84"/>
    </row>
    <row r="104" spans="2:52" s="79" customFormat="1" ht="14.85" customHeight="1">
      <c r="B104" s="2719"/>
      <c r="C104" s="2750"/>
      <c r="D104" s="2751"/>
      <c r="E104" s="2756" t="s">
        <v>224</v>
      </c>
      <c r="F104" s="2757"/>
      <c r="G104" s="1106">
        <f>SUMIF($H$6:$AL$6,"&lt;="&amp;$C$7,H104:AL104)</f>
        <v>0</v>
      </c>
      <c r="H104" s="1102"/>
      <c r="I104" s="1103"/>
      <c r="J104" s="1103"/>
      <c r="K104" s="1103"/>
      <c r="L104" s="1103"/>
      <c r="M104" s="1103"/>
      <c r="N104" s="1103"/>
      <c r="O104" s="1103"/>
      <c r="P104" s="1103"/>
      <c r="Q104" s="1103"/>
      <c r="R104" s="1103"/>
      <c r="S104" s="1103"/>
      <c r="T104" s="1103"/>
      <c r="U104" s="1103"/>
      <c r="V104" s="1103"/>
      <c r="W104" s="1103"/>
      <c r="X104" s="1103"/>
      <c r="Y104" s="1103"/>
      <c r="Z104" s="1103"/>
      <c r="AA104" s="1103"/>
      <c r="AB104" s="1103"/>
      <c r="AC104" s="1103"/>
      <c r="AD104" s="1103"/>
      <c r="AE104" s="1103"/>
      <c r="AF104" s="1103"/>
      <c r="AG104" s="1103"/>
      <c r="AH104" s="1103"/>
      <c r="AI104" s="1103"/>
      <c r="AJ104" s="1103"/>
      <c r="AK104" s="1103"/>
      <c r="AL104" s="1104"/>
      <c r="AM104" s="85"/>
    </row>
    <row r="105" spans="2:52" s="79" customFormat="1" ht="14.85" customHeight="1" thickBot="1">
      <c r="B105" s="2720"/>
      <c r="C105" s="2752"/>
      <c r="D105" s="2753"/>
      <c r="E105" s="2758" t="s">
        <v>264</v>
      </c>
      <c r="F105" s="2759"/>
      <c r="G105" s="1044">
        <f>IFERROR((G104-G103)/G103,0)</f>
        <v>0</v>
      </c>
      <c r="H105" s="1107"/>
      <c r="I105" s="1108"/>
      <c r="J105" s="1108"/>
      <c r="K105" s="1108"/>
      <c r="L105" s="1108"/>
      <c r="M105" s="1108"/>
      <c r="N105" s="1108"/>
      <c r="O105" s="1108"/>
      <c r="P105" s="1108"/>
      <c r="Q105" s="1108"/>
      <c r="R105" s="1108"/>
      <c r="S105" s="1108"/>
      <c r="T105" s="1108"/>
      <c r="U105" s="1108"/>
      <c r="V105" s="1108"/>
      <c r="W105" s="1108"/>
      <c r="X105" s="1108"/>
      <c r="Y105" s="1108"/>
      <c r="Z105" s="1108"/>
      <c r="AA105" s="1108"/>
      <c r="AB105" s="1108"/>
      <c r="AC105" s="1108"/>
      <c r="AD105" s="1108"/>
      <c r="AE105" s="1108"/>
      <c r="AF105" s="1108"/>
      <c r="AG105" s="1108"/>
      <c r="AH105" s="1108"/>
      <c r="AI105" s="1108"/>
      <c r="AJ105" s="1108"/>
      <c r="AK105" s="1108"/>
      <c r="AL105" s="1114"/>
      <c r="AM105" s="85"/>
    </row>
    <row r="106" spans="2:52" s="79" customFormat="1" ht="13.35" customHeight="1">
      <c r="B106" s="2718">
        <v>2</v>
      </c>
      <c r="C106" s="2748" t="str">
        <f>Development.!A33</f>
        <v>8L_W16_OREPASS</v>
      </c>
      <c r="D106" s="2749"/>
      <c r="E106" s="2754" t="s">
        <v>223</v>
      </c>
      <c r="F106" s="2755"/>
      <c r="G106" s="850">
        <f>SUMIF($H$6:$AL$6,"&lt;="&amp;$C$7,H106:AL106)</f>
        <v>4.5</v>
      </c>
      <c r="H106" s="1639">
        <f>Development.!B33</f>
        <v>0.9</v>
      </c>
      <c r="I106" s="1639">
        <f>Development.!C33</f>
        <v>0.9</v>
      </c>
      <c r="J106" s="1639">
        <f>Development.!D33</f>
        <v>0</v>
      </c>
      <c r="K106" s="1639">
        <f>Development.!E33</f>
        <v>0.9</v>
      </c>
      <c r="L106" s="1639">
        <f>Development.!F33</f>
        <v>0.9</v>
      </c>
      <c r="M106" s="1639">
        <f>Development.!G33</f>
        <v>0.9</v>
      </c>
      <c r="N106" s="1639">
        <f>Development.!H33</f>
        <v>0.9</v>
      </c>
      <c r="O106" s="1639">
        <f>Development.!I33</f>
        <v>0.9</v>
      </c>
      <c r="P106" s="1639">
        <f>Development.!J33</f>
        <v>0.9</v>
      </c>
      <c r="Q106" s="1639">
        <f>Development.!K33</f>
        <v>0</v>
      </c>
      <c r="R106" s="1639">
        <f>Development.!L33</f>
        <v>0</v>
      </c>
      <c r="S106" s="1639">
        <f>Development.!M33</f>
        <v>0</v>
      </c>
      <c r="T106" s="1639">
        <f>Development.!N33</f>
        <v>0.9</v>
      </c>
      <c r="U106" s="1639">
        <f>Development.!O33</f>
        <v>0.9</v>
      </c>
      <c r="V106" s="1639">
        <f>Development.!P33</f>
        <v>0.9</v>
      </c>
      <c r="W106" s="1639">
        <f>Development.!Q33</f>
        <v>0.9</v>
      </c>
      <c r="X106" s="1639">
        <f>Development.!R33</f>
        <v>0</v>
      </c>
      <c r="Y106" s="1639">
        <f>Development.!S33</f>
        <v>0.9</v>
      </c>
      <c r="Z106" s="1639">
        <f>Development.!T33</f>
        <v>0.9</v>
      </c>
      <c r="AA106" s="1639">
        <f>Development.!U33</f>
        <v>0.9</v>
      </c>
      <c r="AB106" s="1639">
        <f>Development.!V33</f>
        <v>0.9</v>
      </c>
      <c r="AC106" s="1639">
        <f>Development.!W33</f>
        <v>0.9</v>
      </c>
      <c r="AD106" s="1639">
        <f>Development.!X33</f>
        <v>0</v>
      </c>
      <c r="AE106" s="1639">
        <f>Development.!Y33</f>
        <v>0</v>
      </c>
      <c r="AF106" s="1639">
        <f>Development.!Z33</f>
        <v>0</v>
      </c>
      <c r="AG106" s="1639">
        <f>Development.!AA33</f>
        <v>0</v>
      </c>
      <c r="AH106" s="1639">
        <f>Development.!AB33</f>
        <v>0</v>
      </c>
      <c r="AI106" s="1639">
        <f>Development.!AC33</f>
        <v>0</v>
      </c>
      <c r="AJ106" s="1639">
        <f>Development.!AD33</f>
        <v>0</v>
      </c>
      <c r="AK106" s="1639">
        <f>Development.!AE33</f>
        <v>0</v>
      </c>
      <c r="AL106" s="1639">
        <f>Development.!AF33</f>
        <v>0</v>
      </c>
      <c r="AM106" s="84"/>
    </row>
    <row r="107" spans="2:52" s="79" customFormat="1" ht="14.85" customHeight="1">
      <c r="B107" s="2719"/>
      <c r="C107" s="2750"/>
      <c r="D107" s="2751"/>
      <c r="E107" s="2756" t="s">
        <v>224</v>
      </c>
      <c r="F107" s="2757"/>
      <c r="G107" s="1106">
        <f>SUMIF($H$6:$AL$6,"&lt;="&amp;$C$7,H107:AL107)</f>
        <v>1.8</v>
      </c>
      <c r="H107" s="1102">
        <v>0.9</v>
      </c>
      <c r="J107" s="1103"/>
      <c r="K107" s="1103"/>
      <c r="L107" s="1103"/>
      <c r="M107" s="1103">
        <v>0.9</v>
      </c>
      <c r="N107" s="1103"/>
      <c r="O107" s="1103"/>
      <c r="P107" s="1103"/>
      <c r="Q107" s="1103"/>
      <c r="R107" s="1103"/>
      <c r="S107" s="1103"/>
      <c r="T107" s="1103"/>
      <c r="U107" s="1103"/>
      <c r="V107" s="1103"/>
      <c r="W107" s="1103"/>
      <c r="X107" s="1103"/>
      <c r="Y107" s="1103"/>
      <c r="Z107" s="1103"/>
      <c r="AA107" s="1103"/>
      <c r="AB107" s="1103"/>
      <c r="AC107" s="1103"/>
      <c r="AD107" s="1103"/>
      <c r="AE107" s="1103"/>
      <c r="AF107" s="1103"/>
      <c r="AG107" s="1103"/>
      <c r="AH107" s="1103"/>
      <c r="AI107" s="1103"/>
      <c r="AJ107" s="1103"/>
      <c r="AK107" s="1103"/>
      <c r="AL107" s="1104"/>
      <c r="AM107" s="85"/>
    </row>
    <row r="108" spans="2:52" s="79" customFormat="1" ht="14.85" customHeight="1" thickBot="1">
      <c r="B108" s="2720"/>
      <c r="C108" s="2752"/>
      <c r="D108" s="2753"/>
      <c r="E108" s="2758" t="s">
        <v>264</v>
      </c>
      <c r="F108" s="2759"/>
      <c r="G108" s="1044">
        <f t="shared" ref="G108" si="33">IFERROR((G107-G106)/G106,0)</f>
        <v>-0.60000000000000009</v>
      </c>
      <c r="H108" s="1107"/>
      <c r="I108" s="1108"/>
      <c r="J108" s="1108"/>
      <c r="K108" s="1108"/>
      <c r="L108" s="1108"/>
      <c r="M108" s="1108"/>
      <c r="N108" s="1108"/>
      <c r="O108" s="1108"/>
      <c r="P108" s="1108"/>
      <c r="Q108" s="1108"/>
      <c r="R108" s="1108"/>
      <c r="S108" s="1108"/>
      <c r="T108" s="1108"/>
      <c r="U108" s="1108"/>
      <c r="V108" s="1108"/>
      <c r="W108" s="1108"/>
      <c r="X108" s="1108"/>
      <c r="Y108" s="1108"/>
      <c r="Z108" s="1108"/>
      <c r="AA108" s="1108"/>
      <c r="AB108" s="1108"/>
      <c r="AC108" s="1108"/>
      <c r="AD108" s="1108"/>
      <c r="AE108" s="1108"/>
      <c r="AF108" s="1108"/>
      <c r="AG108" s="2771"/>
      <c r="AH108" s="2772"/>
      <c r="AI108" s="2772"/>
      <c r="AJ108" s="2772"/>
      <c r="AK108" s="2772"/>
      <c r="AL108" s="2773"/>
      <c r="AM108" s="85"/>
    </row>
    <row r="109" spans="2:52" s="79" customFormat="1" ht="13.35" customHeight="1">
      <c r="B109" s="2718">
        <v>2</v>
      </c>
      <c r="C109" s="2748" t="str">
        <f>Development.!A34</f>
        <v>8L_W14_OREPASS</v>
      </c>
      <c r="D109" s="2749"/>
      <c r="E109" s="2754" t="s">
        <v>223</v>
      </c>
      <c r="F109" s="2755"/>
      <c r="G109" s="850">
        <f>SUMIF($H$6:$AL$6,"&lt;="&amp;$C$7,H109:AL109)</f>
        <v>0</v>
      </c>
      <c r="H109" s="1639">
        <f>Development.!B34</f>
        <v>0</v>
      </c>
      <c r="I109" s="1639">
        <f>Development.!C34</f>
        <v>0</v>
      </c>
      <c r="J109" s="1639">
        <f>Development.!D34</f>
        <v>0</v>
      </c>
      <c r="K109" s="1639">
        <f>Development.!E34</f>
        <v>0</v>
      </c>
      <c r="L109" s="1639">
        <f>Development.!F34</f>
        <v>0</v>
      </c>
      <c r="M109" s="1639">
        <f>Development.!G34</f>
        <v>0</v>
      </c>
      <c r="N109" s="1639">
        <f>Development.!H34</f>
        <v>0</v>
      </c>
      <c r="O109" s="1639">
        <f>Development.!I34</f>
        <v>0</v>
      </c>
      <c r="P109" s="1639">
        <f>Development.!J34</f>
        <v>0</v>
      </c>
      <c r="Q109" s="1639">
        <f>Development.!K34</f>
        <v>0</v>
      </c>
      <c r="R109" s="1639">
        <f>Development.!L34</f>
        <v>0</v>
      </c>
      <c r="S109" s="1639">
        <f>Development.!M34</f>
        <v>0</v>
      </c>
      <c r="T109" s="1639">
        <f>Development.!N34</f>
        <v>0</v>
      </c>
      <c r="U109" s="1639">
        <f>Development.!O34</f>
        <v>0</v>
      </c>
      <c r="V109" s="1639">
        <f>Development.!P34</f>
        <v>0</v>
      </c>
      <c r="W109" s="1639">
        <f>Development.!Q34</f>
        <v>0</v>
      </c>
      <c r="X109" s="1639">
        <f>Development.!R34</f>
        <v>0</v>
      </c>
      <c r="Y109" s="1639">
        <f>Development.!S34</f>
        <v>0</v>
      </c>
      <c r="Z109" s="1639">
        <f>Development.!T34</f>
        <v>0</v>
      </c>
      <c r="AA109" s="1639">
        <f>Development.!U34</f>
        <v>0</v>
      </c>
      <c r="AB109" s="1639">
        <f>Development.!V34</f>
        <v>0</v>
      </c>
      <c r="AC109" s="1639">
        <f>Development.!W34</f>
        <v>0</v>
      </c>
      <c r="AD109" s="1639">
        <f>Development.!X34</f>
        <v>0</v>
      </c>
      <c r="AE109" s="1639">
        <f>Development.!Y34</f>
        <v>0</v>
      </c>
      <c r="AF109" s="1639">
        <f>Development.!Z34</f>
        <v>0</v>
      </c>
      <c r="AG109" s="1639">
        <f>Development.!AA34</f>
        <v>0</v>
      </c>
      <c r="AH109" s="1639">
        <f>Development.!AB34</f>
        <v>0.9</v>
      </c>
      <c r="AI109" s="1639">
        <f>Development.!AC34</f>
        <v>0.9</v>
      </c>
      <c r="AJ109" s="1639">
        <f>Development.!AD34</f>
        <v>0.9</v>
      </c>
      <c r="AK109" s="1639">
        <f>Development.!AE34</f>
        <v>0.9</v>
      </c>
      <c r="AL109" s="1639">
        <f>Development.!AF34</f>
        <v>0</v>
      </c>
      <c r="AM109" s="84"/>
      <c r="AZ109" s="1108" t="s">
        <v>266</v>
      </c>
    </row>
    <row r="110" spans="2:52" s="79" customFormat="1" ht="14.85" customHeight="1">
      <c r="B110" s="2719"/>
      <c r="C110" s="2750"/>
      <c r="D110" s="2751"/>
      <c r="E110" s="2756" t="s">
        <v>224</v>
      </c>
      <c r="F110" s="2757"/>
      <c r="G110" s="1106">
        <f>SUMIF($H$6:$AL$6,"&lt;="&amp;$C$7,H110:AL110)</f>
        <v>0.9</v>
      </c>
      <c r="H110" s="1102"/>
      <c r="I110" s="1103">
        <v>0.9</v>
      </c>
      <c r="J110" s="1103"/>
      <c r="K110" s="1103"/>
      <c r="L110" s="1103"/>
      <c r="M110" s="1103"/>
      <c r="N110" s="1103"/>
      <c r="O110" s="1103"/>
      <c r="P110" s="1103"/>
      <c r="Q110" s="1103"/>
      <c r="R110" s="1103"/>
      <c r="S110" s="1103"/>
      <c r="T110" s="1103"/>
      <c r="U110" s="1103"/>
      <c r="V110" s="1103"/>
      <c r="W110" s="1103"/>
      <c r="X110" s="1103"/>
      <c r="Y110" s="1103"/>
      <c r="Z110" s="1103"/>
      <c r="AA110" s="1103"/>
      <c r="AB110" s="1103"/>
      <c r="AC110" s="1103"/>
      <c r="AD110" s="1103"/>
      <c r="AE110" s="1103"/>
      <c r="AF110" s="1103"/>
      <c r="AG110" s="1103"/>
      <c r="AH110" s="1103"/>
      <c r="AI110" s="1103"/>
      <c r="AJ110" s="1103"/>
      <c r="AK110" s="1103"/>
      <c r="AL110" s="1104"/>
      <c r="AM110" s="85"/>
    </row>
    <row r="111" spans="2:52" s="79" customFormat="1" ht="14.85" customHeight="1">
      <c r="B111" s="2720"/>
      <c r="C111" s="2752"/>
      <c r="D111" s="2753"/>
      <c r="E111" s="2758" t="s">
        <v>264</v>
      </c>
      <c r="F111" s="2759"/>
      <c r="G111" s="1044">
        <f t="shared" ref="G111" si="34">IFERROR((G110-G109)/G109,0)</f>
        <v>0</v>
      </c>
      <c r="H111" s="1107"/>
      <c r="I111" s="1108"/>
      <c r="J111" s="1108"/>
      <c r="K111" s="1108"/>
      <c r="L111" s="1108"/>
      <c r="M111" s="1108"/>
      <c r="N111" s="1108"/>
      <c r="O111" s="1108"/>
      <c r="P111" s="1103"/>
      <c r="Q111" s="1108"/>
      <c r="R111" s="1108"/>
      <c r="S111" s="1108"/>
      <c r="T111" s="1108"/>
      <c r="U111" s="1108"/>
      <c r="V111" s="1108"/>
      <c r="W111" s="1108"/>
      <c r="X111" s="1108"/>
      <c r="Y111" s="1108"/>
      <c r="Z111" s="1108"/>
      <c r="AA111" s="1108"/>
      <c r="AB111" s="1108"/>
      <c r="AC111" s="1108"/>
      <c r="AD111" s="1108"/>
      <c r="AE111" s="1108"/>
      <c r="AF111" s="1108"/>
      <c r="AG111" s="1108"/>
      <c r="AH111" s="1108"/>
      <c r="AI111" s="1108"/>
      <c r="AJ111" s="1108"/>
      <c r="AK111" s="1108"/>
      <c r="AL111" s="1114"/>
      <c r="AM111" s="85"/>
    </row>
    <row r="112" spans="2:52" s="79" customFormat="1" ht="13.35" customHeight="1">
      <c r="B112" s="2718">
        <v>2</v>
      </c>
      <c r="C112" s="2748" t="str">
        <f>Development.!A35</f>
        <v>10L_E2_RAISE</v>
      </c>
      <c r="D112" s="2749"/>
      <c r="E112" s="2754" t="s">
        <v>223</v>
      </c>
      <c r="F112" s="2755"/>
      <c r="G112" s="850">
        <f>SUMIF($H$6:$AL$6,"&lt;="&amp;$C$7,H112:AL112)</f>
        <v>4.5</v>
      </c>
      <c r="H112" s="1639">
        <f>Development.!B35</f>
        <v>0.9</v>
      </c>
      <c r="I112" s="1639">
        <f>Development.!C35</f>
        <v>0.9</v>
      </c>
      <c r="J112" s="1639">
        <f>Development.!D35</f>
        <v>0</v>
      </c>
      <c r="K112" s="1639">
        <f>Development.!E35</f>
        <v>0.9</v>
      </c>
      <c r="L112" s="1639">
        <f>Development.!F35</f>
        <v>0.9</v>
      </c>
      <c r="M112" s="1639">
        <f>Development.!G35</f>
        <v>0.9</v>
      </c>
      <c r="N112" s="1639">
        <f>Development.!H35</f>
        <v>0.9</v>
      </c>
      <c r="O112" s="1639">
        <f>Development.!I35</f>
        <v>0.9</v>
      </c>
      <c r="P112" s="1639">
        <f>Development.!J35</f>
        <v>0.9</v>
      </c>
      <c r="Q112" s="1639">
        <f>Development.!K35</f>
        <v>0</v>
      </c>
      <c r="R112" s="1639">
        <f>Development.!L35</f>
        <v>0</v>
      </c>
      <c r="S112" s="1639">
        <f>Development.!M35</f>
        <v>0</v>
      </c>
      <c r="T112" s="1639">
        <f>Development.!N35</f>
        <v>0.9</v>
      </c>
      <c r="U112" s="1639">
        <f>Development.!O35</f>
        <v>0.9</v>
      </c>
      <c r="V112" s="1639">
        <f>Development.!P35</f>
        <v>0.9</v>
      </c>
      <c r="W112" s="1639">
        <f>Development.!Q35</f>
        <v>0.9</v>
      </c>
      <c r="X112" s="1639">
        <f>Development.!R35</f>
        <v>0</v>
      </c>
      <c r="Y112" s="1639">
        <f>Development.!S35</f>
        <v>0.9</v>
      </c>
      <c r="Z112" s="1639">
        <f>Development.!T35</f>
        <v>0.9</v>
      </c>
      <c r="AA112" s="1639">
        <f>Development.!U35</f>
        <v>0.9</v>
      </c>
      <c r="AB112" s="1639">
        <f>Development.!V35</f>
        <v>0.9</v>
      </c>
      <c r="AC112" s="1639">
        <f>Development.!W35</f>
        <v>0.9</v>
      </c>
      <c r="AD112" s="1639">
        <f>Development.!X35</f>
        <v>0.9</v>
      </c>
      <c r="AE112" s="1639">
        <f>Development.!Y35</f>
        <v>0</v>
      </c>
      <c r="AF112" s="1639">
        <f>Development.!Z35</f>
        <v>0.9</v>
      </c>
      <c r="AG112" s="1639">
        <f>Development.!AA35</f>
        <v>0.9</v>
      </c>
      <c r="AH112" s="1639">
        <f>Development.!AB35</f>
        <v>0.9</v>
      </c>
      <c r="AI112" s="1639">
        <f>Development.!AC35</f>
        <v>0.9</v>
      </c>
      <c r="AJ112" s="1639">
        <f>Development.!AD35</f>
        <v>0.9</v>
      </c>
      <c r="AK112" s="1639">
        <f>Development.!AE35</f>
        <v>0.9</v>
      </c>
      <c r="AL112" s="1639">
        <f>Development.!AF35</f>
        <v>0</v>
      </c>
      <c r="AM112" s="84"/>
    </row>
    <row r="113" spans="2:39" s="79" customFormat="1" ht="14.85" customHeight="1">
      <c r="B113" s="2719"/>
      <c r="C113" s="2750"/>
      <c r="D113" s="2751"/>
      <c r="E113" s="2756" t="s">
        <v>224</v>
      </c>
      <c r="F113" s="2757"/>
      <c r="G113" s="1106">
        <f>SUMIF($H$6:$AL$6,"&lt;="&amp;$C$7,H113:AL113)</f>
        <v>2.7</v>
      </c>
      <c r="H113" s="1102">
        <v>0.9</v>
      </c>
      <c r="I113" s="1103">
        <v>0.9</v>
      </c>
      <c r="J113" s="1103"/>
      <c r="K113" s="1103">
        <v>0.9</v>
      </c>
      <c r="L113" s="1103"/>
      <c r="M113" s="1103"/>
      <c r="N113" s="1103"/>
      <c r="O113" s="1103"/>
      <c r="P113" s="1103"/>
      <c r="Q113" s="1103"/>
      <c r="R113" s="1103"/>
      <c r="S113" s="1103"/>
      <c r="T113" s="1103"/>
      <c r="U113" s="1103"/>
      <c r="V113" s="1103"/>
      <c r="W113" s="1103"/>
      <c r="X113" s="1103"/>
      <c r="Y113" s="1103"/>
      <c r="Z113" s="1103"/>
      <c r="AA113" s="1103"/>
      <c r="AB113" s="1103"/>
      <c r="AC113" s="1103"/>
      <c r="AD113" s="1103"/>
      <c r="AE113" s="1103"/>
      <c r="AF113" s="1103"/>
      <c r="AG113" s="1103"/>
      <c r="AH113" s="1103"/>
      <c r="AI113" s="1103"/>
      <c r="AJ113" s="1103"/>
      <c r="AK113" s="1103"/>
      <c r="AL113" s="1104"/>
      <c r="AM113" s="85"/>
    </row>
    <row r="114" spans="2:39" s="79" customFormat="1" ht="14.85" customHeight="1" thickBot="1">
      <c r="B114" s="2720"/>
      <c r="C114" s="2752"/>
      <c r="D114" s="2753"/>
      <c r="E114" s="2758" t="s">
        <v>264</v>
      </c>
      <c r="F114" s="2759"/>
      <c r="G114" s="1044">
        <f t="shared" ref="G114" si="35">IFERROR((G113-G112)/G112,0)</f>
        <v>-0.39999999999999997</v>
      </c>
      <c r="H114" s="1107"/>
      <c r="I114" s="1108"/>
      <c r="J114" s="1108"/>
      <c r="K114" s="1108"/>
      <c r="L114" s="1108"/>
      <c r="M114" s="1108"/>
      <c r="N114" s="1108"/>
      <c r="O114" s="1108"/>
      <c r="P114" s="1108"/>
      <c r="Q114" s="1108"/>
      <c r="R114" s="1108"/>
      <c r="S114" s="1108"/>
      <c r="T114" s="1108"/>
      <c r="U114" s="1108"/>
      <c r="V114" s="1108"/>
      <c r="W114" s="1108"/>
      <c r="X114" s="1108"/>
      <c r="Y114" s="1108"/>
      <c r="Z114" s="1108"/>
      <c r="AA114" s="1108"/>
      <c r="AB114" s="1108"/>
      <c r="AC114" s="1108"/>
      <c r="AD114" s="1108"/>
      <c r="AE114" s="1108"/>
      <c r="AF114" s="1108"/>
      <c r="AG114" s="1108"/>
      <c r="AH114" s="1108"/>
      <c r="AI114" s="1108"/>
      <c r="AJ114" s="1108"/>
      <c r="AL114" s="1114"/>
      <c r="AM114" s="85"/>
    </row>
    <row r="115" spans="2:39" s="79" customFormat="1" ht="13.35" customHeight="1">
      <c r="B115" s="2718">
        <v>2</v>
      </c>
      <c r="C115" s="2748" t="str">
        <f>Development.!A36</f>
        <v>10L_E2_C_DRIVE</v>
      </c>
      <c r="D115" s="2749"/>
      <c r="E115" s="2754" t="s">
        <v>223</v>
      </c>
      <c r="F115" s="2755"/>
      <c r="G115" s="850">
        <f>SUMIF($H$6:$AL$6,"&lt;="&amp;$C$7,H115:AL115)</f>
        <v>8</v>
      </c>
      <c r="H115" s="1639">
        <f>Development.!B36</f>
        <v>1.6</v>
      </c>
      <c r="I115" s="1639">
        <f>Development.!C36</f>
        <v>1.6</v>
      </c>
      <c r="J115" s="1639">
        <f>Development.!D36</f>
        <v>0</v>
      </c>
      <c r="K115" s="1639">
        <f>Development.!E36</f>
        <v>1.6</v>
      </c>
      <c r="L115" s="1639">
        <f>Development.!F36</f>
        <v>1.6</v>
      </c>
      <c r="M115" s="1639">
        <f>Development.!G36</f>
        <v>1.6</v>
      </c>
      <c r="N115" s="1639">
        <f>Development.!H36</f>
        <v>1.6</v>
      </c>
      <c r="O115" s="1639">
        <f>Development.!I36</f>
        <v>1.6</v>
      </c>
      <c r="P115" s="1639">
        <f>Development.!J36</f>
        <v>1.6</v>
      </c>
      <c r="Q115" s="1639">
        <f>Development.!K36</f>
        <v>0</v>
      </c>
      <c r="R115" s="1639">
        <f>Development.!L36</f>
        <v>0</v>
      </c>
      <c r="S115" s="1639">
        <f>Development.!M36</f>
        <v>0</v>
      </c>
      <c r="T115" s="1639">
        <f>Development.!N36</f>
        <v>1.6</v>
      </c>
      <c r="U115" s="1639">
        <f>Development.!O36</f>
        <v>1.6</v>
      </c>
      <c r="V115" s="1639">
        <f>Development.!P36</f>
        <v>1.6</v>
      </c>
      <c r="W115" s="1639">
        <f>Development.!Q36</f>
        <v>1.6</v>
      </c>
      <c r="X115" s="1639">
        <f>Development.!R36</f>
        <v>0</v>
      </c>
      <c r="Y115" s="1639">
        <f>Development.!S36</f>
        <v>1.6</v>
      </c>
      <c r="Z115" s="1639">
        <f>Development.!T36</f>
        <v>1.6</v>
      </c>
      <c r="AA115" s="1639">
        <f>Development.!U36</f>
        <v>1.6</v>
      </c>
      <c r="AB115" s="1639">
        <f>Development.!V36</f>
        <v>1.6</v>
      </c>
      <c r="AC115" s="1639">
        <f>Development.!W36</f>
        <v>1.6</v>
      </c>
      <c r="AD115" s="1639">
        <f>Development.!X36</f>
        <v>1.6</v>
      </c>
      <c r="AE115" s="1639">
        <f>Development.!Y36</f>
        <v>0</v>
      </c>
      <c r="AF115" s="1639">
        <f>Development.!Z36</f>
        <v>1.6</v>
      </c>
      <c r="AG115" s="1639">
        <f>Development.!AA36</f>
        <v>1.6</v>
      </c>
      <c r="AH115" s="1639">
        <f>Development.!AB36</f>
        <v>1.6</v>
      </c>
      <c r="AI115" s="1639">
        <f>Development.!AC36</f>
        <v>1.6</v>
      </c>
      <c r="AJ115" s="1639">
        <f>Development.!AD36</f>
        <v>1.6</v>
      </c>
      <c r="AK115" s="1639">
        <f>Development.!AE36</f>
        <v>1.6</v>
      </c>
      <c r="AL115" s="1639">
        <f>Development.!AF36</f>
        <v>0</v>
      </c>
      <c r="AM115" s="84"/>
    </row>
    <row r="116" spans="2:39" s="79" customFormat="1" ht="14.85" customHeight="1">
      <c r="B116" s="2719"/>
      <c r="C116" s="2750"/>
      <c r="D116" s="2751"/>
      <c r="E116" s="2756" t="s">
        <v>224</v>
      </c>
      <c r="F116" s="2757"/>
      <c r="G116" s="1106">
        <f>SUMIF($H$6:$AL$6,"&lt;="&amp;$C$7,H116:AL116)</f>
        <v>7.7999999999999989</v>
      </c>
      <c r="H116" s="1102">
        <v>1.6</v>
      </c>
      <c r="I116" s="1103">
        <v>1.4</v>
      </c>
      <c r="J116" s="1103"/>
      <c r="K116" s="1103">
        <v>1.6</v>
      </c>
      <c r="L116" s="1103">
        <v>1.6</v>
      </c>
      <c r="M116" s="1103">
        <v>1.6</v>
      </c>
      <c r="N116" s="1103"/>
      <c r="O116" s="1103"/>
      <c r="P116" s="1103"/>
      <c r="Q116" s="1103"/>
      <c r="R116" s="1103"/>
      <c r="S116" s="1103"/>
      <c r="T116" s="1103"/>
      <c r="U116" s="1103"/>
      <c r="V116" s="1103"/>
      <c r="W116" s="1103"/>
      <c r="X116" s="1103"/>
      <c r="Y116" s="1103"/>
      <c r="Z116" s="1103"/>
      <c r="AA116" s="1103"/>
      <c r="AB116" s="1103"/>
      <c r="AC116" s="1103"/>
      <c r="AD116" s="1103"/>
      <c r="AE116" s="1103"/>
      <c r="AF116" s="1103"/>
      <c r="AG116" s="1103"/>
      <c r="AH116" s="1103"/>
      <c r="AI116" s="1103"/>
      <c r="AJ116" s="1103"/>
      <c r="AK116" s="1103"/>
      <c r="AL116" s="1104"/>
      <c r="AM116" s="490"/>
    </row>
    <row r="117" spans="2:39" s="79" customFormat="1" ht="14.85" customHeight="1" thickBot="1">
      <c r="B117" s="2720"/>
      <c r="C117" s="2752"/>
      <c r="D117" s="2753"/>
      <c r="E117" s="2758" t="s">
        <v>264</v>
      </c>
      <c r="F117" s="2759"/>
      <c r="G117" s="1044">
        <f t="shared" ref="G117" si="36">IFERROR((G116-G115)/G115,0)</f>
        <v>-2.5000000000000133E-2</v>
      </c>
      <c r="H117" s="1107"/>
      <c r="I117" s="2771"/>
      <c r="J117" s="2772"/>
      <c r="K117" s="2778"/>
      <c r="L117" s="1108"/>
      <c r="M117" s="1108"/>
      <c r="N117" s="1108"/>
      <c r="O117" s="1108"/>
      <c r="P117" s="1108"/>
      <c r="Q117" s="1108"/>
      <c r="R117" s="1108"/>
      <c r="S117" s="1108"/>
      <c r="T117" s="1108"/>
      <c r="U117" s="1108"/>
      <c r="V117" s="1108"/>
      <c r="W117" s="1108"/>
      <c r="X117" s="1108"/>
      <c r="Y117" s="1108"/>
      <c r="Z117" s="1108"/>
      <c r="AA117" s="1108"/>
      <c r="AB117" s="1108"/>
      <c r="AC117" s="1108"/>
      <c r="AD117" s="1108"/>
      <c r="AE117" s="1108"/>
      <c r="AF117" s="1108"/>
      <c r="AG117" s="1108"/>
      <c r="AH117" s="1108"/>
      <c r="AI117" s="1108"/>
      <c r="AJ117" s="1108"/>
      <c r="AK117" s="1108"/>
      <c r="AL117" s="1114"/>
      <c r="AM117" s="85"/>
    </row>
    <row r="118" spans="2:39" s="79" customFormat="1" ht="13.35" customHeight="1">
      <c r="B118" s="2718">
        <v>2</v>
      </c>
      <c r="C118" s="2748" t="str">
        <f>Development.!A37</f>
        <v>10L_E1_RAISE</v>
      </c>
      <c r="D118" s="2749"/>
      <c r="E118" s="2754" t="s">
        <v>223</v>
      </c>
      <c r="F118" s="2755"/>
      <c r="G118" s="850">
        <f>SUMIF($H$6:$AL$6,"&lt;="&amp;$C$7,H118:AL118)</f>
        <v>4.5</v>
      </c>
      <c r="H118" s="1639">
        <f>Development.!B37</f>
        <v>0.9</v>
      </c>
      <c r="I118" s="1639">
        <f>Development.!C37</f>
        <v>0.9</v>
      </c>
      <c r="J118" s="1639">
        <f>Development.!D37</f>
        <v>0</v>
      </c>
      <c r="K118" s="1639">
        <f>Development.!E37</f>
        <v>0.9</v>
      </c>
      <c r="L118" s="1639">
        <f>Development.!F37</f>
        <v>0.9</v>
      </c>
      <c r="M118" s="1639">
        <f>Development.!G37</f>
        <v>0.9</v>
      </c>
      <c r="N118" s="1639">
        <f>Development.!H37</f>
        <v>0.9</v>
      </c>
      <c r="O118" s="1639">
        <f>Development.!I37</f>
        <v>0.9</v>
      </c>
      <c r="P118" s="1639">
        <f>Development.!J37</f>
        <v>0.9</v>
      </c>
      <c r="Q118" s="1639">
        <f>Development.!K37</f>
        <v>0</v>
      </c>
      <c r="R118" s="1639">
        <f>Development.!L37</f>
        <v>0</v>
      </c>
      <c r="S118" s="1639">
        <f>Development.!M37</f>
        <v>0</v>
      </c>
      <c r="T118" s="1639">
        <f>Development.!N37</f>
        <v>0.9</v>
      </c>
      <c r="U118" s="1639">
        <f>Development.!O37</f>
        <v>0.9</v>
      </c>
      <c r="V118" s="1639">
        <f>Development.!P37</f>
        <v>0.9</v>
      </c>
      <c r="W118" s="1639">
        <f>Development.!Q37</f>
        <v>0.9</v>
      </c>
      <c r="X118" s="1639">
        <f>Development.!R37</f>
        <v>0</v>
      </c>
      <c r="Y118" s="1639">
        <f>Development.!S37</f>
        <v>0.9</v>
      </c>
      <c r="Z118" s="1639">
        <f>Development.!T37</f>
        <v>0.9</v>
      </c>
      <c r="AA118" s="1639">
        <f>Development.!U37</f>
        <v>0.9</v>
      </c>
      <c r="AB118" s="1639">
        <f>Development.!V37</f>
        <v>0.9</v>
      </c>
      <c r="AC118" s="1639">
        <f>Development.!W37</f>
        <v>0.9</v>
      </c>
      <c r="AD118" s="1639">
        <f>Development.!X37</f>
        <v>0.9</v>
      </c>
      <c r="AE118" s="1639">
        <f>Development.!Y37</f>
        <v>0</v>
      </c>
      <c r="AF118" s="1639">
        <f>Development.!Z37</f>
        <v>0.9</v>
      </c>
      <c r="AG118" s="1639">
        <f>Development.!AA37</f>
        <v>0.9</v>
      </c>
      <c r="AH118" s="1639">
        <f>Development.!AB37</f>
        <v>0.9</v>
      </c>
      <c r="AI118" s="1639">
        <f>Development.!AC37</f>
        <v>0.9</v>
      </c>
      <c r="AJ118" s="1639">
        <f>Development.!AD37</f>
        <v>0.9</v>
      </c>
      <c r="AK118" s="1639">
        <f>Development.!AE37</f>
        <v>0.9</v>
      </c>
      <c r="AL118" s="1639">
        <f>Development.!AF37</f>
        <v>0</v>
      </c>
      <c r="AM118" s="84"/>
    </row>
    <row r="119" spans="2:39" s="79" customFormat="1" ht="14.85" customHeight="1">
      <c r="B119" s="2719"/>
      <c r="C119" s="2750"/>
      <c r="D119" s="2751"/>
      <c r="E119" s="2756" t="s">
        <v>224</v>
      </c>
      <c r="F119" s="2757"/>
      <c r="G119" s="1106">
        <f>SUMIF($H$6:$AL$6,"&lt;="&amp;$C$7,H119:AL119)</f>
        <v>4.3000000000000007</v>
      </c>
      <c r="H119" s="1102">
        <v>0.9</v>
      </c>
      <c r="I119" s="1103">
        <v>0.9</v>
      </c>
      <c r="J119" s="1103"/>
      <c r="K119" s="1103">
        <v>0.9</v>
      </c>
      <c r="L119" s="1103"/>
      <c r="M119" s="1103">
        <v>1.6</v>
      </c>
      <c r="N119" s="1103"/>
      <c r="O119" s="1103"/>
      <c r="P119" s="1103"/>
      <c r="Q119" s="1103"/>
      <c r="R119" s="1103"/>
      <c r="S119" s="1103"/>
      <c r="T119" s="1103"/>
      <c r="U119" s="1103"/>
      <c r="V119" s="1103"/>
      <c r="W119" s="1103"/>
      <c r="X119" s="1103"/>
      <c r="Y119" s="1103"/>
      <c r="Z119" s="1103"/>
      <c r="AA119" s="1103"/>
      <c r="AB119" s="1103"/>
      <c r="AC119" s="1103"/>
      <c r="AD119" s="1103"/>
      <c r="AE119" s="1103"/>
      <c r="AF119" s="1103"/>
      <c r="AG119" s="1103"/>
      <c r="AH119" s="1103"/>
      <c r="AI119" s="1103"/>
      <c r="AJ119" s="1103"/>
      <c r="AK119" s="1103"/>
      <c r="AL119" s="1104"/>
      <c r="AM119" s="85"/>
    </row>
    <row r="120" spans="2:39" s="79" customFormat="1" ht="14.85" customHeight="1" thickBot="1">
      <c r="B120" s="2720"/>
      <c r="C120" s="2752"/>
      <c r="D120" s="2753"/>
      <c r="E120" s="2758" t="s">
        <v>264</v>
      </c>
      <c r="F120" s="2759"/>
      <c r="G120" s="1044">
        <f t="shared" ref="G120" si="37">IFERROR((G119-G118)/G118,0)</f>
        <v>-4.4444444444444287E-2</v>
      </c>
      <c r="H120" s="1107"/>
      <c r="I120" s="1108"/>
      <c r="J120" s="1108"/>
      <c r="K120" s="1108"/>
      <c r="L120" s="1108"/>
      <c r="M120" s="1108"/>
      <c r="N120" s="1108"/>
      <c r="O120" s="1108"/>
      <c r="P120" s="1108"/>
      <c r="Q120" s="1108"/>
      <c r="R120" s="1108"/>
      <c r="S120" s="1108"/>
      <c r="T120" s="1108"/>
      <c r="U120" s="1108"/>
      <c r="V120" s="1108"/>
      <c r="W120" s="1108"/>
      <c r="X120" s="1108"/>
      <c r="Y120" s="1108"/>
      <c r="Z120" s="1108"/>
      <c r="AA120" s="1108"/>
      <c r="AB120" s="1108"/>
      <c r="AC120" s="1108"/>
      <c r="AD120" s="1108"/>
      <c r="AE120" s="1108"/>
      <c r="AF120" s="1108"/>
      <c r="AG120" s="1108"/>
      <c r="AH120" s="1108"/>
      <c r="AI120" s="1108"/>
      <c r="AJ120" s="1108"/>
      <c r="AK120" s="1108"/>
      <c r="AL120" s="1114"/>
      <c r="AM120" s="85"/>
    </row>
    <row r="121" spans="2:39" s="79" customFormat="1" ht="13.35" customHeight="1">
      <c r="B121" s="2718">
        <v>2</v>
      </c>
      <c r="C121" s="2748" t="str">
        <f>Development.!A38</f>
        <v>10L_W8_RAISE</v>
      </c>
      <c r="D121" s="2760"/>
      <c r="E121" s="2754" t="s">
        <v>223</v>
      </c>
      <c r="F121" s="2755"/>
      <c r="G121" s="850">
        <f>SUMIF($H$6:$AL$6,"&lt;="&amp;$C$7,H121:AL121)</f>
        <v>2.7</v>
      </c>
      <c r="H121" s="82">
        <f>Development.!B38</f>
        <v>0</v>
      </c>
      <c r="I121" s="82">
        <f>Development.!C38</f>
        <v>0</v>
      </c>
      <c r="J121" s="82">
        <f>Development.!D38</f>
        <v>0</v>
      </c>
      <c r="K121" s="82">
        <f>Development.!E38</f>
        <v>0.9</v>
      </c>
      <c r="L121" s="82">
        <f>Development.!F38</f>
        <v>0.9</v>
      </c>
      <c r="M121" s="82">
        <f>Development.!G38</f>
        <v>0.9</v>
      </c>
      <c r="N121" s="82">
        <f>Development.!H38</f>
        <v>0.9</v>
      </c>
      <c r="O121" s="82">
        <f>Development.!I38</f>
        <v>0.9</v>
      </c>
      <c r="P121" s="82">
        <f>Development.!J38</f>
        <v>0.9</v>
      </c>
      <c r="Q121" s="82">
        <f>Development.!K38</f>
        <v>0</v>
      </c>
      <c r="R121" s="82">
        <f>Development.!L38</f>
        <v>0</v>
      </c>
      <c r="S121" s="82">
        <f>Development.!M38</f>
        <v>0</v>
      </c>
      <c r="T121" s="82">
        <f>Development.!N38</f>
        <v>0.9</v>
      </c>
      <c r="U121" s="82">
        <f>Development.!O38</f>
        <v>0.9</v>
      </c>
      <c r="V121" s="82">
        <f>Development.!P38</f>
        <v>0.9</v>
      </c>
      <c r="W121" s="82">
        <f>Development.!Q38</f>
        <v>0.9</v>
      </c>
      <c r="X121" s="82">
        <f>Development.!R38</f>
        <v>0</v>
      </c>
      <c r="Y121" s="82">
        <f>Development.!S38</f>
        <v>0.9</v>
      </c>
      <c r="Z121" s="82">
        <f>Development.!T38</f>
        <v>0.9</v>
      </c>
      <c r="AA121" s="82">
        <f>Development.!U38</f>
        <v>0.9</v>
      </c>
      <c r="AB121" s="82">
        <f>Development.!V38</f>
        <v>0.9</v>
      </c>
      <c r="AC121" s="82">
        <f>Development.!W38</f>
        <v>0.9</v>
      </c>
      <c r="AD121" s="82">
        <f>Development.!X38</f>
        <v>0.9</v>
      </c>
      <c r="AE121" s="82">
        <f>Development.!Y38</f>
        <v>0</v>
      </c>
      <c r="AF121" s="82">
        <f>Development.!Z38</f>
        <v>0.9</v>
      </c>
      <c r="AG121" s="82">
        <f>Development.!AA38</f>
        <v>0.9</v>
      </c>
      <c r="AH121" s="82">
        <f>Development.!AB38</f>
        <v>0.9</v>
      </c>
      <c r="AI121" s="82">
        <f>Development.!AC38</f>
        <v>0.9</v>
      </c>
      <c r="AJ121" s="82">
        <f>Development.!AD38</f>
        <v>0.9</v>
      </c>
      <c r="AK121" s="82">
        <f>Development.!AE38</f>
        <v>0.9</v>
      </c>
      <c r="AL121" s="82">
        <f>Development.!AF38</f>
        <v>0</v>
      </c>
      <c r="AM121" s="84"/>
    </row>
    <row r="122" spans="2:39" s="79" customFormat="1" ht="14.85" customHeight="1">
      <c r="B122" s="2719"/>
      <c r="C122" s="2750"/>
      <c r="D122" s="2787"/>
      <c r="E122" s="2756" t="s">
        <v>224</v>
      </c>
      <c r="F122" s="2757"/>
      <c r="G122" s="1106">
        <f>SUMIF($H$6:$AL$6,"&lt;="&amp;$C$7,H122:AL122)</f>
        <v>4.5</v>
      </c>
      <c r="H122" s="1102">
        <v>0.9</v>
      </c>
      <c r="I122" s="1103">
        <v>0.9</v>
      </c>
      <c r="J122" s="1103"/>
      <c r="K122" s="1103">
        <v>0.9</v>
      </c>
      <c r="L122" s="1103">
        <v>0.9</v>
      </c>
      <c r="M122" s="1103">
        <v>0.9</v>
      </c>
      <c r="N122" s="1103"/>
      <c r="O122" s="1103"/>
      <c r="P122" s="1103"/>
      <c r="Q122" s="1103"/>
      <c r="R122" s="1103"/>
      <c r="S122" s="1103"/>
      <c r="T122" s="1103"/>
      <c r="U122" s="1103"/>
      <c r="V122" s="1103"/>
      <c r="W122" s="1103"/>
      <c r="X122" s="1103"/>
      <c r="Y122" s="1103"/>
      <c r="Z122" s="1103"/>
      <c r="AA122" s="1103"/>
      <c r="AB122" s="1103"/>
      <c r="AC122" s="1103"/>
      <c r="AD122" s="1103"/>
      <c r="AE122" s="1103"/>
      <c r="AF122" s="1103"/>
      <c r="AG122" s="1103"/>
      <c r="AH122" s="1103"/>
      <c r="AI122" s="1103"/>
      <c r="AJ122" s="1103"/>
      <c r="AK122" s="1103"/>
      <c r="AL122" s="1104"/>
      <c r="AM122" s="85"/>
    </row>
    <row r="123" spans="2:39" s="79" customFormat="1" ht="14.85" customHeight="1" thickBot="1">
      <c r="B123" s="2720"/>
      <c r="C123" s="2752"/>
      <c r="D123" s="2762"/>
      <c r="E123" s="2758" t="s">
        <v>264</v>
      </c>
      <c r="F123" s="2759"/>
      <c r="G123" s="1044">
        <f t="shared" ref="G123" si="38">IFERROR((G122-G121)/G121,0)</f>
        <v>0.66666666666666652</v>
      </c>
      <c r="H123" s="1107"/>
      <c r="I123" s="1108"/>
      <c r="J123" s="1108"/>
      <c r="K123" s="1108"/>
      <c r="L123" s="1108"/>
      <c r="M123" s="1108"/>
      <c r="N123" s="1108"/>
      <c r="O123" s="1108"/>
      <c r="P123" s="1108"/>
      <c r="Q123" s="1108"/>
      <c r="R123" s="1108"/>
      <c r="S123" s="1108"/>
      <c r="T123" s="1108"/>
      <c r="U123" s="1112"/>
      <c r="V123" s="1108"/>
      <c r="W123" s="1108"/>
      <c r="X123" s="1108"/>
      <c r="Y123" s="1108"/>
      <c r="Z123" s="1108"/>
      <c r="AA123" s="1108"/>
      <c r="AB123" s="1108"/>
      <c r="AC123" s="1108"/>
      <c r="AD123" s="1108"/>
      <c r="AE123" s="1108"/>
      <c r="AF123" s="1108"/>
      <c r="AG123" s="1108"/>
      <c r="AH123" s="1108"/>
      <c r="AI123" s="1108"/>
      <c r="AJ123" s="1108"/>
      <c r="AK123" s="1108"/>
      <c r="AL123" s="1114"/>
      <c r="AM123" s="85"/>
    </row>
    <row r="124" spans="2:39" s="79" customFormat="1" ht="13.35" customHeight="1">
      <c r="B124" s="2718">
        <v>2</v>
      </c>
      <c r="C124" s="2748" t="str">
        <f>Development.!A39</f>
        <v>10LW7_BOX_RSE</v>
      </c>
      <c r="D124" s="2749"/>
      <c r="E124" s="2754" t="s">
        <v>223</v>
      </c>
      <c r="F124" s="2755"/>
      <c r="G124" s="850">
        <f>SUMIF($H$6:$AL$6,"&lt;="&amp;$C$7,H124:AL124)</f>
        <v>1.8</v>
      </c>
      <c r="H124" s="82">
        <f>Development.!B39</f>
        <v>0</v>
      </c>
      <c r="I124" s="82">
        <f>Development.!C39</f>
        <v>0</v>
      </c>
      <c r="J124" s="82">
        <f>Development.!D39</f>
        <v>0</v>
      </c>
      <c r="K124" s="82">
        <f>Development.!E39</f>
        <v>0</v>
      </c>
      <c r="L124" s="82">
        <f>Development.!F39</f>
        <v>0.9</v>
      </c>
      <c r="M124" s="82">
        <f>Development.!G39</f>
        <v>0.9</v>
      </c>
      <c r="N124" s="82">
        <f>Development.!H39</f>
        <v>0.9</v>
      </c>
      <c r="O124" s="82">
        <f>Development.!I39</f>
        <v>0.9</v>
      </c>
      <c r="P124" s="82">
        <f>Development.!J39</f>
        <v>0.9</v>
      </c>
      <c r="Q124" s="82">
        <f>Development.!K39</f>
        <v>0</v>
      </c>
      <c r="R124" s="82">
        <f>Development.!L39</f>
        <v>0</v>
      </c>
      <c r="S124" s="82">
        <f>Development.!M39</f>
        <v>0</v>
      </c>
      <c r="T124" s="82">
        <f>Development.!N39</f>
        <v>0.9</v>
      </c>
      <c r="U124" s="82">
        <f>Development.!O39</f>
        <v>0.9</v>
      </c>
      <c r="V124" s="82">
        <f>Development.!P39</f>
        <v>0.9</v>
      </c>
      <c r="W124" s="82">
        <f>Development.!Q39</f>
        <v>0.9</v>
      </c>
      <c r="X124" s="82">
        <f>Development.!R39</f>
        <v>0</v>
      </c>
      <c r="Y124" s="82">
        <f>Development.!S39</f>
        <v>0</v>
      </c>
      <c r="Z124" s="82">
        <f>Development.!T39</f>
        <v>0</v>
      </c>
      <c r="AA124" s="82">
        <f>Development.!U39</f>
        <v>0</v>
      </c>
      <c r="AB124" s="82">
        <f>Development.!V39</f>
        <v>0</v>
      </c>
      <c r="AC124" s="82">
        <f>Development.!W39</f>
        <v>0</v>
      </c>
      <c r="AD124" s="82">
        <f>Development.!X39</f>
        <v>0</v>
      </c>
      <c r="AE124" s="82">
        <f>Development.!Y39</f>
        <v>0</v>
      </c>
      <c r="AF124" s="82">
        <f>Development.!Z39</f>
        <v>0</v>
      </c>
      <c r="AG124" s="82">
        <f>Development.!AA39</f>
        <v>0</v>
      </c>
      <c r="AH124" s="82">
        <f>Development.!AB39</f>
        <v>0</v>
      </c>
      <c r="AI124" s="82">
        <f>Development.!AC39</f>
        <v>0</v>
      </c>
      <c r="AJ124" s="82">
        <f>Development.!AD39</f>
        <v>0</v>
      </c>
      <c r="AK124" s="82">
        <f>Development.!AE39</f>
        <v>0</v>
      </c>
      <c r="AL124" s="82">
        <f>Development.!AF39</f>
        <v>0</v>
      </c>
      <c r="AM124" s="84"/>
    </row>
    <row r="125" spans="2:39" s="79" customFormat="1" ht="14.85" customHeight="1">
      <c r="B125" s="2719"/>
      <c r="C125" s="2750"/>
      <c r="D125" s="2751"/>
      <c r="E125" s="2756" t="s">
        <v>224</v>
      </c>
      <c r="F125" s="2757"/>
      <c r="G125" s="1106">
        <f>SUMIF($H$6:$AL$6,"&lt;="&amp;$C$7,H125:AL125)</f>
        <v>1.8</v>
      </c>
      <c r="H125" s="1102"/>
      <c r="I125" s="1103"/>
      <c r="J125" s="1103"/>
      <c r="K125" s="1103"/>
      <c r="L125" s="1103">
        <v>0.9</v>
      </c>
      <c r="M125" s="1103">
        <v>0.9</v>
      </c>
      <c r="N125" s="1103"/>
      <c r="O125" s="1103"/>
      <c r="P125" s="1103"/>
      <c r="Q125" s="1103"/>
      <c r="R125" s="1103"/>
      <c r="S125" s="1103"/>
      <c r="T125" s="1103"/>
      <c r="U125" s="1103"/>
      <c r="V125" s="1103"/>
      <c r="W125" s="1103"/>
      <c r="X125" s="1103"/>
      <c r="Y125" s="1103"/>
      <c r="Z125" s="1103"/>
      <c r="AA125" s="1103"/>
      <c r="AB125" s="1103"/>
      <c r="AC125" s="1103"/>
      <c r="AD125" s="1103"/>
      <c r="AE125" s="1103"/>
      <c r="AF125" s="1103"/>
      <c r="AG125" s="1103"/>
      <c r="AH125" s="1103"/>
      <c r="AI125" s="1103"/>
      <c r="AJ125" s="1103"/>
      <c r="AK125" s="1103"/>
      <c r="AL125" s="1104"/>
      <c r="AM125" s="85"/>
    </row>
    <row r="126" spans="2:39" s="79" customFormat="1" ht="14.85" customHeight="1" thickBot="1">
      <c r="B126" s="2720"/>
      <c r="C126" s="2752"/>
      <c r="D126" s="2753"/>
      <c r="E126" s="2758" t="s">
        <v>264</v>
      </c>
      <c r="F126" s="2759"/>
      <c r="G126" s="1044">
        <f t="shared" ref="G126" si="39">IFERROR((G125-G124)/G124,0)</f>
        <v>0</v>
      </c>
      <c r="H126" s="1107"/>
      <c r="I126" s="1108"/>
      <c r="J126" s="1108"/>
      <c r="K126" s="1108"/>
      <c r="L126" s="1108"/>
      <c r="M126" s="1108"/>
      <c r="N126" s="1108"/>
      <c r="O126" s="1108"/>
      <c r="P126" s="1108"/>
      <c r="Q126" s="1108"/>
      <c r="R126" s="1108"/>
      <c r="S126" s="1108"/>
      <c r="T126" s="1108"/>
      <c r="U126" s="1108"/>
      <c r="V126" s="1108"/>
      <c r="W126" s="1108"/>
      <c r="X126" s="1108"/>
      <c r="Y126" s="1108"/>
      <c r="Z126" s="1108"/>
      <c r="AA126" s="1108"/>
      <c r="AB126" s="1108"/>
      <c r="AC126" s="1108"/>
      <c r="AD126" s="1108"/>
      <c r="AE126" s="1108"/>
      <c r="AF126" s="1108"/>
      <c r="AG126" s="1108"/>
      <c r="AH126" s="1108"/>
      <c r="AI126" s="1108"/>
      <c r="AJ126" s="1108"/>
      <c r="AK126" s="1108"/>
      <c r="AL126" s="1114"/>
      <c r="AM126" s="85"/>
    </row>
    <row r="127" spans="2:39" s="79" customFormat="1" ht="13.35" customHeight="1">
      <c r="B127" s="2718">
        <v>2</v>
      </c>
      <c r="C127" s="2748" t="str">
        <f>Development.!A40</f>
        <v>10LW7_CDRIVE_EAST</v>
      </c>
      <c r="D127" s="2749"/>
      <c r="E127" s="2754" t="s">
        <v>223</v>
      </c>
      <c r="F127" s="2755"/>
      <c r="G127" s="850">
        <f>SUMIF($H$6:$AL$6,"&lt;="&amp;$C$7,H127:AL127)</f>
        <v>0</v>
      </c>
      <c r="H127" s="82">
        <f>Development.!B40</f>
        <v>0</v>
      </c>
      <c r="I127" s="82">
        <f>Development.!C40</f>
        <v>0</v>
      </c>
      <c r="J127" s="82">
        <f>Development.!D40</f>
        <v>0</v>
      </c>
      <c r="K127" s="82">
        <f>Development.!E40</f>
        <v>0</v>
      </c>
      <c r="L127" s="82">
        <f>Development.!F40</f>
        <v>0</v>
      </c>
      <c r="M127" s="82">
        <f>Development.!G40</f>
        <v>0</v>
      </c>
      <c r="N127" s="82">
        <f>Development.!H40</f>
        <v>0</v>
      </c>
      <c r="O127" s="82">
        <f>Development.!I40</f>
        <v>0</v>
      </c>
      <c r="P127" s="82">
        <f>Development.!J40</f>
        <v>0</v>
      </c>
      <c r="Q127" s="82">
        <f>Development.!K40</f>
        <v>0</v>
      </c>
      <c r="R127" s="82">
        <f>Development.!L40</f>
        <v>0</v>
      </c>
      <c r="S127" s="82">
        <f>Development.!M40</f>
        <v>0</v>
      </c>
      <c r="T127" s="82">
        <f>Development.!N40</f>
        <v>0</v>
      </c>
      <c r="U127" s="82">
        <f>Development.!O40</f>
        <v>0</v>
      </c>
      <c r="V127" s="82">
        <f>Development.!P40</f>
        <v>0</v>
      </c>
      <c r="W127" s="82">
        <f>Development.!Q40</f>
        <v>0</v>
      </c>
      <c r="X127" s="82">
        <f>Development.!R40</f>
        <v>0</v>
      </c>
      <c r="Y127" s="82">
        <f>Development.!S40</f>
        <v>1.6</v>
      </c>
      <c r="Z127" s="82">
        <f>Development.!T40</f>
        <v>1.6</v>
      </c>
      <c r="AA127" s="82">
        <f>Development.!U40</f>
        <v>1.6</v>
      </c>
      <c r="AB127" s="82">
        <f>Development.!V40</f>
        <v>1.6</v>
      </c>
      <c r="AC127" s="82">
        <f>Development.!W40</f>
        <v>1.6</v>
      </c>
      <c r="AD127" s="82">
        <f>Development.!X40</f>
        <v>1.6</v>
      </c>
      <c r="AE127" s="82">
        <f>Development.!Y40</f>
        <v>0</v>
      </c>
      <c r="AF127" s="82">
        <f>Development.!Z40</f>
        <v>1.6</v>
      </c>
      <c r="AG127" s="82">
        <f>Development.!AA40</f>
        <v>1.6</v>
      </c>
      <c r="AH127" s="82">
        <f>Development.!AB40</f>
        <v>1.6</v>
      </c>
      <c r="AI127" s="82">
        <f>Development.!AC40</f>
        <v>1.6</v>
      </c>
      <c r="AJ127" s="82">
        <f>Development.!AD40</f>
        <v>1.6</v>
      </c>
      <c r="AK127" s="82">
        <f>Development.!AE40</f>
        <v>1.6</v>
      </c>
      <c r="AL127" s="82">
        <f>Development.!AF40</f>
        <v>0</v>
      </c>
      <c r="AM127" s="84"/>
    </row>
    <row r="128" spans="2:39" s="79" customFormat="1" ht="14.85" customHeight="1">
      <c r="B128" s="2719"/>
      <c r="C128" s="2750"/>
      <c r="D128" s="2751"/>
      <c r="E128" s="2756" t="s">
        <v>224</v>
      </c>
      <c r="F128" s="2757"/>
      <c r="G128" s="1106">
        <f>SUMIF($H$6:$AL$6,"&lt;="&amp;$C$7,H128:AL128)</f>
        <v>0</v>
      </c>
      <c r="H128" s="1102"/>
      <c r="I128" s="1103"/>
      <c r="J128" s="1103"/>
      <c r="K128" s="1103"/>
      <c r="L128" s="1103"/>
      <c r="M128" s="1103"/>
      <c r="N128" s="1103"/>
      <c r="O128" s="1103"/>
      <c r="P128" s="1103"/>
      <c r="Q128" s="1103"/>
      <c r="R128" s="1103"/>
      <c r="S128" s="1103"/>
      <c r="T128" s="1103"/>
      <c r="U128" s="1103"/>
      <c r="V128" s="1103"/>
      <c r="W128" s="1103"/>
      <c r="X128" s="1103"/>
      <c r="Y128" s="1103"/>
      <c r="Z128" s="1103"/>
      <c r="AA128" s="1103"/>
      <c r="AB128" s="1103"/>
      <c r="AC128" s="1103"/>
      <c r="AD128" s="1103"/>
      <c r="AE128" s="1103"/>
      <c r="AF128" s="1103"/>
      <c r="AG128" s="1103"/>
      <c r="AH128" s="1103"/>
      <c r="AI128" s="1103"/>
      <c r="AJ128" s="1103"/>
      <c r="AK128" s="1103"/>
      <c r="AL128" s="1104"/>
      <c r="AM128" s="85"/>
    </row>
    <row r="129" spans="2:39" s="79" customFormat="1" ht="14.85" customHeight="1" thickBot="1">
      <c r="B129" s="2720"/>
      <c r="C129" s="2752"/>
      <c r="D129" s="2753"/>
      <c r="E129" s="2758" t="s">
        <v>264</v>
      </c>
      <c r="F129" s="2759"/>
      <c r="G129" s="1044">
        <f t="shared" ref="G129" si="40">IFERROR((G128-G127)/G127,0)</f>
        <v>0</v>
      </c>
      <c r="H129" s="1107"/>
      <c r="I129" s="1108"/>
      <c r="J129" s="1108"/>
      <c r="K129" s="1108"/>
      <c r="L129" s="1108"/>
      <c r="M129" s="1108"/>
      <c r="N129" s="1108"/>
      <c r="O129" s="1108"/>
      <c r="P129" s="1108"/>
      <c r="Q129" s="1108"/>
      <c r="R129" s="1108"/>
      <c r="S129" s="1108"/>
      <c r="T129" s="1108"/>
      <c r="U129" s="1108"/>
      <c r="V129" s="1108"/>
      <c r="W129" s="1108"/>
      <c r="X129" s="1108"/>
      <c r="Y129" s="1108"/>
      <c r="Z129" s="1108"/>
      <c r="AA129" s="1108"/>
      <c r="AB129" s="1108"/>
      <c r="AC129" s="1108"/>
      <c r="AD129" s="1108"/>
      <c r="AE129" s="1108"/>
      <c r="AF129" s="1108"/>
      <c r="AG129" s="1108"/>
      <c r="AH129" s="1112"/>
      <c r="AI129" s="1108"/>
      <c r="AJ129" s="1108"/>
      <c r="AK129" s="1108"/>
      <c r="AL129" s="1114"/>
      <c r="AM129" s="85"/>
    </row>
    <row r="130" spans="2:39" s="79" customFormat="1" ht="13.35" customHeight="1">
      <c r="B130" s="2718"/>
      <c r="C130" s="2781" t="s">
        <v>267</v>
      </c>
      <c r="D130" s="2782"/>
      <c r="E130" s="2754" t="s">
        <v>223</v>
      </c>
      <c r="F130" s="2755"/>
      <c r="G130" s="850">
        <f>SUMIF($H$6:$AL$6,"&lt;="&amp;$C$7,H130:AL130)</f>
        <v>0</v>
      </c>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4"/>
    </row>
    <row r="131" spans="2:39" s="79" customFormat="1" ht="14.85" customHeight="1">
      <c r="B131" s="2719"/>
      <c r="C131" s="2783"/>
      <c r="D131" s="2784"/>
      <c r="E131" s="2756" t="s">
        <v>224</v>
      </c>
      <c r="F131" s="2757"/>
      <c r="G131" s="1106">
        <f>SUMIF($H$6:$AL$6,"&lt;="&amp;$C$7,H131:AL131)</f>
        <v>5.1000000000000005</v>
      </c>
      <c r="H131" s="1102">
        <v>1.3</v>
      </c>
      <c r="I131" s="1103">
        <v>1.1000000000000001</v>
      </c>
      <c r="J131" s="1103"/>
      <c r="K131" s="1103">
        <v>1.7</v>
      </c>
      <c r="L131" s="1103">
        <v>1</v>
      </c>
      <c r="M131" s="1103"/>
      <c r="N131" s="1103"/>
      <c r="O131" s="1103"/>
      <c r="P131" s="1103"/>
      <c r="Q131" s="1103"/>
      <c r="R131" s="1103"/>
      <c r="S131" s="1103"/>
      <c r="T131" s="1103"/>
      <c r="U131" s="1103"/>
      <c r="V131" s="1103"/>
      <c r="W131" s="1103"/>
      <c r="X131" s="1103"/>
      <c r="Y131" s="1103"/>
      <c r="Z131" s="1103"/>
      <c r="AA131" s="1103"/>
      <c r="AB131" s="1103"/>
      <c r="AC131" s="1103"/>
      <c r="AD131" s="1103"/>
      <c r="AE131" s="1103"/>
      <c r="AF131" s="1103"/>
      <c r="AG131" s="1103"/>
      <c r="AH131" s="1103"/>
      <c r="AI131" s="1103"/>
      <c r="AJ131" s="1103"/>
      <c r="AK131" s="1103"/>
      <c r="AL131" s="1104"/>
      <c r="AM131" s="85"/>
    </row>
    <row r="132" spans="2:39" s="79" customFormat="1" ht="14.85" customHeight="1" thickBot="1">
      <c r="B132" s="2720"/>
      <c r="C132" s="2785"/>
      <c r="D132" s="2786"/>
      <c r="E132" s="2758" t="s">
        <v>264</v>
      </c>
      <c r="F132" s="2759"/>
      <c r="G132" s="1044">
        <f t="shared" ref="G132" si="41">IFERROR((G131-G130)/G130,0)</f>
        <v>0</v>
      </c>
      <c r="H132" s="1107"/>
      <c r="I132" s="1108"/>
      <c r="J132" s="1108"/>
      <c r="K132" s="1108"/>
      <c r="L132" s="1108"/>
      <c r="M132" s="1108"/>
      <c r="N132" s="1108"/>
      <c r="O132" s="1108"/>
      <c r="P132" s="1108"/>
      <c r="Q132" s="1108"/>
      <c r="R132" s="1108"/>
      <c r="S132" s="1108"/>
      <c r="T132" s="1108"/>
      <c r="U132" s="1108"/>
      <c r="V132" s="1108"/>
      <c r="W132" s="1108"/>
      <c r="X132" s="1108"/>
      <c r="Y132" s="1108"/>
      <c r="Z132" s="1108"/>
      <c r="AA132" s="1108"/>
      <c r="AB132" s="1108"/>
      <c r="AC132" s="1108"/>
      <c r="AD132" s="1108"/>
      <c r="AE132" s="1108"/>
      <c r="AF132" s="1108"/>
      <c r="AG132" s="1108"/>
      <c r="AH132" s="1108"/>
      <c r="AI132" s="1108"/>
      <c r="AJ132" s="1108"/>
      <c r="AK132" s="1108"/>
      <c r="AL132" s="1114"/>
      <c r="AM132" s="85"/>
    </row>
    <row r="133" spans="2:39" s="79" customFormat="1" ht="13.35" customHeight="1">
      <c r="B133" s="2718"/>
      <c r="C133" s="2781" t="s">
        <v>268</v>
      </c>
      <c r="D133" s="2782"/>
      <c r="E133" s="2754" t="s">
        <v>223</v>
      </c>
      <c r="F133" s="2755"/>
      <c r="G133" s="850">
        <f>SUMIF($H$6:$AL$6,"&lt;="&amp;$C$7,H133:AL133)</f>
        <v>0</v>
      </c>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4"/>
    </row>
    <row r="134" spans="2:39" s="79" customFormat="1" ht="14.85" customHeight="1">
      <c r="B134" s="2719"/>
      <c r="C134" s="2783"/>
      <c r="D134" s="2784"/>
      <c r="E134" s="2756" t="s">
        <v>224</v>
      </c>
      <c r="F134" s="2757"/>
      <c r="G134" s="1106">
        <f>SUMIF($H$6:$AL$6,"&lt;="&amp;$C$7,H134:AL134)</f>
        <v>0.9</v>
      </c>
      <c r="H134" s="1102"/>
      <c r="I134" s="1103"/>
      <c r="J134" s="1103"/>
      <c r="K134" s="1103"/>
      <c r="L134" s="1103">
        <v>0.9</v>
      </c>
      <c r="M134" s="1103"/>
      <c r="N134" s="1103"/>
      <c r="O134" s="1103"/>
      <c r="P134" s="1103"/>
      <c r="Q134" s="1103"/>
      <c r="R134" s="1103"/>
      <c r="S134" s="1103"/>
      <c r="T134" s="1103"/>
      <c r="U134" s="1103"/>
      <c r="V134" s="1103"/>
      <c r="W134" s="1103"/>
      <c r="X134" s="1103"/>
      <c r="Y134" s="1103"/>
      <c r="Z134" s="1103"/>
      <c r="AA134" s="1103"/>
      <c r="AB134" s="1103"/>
      <c r="AC134" s="1103"/>
      <c r="AD134" s="1103"/>
      <c r="AE134" s="1103"/>
      <c r="AF134" s="1103"/>
      <c r="AG134" s="1103"/>
      <c r="AH134" s="1103"/>
      <c r="AI134" s="1103"/>
      <c r="AJ134" s="1103"/>
      <c r="AK134" s="1103"/>
      <c r="AL134" s="1104"/>
      <c r="AM134" s="85"/>
    </row>
    <row r="135" spans="2:39" s="79" customFormat="1" ht="14.85" customHeight="1" thickBot="1">
      <c r="B135" s="2720"/>
      <c r="C135" s="2785"/>
      <c r="D135" s="2786"/>
      <c r="E135" s="2758" t="s">
        <v>264</v>
      </c>
      <c r="F135" s="2759"/>
      <c r="G135" s="1044">
        <f t="shared" ref="G135" si="42">IFERROR((G134-G133)/G133,0)</f>
        <v>0</v>
      </c>
      <c r="H135" s="1107"/>
      <c r="I135" s="1108"/>
      <c r="J135" s="1108"/>
      <c r="K135" s="1108"/>
      <c r="L135" s="1108"/>
      <c r="M135" s="1108"/>
      <c r="N135" s="1108"/>
      <c r="O135" s="1108"/>
      <c r="P135" s="1108"/>
      <c r="Q135" s="1108"/>
      <c r="R135" s="1108"/>
      <c r="S135" s="1108"/>
      <c r="T135" s="1108"/>
      <c r="U135" s="1108"/>
      <c r="V135" s="1108"/>
      <c r="W135" s="1108"/>
      <c r="X135" s="1108"/>
      <c r="Y135" s="1108"/>
      <c r="Z135" s="1108"/>
      <c r="AA135" s="1108"/>
      <c r="AB135" s="1108"/>
      <c r="AC135" s="1108"/>
      <c r="AD135" s="1108"/>
      <c r="AE135" s="1108"/>
      <c r="AF135" s="1108"/>
      <c r="AG135" s="1108"/>
      <c r="AH135" s="1112"/>
      <c r="AI135" s="1108"/>
      <c r="AJ135" s="1108"/>
      <c r="AK135" s="1108"/>
      <c r="AL135" s="1114"/>
      <c r="AM135" s="85"/>
    </row>
    <row r="136" spans="2:39" s="79" customFormat="1" ht="13.35" customHeight="1">
      <c r="B136" s="2718"/>
      <c r="C136" s="2781" t="s">
        <v>269</v>
      </c>
      <c r="D136" s="2782"/>
      <c r="E136" s="2754" t="s">
        <v>223</v>
      </c>
      <c r="F136" s="2755"/>
      <c r="G136" s="850">
        <f>SUMIF($H$6:$AL$6,"&lt;="&amp;$C$7,H136:AL136)</f>
        <v>0</v>
      </c>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3"/>
    </row>
    <row r="137" spans="2:39" s="79" customFormat="1" ht="14.85" customHeight="1">
      <c r="B137" s="2719"/>
      <c r="C137" s="2783"/>
      <c r="D137" s="2784"/>
      <c r="E137" s="2756" t="s">
        <v>224</v>
      </c>
      <c r="F137" s="2757"/>
      <c r="G137" s="1106">
        <f>SUMIF($H$6:$AL$6,"&lt;="&amp;$C$7,H137:AL137)</f>
        <v>4.8000000000000007</v>
      </c>
      <c r="H137" s="1102"/>
      <c r="I137" s="1103">
        <v>1.6</v>
      </c>
      <c r="J137" s="1103"/>
      <c r="K137" s="1103">
        <v>1.6</v>
      </c>
      <c r="L137" s="1103">
        <v>1.6</v>
      </c>
      <c r="M137" s="1103"/>
      <c r="N137" s="1103"/>
      <c r="O137" s="1103"/>
      <c r="P137" s="1103"/>
      <c r="Q137" s="1103"/>
      <c r="R137" s="1103"/>
      <c r="S137" s="1103"/>
      <c r="T137" s="1103"/>
      <c r="U137" s="1103"/>
      <c r="V137" s="1103"/>
      <c r="W137" s="1103"/>
      <c r="X137" s="1103"/>
      <c r="Y137" s="1103"/>
      <c r="Z137" s="1103"/>
      <c r="AA137" s="1103"/>
      <c r="AB137" s="1103"/>
      <c r="AC137" s="1103"/>
      <c r="AD137" s="1103"/>
      <c r="AE137" s="1103"/>
      <c r="AF137" s="1103"/>
      <c r="AG137" s="1103"/>
      <c r="AH137" s="1103"/>
      <c r="AI137" s="1103"/>
      <c r="AJ137" s="1103"/>
      <c r="AK137" s="1103"/>
      <c r="AL137" s="1104"/>
      <c r="AM137" s="85"/>
    </row>
    <row r="138" spans="2:39" s="79" customFormat="1" ht="14.85" customHeight="1" thickBot="1">
      <c r="B138" s="2720"/>
      <c r="C138" s="2785"/>
      <c r="D138" s="2786"/>
      <c r="E138" s="2758" t="s">
        <v>264</v>
      </c>
      <c r="F138" s="2759"/>
      <c r="G138" s="1044">
        <f t="shared" ref="G138" si="43">IFERROR((G137-G136)/G136,0)</f>
        <v>0</v>
      </c>
      <c r="H138" s="1115"/>
      <c r="I138" s="1108"/>
      <c r="J138" s="1108"/>
      <c r="K138" s="1108"/>
      <c r="L138" s="1108"/>
      <c r="M138" s="1108"/>
      <c r="N138" s="1108"/>
      <c r="O138" s="1108"/>
      <c r="P138" s="1108"/>
      <c r="Q138" s="1108"/>
      <c r="R138" s="1108"/>
      <c r="S138" s="1108"/>
      <c r="T138" s="2774"/>
      <c r="U138" s="2775"/>
      <c r="V138" s="1108"/>
      <c r="W138" s="1108"/>
      <c r="X138" s="1108"/>
      <c r="Y138" s="1108"/>
      <c r="Z138" s="1108"/>
      <c r="AA138" s="1108"/>
      <c r="AB138" s="1108"/>
      <c r="AC138" s="1108"/>
      <c r="AD138" s="1108"/>
      <c r="AE138" s="1108"/>
      <c r="AF138" s="1108"/>
      <c r="AG138" s="1108"/>
      <c r="AH138" s="1108"/>
      <c r="AI138" s="1108"/>
      <c r="AJ138" s="1108"/>
      <c r="AK138" s="1108"/>
      <c r="AL138" s="1114"/>
      <c r="AM138" s="85"/>
    </row>
    <row r="139" spans="2:39" s="79" customFormat="1" ht="13.35" hidden="1" customHeight="1">
      <c r="B139" s="2718"/>
      <c r="C139" s="2781"/>
      <c r="D139" s="2782"/>
      <c r="E139" s="2754" t="s">
        <v>223</v>
      </c>
      <c r="F139" s="2755"/>
      <c r="G139" s="850">
        <f>SUMIF($H$6:$AL$6,"&lt;="&amp;$C$7,H139:AL139)</f>
        <v>0</v>
      </c>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4"/>
    </row>
    <row r="140" spans="2:39" s="79" customFormat="1" ht="14.85" hidden="1" customHeight="1">
      <c r="B140" s="2719"/>
      <c r="C140" s="2783"/>
      <c r="D140" s="2784"/>
      <c r="E140" s="2756" t="s">
        <v>224</v>
      </c>
      <c r="F140" s="2757"/>
      <c r="G140" s="1106">
        <f>SUMIF($H$6:$AL$6,"&lt;="&amp;$C$7,H140:AL140)</f>
        <v>0</v>
      </c>
      <c r="H140" s="1102"/>
      <c r="I140" s="1103"/>
      <c r="J140" s="1103"/>
      <c r="K140" s="1103"/>
      <c r="L140" s="1103"/>
      <c r="M140" s="1103"/>
      <c r="N140" s="1103"/>
      <c r="O140" s="1103"/>
      <c r="P140" s="1103"/>
      <c r="Q140" s="1103"/>
      <c r="R140" s="1103"/>
      <c r="S140" s="1103"/>
      <c r="T140" s="1103"/>
      <c r="U140" s="1103"/>
      <c r="V140" s="1103"/>
      <c r="W140" s="1103"/>
      <c r="X140" s="1103"/>
      <c r="Y140" s="1103"/>
      <c r="Z140" s="1103"/>
      <c r="AA140" s="1103"/>
      <c r="AB140" s="1103"/>
      <c r="AC140" s="1103"/>
      <c r="AD140" s="1103"/>
      <c r="AE140" s="1103"/>
      <c r="AF140" s="1103"/>
      <c r="AG140" s="1103"/>
      <c r="AH140" s="1103"/>
      <c r="AI140" s="1103"/>
      <c r="AJ140" s="1103"/>
      <c r="AK140" s="1103"/>
      <c r="AL140" s="1104"/>
      <c r="AM140" s="85"/>
    </row>
    <row r="141" spans="2:39" s="79" customFormat="1" ht="14.85" hidden="1" customHeight="1" thickBot="1">
      <c r="B141" s="2720"/>
      <c r="C141" s="2785"/>
      <c r="D141" s="2786"/>
      <c r="E141" s="2758" t="s">
        <v>264</v>
      </c>
      <c r="F141" s="2759"/>
      <c r="G141" s="1044">
        <f t="shared" ref="G141" si="44">IFERROR((G140-G139)/G139,0)</f>
        <v>0</v>
      </c>
      <c r="H141" s="1107"/>
      <c r="I141" s="1108"/>
      <c r="J141" s="1108"/>
      <c r="K141" s="1108"/>
      <c r="L141" s="1108"/>
      <c r="M141" s="1108"/>
      <c r="N141" s="1108"/>
      <c r="O141" s="1108"/>
      <c r="P141" s="1108"/>
      <c r="Q141" s="1108"/>
      <c r="R141" s="1108"/>
      <c r="S141" s="1108"/>
      <c r="T141" s="1108"/>
      <c r="U141" s="1108"/>
      <c r="V141" s="1108"/>
      <c r="W141" s="1108"/>
      <c r="X141" s="1108"/>
      <c r="Y141" s="1108"/>
      <c r="Z141" s="1108"/>
      <c r="AA141" s="1112"/>
      <c r="AB141" s="1108"/>
      <c r="AC141" s="1108"/>
      <c r="AD141" s="1108"/>
      <c r="AE141" s="1108"/>
      <c r="AF141" s="1108"/>
      <c r="AG141" s="1108"/>
      <c r="AH141" s="1108"/>
      <c r="AI141" s="1108"/>
      <c r="AJ141" s="1108"/>
      <c r="AK141" s="1108"/>
      <c r="AL141" s="1114"/>
      <c r="AM141" s="85"/>
    </row>
    <row r="142" spans="2:39" s="79" customFormat="1" ht="13.35" hidden="1" customHeight="1">
      <c r="B142" s="2718"/>
      <c r="C142" s="2781"/>
      <c r="D142" s="2782"/>
      <c r="E142" s="2754" t="s">
        <v>223</v>
      </c>
      <c r="F142" s="2755"/>
      <c r="G142" s="850">
        <f>SUMIF($H$6:$AL$6,"&lt;="&amp;$C$7,H142:AL142)</f>
        <v>0</v>
      </c>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4"/>
    </row>
    <row r="143" spans="2:39" s="79" customFormat="1" ht="14.85" hidden="1" customHeight="1">
      <c r="B143" s="2719"/>
      <c r="C143" s="2783"/>
      <c r="D143" s="2784"/>
      <c r="E143" s="2756" t="s">
        <v>224</v>
      </c>
      <c r="F143" s="2757"/>
      <c r="G143" s="1106">
        <f>SUMIF($H$6:$AL$6,"&lt;="&amp;$C$7,H143:AL143)</f>
        <v>0</v>
      </c>
      <c r="H143" s="1102"/>
      <c r="I143" s="1103"/>
      <c r="J143" s="1103"/>
      <c r="K143" s="1103"/>
      <c r="L143" s="1103"/>
      <c r="M143" s="1103"/>
      <c r="N143" s="1103"/>
      <c r="O143" s="1103"/>
      <c r="P143" s="1103"/>
      <c r="Q143" s="1103"/>
      <c r="R143" s="1103"/>
      <c r="S143" s="1103"/>
      <c r="T143" s="1103"/>
      <c r="U143" s="1103"/>
      <c r="V143" s="1103"/>
      <c r="W143" s="1103"/>
      <c r="X143" s="1103"/>
      <c r="Y143" s="1103"/>
      <c r="Z143" s="1103"/>
      <c r="AA143" s="1103"/>
      <c r="AB143" s="1103"/>
      <c r="AC143" s="1103"/>
      <c r="AD143" s="1103"/>
      <c r="AE143" s="1103"/>
      <c r="AF143" s="1103"/>
      <c r="AG143" s="1103"/>
      <c r="AH143" s="1103"/>
      <c r="AI143" s="1103"/>
      <c r="AJ143" s="1103"/>
      <c r="AK143" s="1103"/>
      <c r="AL143" s="1104"/>
      <c r="AM143" s="85"/>
    </row>
    <row r="144" spans="2:39" s="79" customFormat="1" ht="14.7" hidden="1" customHeight="1" thickBot="1">
      <c r="B144" s="2720"/>
      <c r="C144" s="2785"/>
      <c r="D144" s="2786"/>
      <c r="E144" s="2758" t="s">
        <v>264</v>
      </c>
      <c r="F144" s="2759"/>
      <c r="G144" s="1044">
        <f t="shared" ref="G144" si="45">IFERROR((G143-G142)/G142,0)</f>
        <v>0</v>
      </c>
      <c r="H144" s="1107"/>
      <c r="I144" s="1108"/>
      <c r="J144" s="1108"/>
      <c r="K144" s="1108"/>
      <c r="L144" s="1108"/>
      <c r="M144" s="1108"/>
      <c r="N144" s="1108"/>
      <c r="O144" s="1108"/>
      <c r="P144" s="1108"/>
      <c r="Q144" s="1108"/>
      <c r="R144" s="1108"/>
      <c r="S144" s="1108"/>
      <c r="T144" s="1108"/>
      <c r="U144" s="1108"/>
      <c r="V144" s="1108"/>
      <c r="W144" s="1108"/>
      <c r="X144" s="1108"/>
      <c r="Y144" s="1108"/>
      <c r="Z144" s="1108"/>
      <c r="AA144" s="1108"/>
      <c r="AB144" s="1108"/>
      <c r="AC144" s="1108"/>
      <c r="AD144" s="1108"/>
      <c r="AE144" s="1108"/>
      <c r="AF144" s="1108"/>
      <c r="AG144" s="1108"/>
      <c r="AH144" s="1108"/>
      <c r="AI144" s="1108"/>
      <c r="AJ144" s="1108"/>
      <c r="AK144" s="1108"/>
      <c r="AL144" s="1114"/>
      <c r="AM144" s="85"/>
    </row>
    <row r="145" spans="2:39" s="79" customFormat="1" ht="14.7" hidden="1" customHeight="1">
      <c r="B145" s="2718"/>
      <c r="C145" s="2781"/>
      <c r="D145" s="2782"/>
      <c r="E145" s="2754" t="s">
        <v>223</v>
      </c>
      <c r="F145" s="2755"/>
      <c r="G145" s="850">
        <f>SUMIF($H$6:$AL$6,"&lt;="&amp;$C$7,H145:AL145)</f>
        <v>0</v>
      </c>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4"/>
    </row>
    <row r="146" spans="2:39" s="79" customFormat="1" ht="14.7" hidden="1" customHeight="1">
      <c r="B146" s="2719"/>
      <c r="C146" s="2783"/>
      <c r="D146" s="2784"/>
      <c r="E146" s="2756" t="s">
        <v>224</v>
      </c>
      <c r="F146" s="2757"/>
      <c r="G146" s="1106">
        <f>SUMIF($H$6:$AL$6,"&lt;="&amp;$C$7,H146:AL146)</f>
        <v>0</v>
      </c>
      <c r="H146" s="1102"/>
      <c r="I146" s="1103"/>
      <c r="J146" s="1103"/>
      <c r="K146" s="1103"/>
      <c r="L146" s="1103"/>
      <c r="M146" s="1103"/>
      <c r="N146" s="1103"/>
      <c r="O146" s="1103"/>
      <c r="P146" s="1103"/>
      <c r="Q146" s="1103"/>
      <c r="R146" s="1103"/>
      <c r="S146" s="1103"/>
      <c r="T146" s="1103"/>
      <c r="U146" s="1103"/>
      <c r="V146" s="1103"/>
      <c r="W146" s="1103"/>
      <c r="X146" s="1103"/>
      <c r="Y146" s="1103"/>
      <c r="Z146" s="1103"/>
      <c r="AA146" s="1103"/>
      <c r="AB146" s="1103"/>
      <c r="AC146" s="1103"/>
      <c r="AD146" s="1103"/>
      <c r="AE146" s="1103"/>
      <c r="AF146" s="1103"/>
      <c r="AG146" s="1103"/>
      <c r="AH146" s="1103"/>
      <c r="AI146" s="1103"/>
      <c r="AJ146" s="1103"/>
      <c r="AK146" s="1103"/>
      <c r="AL146" s="1104"/>
      <c r="AM146" s="85"/>
    </row>
    <row r="147" spans="2:39" s="79" customFormat="1" ht="14.7" hidden="1" customHeight="1" thickBot="1">
      <c r="B147" s="2720"/>
      <c r="C147" s="2785"/>
      <c r="D147" s="2786"/>
      <c r="E147" s="2758" t="s">
        <v>264</v>
      </c>
      <c r="F147" s="2759"/>
      <c r="G147" s="1044">
        <f t="shared" ref="G147" si="46">IFERROR((G146-G145)/G145,0)</f>
        <v>0</v>
      </c>
      <c r="H147" s="1107"/>
      <c r="I147" s="1108"/>
      <c r="J147" s="1108"/>
      <c r="K147" s="1108"/>
      <c r="L147" s="1108"/>
      <c r="M147" s="1108"/>
      <c r="N147" s="1108"/>
      <c r="O147" s="1108"/>
      <c r="P147" s="1108"/>
      <c r="Q147" s="1108"/>
      <c r="R147" s="1108"/>
      <c r="S147" s="1108"/>
      <c r="T147" s="1108"/>
      <c r="U147" s="1108"/>
      <c r="V147" s="1108"/>
      <c r="W147" s="1108"/>
      <c r="X147" s="1108"/>
      <c r="Y147" s="1108"/>
      <c r="Z147" s="1108"/>
      <c r="AA147" s="1108"/>
      <c r="AB147" s="1112"/>
      <c r="AC147" s="1108"/>
      <c r="AD147" s="1108"/>
      <c r="AE147" s="1108"/>
      <c r="AF147" s="1108"/>
      <c r="AG147" s="1108"/>
      <c r="AH147" s="1108"/>
      <c r="AI147" s="1108"/>
      <c r="AJ147" s="1108"/>
      <c r="AK147" s="1108"/>
      <c r="AL147" s="1114"/>
      <c r="AM147" s="85"/>
    </row>
    <row r="148" spans="2:39" s="79" customFormat="1" ht="14.7" hidden="1" customHeight="1">
      <c r="B148" s="2718"/>
      <c r="C148" s="2748"/>
      <c r="D148" s="2749"/>
      <c r="E148" s="2754" t="s">
        <v>223</v>
      </c>
      <c r="F148" s="2755"/>
      <c r="G148" s="850">
        <f>SUMIF($H$6:$AL$6,"&lt;="&amp;$C$7,H148:AL148)</f>
        <v>0</v>
      </c>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4"/>
    </row>
    <row r="149" spans="2:39" s="79" customFormat="1" ht="14.7" hidden="1" customHeight="1">
      <c r="B149" s="2719"/>
      <c r="C149" s="2750"/>
      <c r="D149" s="2751"/>
      <c r="E149" s="2756" t="s">
        <v>224</v>
      </c>
      <c r="F149" s="2757"/>
      <c r="G149" s="1106">
        <f>SUMIF($H$6:$AL$6,"&lt;="&amp;$C$7,H149:AL149)</f>
        <v>0</v>
      </c>
      <c r="H149" s="1102"/>
      <c r="I149" s="1103"/>
      <c r="J149" s="1103"/>
      <c r="K149" s="1103"/>
      <c r="L149" s="1103"/>
      <c r="M149" s="1103"/>
      <c r="N149" s="1103"/>
      <c r="O149" s="1103"/>
      <c r="P149" s="1103"/>
      <c r="Q149" s="1103"/>
      <c r="R149" s="1103"/>
      <c r="S149" s="1103"/>
      <c r="T149" s="1103"/>
      <c r="U149" s="1103"/>
      <c r="V149" s="1103"/>
      <c r="W149" s="1103"/>
      <c r="X149" s="1103"/>
      <c r="Y149" s="1103"/>
      <c r="Z149" s="1103"/>
      <c r="AA149" s="1103"/>
      <c r="AB149" s="1103"/>
      <c r="AC149" s="1103"/>
      <c r="AD149" s="1103"/>
      <c r="AE149" s="1103"/>
      <c r="AF149" s="1103"/>
      <c r="AG149" s="1103"/>
      <c r="AH149" s="1103"/>
      <c r="AI149" s="1103"/>
      <c r="AJ149" s="1103"/>
      <c r="AK149" s="1103"/>
      <c r="AL149" s="1104"/>
      <c r="AM149" s="85"/>
    </row>
    <row r="150" spans="2:39" s="79" customFormat="1" ht="14.7" hidden="1" customHeight="1" thickBot="1">
      <c r="B150" s="2720"/>
      <c r="C150" s="2752"/>
      <c r="D150" s="2753"/>
      <c r="E150" s="2758" t="s">
        <v>264</v>
      </c>
      <c r="F150" s="2759"/>
      <c r="G150" s="1044">
        <f t="shared" ref="G150" si="47">IFERROR((G149-G148)/G148,0)</f>
        <v>0</v>
      </c>
      <c r="H150" s="1107"/>
      <c r="I150" s="1108"/>
      <c r="J150" s="1108"/>
      <c r="K150" s="1108"/>
      <c r="L150" s="1108"/>
      <c r="M150" s="1108"/>
      <c r="N150" s="1108"/>
      <c r="O150" s="1108"/>
      <c r="P150" s="1108"/>
      <c r="Q150" s="1108"/>
      <c r="R150" s="1108"/>
      <c r="S150" s="1108"/>
      <c r="T150" s="1108"/>
      <c r="U150" s="1112"/>
      <c r="V150" s="1108"/>
      <c r="W150" s="1108"/>
      <c r="X150" s="1108"/>
      <c r="Y150" s="1108"/>
      <c r="Z150" s="1108"/>
      <c r="AA150" s="1108"/>
      <c r="AB150" s="1108"/>
      <c r="AC150" s="1112"/>
      <c r="AD150" s="1108"/>
      <c r="AE150" s="1108"/>
      <c r="AF150" s="1108"/>
      <c r="AG150" s="1108"/>
      <c r="AH150" s="1108"/>
      <c r="AI150" s="1108"/>
      <c r="AJ150" s="1108"/>
      <c r="AK150" s="1108"/>
      <c r="AL150" s="1114"/>
      <c r="AM150" s="85"/>
    </row>
    <row r="151" spans="2:39" s="79" customFormat="1" ht="14.7" hidden="1" customHeight="1">
      <c r="B151" s="2718"/>
      <c r="C151" s="2748"/>
      <c r="D151" s="2749"/>
      <c r="E151" s="2754" t="s">
        <v>223</v>
      </c>
      <c r="F151" s="2755"/>
      <c r="G151" s="850">
        <f>SUMIF($H$6:$AL$6,"&lt;="&amp;$C$7,H151:AL151)</f>
        <v>0</v>
      </c>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4"/>
    </row>
    <row r="152" spans="2:39" s="79" customFormat="1" ht="14.7" hidden="1" customHeight="1">
      <c r="B152" s="2719"/>
      <c r="C152" s="2750"/>
      <c r="D152" s="2751"/>
      <c r="E152" s="2756" t="s">
        <v>224</v>
      </c>
      <c r="F152" s="2757"/>
      <c r="G152" s="1106">
        <f>SUMIF($H$6:$AL$6,"&lt;="&amp;$C$7,H152:AL152)</f>
        <v>0</v>
      </c>
      <c r="H152" s="1102"/>
      <c r="I152" s="1103"/>
      <c r="J152" s="1103"/>
      <c r="K152" s="1103"/>
      <c r="L152" s="1103"/>
      <c r="M152" s="1103"/>
      <c r="N152" s="1103"/>
      <c r="O152" s="1103"/>
      <c r="P152" s="1103"/>
      <c r="Q152" s="1103"/>
      <c r="R152" s="1103"/>
      <c r="S152" s="1103"/>
      <c r="T152" s="1103"/>
      <c r="U152" s="1103"/>
      <c r="V152" s="1103"/>
      <c r="W152" s="1103"/>
      <c r="X152" s="1103"/>
      <c r="Y152" s="1103"/>
      <c r="Z152" s="1103"/>
      <c r="AA152" s="1103"/>
      <c r="AB152" s="1103"/>
      <c r="AC152" s="1103"/>
      <c r="AD152" s="1103"/>
      <c r="AE152" s="1103"/>
      <c r="AF152" s="1103"/>
      <c r="AG152" s="1103"/>
      <c r="AH152" s="1103"/>
      <c r="AI152" s="1103"/>
      <c r="AJ152" s="1103"/>
      <c r="AK152" s="1103"/>
      <c r="AL152" s="1104"/>
      <c r="AM152" s="85"/>
    </row>
    <row r="153" spans="2:39" s="79" customFormat="1" ht="14.7" hidden="1" customHeight="1" thickBot="1">
      <c r="B153" s="2720"/>
      <c r="C153" s="2752"/>
      <c r="D153" s="2753"/>
      <c r="E153" s="2758" t="s">
        <v>264</v>
      </c>
      <c r="F153" s="2759"/>
      <c r="G153" s="1044">
        <f t="shared" ref="G153" si="48">IFERROR((G152-G151)/G151,0)</f>
        <v>0</v>
      </c>
      <c r="H153" s="1107"/>
      <c r="I153" s="1108"/>
      <c r="J153" s="1108"/>
      <c r="K153" s="2771"/>
      <c r="L153" s="2778"/>
      <c r="M153" s="1108"/>
      <c r="N153" s="1108"/>
      <c r="O153" s="1108"/>
      <c r="P153" s="1108"/>
      <c r="Q153" s="1108"/>
      <c r="R153" s="1108"/>
      <c r="S153" s="1108"/>
      <c r="T153" s="1108"/>
      <c r="U153" s="1108"/>
      <c r="V153" s="1108"/>
      <c r="W153" s="1108"/>
      <c r="X153" s="1108"/>
      <c r="Y153" s="1108"/>
      <c r="Z153" s="1108"/>
      <c r="AA153" s="1108"/>
      <c r="AB153" s="1108"/>
      <c r="AC153" s="1108"/>
      <c r="AD153" s="1108"/>
      <c r="AE153" s="1108"/>
      <c r="AF153" s="1108"/>
      <c r="AG153" s="1108"/>
      <c r="AH153" s="1108"/>
      <c r="AI153" s="1108"/>
      <c r="AJ153" s="1108"/>
      <c r="AK153" s="1108"/>
      <c r="AL153" s="1114"/>
      <c r="AM153" s="85"/>
    </row>
    <row r="154" spans="2:39" s="79" customFormat="1" ht="14.7" hidden="1" customHeight="1">
      <c r="B154" s="2718"/>
      <c r="C154" s="2748"/>
      <c r="D154" s="2749"/>
      <c r="E154" s="2754" t="s">
        <v>223</v>
      </c>
      <c r="F154" s="2755"/>
      <c r="G154" s="850">
        <f>SUMIF($H$6:$AL$6,"&lt;="&amp;$C$7,H154:AL154)</f>
        <v>0</v>
      </c>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4"/>
    </row>
    <row r="155" spans="2:39" s="79" customFormat="1" ht="14.7" hidden="1" customHeight="1">
      <c r="B155" s="2719"/>
      <c r="C155" s="2750"/>
      <c r="D155" s="2751"/>
      <c r="E155" s="2756" t="s">
        <v>224</v>
      </c>
      <c r="F155" s="2757"/>
      <c r="G155" s="1106">
        <f>SUMIF($H$6:$AL$6,"&lt;="&amp;$C$7,H155:AL155)</f>
        <v>0</v>
      </c>
      <c r="H155" s="1102"/>
      <c r="I155" s="1103"/>
      <c r="J155" s="1103"/>
      <c r="K155" s="1103"/>
      <c r="L155" s="1103"/>
      <c r="M155" s="1103"/>
      <c r="N155" s="1103"/>
      <c r="O155" s="1103"/>
      <c r="P155" s="1103"/>
      <c r="Q155" s="1103"/>
      <c r="R155" s="1103"/>
      <c r="S155" s="1103"/>
      <c r="T155" s="1103"/>
      <c r="U155" s="1103"/>
      <c r="V155" s="1103"/>
      <c r="W155" s="1103"/>
      <c r="X155" s="1103"/>
      <c r="Y155" s="1103"/>
      <c r="Z155" s="1103"/>
      <c r="AA155" s="1103"/>
      <c r="AB155" s="1103"/>
      <c r="AC155" s="1103"/>
      <c r="AD155" s="1103"/>
      <c r="AE155" s="1103"/>
      <c r="AF155" s="1103"/>
      <c r="AG155" s="1103"/>
      <c r="AH155" s="1103"/>
      <c r="AI155" s="1103"/>
      <c r="AJ155" s="1103"/>
      <c r="AK155" s="1103"/>
      <c r="AL155" s="1104"/>
      <c r="AM155" s="85"/>
    </row>
    <row r="156" spans="2:39" s="79" customFormat="1" ht="14.7" hidden="1" customHeight="1" thickBot="1">
      <c r="B156" s="2720"/>
      <c r="C156" s="2752"/>
      <c r="D156" s="2753"/>
      <c r="E156" s="2758" t="s">
        <v>264</v>
      </c>
      <c r="F156" s="2759"/>
      <c r="G156" s="1044">
        <f t="shared" ref="G156" si="49">IFERROR((G155-G154)/G154,0)</f>
        <v>0</v>
      </c>
      <c r="H156" s="1107"/>
      <c r="I156" s="1108"/>
      <c r="J156" s="1108"/>
      <c r="K156" s="1108"/>
      <c r="L156" s="1108"/>
      <c r="M156" s="1108"/>
      <c r="N156" s="1108"/>
      <c r="O156" s="1108"/>
      <c r="P156" s="1108"/>
      <c r="Q156" s="1108"/>
      <c r="R156" s="1108"/>
      <c r="S156" s="1108"/>
      <c r="T156" s="1108"/>
      <c r="U156" s="1108"/>
      <c r="V156" s="1108"/>
      <c r="W156" s="1108"/>
      <c r="X156" s="1108"/>
      <c r="Y156" s="1108"/>
      <c r="Z156" s="1108"/>
      <c r="AA156" s="1108"/>
      <c r="AB156" s="1108"/>
      <c r="AC156" s="1108"/>
      <c r="AD156" s="1108"/>
      <c r="AE156" s="1108"/>
      <c r="AF156" s="1108"/>
      <c r="AG156" s="1108"/>
      <c r="AH156" s="1108"/>
      <c r="AI156" s="1108"/>
      <c r="AJ156" s="1108"/>
      <c r="AK156" s="1108"/>
      <c r="AL156" s="1114"/>
      <c r="AM156" s="85"/>
    </row>
    <row r="157" spans="2:39" s="79" customFormat="1" ht="14.7" hidden="1" customHeight="1">
      <c r="B157" s="2718"/>
      <c r="C157" s="2748"/>
      <c r="D157" s="2749"/>
      <c r="E157" s="2754" t="s">
        <v>223</v>
      </c>
      <c r="F157" s="2755"/>
      <c r="G157" s="850">
        <f>SUMIF($H$6:$AL$6,"&lt;="&amp;$C$7,H157:AL157)</f>
        <v>0</v>
      </c>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4"/>
    </row>
    <row r="158" spans="2:39" s="79" customFormat="1" ht="14.7" hidden="1" customHeight="1">
      <c r="B158" s="2719"/>
      <c r="C158" s="2750"/>
      <c r="D158" s="2751"/>
      <c r="E158" s="2756" t="s">
        <v>224</v>
      </c>
      <c r="F158" s="2757"/>
      <c r="G158" s="1106">
        <f>SUMIF($H$6:$AL$6,"&lt;="&amp;$C$7,H158:AL158)</f>
        <v>0</v>
      </c>
      <c r="H158" s="1102"/>
      <c r="I158" s="1103"/>
      <c r="J158" s="1103"/>
      <c r="K158" s="1103"/>
      <c r="L158" s="1103"/>
      <c r="M158" s="1103"/>
      <c r="N158" s="1103"/>
      <c r="O158" s="1103"/>
      <c r="P158" s="1103"/>
      <c r="Q158" s="1103"/>
      <c r="R158" s="1103"/>
      <c r="S158" s="1103"/>
      <c r="T158" s="1103"/>
      <c r="U158" s="1103"/>
      <c r="V158" s="1103"/>
      <c r="W158" s="1103"/>
      <c r="X158" s="1103"/>
      <c r="Y158" s="1103"/>
      <c r="Z158" s="1103"/>
      <c r="AA158" s="1103"/>
      <c r="AB158" s="1103"/>
      <c r="AC158" s="1103"/>
      <c r="AD158" s="1103"/>
      <c r="AE158" s="1103"/>
      <c r="AF158" s="1103"/>
      <c r="AG158" s="1103"/>
      <c r="AH158" s="1103"/>
      <c r="AI158" s="1103"/>
      <c r="AJ158" s="1103"/>
      <c r="AK158" s="1103"/>
      <c r="AL158" s="1104"/>
      <c r="AM158" s="85"/>
    </row>
    <row r="159" spans="2:39" s="79" customFormat="1" ht="14.7" hidden="1" customHeight="1" thickBot="1">
      <c r="B159" s="2720"/>
      <c r="C159" s="2752"/>
      <c r="D159" s="2753"/>
      <c r="E159" s="2758" t="s">
        <v>264</v>
      </c>
      <c r="F159" s="2759"/>
      <c r="G159" s="1044">
        <f t="shared" ref="G159" si="50">IFERROR((G158-G157)/G157,0)</f>
        <v>0</v>
      </c>
      <c r="H159" s="1107"/>
      <c r="I159" s="1108"/>
      <c r="J159" s="1108"/>
      <c r="K159" s="1108"/>
      <c r="L159" s="1108"/>
      <c r="M159" s="1108"/>
      <c r="N159" s="1108"/>
      <c r="O159" s="1108"/>
      <c r="P159" s="1108"/>
      <c r="Q159" s="1108"/>
      <c r="R159" s="1108"/>
      <c r="S159" s="1108"/>
      <c r="T159" s="1108"/>
      <c r="U159" s="1108"/>
      <c r="V159" s="1108"/>
      <c r="W159" s="1108"/>
      <c r="X159" s="1108"/>
      <c r="Y159" s="1108"/>
      <c r="Z159" s="1108"/>
      <c r="AA159" s="1108"/>
      <c r="AB159" s="1108"/>
      <c r="AC159" s="1108"/>
      <c r="AD159" s="1108"/>
      <c r="AE159" s="1108"/>
      <c r="AF159" s="1108"/>
      <c r="AG159" s="1108"/>
      <c r="AH159" s="1108"/>
      <c r="AI159" s="1108"/>
      <c r="AJ159" s="1108"/>
      <c r="AK159" s="1108"/>
      <c r="AL159" s="1114"/>
      <c r="AM159" s="85"/>
    </row>
    <row r="160" spans="2:39" s="79" customFormat="1" ht="14.7" hidden="1" customHeight="1">
      <c r="B160" s="2718"/>
      <c r="C160" s="2748"/>
      <c r="D160" s="2749"/>
      <c r="E160" s="2754" t="s">
        <v>223</v>
      </c>
      <c r="F160" s="2755"/>
      <c r="G160" s="850">
        <f>SUMIF($H$6:$AL$6,"&lt;="&amp;$C$7,H160:AL160)</f>
        <v>0</v>
      </c>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4"/>
    </row>
    <row r="161" spans="2:39" s="79" customFormat="1" ht="14.7" hidden="1" customHeight="1">
      <c r="B161" s="2719"/>
      <c r="C161" s="2750"/>
      <c r="D161" s="2751"/>
      <c r="E161" s="2756" t="s">
        <v>224</v>
      </c>
      <c r="F161" s="2757"/>
      <c r="G161" s="1106">
        <f>SUMIF($H$6:$AL$6,"&lt;="&amp;$C$7,H161:AL161)</f>
        <v>0</v>
      </c>
      <c r="H161" s="1102"/>
      <c r="I161" s="1103"/>
      <c r="J161" s="1103"/>
      <c r="K161" s="1103"/>
      <c r="L161" s="1103"/>
      <c r="M161" s="1103"/>
      <c r="N161" s="1103"/>
      <c r="O161" s="1103"/>
      <c r="P161" s="1103"/>
      <c r="Q161" s="1103"/>
      <c r="R161" s="1103"/>
      <c r="S161" s="1103"/>
      <c r="T161" s="1103"/>
      <c r="U161" s="1103"/>
      <c r="V161" s="1103"/>
      <c r="W161" s="1103"/>
      <c r="X161" s="1103"/>
      <c r="Y161" s="1103"/>
      <c r="Z161" s="1103"/>
      <c r="AA161" s="1103"/>
      <c r="AB161" s="1103"/>
      <c r="AC161" s="1103"/>
      <c r="AD161" s="1103"/>
      <c r="AE161" s="1103"/>
      <c r="AF161" s="1103"/>
      <c r="AG161" s="1103"/>
      <c r="AH161" s="1103"/>
      <c r="AI161" s="1103"/>
      <c r="AJ161" s="1103"/>
      <c r="AK161" s="1103"/>
      <c r="AL161" s="1104"/>
      <c r="AM161" s="85"/>
    </row>
    <row r="162" spans="2:39" s="79" customFormat="1" ht="14.7" hidden="1" customHeight="1" thickBot="1">
      <c r="B162" s="2720"/>
      <c r="C162" s="2752"/>
      <c r="D162" s="2753"/>
      <c r="E162" s="2758" t="s">
        <v>264</v>
      </c>
      <c r="F162" s="2759"/>
      <c r="G162" s="1044">
        <f t="shared" ref="G162" si="51">IFERROR((G161-G160)/G160,0)</f>
        <v>0</v>
      </c>
      <c r="H162" s="1107"/>
      <c r="I162" s="1108"/>
      <c r="J162" s="1108"/>
      <c r="K162" s="1108"/>
      <c r="L162" s="1108"/>
      <c r="M162" s="1108"/>
      <c r="N162" s="1108"/>
      <c r="O162" s="1108"/>
      <c r="P162" s="1108"/>
      <c r="Q162" s="1108"/>
      <c r="R162" s="1108"/>
      <c r="S162" s="1108"/>
      <c r="T162" s="1108"/>
      <c r="U162" s="1108"/>
      <c r="V162" s="1108"/>
      <c r="W162" s="1108"/>
      <c r="X162" s="1112"/>
      <c r="Y162" s="1108"/>
      <c r="Z162" s="1108"/>
      <c r="AA162" s="1108"/>
      <c r="AB162" s="1108"/>
      <c r="AC162" s="1108"/>
      <c r="AD162" s="1108"/>
      <c r="AE162" s="1108"/>
      <c r="AF162" s="1108"/>
      <c r="AG162" s="1108"/>
      <c r="AH162" s="1108"/>
      <c r="AI162" s="1108"/>
      <c r="AJ162" s="1108"/>
      <c r="AK162" s="1108"/>
      <c r="AL162" s="1114"/>
      <c r="AM162" s="85"/>
    </row>
    <row r="163" spans="2:39" s="79" customFormat="1" ht="14.7" hidden="1" customHeight="1">
      <c r="B163" s="2718"/>
      <c r="C163" s="2748"/>
      <c r="D163" s="2749"/>
      <c r="E163" s="2754" t="s">
        <v>223</v>
      </c>
      <c r="F163" s="2755"/>
      <c r="G163" s="850">
        <f>SUMIF($H$6:$AL$6,"&lt;="&amp;$C$7,H163:AL163)</f>
        <v>0</v>
      </c>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4"/>
    </row>
    <row r="164" spans="2:39" s="79" customFormat="1" ht="14.7" hidden="1" customHeight="1">
      <c r="B164" s="2719"/>
      <c r="C164" s="2750"/>
      <c r="D164" s="2751"/>
      <c r="E164" s="2756" t="s">
        <v>224</v>
      </c>
      <c r="F164" s="2757"/>
      <c r="G164" s="1106">
        <f>SUMIF($H$6:$AL$6,"&lt;="&amp;$C$7,H164:AL164)</f>
        <v>0</v>
      </c>
      <c r="H164" s="1102"/>
      <c r="I164" s="1103"/>
      <c r="J164" s="1103"/>
      <c r="K164" s="1103"/>
      <c r="L164" s="1103"/>
      <c r="M164" s="1103"/>
      <c r="N164" s="1103"/>
      <c r="O164" s="1103"/>
      <c r="P164" s="1103"/>
      <c r="Q164" s="1103"/>
      <c r="R164" s="1103"/>
      <c r="S164" s="1103"/>
      <c r="T164" s="1103"/>
      <c r="U164" s="1103"/>
      <c r="V164" s="1103"/>
      <c r="W164" s="1103"/>
      <c r="X164" s="1103"/>
      <c r="Y164" s="1103"/>
      <c r="Z164" s="1103"/>
      <c r="AA164" s="1103"/>
      <c r="AB164" s="1103"/>
      <c r="AC164" s="1103"/>
      <c r="AD164" s="1103"/>
      <c r="AE164" s="1103"/>
      <c r="AF164" s="1103"/>
      <c r="AG164" s="1103"/>
      <c r="AH164" s="1103"/>
      <c r="AI164" s="1103"/>
      <c r="AJ164" s="1103"/>
      <c r="AK164" s="1103"/>
      <c r="AL164" s="1104"/>
      <c r="AM164" s="85"/>
    </row>
    <row r="165" spans="2:39" s="79" customFormat="1" ht="14.7" hidden="1" customHeight="1" thickBot="1">
      <c r="B165" s="2720"/>
      <c r="C165" s="2752"/>
      <c r="D165" s="2753"/>
      <c r="E165" s="2758" t="s">
        <v>264</v>
      </c>
      <c r="F165" s="2759"/>
      <c r="G165" s="1044">
        <f t="shared" ref="G165" si="52">IFERROR((G164-G163)/G163,0)</f>
        <v>0</v>
      </c>
      <c r="H165" s="1107"/>
      <c r="I165" s="1108"/>
      <c r="J165" s="1108"/>
      <c r="K165" s="1108"/>
      <c r="L165" s="1108"/>
      <c r="M165" s="1108"/>
      <c r="N165" s="1108"/>
      <c r="O165" s="1108"/>
      <c r="P165" s="1108"/>
      <c r="Q165" s="1108"/>
      <c r="R165" s="1108"/>
      <c r="S165" s="1108"/>
      <c r="T165" s="1108"/>
      <c r="U165" s="1108"/>
      <c r="V165" s="1108"/>
      <c r="W165" s="1108"/>
      <c r="X165" s="1108"/>
      <c r="Y165" s="1108"/>
      <c r="Z165" s="1108"/>
      <c r="AA165" s="1108"/>
      <c r="AB165" s="1108"/>
      <c r="AC165" s="1108"/>
      <c r="AD165" s="1108"/>
      <c r="AE165" s="1108"/>
      <c r="AF165" s="1108"/>
      <c r="AG165" s="1108"/>
      <c r="AH165" s="1108"/>
      <c r="AI165" s="1108"/>
      <c r="AJ165" s="1108"/>
      <c r="AK165" s="1108"/>
      <c r="AL165" s="1114"/>
      <c r="AM165" s="85"/>
    </row>
    <row r="166" spans="2:39" s="79" customFormat="1" ht="14.7" hidden="1" customHeight="1">
      <c r="B166" s="2718"/>
      <c r="C166" s="2748"/>
      <c r="D166" s="2749"/>
      <c r="E166" s="2754" t="s">
        <v>223</v>
      </c>
      <c r="F166" s="2755"/>
      <c r="G166" s="850">
        <f>SUMIF($H$6:$AL$6,"&lt;="&amp;$C$7,H166:AL166)</f>
        <v>0</v>
      </c>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4"/>
    </row>
    <row r="167" spans="2:39" s="79" customFormat="1" ht="14.7" hidden="1" customHeight="1">
      <c r="B167" s="2719"/>
      <c r="C167" s="2750"/>
      <c r="D167" s="2751"/>
      <c r="E167" s="2756" t="s">
        <v>224</v>
      </c>
      <c r="F167" s="2757"/>
      <c r="G167" s="1106">
        <f>SUMIF($H$6:$AL$6,"&lt;="&amp;$C$7,H167:AL167)</f>
        <v>0</v>
      </c>
      <c r="H167" s="1102"/>
      <c r="I167" s="1103"/>
      <c r="J167" s="1103"/>
      <c r="K167" s="1103"/>
      <c r="L167" s="1103"/>
      <c r="M167" s="1103"/>
      <c r="N167" s="1103"/>
      <c r="O167" s="1103"/>
      <c r="P167" s="1103"/>
      <c r="Q167" s="1103"/>
      <c r="R167" s="1103"/>
      <c r="S167" s="1103"/>
      <c r="T167" s="1103"/>
      <c r="U167" s="1103"/>
      <c r="V167" s="1103"/>
      <c r="W167" s="1103"/>
      <c r="X167" s="1103"/>
      <c r="Y167" s="1103"/>
      <c r="Z167" s="1103"/>
      <c r="AA167" s="1103"/>
      <c r="AB167" s="1103"/>
      <c r="AC167" s="1103"/>
      <c r="AD167" s="1103"/>
      <c r="AE167" s="1103"/>
      <c r="AF167" s="1103"/>
      <c r="AG167" s="1103"/>
      <c r="AH167" s="1103"/>
      <c r="AI167" s="1103"/>
      <c r="AJ167" s="1103"/>
      <c r="AK167" s="1103"/>
      <c r="AL167" s="1104"/>
      <c r="AM167" s="85"/>
    </row>
    <row r="168" spans="2:39" s="79" customFormat="1" ht="14.7" hidden="1" customHeight="1" thickBot="1">
      <c r="B168" s="2720"/>
      <c r="C168" s="2752"/>
      <c r="D168" s="2753"/>
      <c r="E168" s="2758" t="s">
        <v>264</v>
      </c>
      <c r="F168" s="2759"/>
      <c r="G168" s="1044">
        <f t="shared" ref="G168" si="53">IFERROR((G167-G166)/G166,0)</f>
        <v>0</v>
      </c>
      <c r="H168" s="1107"/>
      <c r="I168" s="1108"/>
      <c r="J168" s="1108"/>
      <c r="K168" s="1108"/>
      <c r="L168" s="1108"/>
      <c r="M168" s="1108"/>
      <c r="N168" s="1108"/>
      <c r="O168" s="1108"/>
      <c r="P168" s="1108"/>
      <c r="Q168" s="1108"/>
      <c r="R168" s="1108"/>
      <c r="S168" s="1108"/>
      <c r="T168" s="1108"/>
      <c r="U168" s="1108"/>
      <c r="V168" s="1108"/>
      <c r="W168" s="1108"/>
      <c r="X168" s="1108"/>
      <c r="Y168" s="1108"/>
      <c r="Z168" s="1108"/>
      <c r="AA168" s="1108"/>
      <c r="AB168" s="1108"/>
      <c r="AC168" s="1108"/>
      <c r="AD168" s="1108"/>
      <c r="AE168" s="1108"/>
      <c r="AF168" s="1108"/>
      <c r="AG168" s="1108"/>
      <c r="AH168" s="1108"/>
      <c r="AI168" s="1108"/>
      <c r="AJ168" s="1108"/>
      <c r="AK168" s="1108"/>
      <c r="AL168" s="1114"/>
      <c r="AM168" s="85"/>
    </row>
    <row r="169" spans="2:39" s="79" customFormat="1" ht="14.7" hidden="1" customHeight="1">
      <c r="B169" s="2718"/>
      <c r="C169" s="2748"/>
      <c r="D169" s="2749"/>
      <c r="E169" s="2754" t="s">
        <v>223</v>
      </c>
      <c r="F169" s="2755"/>
      <c r="G169" s="850">
        <f>SUMIF($H$6:$AL$6,"&lt;="&amp;$C$7,H169:AL169)</f>
        <v>0</v>
      </c>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4"/>
    </row>
    <row r="170" spans="2:39" s="79" customFormat="1" ht="14.7" hidden="1" customHeight="1">
      <c r="B170" s="2719"/>
      <c r="C170" s="2750"/>
      <c r="D170" s="2751"/>
      <c r="E170" s="2756" t="s">
        <v>224</v>
      </c>
      <c r="F170" s="2757"/>
      <c r="G170" s="1106">
        <f>SUMIF($H$6:$AL$6,"&lt;="&amp;$C$7,H170:AL170)</f>
        <v>0</v>
      </c>
      <c r="H170" s="1102"/>
      <c r="I170" s="1103"/>
      <c r="J170" s="1103"/>
      <c r="K170" s="1103"/>
      <c r="L170" s="1103"/>
      <c r="M170" s="1103"/>
      <c r="N170" s="1103"/>
      <c r="O170" s="1103"/>
      <c r="P170" s="1103"/>
      <c r="Q170" s="1103"/>
      <c r="R170" s="1103"/>
      <c r="S170" s="1103"/>
      <c r="T170" s="1103"/>
      <c r="U170" s="1103"/>
      <c r="V170" s="1103"/>
      <c r="W170" s="1103"/>
      <c r="X170" s="1103"/>
      <c r="Y170" s="1103"/>
      <c r="Z170" s="1103"/>
      <c r="AA170" s="1103"/>
      <c r="AB170" s="1103"/>
      <c r="AC170" s="1103"/>
      <c r="AD170" s="1103"/>
      <c r="AE170" s="1103"/>
      <c r="AF170" s="1103"/>
      <c r="AG170" s="1103"/>
      <c r="AH170" s="1103"/>
      <c r="AI170" s="1103"/>
      <c r="AJ170" s="1103"/>
      <c r="AK170" s="1103"/>
      <c r="AL170" s="1104"/>
      <c r="AM170" s="85"/>
    </row>
    <row r="171" spans="2:39" s="79" customFormat="1" ht="14.7" hidden="1" customHeight="1" thickBot="1">
      <c r="B171" s="2720"/>
      <c r="C171" s="2752"/>
      <c r="D171" s="2753"/>
      <c r="E171" s="2758" t="s">
        <v>264</v>
      </c>
      <c r="F171" s="2759"/>
      <c r="G171" s="1044">
        <f t="shared" ref="G171" si="54">IFERROR((G170-G169)/G169,0)</f>
        <v>0</v>
      </c>
      <c r="H171" s="1107"/>
      <c r="I171" s="1108"/>
      <c r="J171" s="1108"/>
      <c r="K171" s="1108"/>
      <c r="L171" s="1112"/>
      <c r="M171" s="1108"/>
      <c r="N171" s="1108"/>
      <c r="O171" s="1108"/>
      <c r="P171" s="1108"/>
      <c r="Q171" s="1108"/>
      <c r="R171" s="1108"/>
      <c r="S171" s="1108"/>
      <c r="T171" s="1108"/>
      <c r="U171" s="1108"/>
      <c r="V171" s="1108"/>
      <c r="W171" s="1108"/>
      <c r="X171" s="1108"/>
      <c r="Y171" s="1108"/>
      <c r="Z171" s="1108"/>
      <c r="AA171" s="1112"/>
      <c r="AB171" s="1108"/>
      <c r="AC171" s="1108"/>
      <c r="AD171" s="1108"/>
      <c r="AE171" s="1108"/>
      <c r="AF171" s="1108"/>
      <c r="AG171" s="1108"/>
      <c r="AH171" s="1108"/>
      <c r="AI171" s="1108"/>
      <c r="AJ171" s="1108"/>
      <c r="AK171" s="1108"/>
      <c r="AL171" s="1114"/>
      <c r="AM171" s="85"/>
    </row>
    <row r="172" spans="2:39" s="79" customFormat="1" ht="14.7" hidden="1" customHeight="1">
      <c r="B172" s="2718"/>
      <c r="C172" s="2748"/>
      <c r="D172" s="2749"/>
      <c r="E172" s="2754" t="s">
        <v>223</v>
      </c>
      <c r="F172" s="2755"/>
      <c r="G172" s="850">
        <f>SUMIF($H$6:$AL$6,"&lt;="&amp;$C$7,H172:AL172)</f>
        <v>0</v>
      </c>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4"/>
    </row>
    <row r="173" spans="2:39" s="79" customFormat="1" ht="14.7" hidden="1" customHeight="1">
      <c r="B173" s="2719"/>
      <c r="C173" s="2750"/>
      <c r="D173" s="2751"/>
      <c r="E173" s="2756" t="s">
        <v>224</v>
      </c>
      <c r="F173" s="2757"/>
      <c r="G173" s="1106">
        <f>SUMIF($H$6:$AL$6,"&lt;="&amp;$C$7,H173:AL173)</f>
        <v>0</v>
      </c>
      <c r="H173" s="1102"/>
      <c r="I173" s="1103"/>
      <c r="J173" s="1103"/>
      <c r="K173" s="1103"/>
      <c r="L173" s="1103"/>
      <c r="M173" s="1103"/>
      <c r="N173" s="1103"/>
      <c r="O173" s="1103"/>
      <c r="P173" s="1103"/>
      <c r="Q173" s="1103"/>
      <c r="R173" s="1103"/>
      <c r="S173" s="1103"/>
      <c r="T173" s="1103"/>
      <c r="U173" s="1103"/>
      <c r="V173" s="1103"/>
      <c r="W173" s="1103"/>
      <c r="X173" s="1103"/>
      <c r="Y173" s="1103"/>
      <c r="Z173" s="1103"/>
      <c r="AA173" s="1103"/>
      <c r="AB173" s="1103"/>
      <c r="AC173" s="1103"/>
      <c r="AD173" s="1103"/>
      <c r="AE173" s="1103"/>
      <c r="AF173" s="1103"/>
      <c r="AG173" s="1103"/>
      <c r="AH173" s="1103"/>
      <c r="AI173" s="1103"/>
      <c r="AJ173" s="1103"/>
      <c r="AK173" s="1103"/>
      <c r="AL173" s="1104"/>
      <c r="AM173" s="85"/>
    </row>
    <row r="174" spans="2:39" s="79" customFormat="1" ht="14.7" hidden="1" customHeight="1" thickBot="1">
      <c r="B174" s="2720"/>
      <c r="C174" s="2752"/>
      <c r="D174" s="2753"/>
      <c r="E174" s="2758" t="s">
        <v>264</v>
      </c>
      <c r="F174" s="2759"/>
      <c r="G174" s="1044">
        <f t="shared" ref="G174" si="55">IFERROR((G173-G172)/G172,0)</f>
        <v>0</v>
      </c>
      <c r="H174" s="1107"/>
      <c r="I174" s="1108"/>
      <c r="J174" s="1108"/>
      <c r="K174" s="1108"/>
      <c r="L174" s="1108"/>
      <c r="M174" s="1108"/>
      <c r="N174" s="1108"/>
      <c r="O174" s="1108"/>
      <c r="P174" s="1108"/>
      <c r="Q174" s="1108"/>
      <c r="R174" s="1108"/>
      <c r="S174" s="1108"/>
      <c r="T174" s="1108"/>
      <c r="U174" s="1108"/>
      <c r="V174" s="1108"/>
      <c r="W174" s="1108"/>
      <c r="X174" s="1108"/>
      <c r="Y174" s="1108"/>
      <c r="Z174" s="1108"/>
      <c r="AA174" s="1108"/>
      <c r="AB174" s="1108"/>
      <c r="AC174" s="1108"/>
      <c r="AD174" s="1108"/>
      <c r="AE174" s="1108"/>
      <c r="AF174" s="1108"/>
      <c r="AG174" s="1108"/>
      <c r="AH174" s="1108"/>
      <c r="AI174" s="1108"/>
      <c r="AJ174" s="1108"/>
      <c r="AK174" s="1108"/>
      <c r="AL174" s="1114"/>
      <c r="AM174" s="85"/>
    </row>
    <row r="175" spans="2:39" s="79" customFormat="1" ht="14.7" hidden="1" customHeight="1">
      <c r="B175" s="2718"/>
      <c r="C175" s="2748"/>
      <c r="D175" s="2749"/>
      <c r="E175" s="2754" t="s">
        <v>223</v>
      </c>
      <c r="F175" s="2755"/>
      <c r="G175" s="850">
        <f>SUMIF($H$6:$AL$6,"&lt;="&amp;$C$7,H175:AL175)</f>
        <v>0</v>
      </c>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4"/>
    </row>
    <row r="176" spans="2:39" s="79" customFormat="1" ht="14.7" hidden="1" customHeight="1">
      <c r="B176" s="2719"/>
      <c r="C176" s="2750"/>
      <c r="D176" s="2751"/>
      <c r="E176" s="2756" t="s">
        <v>224</v>
      </c>
      <c r="F176" s="2757"/>
      <c r="G176" s="1106">
        <f>SUMIF($H$6:$AL$6,"&lt;="&amp;$C$7,H176:AL176)</f>
        <v>0</v>
      </c>
      <c r="H176" s="1102"/>
      <c r="I176" s="1103"/>
      <c r="J176" s="1103"/>
      <c r="K176" s="1103"/>
      <c r="L176" s="1103"/>
      <c r="M176" s="1103"/>
      <c r="N176" s="1103"/>
      <c r="O176" s="1103"/>
      <c r="P176" s="1103"/>
      <c r="Q176" s="1103"/>
      <c r="R176" s="1103"/>
      <c r="S176" s="1103"/>
      <c r="T176" s="1103"/>
      <c r="U176" s="1103"/>
      <c r="V176" s="1103"/>
      <c r="W176" s="1103"/>
      <c r="X176" s="1103"/>
      <c r="Y176" s="1103"/>
      <c r="Z176" s="1103"/>
      <c r="AA176" s="1103"/>
      <c r="AB176" s="1103"/>
      <c r="AC176" s="1103"/>
      <c r="AD176" s="1103"/>
      <c r="AE176" s="1103"/>
      <c r="AF176" s="1103"/>
      <c r="AG176" s="1103"/>
      <c r="AH176" s="1103"/>
      <c r="AI176" s="1103"/>
      <c r="AJ176" s="1103"/>
      <c r="AK176" s="1103"/>
      <c r="AL176" s="1104"/>
      <c r="AM176" s="85"/>
    </row>
    <row r="177" spans="2:39" s="79" customFormat="1" ht="14.7" hidden="1" customHeight="1" thickBot="1">
      <c r="B177" s="2720"/>
      <c r="C177" s="2752"/>
      <c r="D177" s="2753"/>
      <c r="E177" s="2758" t="s">
        <v>264</v>
      </c>
      <c r="F177" s="2759"/>
      <c r="G177" s="1044">
        <f t="shared" ref="G177" si="56">IFERROR((G176-G175)/G175,0)</f>
        <v>0</v>
      </c>
      <c r="H177" s="1107"/>
      <c r="I177" s="1108"/>
      <c r="J177" s="1108"/>
      <c r="K177" s="1108"/>
      <c r="L177" s="1108"/>
      <c r="M177" s="1108"/>
      <c r="N177" s="1108"/>
      <c r="O177" s="1108"/>
      <c r="P177" s="1108"/>
      <c r="Q177" s="1108"/>
      <c r="R177" s="1108"/>
      <c r="S177" s="1108"/>
      <c r="T177" s="1108"/>
      <c r="U177" s="1108"/>
      <c r="V177" s="1108"/>
      <c r="W177" s="1108"/>
      <c r="X177" s="1108"/>
      <c r="Y177" s="1108"/>
      <c r="Z177" s="1108"/>
      <c r="AA177" s="1108"/>
      <c r="AB177" s="1108"/>
      <c r="AC177" s="1108"/>
      <c r="AD177" s="1108"/>
      <c r="AE177" s="1108"/>
      <c r="AF177" s="1108"/>
      <c r="AG177" s="1108"/>
      <c r="AH177" s="1108"/>
      <c r="AI177" s="1108"/>
      <c r="AJ177" s="1108"/>
      <c r="AK177" s="1108"/>
      <c r="AL177" s="1114"/>
      <c r="AM177" s="85"/>
    </row>
    <row r="178" spans="2:39" s="79" customFormat="1" ht="14.7" hidden="1" customHeight="1">
      <c r="B178" s="2718"/>
      <c r="C178" s="2748"/>
      <c r="D178" s="2749"/>
      <c r="E178" s="2754" t="s">
        <v>223</v>
      </c>
      <c r="F178" s="2755"/>
      <c r="G178" s="850">
        <f>SUMIF($H$6:$AL$6,"&lt;="&amp;$C$7,H178:AL178)</f>
        <v>0</v>
      </c>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4"/>
    </row>
    <row r="179" spans="2:39" s="79" customFormat="1" ht="14.7" hidden="1" customHeight="1">
      <c r="B179" s="2719"/>
      <c r="C179" s="2750"/>
      <c r="D179" s="2751"/>
      <c r="E179" s="2756" t="s">
        <v>224</v>
      </c>
      <c r="F179" s="2757"/>
      <c r="G179" s="1106">
        <f>SUMIF($H$6:$AL$6,"&lt;="&amp;$C$7,H179:AL179)</f>
        <v>0</v>
      </c>
      <c r="H179" s="1102"/>
      <c r="I179" s="1103"/>
      <c r="J179" s="1103"/>
      <c r="K179" s="1103"/>
      <c r="L179" s="1103"/>
      <c r="M179" s="1103"/>
      <c r="N179" s="1103"/>
      <c r="O179" s="1103"/>
      <c r="P179" s="1103"/>
      <c r="Q179" s="1103"/>
      <c r="R179" s="1103"/>
      <c r="S179" s="1103"/>
      <c r="T179" s="1103"/>
      <c r="U179" s="1103"/>
      <c r="V179" s="1103"/>
      <c r="W179" s="1103"/>
      <c r="X179" s="1103"/>
      <c r="Y179" s="1103"/>
      <c r="Z179" s="1103"/>
      <c r="AA179" s="1103"/>
      <c r="AB179" s="1103"/>
      <c r="AC179" s="1103"/>
      <c r="AD179" s="1103"/>
      <c r="AE179" s="1103"/>
      <c r="AF179" s="1103"/>
      <c r="AG179" s="1103"/>
      <c r="AH179" s="1103"/>
      <c r="AI179" s="1103"/>
      <c r="AJ179" s="1103"/>
      <c r="AK179" s="1103"/>
      <c r="AL179" s="1104"/>
      <c r="AM179" s="85"/>
    </row>
    <row r="180" spans="2:39" s="79" customFormat="1" ht="14.7" hidden="1" customHeight="1" thickBot="1">
      <c r="B180" s="2720"/>
      <c r="C180" s="2752"/>
      <c r="D180" s="2753"/>
      <c r="E180" s="2758" t="s">
        <v>264</v>
      </c>
      <c r="F180" s="2759"/>
      <c r="G180" s="1044">
        <f t="shared" ref="G180:G192" si="57">IFERROR((G179-G178)/G178,0)</f>
        <v>0</v>
      </c>
      <c r="H180" s="1107"/>
      <c r="I180" s="1108"/>
      <c r="J180" s="1108"/>
      <c r="K180" s="1108"/>
      <c r="L180" s="1108"/>
      <c r="M180" s="1108"/>
      <c r="N180" s="1108"/>
      <c r="O180" s="1108"/>
      <c r="P180" s="1108"/>
      <c r="Q180" s="1108"/>
      <c r="R180" s="1108"/>
      <c r="S180" s="1108"/>
      <c r="T180" s="1108"/>
      <c r="U180" s="1108"/>
      <c r="V180" s="1108"/>
      <c r="W180" s="1108"/>
      <c r="X180" s="1108"/>
      <c r="Y180" s="1108"/>
      <c r="Z180" s="1108"/>
      <c r="AA180" s="1108"/>
      <c r="AB180" s="1108"/>
      <c r="AC180" s="1108"/>
      <c r="AD180" s="1108"/>
      <c r="AE180" s="1108"/>
      <c r="AF180" s="1108"/>
      <c r="AG180" s="1108"/>
      <c r="AH180" s="1108"/>
      <c r="AI180" s="1108"/>
      <c r="AJ180" s="1108"/>
      <c r="AK180" s="1108"/>
      <c r="AL180" s="1114"/>
      <c r="AM180" s="85"/>
    </row>
    <row r="181" spans="2:39" s="79" customFormat="1" ht="14.7" hidden="1" customHeight="1">
      <c r="B181" s="2718"/>
      <c r="C181" s="2748"/>
      <c r="D181" s="2749"/>
      <c r="E181" s="2754" t="s">
        <v>223</v>
      </c>
      <c r="F181" s="2755"/>
      <c r="G181" s="850">
        <f>SUMIF($H$6:$AL$6,"&lt;="&amp;$C$7,H181:AL181)</f>
        <v>0</v>
      </c>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4"/>
    </row>
    <row r="182" spans="2:39" s="79" customFormat="1" ht="14.7" hidden="1" customHeight="1">
      <c r="B182" s="2719"/>
      <c r="C182" s="2750"/>
      <c r="D182" s="2751"/>
      <c r="E182" s="2756" t="s">
        <v>224</v>
      </c>
      <c r="F182" s="2757"/>
      <c r="G182" s="1106">
        <f>SUMIF($H$6:$AL$6,"&lt;="&amp;$C$7,H182:AL182)</f>
        <v>0</v>
      </c>
      <c r="H182" s="1102"/>
      <c r="I182" s="1103"/>
      <c r="J182" s="1103"/>
      <c r="K182" s="1103"/>
      <c r="L182" s="1103"/>
      <c r="M182" s="1103"/>
      <c r="N182" s="1103"/>
      <c r="O182" s="1103"/>
      <c r="P182" s="1103"/>
      <c r="Q182" s="1103"/>
      <c r="R182" s="1103"/>
      <c r="S182" s="1103"/>
      <c r="T182" s="1103"/>
      <c r="U182" s="1103"/>
      <c r="V182" s="1103"/>
      <c r="W182" s="1103"/>
      <c r="X182" s="1103"/>
      <c r="Y182" s="1103"/>
      <c r="Z182" s="1103"/>
      <c r="AA182" s="1103"/>
      <c r="AB182" s="1103"/>
      <c r="AC182" s="1103"/>
      <c r="AD182" s="1103"/>
      <c r="AE182" s="1103"/>
      <c r="AF182" s="1103"/>
      <c r="AG182" s="1103"/>
      <c r="AH182" s="1103"/>
      <c r="AI182" s="1103"/>
      <c r="AJ182" s="1103"/>
      <c r="AK182" s="1103"/>
      <c r="AL182" s="1104"/>
      <c r="AM182" s="85"/>
    </row>
    <row r="183" spans="2:39" s="79" customFormat="1" ht="14.7" hidden="1" customHeight="1" thickBot="1">
      <c r="B183" s="2720"/>
      <c r="C183" s="2752"/>
      <c r="D183" s="2753"/>
      <c r="E183" s="2758" t="s">
        <v>264</v>
      </c>
      <c r="F183" s="2759"/>
      <c r="G183" s="1044">
        <f t="shared" si="57"/>
        <v>0</v>
      </c>
      <c r="H183" s="1107"/>
      <c r="I183" s="1108"/>
      <c r="J183" s="1108"/>
      <c r="K183" s="1108"/>
      <c r="L183" s="1108"/>
      <c r="M183" s="1108"/>
      <c r="N183" s="1108"/>
      <c r="O183" s="1108"/>
      <c r="P183" s="1108"/>
      <c r="Q183" s="1108"/>
      <c r="R183" s="1108"/>
      <c r="S183" s="1108"/>
      <c r="T183" s="1108"/>
      <c r="U183" s="1108"/>
      <c r="V183" s="1108"/>
      <c r="W183" s="1108"/>
      <c r="X183" s="1108"/>
      <c r="Y183" s="1108"/>
      <c r="Z183" s="1108"/>
      <c r="AA183" s="1108"/>
      <c r="AB183" s="1108"/>
      <c r="AC183" s="1108"/>
      <c r="AD183" s="1108"/>
      <c r="AE183" s="1108"/>
      <c r="AF183" s="1108"/>
      <c r="AG183" s="1108"/>
      <c r="AH183" s="1108"/>
      <c r="AI183" s="1108"/>
      <c r="AJ183" s="1108"/>
      <c r="AK183" s="1108"/>
      <c r="AL183" s="1114"/>
      <c r="AM183" s="85"/>
    </row>
    <row r="184" spans="2:39" s="79" customFormat="1" ht="14.7" hidden="1" customHeight="1">
      <c r="B184" s="2718"/>
      <c r="C184" s="2748"/>
      <c r="D184" s="2749"/>
      <c r="E184" s="2754" t="s">
        <v>223</v>
      </c>
      <c r="F184" s="2755"/>
      <c r="G184" s="850">
        <f>SUMIF($H$6:$AL$6,"&lt;="&amp;$C$7,H184:AL184)</f>
        <v>0</v>
      </c>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4"/>
    </row>
    <row r="185" spans="2:39" s="79" customFormat="1" ht="14.7" hidden="1" customHeight="1">
      <c r="B185" s="2719"/>
      <c r="C185" s="2750"/>
      <c r="D185" s="2751"/>
      <c r="E185" s="2756" t="s">
        <v>224</v>
      </c>
      <c r="F185" s="2757"/>
      <c r="G185" s="1106">
        <f>SUMIF($H$6:$AL$6,"&lt;="&amp;$C$7,H185:AL185)</f>
        <v>0</v>
      </c>
      <c r="H185" s="1102"/>
      <c r="I185" s="1103"/>
      <c r="J185" s="1103"/>
      <c r="K185" s="1103"/>
      <c r="L185" s="1103"/>
      <c r="M185" s="1103"/>
      <c r="N185" s="1103"/>
      <c r="O185" s="1103"/>
      <c r="P185" s="1103"/>
      <c r="Q185" s="1103"/>
      <c r="R185" s="1103"/>
      <c r="S185" s="1103"/>
      <c r="T185" s="1103"/>
      <c r="U185" s="1103"/>
      <c r="V185" s="1103"/>
      <c r="W185" s="1103"/>
      <c r="X185" s="1103"/>
      <c r="Y185" s="1103"/>
      <c r="Z185" s="1103"/>
      <c r="AA185" s="1103"/>
      <c r="AB185" s="1103"/>
      <c r="AC185" s="1103"/>
      <c r="AD185" s="1103"/>
      <c r="AE185" s="1103"/>
      <c r="AF185" s="1103"/>
      <c r="AG185" s="1103"/>
      <c r="AH185" s="1103"/>
      <c r="AI185" s="1103"/>
      <c r="AJ185" s="1103"/>
      <c r="AK185" s="1103"/>
      <c r="AL185" s="1104"/>
      <c r="AM185" s="85"/>
    </row>
    <row r="186" spans="2:39" s="79" customFormat="1" ht="14.7" hidden="1" customHeight="1" thickBot="1">
      <c r="B186" s="2720"/>
      <c r="C186" s="2752"/>
      <c r="D186" s="2753"/>
      <c r="E186" s="2758" t="s">
        <v>264</v>
      </c>
      <c r="F186" s="2759"/>
      <c r="G186" s="1044">
        <f t="shared" si="57"/>
        <v>0</v>
      </c>
      <c r="H186" s="1107"/>
      <c r="I186" s="1108"/>
      <c r="J186" s="1108"/>
      <c r="K186" s="1108"/>
      <c r="L186" s="1108"/>
      <c r="M186" s="1108"/>
      <c r="N186" s="1108"/>
      <c r="O186" s="1108"/>
      <c r="P186" s="1108"/>
      <c r="Q186" s="1108"/>
      <c r="R186" s="1108"/>
      <c r="S186" s="1108"/>
      <c r="T186" s="1108"/>
      <c r="U186" s="1108"/>
      <c r="V186" s="1108"/>
      <c r="W186" s="1108"/>
      <c r="X186" s="1108"/>
      <c r="Y186" s="1108"/>
      <c r="Z186" s="1108"/>
      <c r="AA186" s="1108"/>
      <c r="AB186" s="1108"/>
      <c r="AC186" s="1108"/>
      <c r="AD186" s="1108"/>
      <c r="AE186" s="1108"/>
      <c r="AF186" s="1108"/>
      <c r="AG186" s="1108"/>
      <c r="AH186" s="1108"/>
      <c r="AI186" s="1108"/>
      <c r="AJ186" s="1108"/>
      <c r="AK186" s="1108"/>
      <c r="AL186" s="1114"/>
      <c r="AM186" s="85"/>
    </row>
    <row r="187" spans="2:39" s="79" customFormat="1" ht="14.7" hidden="1" customHeight="1">
      <c r="B187" s="2718"/>
      <c r="C187" s="2748" t="e">
        <f>Development.!#REF!</f>
        <v>#REF!</v>
      </c>
      <c r="D187" s="2749"/>
      <c r="E187" s="2754" t="s">
        <v>223</v>
      </c>
      <c r="F187" s="2755"/>
      <c r="G187" s="850">
        <f>SUMIF($H$6:$AL$6,"&lt;="&amp;$C$7,H187:AL187)</f>
        <v>0</v>
      </c>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4"/>
    </row>
    <row r="188" spans="2:39" s="79" customFormat="1" ht="14.7" hidden="1" customHeight="1">
      <c r="B188" s="2719"/>
      <c r="C188" s="2750"/>
      <c r="D188" s="2751"/>
      <c r="E188" s="2756" t="s">
        <v>224</v>
      </c>
      <c r="F188" s="2757"/>
      <c r="G188" s="1106">
        <f>SUMIF($H$6:$AL$6,"&lt;="&amp;$C$7,H188:AL188)</f>
        <v>0</v>
      </c>
      <c r="H188" s="1102"/>
      <c r="I188" s="1103"/>
      <c r="J188" s="1103"/>
      <c r="K188" s="1103"/>
      <c r="L188" s="1103"/>
      <c r="M188" s="1103"/>
      <c r="N188" s="1103"/>
      <c r="O188" s="1103"/>
      <c r="P188" s="1103"/>
      <c r="Q188" s="1103"/>
      <c r="R188" s="1103"/>
      <c r="S188" s="1103"/>
      <c r="T188" s="1103"/>
      <c r="U188" s="1103"/>
      <c r="V188" s="1103"/>
      <c r="W188" s="1103"/>
      <c r="X188" s="1103"/>
      <c r="Y188" s="1103"/>
      <c r="Z188" s="1103"/>
      <c r="AA188" s="1103"/>
      <c r="AB188" s="1103"/>
      <c r="AC188" s="1103"/>
      <c r="AD188" s="1103"/>
      <c r="AE188" s="1103"/>
      <c r="AF188" s="1103"/>
      <c r="AG188" s="1103"/>
      <c r="AH188" s="1103"/>
      <c r="AI188" s="1103"/>
      <c r="AJ188" s="1103"/>
      <c r="AK188" s="1103"/>
      <c r="AL188" s="1104"/>
      <c r="AM188" s="85"/>
    </row>
    <row r="189" spans="2:39" s="79" customFormat="1" ht="14.7" hidden="1" customHeight="1" thickBot="1">
      <c r="B189" s="2720"/>
      <c r="C189" s="2752"/>
      <c r="D189" s="2753"/>
      <c r="E189" s="2758" t="s">
        <v>264</v>
      </c>
      <c r="F189" s="2759"/>
      <c r="G189" s="1044">
        <f t="shared" si="57"/>
        <v>0</v>
      </c>
      <c r="H189" s="1107"/>
      <c r="I189" s="1108"/>
      <c r="J189" s="1108"/>
      <c r="K189" s="1108"/>
      <c r="L189" s="1108"/>
      <c r="M189" s="1108"/>
      <c r="N189" s="1108"/>
      <c r="O189" s="1108"/>
      <c r="P189" s="1108"/>
      <c r="Q189" s="1108"/>
      <c r="R189" s="1108"/>
      <c r="S189" s="1108"/>
      <c r="T189" s="1108"/>
      <c r="U189" s="1108"/>
      <c r="V189" s="1108"/>
      <c r="W189" s="1108"/>
      <c r="X189" s="1108"/>
      <c r="Y189" s="1108"/>
      <c r="Z189" s="1108"/>
      <c r="AA189" s="1108"/>
      <c r="AB189" s="1108"/>
      <c r="AC189" s="1108"/>
      <c r="AD189" s="1108"/>
      <c r="AE189" s="1108"/>
      <c r="AF189" s="1108"/>
      <c r="AG189" s="1108"/>
      <c r="AH189" s="2776"/>
      <c r="AI189" s="2777"/>
      <c r="AJ189" s="1108"/>
      <c r="AK189" s="1108"/>
      <c r="AL189" s="1114"/>
      <c r="AM189" s="85"/>
    </row>
    <row r="190" spans="2:39" s="79" customFormat="1" ht="14.7" hidden="1" customHeight="1">
      <c r="B190" s="2718"/>
      <c r="C190" s="2748" t="e">
        <f>Development.!#REF!</f>
        <v>#REF!</v>
      </c>
      <c r="D190" s="2749"/>
      <c r="E190" s="2754" t="s">
        <v>223</v>
      </c>
      <c r="F190" s="2755"/>
      <c r="G190" s="850">
        <f>SUMIF($H$6:$AL$6,"&lt;="&amp;$C$7,H190:AL190)</f>
        <v>0</v>
      </c>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4"/>
    </row>
    <row r="191" spans="2:39" s="79" customFormat="1" ht="14.7" hidden="1" customHeight="1">
      <c r="B191" s="2719"/>
      <c r="C191" s="2750"/>
      <c r="D191" s="2751"/>
      <c r="E191" s="2756" t="s">
        <v>224</v>
      </c>
      <c r="F191" s="2757"/>
      <c r="G191" s="1106">
        <f>SUMIF($H$6:$AL$6,"&lt;="&amp;$C$7,H191:AL191)</f>
        <v>0</v>
      </c>
      <c r="H191" s="1102"/>
      <c r="I191" s="1103"/>
      <c r="J191" s="1103"/>
      <c r="K191" s="1103"/>
      <c r="L191" s="1103"/>
      <c r="M191" s="1103"/>
      <c r="N191" s="1103"/>
      <c r="O191" s="1103"/>
      <c r="P191" s="1103"/>
      <c r="Q191" s="1103"/>
      <c r="R191" s="1103"/>
      <c r="S191" s="1103"/>
      <c r="T191" s="1103"/>
      <c r="U191" s="1103"/>
      <c r="V191" s="1103"/>
      <c r="W191" s="1103"/>
      <c r="X191" s="1103"/>
      <c r="Y191" s="1103"/>
      <c r="Z191" s="1103"/>
      <c r="AA191" s="1103"/>
      <c r="AB191" s="1103"/>
      <c r="AC191" s="1103"/>
      <c r="AD191" s="1103"/>
      <c r="AE191" s="1103"/>
      <c r="AF191" s="1103"/>
      <c r="AG191" s="1103"/>
      <c r="AH191" s="1103"/>
      <c r="AI191" s="1103"/>
      <c r="AJ191" s="1103"/>
      <c r="AK191" s="1103"/>
      <c r="AL191" s="1104"/>
      <c r="AM191" s="85"/>
    </row>
    <row r="192" spans="2:39" s="79" customFormat="1" ht="14.7" hidden="1" customHeight="1" thickBot="1">
      <c r="B192" s="2720"/>
      <c r="C192" s="2752"/>
      <c r="D192" s="2753"/>
      <c r="E192" s="2758" t="s">
        <v>264</v>
      </c>
      <c r="F192" s="2759"/>
      <c r="G192" s="1044">
        <f t="shared" si="57"/>
        <v>0</v>
      </c>
      <c r="H192" s="1107"/>
      <c r="I192" s="1108"/>
      <c r="J192" s="1108"/>
      <c r="K192" s="1108"/>
      <c r="L192" s="1108"/>
      <c r="M192" s="1108"/>
      <c r="N192" s="1108"/>
      <c r="O192" s="1108"/>
      <c r="P192" s="1108"/>
      <c r="Q192" s="1108"/>
      <c r="R192" s="1108"/>
      <c r="S192" s="1108"/>
      <c r="T192" s="1108"/>
      <c r="U192" s="1108"/>
      <c r="V192" s="1108"/>
      <c r="W192" s="1108"/>
      <c r="X192" s="1108"/>
      <c r="Y192" s="1108"/>
      <c r="Z192" s="1108"/>
      <c r="AA192" s="1108"/>
      <c r="AB192" s="1108"/>
      <c r="AC192" s="1108"/>
      <c r="AD192" s="1108"/>
      <c r="AE192" s="1108"/>
      <c r="AF192" s="1108"/>
      <c r="AG192" s="1108"/>
      <c r="AH192" s="1108"/>
      <c r="AI192" s="1108"/>
      <c r="AJ192" s="1108"/>
      <c r="AK192" s="1108"/>
      <c r="AL192" s="1114"/>
      <c r="AM192" s="85"/>
    </row>
    <row r="193" spans="2:39" s="79" customFormat="1" ht="14.7" customHeight="1" thickBot="1">
      <c r="B193" s="613" t="s">
        <v>270</v>
      </c>
      <c r="C193" s="614"/>
      <c r="D193" s="614"/>
      <c r="E193" s="2788"/>
      <c r="F193" s="2789"/>
      <c r="G193" s="615"/>
      <c r="H193" s="614"/>
      <c r="I193" s="614"/>
      <c r="J193" s="614"/>
      <c r="K193" s="614"/>
      <c r="L193" s="614"/>
      <c r="M193" s="614"/>
      <c r="N193" s="614"/>
      <c r="O193" s="614"/>
      <c r="P193" s="614"/>
      <c r="Q193" s="614"/>
      <c r="R193" s="614"/>
      <c r="S193" s="614"/>
      <c r="T193" s="614"/>
      <c r="U193" s="614"/>
      <c r="V193" s="614"/>
      <c r="W193" s="614"/>
      <c r="X193" s="614"/>
      <c r="Y193" s="614"/>
      <c r="Z193" s="614"/>
      <c r="AA193" s="614"/>
      <c r="AB193" s="614"/>
      <c r="AC193" s="614"/>
      <c r="AD193" s="614"/>
      <c r="AE193" s="614"/>
      <c r="AF193" s="614"/>
      <c r="AG193" s="614"/>
      <c r="AH193" s="614"/>
      <c r="AI193" s="614"/>
      <c r="AJ193" s="614"/>
      <c r="AK193" s="614"/>
      <c r="AL193" s="615"/>
      <c r="AM193" s="85"/>
    </row>
    <row r="194" spans="2:39" s="79" customFormat="1" ht="13.35" customHeight="1">
      <c r="B194" s="2718">
        <v>1</v>
      </c>
      <c r="C194" s="2748" t="str">
        <f>Development.!A42</f>
        <v>9L_E3_OREPASS</v>
      </c>
      <c r="D194" s="2749"/>
      <c r="E194" s="2754" t="s">
        <v>223</v>
      </c>
      <c r="F194" s="2755"/>
      <c r="G194" s="850">
        <f>SUMIF($H$6:$AL$6,"&lt;="&amp;$C$7,H194:AL194)</f>
        <v>0</v>
      </c>
      <c r="H194" s="1639">
        <f>Development.!B42</f>
        <v>0</v>
      </c>
      <c r="I194" s="1639">
        <f>Development.!C42</f>
        <v>0</v>
      </c>
      <c r="J194" s="1639">
        <f>Development.!D42</f>
        <v>0</v>
      </c>
      <c r="K194" s="1639">
        <f>Development.!E42</f>
        <v>0</v>
      </c>
      <c r="L194" s="1639">
        <f>Development.!F42</f>
        <v>0</v>
      </c>
      <c r="M194" s="1639">
        <f>Development.!G42</f>
        <v>0</v>
      </c>
      <c r="N194" s="1639">
        <f>Development.!H42</f>
        <v>0.9</v>
      </c>
      <c r="O194" s="1639">
        <f>Development.!I42</f>
        <v>0.9</v>
      </c>
      <c r="P194" s="1639">
        <f>Development.!J42</f>
        <v>0.9</v>
      </c>
      <c r="Q194" s="1639">
        <f>Development.!K42</f>
        <v>0</v>
      </c>
      <c r="R194" s="1639">
        <f>Development.!L42</f>
        <v>0</v>
      </c>
      <c r="S194" s="1639">
        <f>Development.!M42</f>
        <v>0</v>
      </c>
      <c r="T194" s="1639">
        <f>Development.!N42</f>
        <v>0.9</v>
      </c>
      <c r="U194" s="1639">
        <f>Development.!O42</f>
        <v>0</v>
      </c>
      <c r="V194" s="1639">
        <f>Development.!P42</f>
        <v>0.9</v>
      </c>
      <c r="W194" s="1639">
        <f>Development.!Q42</f>
        <v>0.9</v>
      </c>
      <c r="X194" s="1639">
        <f>Development.!R42</f>
        <v>0</v>
      </c>
      <c r="Y194" s="1639">
        <f>Development.!S42</f>
        <v>0.9</v>
      </c>
      <c r="Z194" s="1639">
        <f>Development.!T42</f>
        <v>0.9</v>
      </c>
      <c r="AA194" s="1639">
        <f>Development.!U42</f>
        <v>0.9</v>
      </c>
      <c r="AB194" s="1639">
        <f>Development.!V42</f>
        <v>0.9</v>
      </c>
      <c r="AC194" s="1639">
        <f>Development.!W42</f>
        <v>0.9</v>
      </c>
      <c r="AD194" s="1639">
        <f>Development.!X42</f>
        <v>0.9</v>
      </c>
      <c r="AE194" s="1639">
        <f>Development.!Y42</f>
        <v>0</v>
      </c>
      <c r="AF194" s="1639">
        <f>Development.!Z42</f>
        <v>0.9</v>
      </c>
      <c r="AG194" s="1639">
        <f>Development.!AA42</f>
        <v>0.9</v>
      </c>
      <c r="AH194" s="1639">
        <f>Development.!AB42</f>
        <v>0.9</v>
      </c>
      <c r="AI194" s="1639">
        <f>Development.!AC42</f>
        <v>0.9</v>
      </c>
      <c r="AJ194" s="1639">
        <f>Development.!AD42</f>
        <v>0.9</v>
      </c>
      <c r="AK194" s="1639">
        <f>Development.!AE42</f>
        <v>0.9</v>
      </c>
      <c r="AL194" s="1639">
        <f>Development.!AF42</f>
        <v>0</v>
      </c>
      <c r="AM194" s="84"/>
    </row>
    <row r="195" spans="2:39" s="79" customFormat="1" ht="15" customHeight="1">
      <c r="B195" s="2719"/>
      <c r="C195" s="2750"/>
      <c r="D195" s="2751"/>
      <c r="E195" s="2756" t="s">
        <v>224</v>
      </c>
      <c r="F195" s="2757"/>
      <c r="G195" s="1106">
        <f>SUMIF($H$6:$AL$6,"&lt;="&amp;$C$7,H195:AL195)</f>
        <v>0</v>
      </c>
      <c r="H195" s="1102"/>
      <c r="I195" s="1103"/>
      <c r="J195" s="1103"/>
      <c r="K195" s="1103"/>
      <c r="L195" s="1103"/>
      <c r="M195" s="1103"/>
      <c r="N195" s="1103"/>
      <c r="O195" s="1103"/>
      <c r="P195" s="1103"/>
      <c r="Q195" s="1103"/>
      <c r="R195" s="1103"/>
      <c r="S195" s="1103"/>
      <c r="T195" s="1103"/>
      <c r="U195" s="1103"/>
      <c r="V195" s="1103"/>
      <c r="W195" s="1103"/>
      <c r="X195" s="1103"/>
      <c r="Y195" s="1103"/>
      <c r="Z195" s="1103"/>
      <c r="AA195" s="1103"/>
      <c r="AB195" s="1103"/>
      <c r="AC195" s="1103"/>
      <c r="AD195" s="1103"/>
      <c r="AE195" s="1103"/>
      <c r="AF195" s="1103"/>
      <c r="AG195" s="1103"/>
      <c r="AH195" s="1103"/>
      <c r="AI195" s="1103"/>
      <c r="AJ195" s="1103"/>
      <c r="AK195" s="1103"/>
      <c r="AL195" s="1104"/>
      <c r="AM195" s="85"/>
    </row>
    <row r="196" spans="2:39" s="79" customFormat="1" ht="14.85" customHeight="1" thickBot="1">
      <c r="B196" s="2720"/>
      <c r="C196" s="2752"/>
      <c r="D196" s="2753"/>
      <c r="E196" s="2758" t="s">
        <v>264</v>
      </c>
      <c r="F196" s="2759"/>
      <c r="G196" s="1044">
        <f t="shared" ref="G196" si="58">IFERROR((G195-G194)/G194,0)</f>
        <v>0</v>
      </c>
      <c r="H196" s="1107"/>
      <c r="I196" s="1108"/>
      <c r="J196" s="1108"/>
      <c r="K196" s="1108"/>
      <c r="L196" s="1108"/>
      <c r="M196" s="1108"/>
      <c r="N196" s="1108"/>
      <c r="O196" s="1108"/>
      <c r="P196" s="1108"/>
      <c r="Q196" s="1108"/>
      <c r="R196" s="1108"/>
      <c r="S196" s="1108"/>
      <c r="T196" s="1108"/>
      <c r="U196" s="1108"/>
      <c r="V196" s="1108"/>
      <c r="W196" s="1108"/>
      <c r="X196" s="1108"/>
      <c r="Y196" s="1108"/>
      <c r="Z196" s="1108"/>
      <c r="AA196" s="1108"/>
      <c r="AB196" s="1108"/>
      <c r="AC196" s="1108"/>
      <c r="AD196" s="1108"/>
      <c r="AE196" s="1108"/>
      <c r="AF196" s="1108"/>
      <c r="AG196" s="1108"/>
      <c r="AH196" s="1108"/>
      <c r="AI196" s="1108"/>
      <c r="AJ196" s="1108"/>
      <c r="AK196" s="1108"/>
      <c r="AL196" s="1114"/>
      <c r="AM196" s="85"/>
    </row>
    <row r="197" spans="2:39" s="79" customFormat="1" ht="13.35" customHeight="1">
      <c r="B197" s="2718">
        <v>1</v>
      </c>
      <c r="C197" s="2748" t="str">
        <f>Development.!A43</f>
        <v>9L_E3_WASTEPASS</v>
      </c>
      <c r="D197" s="2749"/>
      <c r="E197" s="2754" t="s">
        <v>223</v>
      </c>
      <c r="F197" s="2755"/>
      <c r="G197" s="850">
        <f>SUMIF($H$6:$AL$6,"&lt;="&amp;$C$7,H197:AL197)</f>
        <v>0</v>
      </c>
      <c r="H197" s="1639">
        <f>Development.!B43</f>
        <v>0</v>
      </c>
      <c r="I197" s="1639">
        <f>Development.!C43</f>
        <v>0</v>
      </c>
      <c r="J197" s="1639">
        <f>Development.!D43</f>
        <v>0</v>
      </c>
      <c r="K197" s="1639">
        <f>Development.!E43</f>
        <v>0</v>
      </c>
      <c r="L197" s="1639">
        <f>Development.!F43</f>
        <v>0</v>
      </c>
      <c r="M197" s="1639">
        <f>Development.!G43</f>
        <v>0</v>
      </c>
      <c r="N197" s="1639">
        <f>Development.!H43</f>
        <v>0.9</v>
      </c>
      <c r="O197" s="1639">
        <f>Development.!I43</f>
        <v>0.9</v>
      </c>
      <c r="P197" s="1639">
        <f>Development.!J43</f>
        <v>0.9</v>
      </c>
      <c r="Q197" s="1639">
        <f>Development.!K43</f>
        <v>0</v>
      </c>
      <c r="R197" s="1639">
        <f>Development.!L43</f>
        <v>0</v>
      </c>
      <c r="S197" s="1639">
        <f>Development.!M43</f>
        <v>0</v>
      </c>
      <c r="T197" s="1639">
        <f>Development.!N43</f>
        <v>0.9</v>
      </c>
      <c r="U197" s="1639">
        <f>Development.!O43</f>
        <v>0</v>
      </c>
      <c r="V197" s="1639">
        <f>Development.!P43</f>
        <v>0.9</v>
      </c>
      <c r="W197" s="1639">
        <f>Development.!Q43</f>
        <v>0.9</v>
      </c>
      <c r="X197" s="1639">
        <f>Development.!R43</f>
        <v>0</v>
      </c>
      <c r="Y197" s="1639">
        <f>Development.!S43</f>
        <v>0.9</v>
      </c>
      <c r="Z197" s="1639">
        <f>Development.!T43</f>
        <v>0.9</v>
      </c>
      <c r="AA197" s="1639">
        <f>Development.!U43</f>
        <v>0.9</v>
      </c>
      <c r="AB197" s="1639">
        <f>Development.!V43</f>
        <v>0.9</v>
      </c>
      <c r="AC197" s="1639">
        <f>Development.!W43</f>
        <v>0.9</v>
      </c>
      <c r="AD197" s="1639">
        <f>Development.!X43</f>
        <v>0.9</v>
      </c>
      <c r="AE197" s="1639">
        <f>Development.!Y43</f>
        <v>0</v>
      </c>
      <c r="AF197" s="1639">
        <f>Development.!Z43</f>
        <v>0.9</v>
      </c>
      <c r="AG197" s="1639">
        <f>Development.!AA43</f>
        <v>0.9</v>
      </c>
      <c r="AH197" s="1639">
        <f>Development.!AB43</f>
        <v>0.9</v>
      </c>
      <c r="AI197" s="1639">
        <f>Development.!AC43</f>
        <v>0.9</v>
      </c>
      <c r="AJ197" s="1639">
        <f>Development.!AD43</f>
        <v>0.9</v>
      </c>
      <c r="AK197" s="1639">
        <f>Development.!AE43</f>
        <v>0.9</v>
      </c>
      <c r="AL197" s="1639">
        <f>Development.!AF43</f>
        <v>0</v>
      </c>
      <c r="AM197" s="84"/>
    </row>
    <row r="198" spans="2:39" s="79" customFormat="1" ht="14.85" customHeight="1">
      <c r="B198" s="2719"/>
      <c r="C198" s="2750"/>
      <c r="D198" s="2751"/>
      <c r="E198" s="2756" t="s">
        <v>224</v>
      </c>
      <c r="F198" s="2757"/>
      <c r="G198" s="1106">
        <f>SUMIF($H$6:$AL$6,"&lt;="&amp;$C$7,H198:AL198)</f>
        <v>0</v>
      </c>
      <c r="H198" s="1102"/>
      <c r="I198" s="1103"/>
      <c r="J198" s="1103"/>
      <c r="K198" s="1103"/>
      <c r="L198" s="1103"/>
      <c r="M198" s="1103"/>
      <c r="N198" s="1103"/>
      <c r="O198" s="1103"/>
      <c r="P198" s="1103"/>
      <c r="Q198" s="1103"/>
      <c r="R198" s="1103"/>
      <c r="S198" s="1103"/>
      <c r="T198" s="1103"/>
      <c r="U198" s="1103"/>
      <c r="V198" s="1103"/>
      <c r="W198" s="1103"/>
      <c r="X198" s="1103"/>
      <c r="Y198" s="1103"/>
      <c r="Z198" s="1103"/>
      <c r="AA198" s="1103"/>
      <c r="AB198" s="1103"/>
      <c r="AC198" s="1103"/>
      <c r="AD198" s="1103"/>
      <c r="AE198" s="1103"/>
      <c r="AF198" s="1103"/>
      <c r="AG198" s="1103"/>
      <c r="AH198" s="1103"/>
      <c r="AI198" s="1103"/>
      <c r="AJ198" s="1103"/>
      <c r="AK198" s="1103"/>
      <c r="AL198" s="1104"/>
      <c r="AM198" s="85"/>
    </row>
    <row r="199" spans="2:39" s="79" customFormat="1" ht="14.85" customHeight="1" thickBot="1">
      <c r="B199" s="2720"/>
      <c r="C199" s="2752"/>
      <c r="D199" s="2753"/>
      <c r="E199" s="2758" t="s">
        <v>264</v>
      </c>
      <c r="F199" s="2759"/>
      <c r="G199" s="1044">
        <f t="shared" ref="G199" si="59">IFERROR((G198-G197)/G197,0)</f>
        <v>0</v>
      </c>
      <c r="H199" s="1107"/>
      <c r="I199" s="1108"/>
      <c r="J199" s="1108"/>
      <c r="K199" s="1108"/>
      <c r="L199" s="1108"/>
      <c r="M199" s="1108"/>
      <c r="N199" s="1108"/>
      <c r="O199" s="1108"/>
      <c r="P199" s="1108"/>
      <c r="Q199" s="1108"/>
      <c r="R199" s="1108"/>
      <c r="S199" s="1108"/>
      <c r="T199" s="1108"/>
      <c r="U199" s="1108"/>
      <c r="V199" s="1108"/>
      <c r="W199" s="1108"/>
      <c r="X199" s="1108"/>
      <c r="Y199" s="1108"/>
      <c r="Z199" s="1108"/>
      <c r="AA199" s="1108"/>
      <c r="AB199" s="1108"/>
      <c r="AC199" s="1108"/>
      <c r="AD199" s="1108"/>
      <c r="AE199" s="1108"/>
      <c r="AF199" s="1108"/>
      <c r="AG199" s="1108"/>
      <c r="AH199" s="1108"/>
      <c r="AI199" s="1108"/>
      <c r="AJ199" s="1108"/>
      <c r="AK199" s="1108"/>
      <c r="AL199" s="1114"/>
      <c r="AM199" s="85"/>
    </row>
    <row r="200" spans="2:39" s="79" customFormat="1" ht="13.35" customHeight="1">
      <c r="B200" s="2718">
        <v>1</v>
      </c>
      <c r="C200" s="2748" t="str">
        <f>Development.!A44</f>
        <v>10L_E3_OREPASS</v>
      </c>
      <c r="D200" s="2749"/>
      <c r="E200" s="2754" t="s">
        <v>223</v>
      </c>
      <c r="F200" s="2755"/>
      <c r="G200" s="850">
        <f>SUMIF($H$6:$AL$6,"&lt;="&amp;$C$7,H200:AL200)</f>
        <v>4.5</v>
      </c>
      <c r="H200" s="1639">
        <f>Development.!B44</f>
        <v>0.9</v>
      </c>
      <c r="I200" s="1639">
        <f>Development.!C44</f>
        <v>0.9</v>
      </c>
      <c r="J200" s="1639">
        <f>Development.!D44</f>
        <v>0</v>
      </c>
      <c r="K200" s="1639">
        <f>Development.!E44</f>
        <v>0.9</v>
      </c>
      <c r="L200" s="1639">
        <f>Development.!F44</f>
        <v>0.9</v>
      </c>
      <c r="M200" s="1639">
        <f>Development.!G44</f>
        <v>0.9</v>
      </c>
      <c r="N200" s="1639">
        <f>Development.!H44</f>
        <v>0.9</v>
      </c>
      <c r="O200" s="1639">
        <f>Development.!I44</f>
        <v>0.9</v>
      </c>
      <c r="P200" s="1639">
        <f>Development.!J44</f>
        <v>0.9</v>
      </c>
      <c r="Q200" s="1639">
        <f>Development.!K44</f>
        <v>0</v>
      </c>
      <c r="R200" s="1639">
        <f>Development.!L44</f>
        <v>0</v>
      </c>
      <c r="S200" s="1639">
        <f>Development.!M44</f>
        <v>0</v>
      </c>
      <c r="T200" s="1639">
        <f>Development.!N44</f>
        <v>0.9</v>
      </c>
      <c r="U200" s="1639">
        <f>Development.!O44</f>
        <v>0</v>
      </c>
      <c r="V200" s="1639">
        <f>Development.!P44</f>
        <v>0.9</v>
      </c>
      <c r="W200" s="1639">
        <f>Development.!Q44</f>
        <v>0.9</v>
      </c>
      <c r="X200" s="1639">
        <f>Development.!R44</f>
        <v>0</v>
      </c>
      <c r="Y200" s="1639">
        <f>Development.!S44</f>
        <v>0.9</v>
      </c>
      <c r="Z200" s="1639">
        <f>Development.!T44</f>
        <v>0.9</v>
      </c>
      <c r="AA200" s="1639">
        <f>Development.!U44</f>
        <v>0</v>
      </c>
      <c r="AB200" s="1639">
        <f>Development.!V44</f>
        <v>0.9</v>
      </c>
      <c r="AC200" s="1639">
        <f>Development.!W44</f>
        <v>0.9</v>
      </c>
      <c r="AD200" s="1639">
        <f>Development.!X44</f>
        <v>0.9</v>
      </c>
      <c r="AE200" s="1639">
        <f>Development.!Y44</f>
        <v>0</v>
      </c>
      <c r="AF200" s="1639">
        <f>Development.!Z44</f>
        <v>0.9</v>
      </c>
      <c r="AG200" s="1639">
        <f>Development.!AA44</f>
        <v>0.9</v>
      </c>
      <c r="AH200" s="1639">
        <f>Development.!AB44</f>
        <v>0.9</v>
      </c>
      <c r="AI200" s="1639">
        <f>Development.!AC44</f>
        <v>0.9</v>
      </c>
      <c r="AJ200" s="1639">
        <f>Development.!AD44</f>
        <v>0.9</v>
      </c>
      <c r="AK200" s="1639">
        <f>Development.!AE44</f>
        <v>0.9</v>
      </c>
      <c r="AL200" s="1639">
        <f>Development.!AF44</f>
        <v>0</v>
      </c>
      <c r="AM200" s="84"/>
    </row>
    <row r="201" spans="2:39" s="79" customFormat="1" ht="14.85" customHeight="1">
      <c r="B201" s="2719"/>
      <c r="C201" s="2750"/>
      <c r="D201" s="2751"/>
      <c r="E201" s="2756" t="s">
        <v>224</v>
      </c>
      <c r="F201" s="2757"/>
      <c r="G201" s="1106">
        <f>SUMIF($H$6:$AL$6,"&lt;="&amp;$C$7,H201:AL201)</f>
        <v>3.5</v>
      </c>
      <c r="H201" s="1102">
        <v>0.8</v>
      </c>
      <c r="J201" s="1103"/>
      <c r="K201" s="1103">
        <v>0.9</v>
      </c>
      <c r="L201" s="1103">
        <v>0.9</v>
      </c>
      <c r="M201" s="1103">
        <v>0.9</v>
      </c>
      <c r="N201" s="1103"/>
      <c r="O201" s="1103"/>
      <c r="P201" s="1103"/>
      <c r="Q201" s="1103"/>
      <c r="R201" s="1103"/>
      <c r="S201" s="1103"/>
      <c r="T201" s="1103"/>
      <c r="U201" s="1103"/>
      <c r="V201" s="1103"/>
      <c r="W201" s="1103"/>
      <c r="X201" s="1103"/>
      <c r="Y201" s="1103"/>
      <c r="Z201" s="1103"/>
      <c r="AA201" s="1103"/>
      <c r="AB201" s="1103"/>
      <c r="AC201" s="1103"/>
      <c r="AD201" s="1103"/>
      <c r="AE201" s="1103"/>
      <c r="AF201" s="1103"/>
      <c r="AG201" s="1103"/>
      <c r="AH201" s="1103"/>
      <c r="AI201" s="1103"/>
      <c r="AJ201" s="1103"/>
      <c r="AK201" s="1103"/>
      <c r="AL201" s="1104"/>
      <c r="AM201" s="85"/>
    </row>
    <row r="202" spans="2:39" s="79" customFormat="1" ht="14.85" customHeight="1" thickBot="1">
      <c r="B202" s="2720"/>
      <c r="C202" s="2752"/>
      <c r="D202" s="2753"/>
      <c r="E202" s="2758" t="s">
        <v>264</v>
      </c>
      <c r="F202" s="2759"/>
      <c r="G202" s="1044">
        <f t="shared" ref="G202" si="60">IFERROR((G201-G200)/G200,0)</f>
        <v>-0.22222222222222221</v>
      </c>
      <c r="H202" s="1107"/>
      <c r="I202" s="1108"/>
      <c r="J202" s="1108"/>
      <c r="K202" s="1108"/>
      <c r="L202" s="1108"/>
      <c r="M202" s="1108"/>
      <c r="N202" s="1108"/>
      <c r="O202" s="1108"/>
      <c r="P202" s="1108"/>
      <c r="Q202" s="1103"/>
      <c r="R202" s="1108"/>
      <c r="S202" s="1108"/>
      <c r="T202" s="1108"/>
      <c r="U202" s="1108"/>
      <c r="V202" s="1108"/>
      <c r="W202" s="1108"/>
      <c r="X202" s="1108"/>
      <c r="Y202" s="1108"/>
      <c r="Z202" s="1108"/>
      <c r="AA202" s="1108"/>
      <c r="AB202" s="1108"/>
      <c r="AC202" s="1108"/>
      <c r="AD202" s="1108"/>
      <c r="AE202" s="1108"/>
      <c r="AF202" s="1108"/>
      <c r="AG202" s="1108"/>
      <c r="AH202" s="1108"/>
      <c r="AI202" s="1108"/>
      <c r="AJ202" s="1108"/>
      <c r="AK202" s="1108"/>
      <c r="AL202" s="1114"/>
      <c r="AM202" s="85"/>
    </row>
    <row r="203" spans="2:39" s="476" customFormat="1" ht="13.35" customHeight="1">
      <c r="B203" s="2721">
        <v>1</v>
      </c>
      <c r="C203" s="2748" t="str">
        <f>Development.!A45</f>
        <v>10L_E3_WASTEPAS</v>
      </c>
      <c r="D203" s="2749"/>
      <c r="E203" s="2754" t="s">
        <v>223</v>
      </c>
      <c r="F203" s="2755"/>
      <c r="G203" s="850">
        <f>SUMIF($H$6:$AL$6,"&lt;="&amp;$C$7,H203:AL203)</f>
        <v>4.5</v>
      </c>
      <c r="H203" s="1639">
        <f>Development.!B45</f>
        <v>0.9</v>
      </c>
      <c r="I203" s="1639">
        <f>Development.!C45</f>
        <v>0.9</v>
      </c>
      <c r="J203" s="1639">
        <f>Development.!D45</f>
        <v>0</v>
      </c>
      <c r="K203" s="1639">
        <f>Development.!E45</f>
        <v>0.9</v>
      </c>
      <c r="L203" s="1639">
        <f>Development.!F45</f>
        <v>0.9</v>
      </c>
      <c r="M203" s="1639">
        <f>Development.!G45</f>
        <v>0.9</v>
      </c>
      <c r="N203" s="1639">
        <f>Development.!H45</f>
        <v>0.9</v>
      </c>
      <c r="O203" s="1639">
        <f>Development.!I45</f>
        <v>0.9</v>
      </c>
      <c r="P203" s="1639">
        <f>Development.!J45</f>
        <v>0.9</v>
      </c>
      <c r="Q203" s="1639">
        <f>Development.!K45</f>
        <v>0</v>
      </c>
      <c r="R203" s="1639">
        <f>Development.!L45</f>
        <v>0</v>
      </c>
      <c r="S203" s="1639">
        <f>Development.!M45</f>
        <v>0</v>
      </c>
      <c r="T203" s="1639">
        <f>Development.!N45</f>
        <v>0.9</v>
      </c>
      <c r="U203" s="1639">
        <f>Development.!O45</f>
        <v>0.9</v>
      </c>
      <c r="V203" s="1639">
        <f>Development.!P45</f>
        <v>0.9</v>
      </c>
      <c r="W203" s="1639">
        <f>Development.!Q45</f>
        <v>0.9</v>
      </c>
      <c r="X203" s="1639">
        <f>Development.!R45</f>
        <v>0</v>
      </c>
      <c r="Y203" s="1639">
        <f>Development.!S45</f>
        <v>0.9</v>
      </c>
      <c r="Z203" s="1639">
        <f>Development.!T45</f>
        <v>0</v>
      </c>
      <c r="AA203" s="1639">
        <f>Development.!U45</f>
        <v>0.9</v>
      </c>
      <c r="AB203" s="1639">
        <f>Development.!V45</f>
        <v>0.9</v>
      </c>
      <c r="AC203" s="1639">
        <f>Development.!W45</f>
        <v>0.9</v>
      </c>
      <c r="AD203" s="1639">
        <f>Development.!X45</f>
        <v>0.9</v>
      </c>
      <c r="AE203" s="1639">
        <f>Development.!Y45</f>
        <v>0</v>
      </c>
      <c r="AF203" s="1639">
        <f>Development.!Z45</f>
        <v>0.9</v>
      </c>
      <c r="AG203" s="1639">
        <f>Development.!AA45</f>
        <v>0.9</v>
      </c>
      <c r="AH203" s="1639">
        <f>Development.!AB45</f>
        <v>0.9</v>
      </c>
      <c r="AI203" s="1639">
        <f>Development.!AC45</f>
        <v>0.9</v>
      </c>
      <c r="AJ203" s="1639">
        <f>Development.!AD45</f>
        <v>0.9</v>
      </c>
      <c r="AK203" s="1639">
        <f>Development.!AE45</f>
        <v>0.9</v>
      </c>
      <c r="AL203" s="1639">
        <f>Development.!AF45</f>
        <v>0</v>
      </c>
      <c r="AM203" s="477"/>
    </row>
    <row r="204" spans="2:39" s="476" customFormat="1" ht="13.5" customHeight="1">
      <c r="B204" s="2722"/>
      <c r="C204" s="2750"/>
      <c r="D204" s="2751"/>
      <c r="E204" s="2756" t="s">
        <v>224</v>
      </c>
      <c r="F204" s="2757"/>
      <c r="G204" s="1106">
        <f>SUMIF($H$6:$AL$6,"&lt;="&amp;$C$7,H204:AL204)</f>
        <v>5.4</v>
      </c>
      <c r="H204" s="1102">
        <v>0.9</v>
      </c>
      <c r="I204" s="1103">
        <v>0.9</v>
      </c>
      <c r="J204" s="1103">
        <v>0.9</v>
      </c>
      <c r="K204" s="1103">
        <v>0.9</v>
      </c>
      <c r="L204" s="1103">
        <v>0.9</v>
      </c>
      <c r="M204" s="1103">
        <v>0.9</v>
      </c>
      <c r="N204" s="1103"/>
      <c r="O204" s="1103"/>
      <c r="P204" s="1103"/>
      <c r="Q204" s="1103"/>
      <c r="R204" s="1103"/>
      <c r="S204" s="1103"/>
      <c r="T204" s="1103"/>
      <c r="U204" s="1103"/>
      <c r="V204" s="1103"/>
      <c r="W204" s="1103"/>
      <c r="X204" s="1103"/>
      <c r="Y204" s="1103"/>
      <c r="Z204" s="1103"/>
      <c r="AA204" s="1103"/>
      <c r="AB204" s="1103"/>
      <c r="AC204" s="1103"/>
      <c r="AD204" s="1103"/>
      <c r="AE204" s="1103"/>
      <c r="AF204" s="1103"/>
      <c r="AG204" s="1103"/>
      <c r="AH204" s="1103"/>
      <c r="AI204" s="1103"/>
      <c r="AJ204" s="1103"/>
      <c r="AK204" s="1103"/>
      <c r="AL204" s="1104"/>
      <c r="AM204" s="478"/>
    </row>
    <row r="205" spans="2:39" s="476" customFormat="1" ht="14.25" customHeight="1" thickBot="1">
      <c r="B205" s="2723"/>
      <c r="C205" s="2752"/>
      <c r="D205" s="2753"/>
      <c r="E205" s="2758" t="s">
        <v>264</v>
      </c>
      <c r="F205" s="2759"/>
      <c r="G205" s="1044">
        <f t="shared" ref="G205" si="61">IFERROR((G204-G203)/G203,0)</f>
        <v>0.20000000000000007</v>
      </c>
      <c r="H205" s="1109"/>
      <c r="I205" s="1110"/>
      <c r="J205" s="1110"/>
      <c r="K205" s="1110"/>
      <c r="L205" s="1110"/>
      <c r="M205" s="1110"/>
      <c r="N205" s="1110"/>
      <c r="O205" s="1110"/>
      <c r="P205" s="1110"/>
      <c r="Q205" s="1110"/>
      <c r="R205" s="1110"/>
      <c r="S205" s="1110"/>
      <c r="T205" s="1110"/>
      <c r="U205" s="1110"/>
      <c r="V205" s="1110"/>
      <c r="W205" s="1110"/>
      <c r="X205" s="1110"/>
      <c r="Y205" s="1110"/>
      <c r="Z205" s="1110"/>
      <c r="AA205" s="1110"/>
      <c r="AB205" s="1110"/>
      <c r="AC205" s="1110"/>
      <c r="AD205" s="1110"/>
      <c r="AE205" s="1110"/>
      <c r="AF205" s="1110"/>
      <c r="AG205" s="1110"/>
      <c r="AH205" s="1116"/>
      <c r="AI205" s="1110"/>
      <c r="AJ205" s="1110"/>
      <c r="AK205" s="1110"/>
      <c r="AL205" s="1111"/>
      <c r="AM205" s="478"/>
    </row>
    <row r="206" spans="2:39" s="476" customFormat="1" ht="13.35" customHeight="1">
      <c r="B206" s="2721">
        <v>1</v>
      </c>
      <c r="C206" s="2748" t="str">
        <f>Development.!A46</f>
        <v>10L_W15_OREPASS</v>
      </c>
      <c r="D206" s="2749"/>
      <c r="E206" s="2754" t="s">
        <v>223</v>
      </c>
      <c r="F206" s="2755"/>
      <c r="G206" s="850">
        <f>SUMIF($H$6:$AL$6,"&lt;="&amp;$C$7,H206:AL206)</f>
        <v>3.6</v>
      </c>
      <c r="H206" s="1639">
        <f>Development.!B46</f>
        <v>0.9</v>
      </c>
      <c r="I206" s="1639">
        <f>Development.!C46</f>
        <v>0.9</v>
      </c>
      <c r="J206" s="1639">
        <f>Development.!D46</f>
        <v>0</v>
      </c>
      <c r="K206" s="1639">
        <f>Development.!E46</f>
        <v>0.9</v>
      </c>
      <c r="L206" s="1639">
        <f>Development.!F46</f>
        <v>0.9</v>
      </c>
      <c r="M206" s="1639">
        <f>Development.!G46</f>
        <v>0</v>
      </c>
      <c r="N206" s="1639">
        <f>Development.!H46</f>
        <v>0.9</v>
      </c>
      <c r="O206" s="1639">
        <f>Development.!I46</f>
        <v>0.9</v>
      </c>
      <c r="P206" s="1639">
        <f>Development.!J46</f>
        <v>0.9</v>
      </c>
      <c r="Q206" s="1639">
        <f>Development.!K46</f>
        <v>0</v>
      </c>
      <c r="R206" s="1639">
        <f>Development.!L46</f>
        <v>0</v>
      </c>
      <c r="S206" s="1639">
        <f>Development.!M46</f>
        <v>0</v>
      </c>
      <c r="T206" s="1639">
        <f>Development.!N46</f>
        <v>0</v>
      </c>
      <c r="U206" s="1639">
        <f>Development.!O46</f>
        <v>0.9</v>
      </c>
      <c r="V206" s="1639">
        <f>Development.!P46</f>
        <v>0.9</v>
      </c>
      <c r="W206" s="1639">
        <f>Development.!Q46</f>
        <v>0.9</v>
      </c>
      <c r="X206" s="1639">
        <f>Development.!R46</f>
        <v>0</v>
      </c>
      <c r="Y206" s="1639">
        <f>Development.!S46</f>
        <v>0.9</v>
      </c>
      <c r="Z206" s="1639">
        <f>Development.!T46</f>
        <v>0.9</v>
      </c>
      <c r="AA206" s="1639">
        <f>Development.!U46</f>
        <v>0</v>
      </c>
      <c r="AB206" s="1639">
        <f>Development.!V46</f>
        <v>0.9</v>
      </c>
      <c r="AC206" s="1639">
        <f>Development.!W46</f>
        <v>0.9</v>
      </c>
      <c r="AD206" s="1639">
        <f>Development.!X46</f>
        <v>0.9</v>
      </c>
      <c r="AE206" s="1639">
        <f>Development.!Y46</f>
        <v>0</v>
      </c>
      <c r="AF206" s="1639">
        <f>Development.!Z46</f>
        <v>0</v>
      </c>
      <c r="AG206" s="1639">
        <f>Development.!AA46</f>
        <v>0</v>
      </c>
      <c r="AH206" s="1639">
        <f>Development.!AB46</f>
        <v>0</v>
      </c>
      <c r="AI206" s="1639">
        <f>Development.!AC46</f>
        <v>0</v>
      </c>
      <c r="AJ206" s="1639">
        <f>Development.!AD46</f>
        <v>0</v>
      </c>
      <c r="AK206" s="1639">
        <f>Development.!AE46</f>
        <v>0</v>
      </c>
      <c r="AL206" s="1639">
        <f>Development.!AF46</f>
        <v>0</v>
      </c>
      <c r="AM206" s="477"/>
    </row>
    <row r="207" spans="2:39" s="476" customFormat="1" ht="13.5" customHeight="1">
      <c r="B207" s="2722"/>
      <c r="C207" s="2750"/>
      <c r="D207" s="2751"/>
      <c r="E207" s="2756" t="s">
        <v>224</v>
      </c>
      <c r="F207" s="2757"/>
      <c r="G207" s="1106">
        <f>SUMIF($H$6:$AL$6,"&lt;="&amp;$C$7,H207:AL207)</f>
        <v>4.4000000000000004</v>
      </c>
      <c r="H207" s="1102">
        <v>0.9</v>
      </c>
      <c r="I207" s="1103">
        <v>0.9</v>
      </c>
      <c r="J207" s="1103"/>
      <c r="K207" s="1103">
        <v>0.8</v>
      </c>
      <c r="L207" s="1103">
        <v>0.9</v>
      </c>
      <c r="M207" s="1103">
        <v>0.9</v>
      </c>
      <c r="N207" s="1103"/>
      <c r="O207" s="1103"/>
      <c r="P207" s="1103"/>
      <c r="Q207" s="1103"/>
      <c r="R207" s="1103"/>
      <c r="S207" s="1103"/>
      <c r="T207" s="1103"/>
      <c r="U207" s="1103"/>
      <c r="V207" s="1103"/>
      <c r="W207" s="1103"/>
      <c r="X207" s="1103"/>
      <c r="Y207" s="1103"/>
      <c r="Z207" s="1103"/>
      <c r="AA207" s="1103"/>
      <c r="AB207" s="1103"/>
      <c r="AC207" s="1103"/>
      <c r="AD207" s="1103"/>
      <c r="AE207" s="1103"/>
      <c r="AF207" s="1103"/>
      <c r="AG207" s="1103"/>
      <c r="AH207" s="1103"/>
      <c r="AI207" s="1103"/>
      <c r="AJ207" s="1103"/>
      <c r="AK207" s="1103"/>
      <c r="AL207" s="1104"/>
      <c r="AM207" s="478"/>
    </row>
    <row r="208" spans="2:39" s="476" customFormat="1" ht="14.25" customHeight="1" thickBot="1">
      <c r="B208" s="2723"/>
      <c r="C208" s="2752"/>
      <c r="D208" s="2753"/>
      <c r="E208" s="2758" t="s">
        <v>264</v>
      </c>
      <c r="F208" s="2759"/>
      <c r="G208" s="1044">
        <f t="shared" ref="G208" si="62">IFERROR((G207-G206)/G206,0)</f>
        <v>0.22222222222222229</v>
      </c>
      <c r="H208" s="1109"/>
      <c r="I208" s="1110"/>
      <c r="J208" s="1110"/>
      <c r="K208" s="1110"/>
      <c r="L208" s="1110"/>
      <c r="M208" s="1110"/>
      <c r="N208" s="1110"/>
      <c r="O208" s="1110"/>
      <c r="P208" s="1110"/>
      <c r="Q208" s="1110"/>
      <c r="R208" s="1110"/>
      <c r="S208" s="1110"/>
      <c r="T208" s="1110"/>
      <c r="U208" s="1110"/>
      <c r="V208" s="1110"/>
      <c r="W208" s="1110"/>
      <c r="X208" s="1110"/>
      <c r="Y208" s="1110"/>
      <c r="Z208" s="1110"/>
      <c r="AA208" s="1110"/>
      <c r="AB208" s="1110"/>
      <c r="AC208" s="1110"/>
      <c r="AD208" s="1110"/>
      <c r="AE208" s="1110"/>
      <c r="AF208" s="1110"/>
      <c r="AG208" s="1110"/>
      <c r="AH208" s="1110"/>
      <c r="AI208" s="1110"/>
      <c r="AJ208" s="1110"/>
      <c r="AK208" s="1110"/>
      <c r="AL208" s="1111"/>
      <c r="AM208" s="478"/>
    </row>
    <row r="209" spans="2:39" s="476" customFormat="1" ht="13.35" customHeight="1">
      <c r="B209" s="2721">
        <v>1</v>
      </c>
      <c r="C209" s="2748" t="str">
        <f>Development.!A47</f>
        <v>10L_W15_WASTEPASS</v>
      </c>
      <c r="D209" s="2749"/>
      <c r="E209" s="2754" t="s">
        <v>223</v>
      </c>
      <c r="F209" s="2755"/>
      <c r="G209" s="850">
        <f>SUMIF($H$6:$AL$6,"&lt;="&amp;$C$7,H209:AL209)</f>
        <v>0.9</v>
      </c>
      <c r="H209" s="1639">
        <f>Development.!B47</f>
        <v>0</v>
      </c>
      <c r="I209" s="1639">
        <f>Development.!C47</f>
        <v>0</v>
      </c>
      <c r="J209" s="1639">
        <f>Development.!D47</f>
        <v>0</v>
      </c>
      <c r="K209" s="1639">
        <f>Development.!E47</f>
        <v>0</v>
      </c>
      <c r="L209" s="1639">
        <f>Development.!F47</f>
        <v>0</v>
      </c>
      <c r="M209" s="1639">
        <f>Development.!G47</f>
        <v>0.9</v>
      </c>
      <c r="N209" s="1639">
        <f>Development.!H47</f>
        <v>0.9</v>
      </c>
      <c r="O209" s="1639">
        <f>Development.!I47</f>
        <v>0.9</v>
      </c>
      <c r="P209" s="1639">
        <f>Development.!J47</f>
        <v>0.9</v>
      </c>
      <c r="Q209" s="1639">
        <f>Development.!K47</f>
        <v>0</v>
      </c>
      <c r="R209" s="1639">
        <f>Development.!L47</f>
        <v>0</v>
      </c>
      <c r="S209" s="1639">
        <f>Development.!M47</f>
        <v>0</v>
      </c>
      <c r="T209" s="1639">
        <f>Development.!N47</f>
        <v>0</v>
      </c>
      <c r="U209" s="1639">
        <f>Development.!O47</f>
        <v>0</v>
      </c>
      <c r="V209" s="1639">
        <f>Development.!P47</f>
        <v>0.9</v>
      </c>
      <c r="W209" s="1639">
        <f>Development.!Q47</f>
        <v>0.9</v>
      </c>
      <c r="X209" s="1639">
        <f>Development.!R47</f>
        <v>0</v>
      </c>
      <c r="Y209" s="1639">
        <f>Development.!S47</f>
        <v>0.9</v>
      </c>
      <c r="Z209" s="1639">
        <f>Development.!T47</f>
        <v>0.9</v>
      </c>
      <c r="AA209" s="1639">
        <f>Development.!U47</f>
        <v>0.9</v>
      </c>
      <c r="AB209" s="1639">
        <f>Development.!V47</f>
        <v>0.9</v>
      </c>
      <c r="AC209" s="1639">
        <f>Development.!W47</f>
        <v>0.9</v>
      </c>
      <c r="AD209" s="1639">
        <f>Development.!X47</f>
        <v>0.9</v>
      </c>
      <c r="AE209" s="1639">
        <f>Development.!Y47</f>
        <v>0</v>
      </c>
      <c r="AF209" s="1639">
        <f>Development.!Z47</f>
        <v>0</v>
      </c>
      <c r="AG209" s="1639">
        <f>Development.!AA47</f>
        <v>0</v>
      </c>
      <c r="AH209" s="1639">
        <f>Development.!AB47</f>
        <v>0</v>
      </c>
      <c r="AI209" s="1639">
        <f>Development.!AC47</f>
        <v>0</v>
      </c>
      <c r="AJ209" s="1639">
        <f>Development.!AD47</f>
        <v>0</v>
      </c>
      <c r="AK209" s="1639">
        <f>Development.!AE47</f>
        <v>0</v>
      </c>
      <c r="AL209" s="1639">
        <f>Development.!AF47</f>
        <v>0</v>
      </c>
      <c r="AM209" s="477"/>
    </row>
    <row r="210" spans="2:39" s="476" customFormat="1" ht="13.5" customHeight="1">
      <c r="B210" s="2722"/>
      <c r="C210" s="2750"/>
      <c r="D210" s="2751"/>
      <c r="E210" s="2756" t="s">
        <v>224</v>
      </c>
      <c r="F210" s="2757"/>
      <c r="G210" s="1106">
        <f>SUMIF($H$6:$AL$6,"&lt;="&amp;$C$7,H210:AL210)</f>
        <v>1.8</v>
      </c>
      <c r="H210" s="1102">
        <v>0.9</v>
      </c>
      <c r="I210" s="1103">
        <v>0.9</v>
      </c>
      <c r="J210" s="1103"/>
      <c r="K210" s="1103"/>
      <c r="L210" s="1103"/>
      <c r="M210" s="1103"/>
      <c r="N210" s="1103"/>
      <c r="O210" s="1103"/>
      <c r="P210" s="1103"/>
      <c r="Q210" s="1103"/>
      <c r="R210" s="1103"/>
      <c r="S210" s="1103"/>
      <c r="T210" s="1103"/>
      <c r="U210" s="1103"/>
      <c r="V210" s="1103"/>
      <c r="W210" s="1103"/>
      <c r="X210" s="1103"/>
      <c r="Y210" s="1103"/>
      <c r="Z210" s="1103"/>
      <c r="AA210" s="1103"/>
      <c r="AB210" s="1103"/>
      <c r="AC210" s="1103"/>
      <c r="AD210" s="1103"/>
      <c r="AE210" s="1103"/>
      <c r="AF210" s="1103"/>
      <c r="AG210" s="1103"/>
      <c r="AH210" s="1103"/>
      <c r="AI210" s="1103"/>
      <c r="AJ210" s="1103"/>
      <c r="AK210" s="1103"/>
      <c r="AL210" s="1104"/>
      <c r="AM210" s="478"/>
    </row>
    <row r="211" spans="2:39" s="476" customFormat="1" ht="14.25" customHeight="1" thickBot="1">
      <c r="B211" s="2723"/>
      <c r="C211" s="2752"/>
      <c r="D211" s="2753"/>
      <c r="E211" s="2758" t="s">
        <v>264</v>
      </c>
      <c r="F211" s="2759"/>
      <c r="G211" s="1044">
        <f t="shared" ref="G211" si="63">IFERROR((G210-G209)/G209,0)</f>
        <v>1</v>
      </c>
      <c r="H211" s="1109"/>
      <c r="I211" s="1110"/>
      <c r="J211" s="1110"/>
      <c r="K211" s="1110"/>
      <c r="L211" s="1110"/>
      <c r="M211" s="1110"/>
      <c r="N211" s="1110"/>
      <c r="O211" s="1110"/>
      <c r="P211" s="1110"/>
      <c r="Q211" s="1110"/>
      <c r="R211" s="1110"/>
      <c r="S211" s="1110"/>
      <c r="T211" s="1110"/>
      <c r="U211" s="1110"/>
      <c r="V211" s="1110"/>
      <c r="W211" s="1110"/>
      <c r="X211" s="1116"/>
      <c r="Y211" s="1110"/>
      <c r="Z211" s="1110"/>
      <c r="AA211" s="1110"/>
      <c r="AB211" s="1110"/>
      <c r="AC211" s="1110"/>
      <c r="AD211" s="1110"/>
      <c r="AE211" s="1110"/>
      <c r="AF211" s="1110"/>
      <c r="AG211" s="1110"/>
      <c r="AH211" s="1110"/>
      <c r="AI211" s="1110"/>
      <c r="AJ211" s="1110"/>
      <c r="AK211" s="1110"/>
      <c r="AL211" s="1111"/>
      <c r="AM211" s="478"/>
    </row>
    <row r="212" spans="2:39" s="476" customFormat="1" ht="13.35" customHeight="1">
      <c r="B212" s="2721">
        <v>1</v>
      </c>
      <c r="C212" s="2748" t="str">
        <f>Development.!A48</f>
        <v>10L_E7_DAM</v>
      </c>
      <c r="D212" s="2749"/>
      <c r="E212" s="2754" t="s">
        <v>223</v>
      </c>
      <c r="F212" s="2755"/>
      <c r="G212" s="850">
        <f>SUMIF($H$6:$AL$6,"&lt;="&amp;$C$7,H212:AL212)</f>
        <v>1.3</v>
      </c>
      <c r="H212" s="82">
        <f>Development.!B48</f>
        <v>0</v>
      </c>
      <c r="I212" s="82">
        <f>Development.!C48</f>
        <v>0</v>
      </c>
      <c r="J212" s="82">
        <f>Development.!D48</f>
        <v>0</v>
      </c>
      <c r="K212" s="82">
        <f>Development.!E48</f>
        <v>0</v>
      </c>
      <c r="L212" s="82">
        <f>Development.!F48</f>
        <v>0</v>
      </c>
      <c r="M212" s="82">
        <f>Development.!G48</f>
        <v>1.3</v>
      </c>
      <c r="N212" s="82">
        <f>Development.!H48</f>
        <v>0</v>
      </c>
      <c r="O212" s="82">
        <f>Development.!I48</f>
        <v>1.3</v>
      </c>
      <c r="P212" s="82">
        <f>Development.!J48</f>
        <v>0</v>
      </c>
      <c r="Q212" s="82">
        <f>Development.!K48</f>
        <v>0</v>
      </c>
      <c r="R212" s="82">
        <f>Development.!L48</f>
        <v>0</v>
      </c>
      <c r="S212" s="82">
        <f>Development.!M48</f>
        <v>0</v>
      </c>
      <c r="T212" s="82">
        <f>Development.!N48</f>
        <v>1.3</v>
      </c>
      <c r="U212" s="82">
        <f>Development.!O48</f>
        <v>1.3</v>
      </c>
      <c r="V212" s="82">
        <f>Development.!P48</f>
        <v>1.3</v>
      </c>
      <c r="W212" s="82">
        <f>Development.!Q48</f>
        <v>0</v>
      </c>
      <c r="X212" s="82">
        <f>Development.!R48</f>
        <v>0</v>
      </c>
      <c r="Y212" s="82">
        <f>Development.!S48</f>
        <v>1.3</v>
      </c>
      <c r="Z212" s="82">
        <f>Development.!T48</f>
        <v>1.3</v>
      </c>
      <c r="AA212" s="82">
        <f>Development.!U48</f>
        <v>1.3</v>
      </c>
      <c r="AB212" s="82">
        <f>Development.!V48</f>
        <v>1.3</v>
      </c>
      <c r="AC212" s="82">
        <f>Development.!W48</f>
        <v>1.3</v>
      </c>
      <c r="AD212" s="82">
        <f>Development.!X48</f>
        <v>1.3</v>
      </c>
      <c r="AE212" s="82">
        <f>Development.!Y48</f>
        <v>0</v>
      </c>
      <c r="AF212" s="82">
        <f>Development.!Z48</f>
        <v>1.3</v>
      </c>
      <c r="AG212" s="82">
        <f>Development.!AA48</f>
        <v>1.3</v>
      </c>
      <c r="AH212" s="82">
        <f>Development.!AB48</f>
        <v>1.3</v>
      </c>
      <c r="AI212" s="82">
        <f>Development.!AC48</f>
        <v>1.3</v>
      </c>
      <c r="AJ212" s="82">
        <f>Development.!AD48</f>
        <v>0</v>
      </c>
      <c r="AK212" s="82">
        <f>Development.!AE48</f>
        <v>0</v>
      </c>
      <c r="AL212" s="82">
        <f>Development.!AF48</f>
        <v>0</v>
      </c>
      <c r="AM212" s="477"/>
    </row>
    <row r="213" spans="2:39" s="476" customFormat="1" ht="13.5" customHeight="1">
      <c r="B213" s="2722"/>
      <c r="C213" s="2750"/>
      <c r="D213" s="2751"/>
      <c r="E213" s="2756" t="s">
        <v>224</v>
      </c>
      <c r="F213" s="2757"/>
      <c r="G213" s="1106">
        <f>SUMIF($H$6:$AL$6,"&lt;="&amp;$C$7,H213:AL213)</f>
        <v>7.4</v>
      </c>
      <c r="H213" s="1102">
        <v>1.3</v>
      </c>
      <c r="I213" s="1103">
        <v>1.3</v>
      </c>
      <c r="J213" s="1103">
        <v>1.2</v>
      </c>
      <c r="K213" s="1103">
        <v>1.2</v>
      </c>
      <c r="L213" s="1103">
        <v>1.3</v>
      </c>
      <c r="M213" s="1103">
        <v>1.1000000000000001</v>
      </c>
      <c r="N213" s="1103"/>
      <c r="O213" s="1103"/>
      <c r="P213" s="1103"/>
      <c r="Q213" s="1103"/>
      <c r="R213" s="1103"/>
      <c r="S213" s="1103"/>
      <c r="T213" s="1103"/>
      <c r="U213" s="1103"/>
      <c r="V213" s="1103"/>
      <c r="W213" s="1103"/>
      <c r="X213" s="1103"/>
      <c r="Y213" s="1103"/>
      <c r="Z213" s="1103"/>
      <c r="AA213" s="1103"/>
      <c r="AB213" s="1103"/>
      <c r="AC213" s="1103"/>
      <c r="AD213" s="1103"/>
      <c r="AE213" s="1103"/>
      <c r="AF213" s="1103"/>
      <c r="AG213" s="1103"/>
      <c r="AH213" s="1103"/>
      <c r="AI213" s="1103"/>
      <c r="AJ213" s="1103"/>
      <c r="AK213" s="1103"/>
      <c r="AL213" s="1104"/>
      <c r="AM213" s="478"/>
    </row>
    <row r="214" spans="2:39" s="476" customFormat="1" ht="14.25" customHeight="1" thickBot="1">
      <c r="B214" s="2723"/>
      <c r="C214" s="2752"/>
      <c r="D214" s="2753"/>
      <c r="E214" s="2758" t="s">
        <v>264</v>
      </c>
      <c r="F214" s="2759"/>
      <c r="G214" s="1044">
        <f t="shared" ref="G214" si="64">IFERROR((G213-G212)/G212,0)</f>
        <v>4.6923076923076925</v>
      </c>
      <c r="H214" s="1117"/>
      <c r="I214" s="1000"/>
      <c r="J214" s="1000"/>
      <c r="K214" s="1000"/>
      <c r="L214" s="1000"/>
      <c r="M214" s="1000"/>
      <c r="N214" s="1000"/>
      <c r="O214" s="1000"/>
      <c r="P214" s="1000"/>
      <c r="Q214" s="1000"/>
      <c r="R214" s="1000"/>
      <c r="S214" s="1000"/>
      <c r="T214" s="1000"/>
      <c r="U214" s="1000"/>
      <c r="V214" s="1000"/>
      <c r="W214" s="1000"/>
      <c r="X214" s="1000"/>
      <c r="Y214" s="1000"/>
      <c r="Z214" s="1000"/>
      <c r="AA214" s="1000"/>
      <c r="AB214" s="1000"/>
      <c r="AC214" s="1000"/>
      <c r="AD214" s="1000"/>
      <c r="AE214" s="1000"/>
      <c r="AF214" s="1000"/>
      <c r="AG214" s="1000"/>
      <c r="AH214" s="1000"/>
      <c r="AI214" s="1000"/>
      <c r="AJ214" s="1000"/>
      <c r="AK214" s="1000"/>
      <c r="AL214" s="1045"/>
      <c r="AM214" s="479"/>
    </row>
    <row r="215" spans="2:39" s="476" customFormat="1" ht="14.25" customHeight="1">
      <c r="B215" s="2721">
        <v>1</v>
      </c>
      <c r="C215" s="2748" t="str">
        <f>Development.!A49</f>
        <v>Venning Shaft Overrun</v>
      </c>
      <c r="D215" s="2749"/>
      <c r="E215" s="2754" t="s">
        <v>223</v>
      </c>
      <c r="F215" s="2755"/>
      <c r="G215" s="850">
        <f>SUMIF($H$6:$AL$6,"&lt;="&amp;$C$7,H215:AL215)</f>
        <v>4.5</v>
      </c>
      <c r="H215" s="82">
        <f>Development.!B49</f>
        <v>0.9</v>
      </c>
      <c r="I215" s="82">
        <f>Development.!C49</f>
        <v>0.9</v>
      </c>
      <c r="J215" s="82">
        <f>Development.!D49</f>
        <v>0.9</v>
      </c>
      <c r="K215" s="82">
        <f>Development.!E49</f>
        <v>0.9</v>
      </c>
      <c r="L215" s="82">
        <f>Development.!F49</f>
        <v>0</v>
      </c>
      <c r="M215" s="82">
        <f>Development.!G49</f>
        <v>0.9</v>
      </c>
      <c r="N215" s="82">
        <f>Development.!H49</f>
        <v>0.9</v>
      </c>
      <c r="O215" s="82">
        <f>Development.!I49</f>
        <v>0.9</v>
      </c>
      <c r="P215" s="82">
        <f>Development.!J49</f>
        <v>0.9</v>
      </c>
      <c r="Q215" s="82">
        <f>Development.!K49</f>
        <v>0.9</v>
      </c>
      <c r="R215" s="82">
        <f>Development.!L49</f>
        <v>0</v>
      </c>
      <c r="S215" s="82">
        <f>Development.!M49</f>
        <v>0</v>
      </c>
      <c r="T215" s="82">
        <f>Development.!N49</f>
        <v>0.9</v>
      </c>
      <c r="U215" s="82">
        <f>Development.!O49</f>
        <v>0</v>
      </c>
      <c r="V215" s="82">
        <f>Development.!P49</f>
        <v>0</v>
      </c>
      <c r="W215" s="82">
        <f>Development.!Q49</f>
        <v>0</v>
      </c>
      <c r="X215" s="82">
        <f>Development.!R49</f>
        <v>0</v>
      </c>
      <c r="Y215" s="82">
        <f>Development.!S49</f>
        <v>0</v>
      </c>
      <c r="Z215" s="82">
        <f>Development.!T49</f>
        <v>0</v>
      </c>
      <c r="AA215" s="82">
        <f>Development.!U49</f>
        <v>0</v>
      </c>
      <c r="AB215" s="82">
        <f>Development.!V49</f>
        <v>0</v>
      </c>
      <c r="AC215" s="82">
        <f>Development.!W49</f>
        <v>0</v>
      </c>
      <c r="AD215" s="82">
        <f>Development.!X49</f>
        <v>0</v>
      </c>
      <c r="AE215" s="82">
        <f>Development.!Y49</f>
        <v>0</v>
      </c>
      <c r="AF215" s="82">
        <f>Development.!Z49</f>
        <v>0</v>
      </c>
      <c r="AG215" s="82">
        <f>Development.!AA49</f>
        <v>0</v>
      </c>
      <c r="AH215" s="82">
        <f>Development.!AB49</f>
        <v>0</v>
      </c>
      <c r="AI215" s="82">
        <f>Development.!AC49</f>
        <v>0</v>
      </c>
      <c r="AJ215" s="82">
        <f>Development.!AD49</f>
        <v>0</v>
      </c>
      <c r="AK215" s="82">
        <f>Development.!AE49</f>
        <v>0</v>
      </c>
      <c r="AL215" s="82">
        <f>Development.!AF49</f>
        <v>0</v>
      </c>
      <c r="AM215" s="477"/>
    </row>
    <row r="216" spans="2:39" s="476" customFormat="1" ht="14.25" customHeight="1">
      <c r="B216" s="2722"/>
      <c r="C216" s="2750"/>
      <c r="D216" s="2751"/>
      <c r="E216" s="2756" t="s">
        <v>224</v>
      </c>
      <c r="F216" s="2757"/>
      <c r="G216" s="1106">
        <f>SUMIF($H$6:$AL$6,"&lt;="&amp;$C$7,H216:AL216)</f>
        <v>2.6</v>
      </c>
      <c r="H216" s="1102">
        <v>0.9</v>
      </c>
      <c r="I216" s="1103">
        <v>0.9</v>
      </c>
      <c r="J216" s="1103">
        <v>0.8</v>
      </c>
      <c r="K216" s="1103"/>
      <c r="L216" s="1103"/>
      <c r="M216" s="1103"/>
      <c r="N216" s="1103"/>
      <c r="O216" s="1103"/>
      <c r="P216" s="1103"/>
      <c r="Q216" s="1103"/>
      <c r="R216" s="1103"/>
      <c r="S216" s="1103"/>
      <c r="T216" s="1103"/>
      <c r="U216" s="1103"/>
      <c r="V216" s="1103"/>
      <c r="W216" s="1103"/>
      <c r="X216" s="1103"/>
      <c r="Y216" s="1103"/>
      <c r="Z216" s="1103"/>
      <c r="AA216" s="1103"/>
      <c r="AB216" s="1103"/>
      <c r="AC216" s="1103"/>
      <c r="AD216" s="1103"/>
      <c r="AE216" s="1103"/>
      <c r="AF216" s="1103"/>
      <c r="AG216" s="1103"/>
      <c r="AH216" s="1103"/>
      <c r="AI216" s="1103"/>
      <c r="AJ216" s="1103"/>
      <c r="AK216" s="1103"/>
      <c r="AL216" s="1104"/>
      <c r="AM216" s="478"/>
    </row>
    <row r="217" spans="2:39" s="476" customFormat="1" ht="14.25" customHeight="1" thickBot="1">
      <c r="B217" s="2723"/>
      <c r="C217" s="2752"/>
      <c r="D217" s="2753"/>
      <c r="E217" s="2758" t="s">
        <v>264</v>
      </c>
      <c r="F217" s="2759"/>
      <c r="G217" s="1044">
        <f>IFERROR((G216-G215)/G215,0)</f>
        <v>-0.42222222222222222</v>
      </c>
      <c r="H217" s="1117"/>
      <c r="I217" s="1000"/>
      <c r="J217" s="1000"/>
      <c r="K217" s="1000"/>
      <c r="L217" s="1000"/>
      <c r="M217" s="1000"/>
      <c r="N217" s="1000"/>
      <c r="O217" s="1000"/>
      <c r="P217" s="1000"/>
      <c r="Q217" s="1000"/>
      <c r="R217" s="1000"/>
      <c r="S217" s="1000"/>
      <c r="T217" s="1000"/>
      <c r="U217" s="1000"/>
      <c r="V217" s="1000"/>
      <c r="W217" s="1000"/>
      <c r="X217" s="1000"/>
      <c r="Y217" s="1000"/>
      <c r="Z217" s="1000"/>
      <c r="AA217" s="1000"/>
      <c r="AB217" s="1000"/>
      <c r="AC217" s="1000"/>
      <c r="AD217" s="1000"/>
      <c r="AE217" s="1000"/>
      <c r="AF217" s="1000"/>
      <c r="AG217" s="1000"/>
      <c r="AH217" s="1000"/>
      <c r="AI217" s="1000"/>
      <c r="AJ217" s="1000"/>
      <c r="AK217" s="1000"/>
      <c r="AL217" s="1045"/>
      <c r="AM217" s="479"/>
    </row>
    <row r="218" spans="2:39" s="476" customFormat="1" ht="14.25" hidden="1" customHeight="1">
      <c r="B218" s="2721"/>
      <c r="C218" s="2748"/>
      <c r="D218" s="2749"/>
      <c r="E218" s="2754" t="s">
        <v>223</v>
      </c>
      <c r="F218" s="2755"/>
      <c r="G218" s="850">
        <f>SUMIF($H$6:$AL$6,"&lt;="&amp;$C$7,H218:AL218)</f>
        <v>0</v>
      </c>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477"/>
    </row>
    <row r="219" spans="2:39" s="476" customFormat="1" ht="14.25" hidden="1" customHeight="1">
      <c r="B219" s="2722"/>
      <c r="C219" s="2750"/>
      <c r="D219" s="2751"/>
      <c r="E219" s="2756" t="s">
        <v>224</v>
      </c>
      <c r="F219" s="2757"/>
      <c r="G219" s="1106">
        <f>SUMIF($H$6:$AL$6,"&lt;="&amp;$C$7,H219:AL219)</f>
        <v>0</v>
      </c>
      <c r="H219" s="1102"/>
      <c r="I219" s="1103"/>
      <c r="J219" s="1103"/>
      <c r="K219" s="1103"/>
      <c r="L219" s="1103"/>
      <c r="M219" s="1103"/>
      <c r="N219" s="1103"/>
      <c r="O219" s="1103"/>
      <c r="P219" s="1103"/>
      <c r="Q219" s="1103"/>
      <c r="R219" s="1103"/>
      <c r="S219" s="1103"/>
      <c r="T219" s="1103"/>
      <c r="U219" s="1103"/>
      <c r="V219" s="1103"/>
      <c r="W219" s="1103"/>
      <c r="X219" s="1103"/>
      <c r="Y219" s="1103"/>
      <c r="Z219" s="1103"/>
      <c r="AA219" s="1103"/>
      <c r="AB219" s="1103"/>
      <c r="AC219" s="1103"/>
      <c r="AD219" s="1103"/>
      <c r="AE219" s="1103"/>
      <c r="AF219" s="1103"/>
      <c r="AG219" s="1103"/>
      <c r="AH219" s="1103"/>
      <c r="AI219" s="1103"/>
      <c r="AJ219" s="1103"/>
      <c r="AK219" s="1103"/>
      <c r="AL219" s="1104"/>
      <c r="AM219" s="478"/>
    </row>
    <row r="220" spans="2:39" s="476" customFormat="1" ht="14.25" hidden="1" customHeight="1" thickBot="1">
      <c r="B220" s="2723"/>
      <c r="C220" s="2752"/>
      <c r="D220" s="2753"/>
      <c r="E220" s="2758" t="s">
        <v>264</v>
      </c>
      <c r="F220" s="2759"/>
      <c r="G220" s="1044">
        <f>IFERROR((G219-G218)/G218,0)</f>
        <v>0</v>
      </c>
      <c r="H220" s="1117"/>
      <c r="I220" s="1000"/>
      <c r="J220" s="1000"/>
      <c r="K220" s="1000"/>
      <c r="L220" s="1000"/>
      <c r="M220" s="1000"/>
      <c r="N220" s="1000"/>
      <c r="O220" s="1000"/>
      <c r="P220" s="1000"/>
      <c r="Q220" s="1000"/>
      <c r="R220" s="1000"/>
      <c r="S220" s="1000"/>
      <c r="T220" s="1000"/>
      <c r="U220" s="1000"/>
      <c r="V220" s="1000"/>
      <c r="W220" s="1000"/>
      <c r="X220" s="1000"/>
      <c r="Y220" s="1000"/>
      <c r="Z220" s="1000"/>
      <c r="AA220" s="1000"/>
      <c r="AB220" s="1000"/>
      <c r="AC220" s="1000"/>
      <c r="AD220" s="1000"/>
      <c r="AE220" s="1000"/>
      <c r="AF220" s="1000"/>
      <c r="AG220" s="1000"/>
      <c r="AH220" s="1000"/>
      <c r="AI220" s="1000"/>
      <c r="AJ220" s="1000"/>
      <c r="AK220" s="1000"/>
      <c r="AL220" s="1045"/>
      <c r="AM220" s="479"/>
    </row>
    <row r="221" spans="2:39" s="476" customFormat="1" ht="13.5" hidden="1" customHeight="1">
      <c r="B221" s="2721"/>
      <c r="C221" s="2748"/>
      <c r="D221" s="2749"/>
      <c r="E221" s="2754" t="s">
        <v>223</v>
      </c>
      <c r="F221" s="2755"/>
      <c r="G221" s="850">
        <f>SUMIF($H$6:$AL$6,"&lt;="&amp;$C$7,H221:AL221)</f>
        <v>0</v>
      </c>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477"/>
    </row>
    <row r="222" spans="2:39" s="476" customFormat="1" ht="13.5" hidden="1" customHeight="1">
      <c r="B222" s="2722"/>
      <c r="C222" s="2750"/>
      <c r="D222" s="2751"/>
      <c r="E222" s="2756" t="s">
        <v>224</v>
      </c>
      <c r="F222" s="2757"/>
      <c r="G222" s="1106">
        <f>SUMIF($H$6:$AL$6,"&lt;="&amp;$C$7,H222:AL222)</f>
        <v>0</v>
      </c>
      <c r="H222" s="1102"/>
      <c r="I222" s="1103"/>
      <c r="J222" s="1103"/>
      <c r="K222" s="1103"/>
      <c r="L222" s="1103"/>
      <c r="M222" s="1103"/>
      <c r="N222" s="1103"/>
      <c r="O222" s="1103"/>
      <c r="P222" s="1103"/>
      <c r="Q222" s="1103"/>
      <c r="R222" s="1103"/>
      <c r="S222" s="1103"/>
      <c r="T222" s="1103"/>
      <c r="U222" s="1103"/>
      <c r="V222" s="1103"/>
      <c r="W222" s="1103"/>
      <c r="X222" s="1103"/>
      <c r="Y222" s="1103"/>
      <c r="Z222" s="1103"/>
      <c r="AA222" s="1103"/>
      <c r="AB222" s="1103"/>
      <c r="AC222" s="1103"/>
      <c r="AD222" s="1103"/>
      <c r="AE222" s="1103"/>
      <c r="AF222" s="1103"/>
      <c r="AG222" s="1103"/>
      <c r="AH222" s="1103"/>
      <c r="AI222" s="1103"/>
      <c r="AJ222" s="1103"/>
      <c r="AK222" s="1103"/>
      <c r="AL222" s="1104"/>
      <c r="AM222" s="478"/>
    </row>
    <row r="223" spans="2:39" s="476" customFormat="1" ht="14.25" hidden="1" customHeight="1" thickBot="1">
      <c r="B223" s="2723"/>
      <c r="C223" s="2752"/>
      <c r="D223" s="2753"/>
      <c r="E223" s="2758" t="s">
        <v>264</v>
      </c>
      <c r="F223" s="2759"/>
      <c r="G223" s="1044">
        <f t="shared" ref="G223" si="65">IFERROR((G222-G221)/G221,0)</f>
        <v>0</v>
      </c>
      <c r="H223" s="1109"/>
      <c r="I223" s="1110"/>
      <c r="J223" s="1110"/>
      <c r="K223" s="1110"/>
      <c r="L223" s="1110"/>
      <c r="M223" s="1110"/>
      <c r="N223" s="1110"/>
      <c r="O223" s="1110"/>
      <c r="P223" s="1110"/>
      <c r="Q223" s="1110"/>
      <c r="R223" s="1110"/>
      <c r="S223" s="1110"/>
      <c r="T223" s="1110"/>
      <c r="U223" s="1110"/>
      <c r="V223" s="1110"/>
      <c r="W223" s="1110"/>
      <c r="X223" s="1116"/>
      <c r="Y223" s="1110"/>
      <c r="Z223" s="1110"/>
      <c r="AA223" s="1110"/>
      <c r="AB223" s="1110"/>
      <c r="AC223" s="1110"/>
      <c r="AD223" s="1110"/>
      <c r="AE223" s="1110"/>
      <c r="AF223" s="1110"/>
      <c r="AG223" s="1110"/>
      <c r="AH223" s="1110"/>
      <c r="AI223" s="1110"/>
      <c r="AJ223" s="1110"/>
      <c r="AK223" s="1110"/>
      <c r="AL223" s="1111"/>
      <c r="AM223" s="478"/>
    </row>
    <row r="224" spans="2:39" s="476" customFormat="1" ht="13.5" hidden="1" customHeight="1">
      <c r="B224" s="2721"/>
      <c r="C224" s="2748"/>
      <c r="D224" s="2749"/>
      <c r="E224" s="2754" t="s">
        <v>223</v>
      </c>
      <c r="F224" s="2755"/>
      <c r="G224" s="850">
        <f>SUMIF($H$6:$AL$6,"&lt;="&amp;$C$7,H224:AL224)</f>
        <v>0</v>
      </c>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477"/>
    </row>
    <row r="225" spans="2:39" s="476" customFormat="1" ht="13.5" hidden="1" customHeight="1">
      <c r="B225" s="2722"/>
      <c r="C225" s="2750"/>
      <c r="D225" s="2751"/>
      <c r="E225" s="2756" t="s">
        <v>224</v>
      </c>
      <c r="F225" s="2757"/>
      <c r="G225" s="1106">
        <f>SUMIF($H$6:$AL$6,"&lt;="&amp;$C$7,H225:AL225)</f>
        <v>0</v>
      </c>
      <c r="H225" s="1102"/>
      <c r="I225" s="1103"/>
      <c r="J225" s="1103"/>
      <c r="K225" s="1103"/>
      <c r="L225" s="1103"/>
      <c r="M225" s="1103"/>
      <c r="N225" s="1103"/>
      <c r="O225" s="1103"/>
      <c r="P225" s="1103"/>
      <c r="Q225" s="1103"/>
      <c r="R225" s="1103"/>
      <c r="S225" s="1103"/>
      <c r="T225" s="1103"/>
      <c r="U225" s="1103"/>
      <c r="V225" s="1103"/>
      <c r="W225" s="1103"/>
      <c r="X225" s="1103"/>
      <c r="Y225" s="1103"/>
      <c r="Z225" s="1103"/>
      <c r="AA225" s="1103"/>
      <c r="AB225" s="1103"/>
      <c r="AC225" s="1103"/>
      <c r="AD225" s="1103"/>
      <c r="AE225" s="1103"/>
      <c r="AF225" s="1103"/>
      <c r="AG225" s="1103"/>
      <c r="AH225" s="1103"/>
      <c r="AI225" s="1103"/>
      <c r="AJ225" s="1103"/>
      <c r="AK225" s="1103"/>
      <c r="AL225" s="1104"/>
      <c r="AM225" s="478"/>
    </row>
    <row r="226" spans="2:39" s="476" customFormat="1" ht="14.25" hidden="1" customHeight="1" thickBot="1">
      <c r="B226" s="2723"/>
      <c r="C226" s="2752"/>
      <c r="D226" s="2753"/>
      <c r="E226" s="2758" t="s">
        <v>264</v>
      </c>
      <c r="F226" s="2759"/>
      <c r="G226" s="1044">
        <f t="shared" ref="G226" si="66">IFERROR((G225-G224)/G224,0)</f>
        <v>0</v>
      </c>
      <c r="H226" s="1117"/>
      <c r="I226" s="1000"/>
      <c r="J226" s="1000"/>
      <c r="K226" s="1000"/>
      <c r="L226" s="1000"/>
      <c r="M226" s="1000"/>
      <c r="N226" s="1000"/>
      <c r="O226" s="1000"/>
      <c r="P226" s="1000"/>
      <c r="Q226" s="1000"/>
      <c r="R226" s="1000"/>
      <c r="S226" s="1000"/>
      <c r="T226" s="1000"/>
      <c r="U226" s="1000"/>
      <c r="V226" s="1000"/>
      <c r="W226" s="1000"/>
      <c r="X226" s="1000"/>
      <c r="Y226" s="1000"/>
      <c r="Z226" s="1000"/>
      <c r="AA226" s="1000"/>
      <c r="AB226" s="1000"/>
      <c r="AC226" s="1000"/>
      <c r="AD226" s="1000"/>
      <c r="AE226" s="1000"/>
      <c r="AF226" s="1000"/>
      <c r="AG226" s="1000"/>
      <c r="AH226" s="1000"/>
      <c r="AI226" s="1000"/>
      <c r="AJ226" s="1000"/>
      <c r="AK226" s="1000"/>
      <c r="AL226" s="1045"/>
      <c r="AM226" s="479"/>
    </row>
    <row r="227" spans="2:39" s="476" customFormat="1" ht="13.5" hidden="1" customHeight="1">
      <c r="B227" s="2721"/>
      <c r="C227" s="2748"/>
      <c r="D227" s="2749"/>
      <c r="E227" s="2754" t="s">
        <v>223</v>
      </c>
      <c r="F227" s="2755"/>
      <c r="G227" s="850">
        <f>SUMIF($H$6:$AL$6,"&lt;="&amp;$C$7,H227:AL227)</f>
        <v>0</v>
      </c>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477"/>
    </row>
    <row r="228" spans="2:39" s="476" customFormat="1" ht="13.5" hidden="1" customHeight="1">
      <c r="B228" s="2722"/>
      <c r="C228" s="2750"/>
      <c r="D228" s="2751"/>
      <c r="E228" s="2756" t="s">
        <v>224</v>
      </c>
      <c r="F228" s="2757"/>
      <c r="G228" s="1106">
        <f>SUMIF($H$6:$AL$6,"&lt;="&amp;$C$7,H228:AL228)</f>
        <v>0</v>
      </c>
      <c r="H228" s="1102"/>
      <c r="I228" s="1103"/>
      <c r="J228" s="1103"/>
      <c r="K228" s="1103"/>
      <c r="L228" s="1103"/>
      <c r="M228" s="1103"/>
      <c r="N228" s="1103"/>
      <c r="O228" s="1103"/>
      <c r="P228" s="1103"/>
      <c r="Q228" s="1103"/>
      <c r="R228" s="1103"/>
      <c r="S228" s="1103"/>
      <c r="T228" s="1103"/>
      <c r="U228" s="1103"/>
      <c r="V228" s="1103"/>
      <c r="W228" s="1103"/>
      <c r="X228" s="1103"/>
      <c r="Y228" s="1103"/>
      <c r="Z228" s="1103"/>
      <c r="AA228" s="1103"/>
      <c r="AB228" s="1103"/>
      <c r="AC228" s="1103"/>
      <c r="AD228" s="1103"/>
      <c r="AE228" s="1103"/>
      <c r="AF228" s="1103"/>
      <c r="AG228" s="1103"/>
      <c r="AH228" s="1103"/>
      <c r="AI228" s="1103"/>
      <c r="AJ228" s="1103"/>
      <c r="AK228" s="1103"/>
      <c r="AL228" s="1104"/>
      <c r="AM228" s="478"/>
    </row>
    <row r="229" spans="2:39" s="476" customFormat="1" ht="14.25" hidden="1" customHeight="1" thickBot="1">
      <c r="B229" s="2723"/>
      <c r="C229" s="2752"/>
      <c r="D229" s="2753"/>
      <c r="E229" s="2758" t="s">
        <v>264</v>
      </c>
      <c r="F229" s="2759"/>
      <c r="G229" s="1044">
        <f t="shared" ref="G229" si="67">IFERROR((G228-G227)/G227,0)</f>
        <v>0</v>
      </c>
      <c r="H229" s="1117"/>
      <c r="I229" s="1000"/>
      <c r="J229" s="1000"/>
      <c r="K229" s="1000"/>
      <c r="L229" s="1000"/>
      <c r="M229" s="1000"/>
      <c r="N229" s="1000"/>
      <c r="O229" s="1000"/>
      <c r="P229" s="1000"/>
      <c r="Q229" s="1000"/>
      <c r="R229" s="1000"/>
      <c r="S229" s="1000"/>
      <c r="T229" s="1000"/>
      <c r="U229" s="1000"/>
      <c r="V229" s="1000"/>
      <c r="W229" s="1000"/>
      <c r="X229" s="1000"/>
      <c r="Y229" s="1000"/>
      <c r="Z229" s="1000"/>
      <c r="AA229" s="1000"/>
      <c r="AB229" s="1000"/>
      <c r="AC229" s="1000"/>
      <c r="AD229" s="1000"/>
      <c r="AE229" s="1000"/>
      <c r="AF229" s="1000"/>
      <c r="AG229" s="1000"/>
      <c r="AH229" s="1000"/>
      <c r="AI229" s="1000"/>
      <c r="AJ229" s="1000"/>
      <c r="AK229" s="1000"/>
      <c r="AL229" s="1045"/>
      <c r="AM229" s="479"/>
    </row>
    <row r="230" spans="2:39" s="476" customFormat="1" hidden="1">
      <c r="B230" s="2721"/>
      <c r="C230" s="2748"/>
      <c r="D230" s="2749"/>
      <c r="E230" s="2754" t="s">
        <v>223</v>
      </c>
      <c r="F230" s="2755"/>
      <c r="G230" s="850">
        <f>SUMIF($H$6:$AL$6,"&lt;="&amp;$C$7,H230:AL230)</f>
        <v>0</v>
      </c>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477"/>
    </row>
    <row r="231" spans="2:39" s="476" customFormat="1" hidden="1">
      <c r="B231" s="2722"/>
      <c r="C231" s="2750"/>
      <c r="D231" s="2751"/>
      <c r="E231" s="2756" t="s">
        <v>224</v>
      </c>
      <c r="F231" s="2757"/>
      <c r="G231" s="1106">
        <f>SUMIF($H$6:$AL$6,"&lt;="&amp;$C$7,H231:AL231)</f>
        <v>0</v>
      </c>
      <c r="H231" s="1102"/>
      <c r="I231" s="1103"/>
      <c r="J231" s="1103"/>
      <c r="K231" s="1103"/>
      <c r="L231" s="1103"/>
      <c r="M231" s="1103"/>
      <c r="N231" s="1103"/>
      <c r="O231" s="1103"/>
      <c r="P231" s="1103"/>
      <c r="Q231" s="1103"/>
      <c r="R231" s="1103"/>
      <c r="S231" s="1103"/>
      <c r="T231" s="1103"/>
      <c r="U231" s="1103"/>
      <c r="V231" s="1103"/>
      <c r="W231" s="1103"/>
      <c r="X231" s="1103"/>
      <c r="Y231" s="1103"/>
      <c r="Z231" s="1103"/>
      <c r="AA231" s="1103"/>
      <c r="AB231" s="1103"/>
      <c r="AC231" s="1103"/>
      <c r="AD231" s="1103"/>
      <c r="AE231" s="1103"/>
      <c r="AF231" s="1103"/>
      <c r="AG231" s="1103"/>
      <c r="AH231" s="1103"/>
      <c r="AI231" s="1103"/>
      <c r="AJ231" s="1103"/>
      <c r="AK231" s="1103"/>
      <c r="AL231" s="1104"/>
      <c r="AM231" s="478"/>
    </row>
    <row r="232" spans="2:39" s="476" customFormat="1" ht="14.4" hidden="1" thickBot="1">
      <c r="B232" s="2723"/>
      <c r="C232" s="2752"/>
      <c r="D232" s="2753"/>
      <c r="E232" s="2758" t="s">
        <v>264</v>
      </c>
      <c r="F232" s="2759"/>
      <c r="G232" s="1044">
        <f>IFERROR((G231-G230)/G230,0)</f>
        <v>0</v>
      </c>
      <c r="H232" s="1117"/>
      <c r="I232" s="1000"/>
      <c r="J232" s="1000"/>
      <c r="K232" s="1000"/>
      <c r="L232" s="1000"/>
      <c r="M232" s="1000"/>
      <c r="N232" s="1000"/>
      <c r="O232" s="1000"/>
      <c r="P232" s="1000"/>
      <c r="Q232" s="1000"/>
      <c r="R232" s="1000"/>
      <c r="S232" s="1000"/>
      <c r="T232" s="1000"/>
      <c r="U232" s="1000"/>
      <c r="V232" s="1000"/>
      <c r="W232" s="1000"/>
      <c r="X232" s="1000"/>
      <c r="Y232" s="1000"/>
      <c r="Z232" s="1000"/>
      <c r="AA232" s="1000"/>
      <c r="AB232" s="1000"/>
      <c r="AC232" s="1000"/>
      <c r="AD232" s="1000"/>
      <c r="AE232" s="1000"/>
      <c r="AF232" s="1000"/>
      <c r="AG232" s="1000"/>
      <c r="AH232" s="1000"/>
      <c r="AI232" s="1000"/>
      <c r="AJ232" s="1000"/>
      <c r="AK232" s="1000"/>
      <c r="AL232" s="1045"/>
      <c r="AM232" s="479"/>
    </row>
    <row r="233" spans="2:39" hidden="1">
      <c r="B233" s="2721"/>
      <c r="C233" s="2748"/>
      <c r="D233" s="2749"/>
      <c r="E233" s="2754" t="s">
        <v>223</v>
      </c>
      <c r="F233" s="2755"/>
      <c r="G233" s="850">
        <f>SUMIF($H$6:$AL$6,"&lt;="&amp;$C$7,H233:AL233)</f>
        <v>0</v>
      </c>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row>
    <row r="234" spans="2:39" hidden="1">
      <c r="B234" s="2722"/>
      <c r="C234" s="2750"/>
      <c r="D234" s="2751"/>
      <c r="E234" s="2756" t="s">
        <v>224</v>
      </c>
      <c r="F234" s="2757"/>
      <c r="G234" s="1106">
        <f>SUMIF($H$6:$AL$6,"&lt;="&amp;$C$7,H234:AL234)</f>
        <v>0</v>
      </c>
      <c r="H234" s="1102"/>
      <c r="I234" s="1103"/>
      <c r="J234" s="1103"/>
      <c r="K234" s="1103"/>
      <c r="L234" s="1103"/>
      <c r="M234" s="1103"/>
      <c r="N234" s="1103"/>
      <c r="O234" s="1103"/>
      <c r="P234" s="1103"/>
      <c r="Q234" s="1103"/>
      <c r="R234" s="1103"/>
      <c r="S234" s="1103"/>
      <c r="T234" s="1103"/>
      <c r="U234" s="1103"/>
      <c r="V234" s="1103"/>
      <c r="W234" s="1103"/>
      <c r="X234" s="1103"/>
      <c r="Y234" s="1103"/>
      <c r="Z234" s="1103"/>
      <c r="AA234" s="1103"/>
      <c r="AB234" s="1103"/>
      <c r="AC234" s="1103"/>
      <c r="AD234" s="1103"/>
      <c r="AE234" s="1103"/>
      <c r="AF234" s="1103"/>
      <c r="AG234" s="1103"/>
      <c r="AH234" s="1103"/>
      <c r="AI234" s="1103"/>
      <c r="AJ234" s="1103"/>
      <c r="AK234" s="1103"/>
      <c r="AL234" s="1104"/>
    </row>
    <row r="235" spans="2:39" ht="14.4" hidden="1" thickBot="1">
      <c r="B235" s="2723"/>
      <c r="C235" s="2752"/>
      <c r="D235" s="2753"/>
      <c r="E235" s="2758" t="s">
        <v>264</v>
      </c>
      <c r="F235" s="2759"/>
      <c r="G235" s="1044">
        <f>IFERROR((G234-G233)/G233,0)</f>
        <v>0</v>
      </c>
      <c r="H235" s="1117"/>
      <c r="I235" s="1000"/>
      <c r="J235" s="1000"/>
      <c r="K235" s="1000"/>
      <c r="L235" s="1000"/>
      <c r="M235" s="1000"/>
      <c r="N235" s="1000"/>
      <c r="O235" s="1000"/>
      <c r="P235" s="1000"/>
      <c r="Q235" s="1000"/>
      <c r="R235" s="1000"/>
      <c r="S235" s="1000"/>
      <c r="T235" s="1000"/>
      <c r="U235" s="1000"/>
      <c r="V235" s="1000"/>
      <c r="W235" s="1000"/>
      <c r="X235" s="1000"/>
      <c r="Y235" s="1000"/>
      <c r="Z235" s="1000"/>
      <c r="AA235" s="1646"/>
      <c r="AB235" s="1646"/>
      <c r="AC235" s="1646"/>
      <c r="AD235" s="1000"/>
      <c r="AE235" s="1000"/>
      <c r="AF235" s="1000"/>
      <c r="AG235" s="1000"/>
      <c r="AH235" s="1000"/>
      <c r="AI235" s="1000"/>
      <c r="AJ235" s="1000"/>
      <c r="AK235" s="1000"/>
      <c r="AL235" s="1045"/>
    </row>
    <row r="236" spans="2:39" hidden="1">
      <c r="B236" s="2721"/>
      <c r="C236" s="2748"/>
      <c r="D236" s="2749"/>
      <c r="E236" s="2754" t="s">
        <v>223</v>
      </c>
      <c r="F236" s="2755"/>
      <c r="G236" s="850">
        <f>SUMIF($H$6:$AL$6,"&lt;="&amp;$C$7,H236:AL236)</f>
        <v>0</v>
      </c>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row>
    <row r="237" spans="2:39" hidden="1">
      <c r="B237" s="2722"/>
      <c r="C237" s="2750"/>
      <c r="D237" s="2751"/>
      <c r="E237" s="2756" t="s">
        <v>224</v>
      </c>
      <c r="F237" s="2757"/>
      <c r="G237" s="1106">
        <f>SUMIF($H$6:$AL$6,"&lt;="&amp;$C$7,H237:AL237)</f>
        <v>0</v>
      </c>
      <c r="H237" s="1102"/>
      <c r="I237" s="1103"/>
      <c r="J237" s="1103"/>
      <c r="K237" s="1103"/>
      <c r="L237" s="1103"/>
      <c r="M237" s="1103"/>
      <c r="N237" s="1103"/>
      <c r="O237" s="1103"/>
      <c r="P237" s="1103"/>
      <c r="Q237" s="1103"/>
      <c r="R237" s="1103"/>
      <c r="S237" s="1103"/>
      <c r="T237" s="1103"/>
      <c r="U237" s="1103"/>
      <c r="V237" s="1103"/>
      <c r="W237" s="1103"/>
      <c r="X237" s="1103"/>
      <c r="Y237" s="1103"/>
      <c r="Z237" s="1103"/>
      <c r="AA237" s="1103"/>
      <c r="AB237" s="1103"/>
      <c r="AC237" s="1103"/>
      <c r="AD237" s="1103"/>
      <c r="AE237" s="1103"/>
      <c r="AF237" s="1103"/>
      <c r="AG237" s="1103"/>
      <c r="AH237" s="1103"/>
      <c r="AI237" s="1103"/>
      <c r="AJ237" s="1103"/>
      <c r="AK237" s="1103"/>
      <c r="AL237" s="1104"/>
    </row>
    <row r="238" spans="2:39" ht="14.4" hidden="1" thickBot="1">
      <c r="B238" s="2723"/>
      <c r="C238" s="2752"/>
      <c r="D238" s="2753"/>
      <c r="E238" s="2758" t="s">
        <v>264</v>
      </c>
      <c r="F238" s="2759"/>
      <c r="G238" s="1044">
        <f>IFERROR((G237-G236)/G236,0)</f>
        <v>0</v>
      </c>
      <c r="H238" s="1117"/>
      <c r="I238" s="1000"/>
      <c r="J238" s="1000"/>
      <c r="K238" s="1000"/>
      <c r="L238" s="1000"/>
      <c r="M238" s="1000"/>
      <c r="N238" s="1000"/>
      <c r="O238" s="1000"/>
      <c r="P238" s="1000"/>
      <c r="Q238" s="1000"/>
      <c r="R238" s="1000"/>
      <c r="S238" s="1000"/>
      <c r="T238" s="1000"/>
      <c r="U238" s="1000"/>
      <c r="V238" s="1000"/>
      <c r="W238" s="1000"/>
      <c r="X238" s="1000"/>
      <c r="Y238" s="1000"/>
      <c r="Z238" s="1000"/>
      <c r="AA238" s="1646"/>
      <c r="AB238" s="1646"/>
      <c r="AC238" s="1646"/>
      <c r="AD238" s="1000"/>
      <c r="AE238" s="1000"/>
      <c r="AF238" s="1000"/>
      <c r="AG238" s="1000"/>
      <c r="AH238" s="1000"/>
      <c r="AI238" s="1000"/>
      <c r="AJ238" s="1000"/>
      <c r="AK238" s="1000"/>
      <c r="AL238" s="1045"/>
    </row>
    <row r="239" spans="2:39" hidden="1">
      <c r="B239" s="2721"/>
      <c r="C239" s="2748"/>
      <c r="D239" s="2749"/>
      <c r="E239" s="2754" t="s">
        <v>223</v>
      </c>
      <c r="F239" s="2755"/>
      <c r="G239" s="850">
        <f>SUMIF($H$6:$AL$6,"&lt;="&amp;$C$7,H239:AL239)</f>
        <v>0</v>
      </c>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row>
    <row r="240" spans="2:39" hidden="1">
      <c r="B240" s="2722"/>
      <c r="C240" s="2750"/>
      <c r="D240" s="2751"/>
      <c r="E240" s="2756" t="s">
        <v>224</v>
      </c>
      <c r="F240" s="2757"/>
      <c r="G240" s="1106">
        <f>SUMIF($H$6:$AL$6,"&lt;="&amp;$C$7,H240:AL240)</f>
        <v>0</v>
      </c>
      <c r="H240" s="1102"/>
      <c r="I240" s="1103"/>
      <c r="J240" s="1103"/>
      <c r="K240" s="1103"/>
      <c r="L240" s="1103"/>
      <c r="M240" s="1103"/>
      <c r="N240" s="1103"/>
      <c r="O240" s="1103"/>
      <c r="P240" s="1103"/>
      <c r="Q240" s="1103"/>
      <c r="R240" s="1103"/>
      <c r="S240" s="1103"/>
      <c r="T240" s="1103"/>
      <c r="U240" s="1103"/>
      <c r="V240" s="1103"/>
      <c r="W240" s="1103"/>
      <c r="X240" s="1103"/>
      <c r="Y240" s="1103"/>
      <c r="Z240" s="1103"/>
      <c r="AA240" s="1475"/>
      <c r="AB240" s="1475"/>
      <c r="AC240" s="1475"/>
      <c r="AD240" s="1103"/>
      <c r="AE240" s="1103"/>
      <c r="AF240" s="1103"/>
      <c r="AG240" s="1103"/>
      <c r="AH240" s="1103"/>
      <c r="AI240" s="1103"/>
      <c r="AJ240" s="1103"/>
      <c r="AK240" s="1103"/>
      <c r="AL240" s="1104"/>
    </row>
    <row r="241" spans="2:38" ht="14.4" hidden="1" thickBot="1">
      <c r="B241" s="2723"/>
      <c r="C241" s="2752"/>
      <c r="D241" s="2753"/>
      <c r="E241" s="2758" t="s">
        <v>264</v>
      </c>
      <c r="F241" s="2759"/>
      <c r="G241" s="1044">
        <f>IFERROR((G240-G239)/G239,0)</f>
        <v>0</v>
      </c>
      <c r="H241" s="1117"/>
      <c r="I241" s="1000"/>
      <c r="J241" s="1000"/>
      <c r="K241" s="1000"/>
      <c r="L241" s="1000"/>
      <c r="M241" s="1000"/>
      <c r="N241" s="1000"/>
      <c r="O241" s="1000"/>
      <c r="P241" s="1000"/>
      <c r="Q241" s="1000"/>
      <c r="R241" s="1000"/>
      <c r="S241" s="1000"/>
      <c r="T241" s="1000"/>
      <c r="U241" s="1000"/>
      <c r="V241" s="1000"/>
      <c r="W241" s="1000"/>
      <c r="X241" s="1000"/>
      <c r="Y241" s="1000"/>
      <c r="Z241" s="1045"/>
      <c r="AA241" s="1647"/>
      <c r="AB241" s="1647"/>
      <c r="AC241" s="1647"/>
      <c r="AD241" s="1117"/>
      <c r="AE241" s="1000"/>
      <c r="AF241" s="1000"/>
      <c r="AG241" s="1000"/>
      <c r="AH241" s="1000"/>
      <c r="AI241" s="1000"/>
      <c r="AJ241" s="1000"/>
      <c r="AK241" s="1000"/>
      <c r="AL241" s="1045"/>
    </row>
    <row r="242" spans="2:38" hidden="1">
      <c r="B242" s="2721"/>
      <c r="C242" s="2748"/>
      <c r="D242" s="2749"/>
      <c r="E242" s="2754" t="s">
        <v>223</v>
      </c>
      <c r="F242" s="2755"/>
      <c r="G242" s="850">
        <f>SUMIF($H$6:$AL$6,"&lt;="&amp;$C$7,H242:AL242)</f>
        <v>0</v>
      </c>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row>
    <row r="243" spans="2:38" hidden="1">
      <c r="B243" s="2722"/>
      <c r="C243" s="2750"/>
      <c r="D243" s="2751"/>
      <c r="E243" s="2756" t="s">
        <v>224</v>
      </c>
      <c r="F243" s="2757"/>
      <c r="G243" s="1106">
        <f>SUMIF($H$6:$AL$6,"&lt;="&amp;$C$7,H243:AL243)</f>
        <v>0</v>
      </c>
      <c r="H243" s="1102"/>
      <c r="I243" s="1103"/>
      <c r="J243" s="1103"/>
      <c r="K243" s="1103"/>
      <c r="L243" s="1103"/>
      <c r="M243" s="1103"/>
      <c r="N243" s="1103"/>
      <c r="O243" s="1103"/>
      <c r="P243" s="1103"/>
      <c r="Q243" s="1103"/>
      <c r="R243" s="1103"/>
      <c r="S243" s="1103"/>
      <c r="T243" s="1103"/>
      <c r="U243" s="1103"/>
      <c r="V243" s="1103"/>
      <c r="W243" s="1103"/>
      <c r="X243" s="1103"/>
      <c r="Y243" s="1103"/>
      <c r="Z243" s="1103"/>
      <c r="AA243" s="1475"/>
      <c r="AB243" s="1475"/>
      <c r="AC243" s="1475"/>
      <c r="AD243" s="1103"/>
      <c r="AE243" s="1103"/>
      <c r="AF243" s="1103"/>
      <c r="AG243" s="1103"/>
      <c r="AH243" s="1103"/>
      <c r="AI243" s="1103"/>
      <c r="AJ243" s="1103"/>
      <c r="AK243" s="1103"/>
      <c r="AL243" s="1104"/>
    </row>
    <row r="244" spans="2:38" ht="14.4" hidden="1" thickBot="1">
      <c r="B244" s="2723"/>
      <c r="C244" s="2752"/>
      <c r="D244" s="2753"/>
      <c r="E244" s="2758" t="s">
        <v>264</v>
      </c>
      <c r="F244" s="2759"/>
      <c r="G244" s="1044">
        <f>IFERROR((G243-G242)/G242,0)</f>
        <v>0</v>
      </c>
      <c r="H244" s="1117"/>
      <c r="I244" s="1000"/>
      <c r="J244" s="1000"/>
      <c r="K244" s="1000"/>
      <c r="L244" s="1000"/>
      <c r="M244" s="1000"/>
      <c r="N244" s="1000"/>
      <c r="O244" s="1000"/>
      <c r="P244" s="1000"/>
      <c r="Q244" s="1000"/>
      <c r="R244" s="1000"/>
      <c r="S244" s="1000"/>
      <c r="T244" s="1000"/>
      <c r="U244" s="1000"/>
      <c r="V244" s="1000"/>
      <c r="W244" s="1000"/>
      <c r="X244" s="1000"/>
      <c r="Y244" s="1000"/>
      <c r="Z244" s="1045"/>
      <c r="AA244" s="1647"/>
      <c r="AB244" s="1647"/>
      <c r="AC244" s="1647"/>
      <c r="AD244" s="1117"/>
      <c r="AE244" s="1000"/>
      <c r="AF244" s="1000"/>
      <c r="AG244" s="1000"/>
      <c r="AH244" s="1000"/>
      <c r="AI244" s="1000"/>
      <c r="AJ244" s="1000"/>
      <c r="AK244" s="1000"/>
      <c r="AL244" s="1045"/>
    </row>
    <row r="245" spans="2:38" hidden="1">
      <c r="B245" s="2721"/>
      <c r="C245" s="2748"/>
      <c r="D245" s="2749"/>
      <c r="E245" s="2754" t="s">
        <v>223</v>
      </c>
      <c r="F245" s="2755"/>
      <c r="G245" s="850">
        <f>SUMIF($H$6:$AL$6,"&lt;="&amp;$C$7,H245:AL245)</f>
        <v>0</v>
      </c>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row>
    <row r="246" spans="2:38" hidden="1">
      <c r="B246" s="2722"/>
      <c r="C246" s="2750"/>
      <c r="D246" s="2751"/>
      <c r="E246" s="2756" t="s">
        <v>224</v>
      </c>
      <c r="F246" s="2757"/>
      <c r="G246" s="1106">
        <f>SUMIF($H$6:$AL$6,"&lt;="&amp;$C$7,H246:AL246)</f>
        <v>0</v>
      </c>
      <c r="H246" s="1102"/>
      <c r="I246" s="1103"/>
      <c r="J246" s="1103"/>
      <c r="K246" s="1103"/>
      <c r="L246" s="1103"/>
      <c r="M246" s="1103"/>
      <c r="N246" s="1103"/>
      <c r="O246" s="1103"/>
      <c r="P246" s="1103"/>
      <c r="Q246" s="1103"/>
      <c r="R246" s="1103"/>
      <c r="S246" s="1103"/>
      <c r="T246" s="1103"/>
      <c r="U246" s="1103"/>
      <c r="V246" s="1103"/>
      <c r="W246" s="1103"/>
      <c r="X246" s="1103"/>
      <c r="Y246" s="1103"/>
      <c r="Z246" s="1103"/>
      <c r="AA246" s="1475"/>
      <c r="AB246" s="1475"/>
      <c r="AC246" s="1475"/>
      <c r="AD246" s="1103"/>
      <c r="AE246" s="1103"/>
      <c r="AF246" s="1103"/>
      <c r="AG246" s="1103"/>
      <c r="AH246" s="1103"/>
      <c r="AI246" s="1103"/>
      <c r="AJ246" s="1103"/>
      <c r="AK246" s="1103"/>
      <c r="AL246" s="1104"/>
    </row>
    <row r="247" spans="2:38" ht="14.4" hidden="1" thickBot="1">
      <c r="B247" s="2723"/>
      <c r="C247" s="2752"/>
      <c r="D247" s="2753"/>
      <c r="E247" s="2758" t="s">
        <v>264</v>
      </c>
      <c r="F247" s="2759"/>
      <c r="G247" s="1044">
        <f>IFERROR((G246-G245)/G245,0)</f>
        <v>0</v>
      </c>
      <c r="H247" s="1117"/>
      <c r="I247" s="1000"/>
      <c r="J247" s="1000"/>
      <c r="K247" s="1000"/>
      <c r="L247" s="1000"/>
      <c r="M247" s="1000"/>
      <c r="N247" s="1000"/>
      <c r="O247" s="1000"/>
      <c r="P247" s="1000"/>
      <c r="Q247" s="1000"/>
      <c r="R247" s="1000"/>
      <c r="S247" s="1000"/>
      <c r="T247" s="1000"/>
      <c r="U247" s="1000"/>
      <c r="V247" s="1000"/>
      <c r="W247" s="1000"/>
      <c r="X247" s="1000"/>
      <c r="Y247" s="1000"/>
      <c r="Z247" s="1045"/>
      <c r="AA247" s="1647"/>
      <c r="AB247" s="1647"/>
      <c r="AC247" s="1647"/>
      <c r="AD247" s="1117"/>
      <c r="AE247" s="1000"/>
      <c r="AF247" s="1000"/>
      <c r="AG247" s="1000"/>
      <c r="AH247" s="1000"/>
      <c r="AI247" s="1000"/>
      <c r="AJ247" s="1000"/>
      <c r="AK247" s="1000"/>
      <c r="AL247" s="1045"/>
    </row>
    <row r="248" spans="2:38" hidden="1">
      <c r="B248" s="2721"/>
      <c r="C248" s="2748"/>
      <c r="D248" s="2749"/>
      <c r="E248" s="2754" t="s">
        <v>223</v>
      </c>
      <c r="F248" s="2755"/>
      <c r="G248" s="850">
        <f>SUMIF($H$6:$AL$6,"&lt;="&amp;$C$7,H248:AL248)</f>
        <v>0</v>
      </c>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row>
    <row r="249" spans="2:38" hidden="1">
      <c r="B249" s="2722"/>
      <c r="C249" s="2750"/>
      <c r="D249" s="2751"/>
      <c r="E249" s="2756" t="s">
        <v>224</v>
      </c>
      <c r="F249" s="2757"/>
      <c r="G249" s="1106">
        <f>SUMIF($H$6:$AL$6,"&lt;="&amp;$C$7,H249:AL249)</f>
        <v>0</v>
      </c>
      <c r="H249" s="1102"/>
      <c r="I249" s="1103"/>
      <c r="J249" s="1103"/>
      <c r="K249" s="1103"/>
      <c r="L249" s="1103"/>
      <c r="M249" s="1103"/>
      <c r="N249" s="1103"/>
      <c r="O249" s="1103"/>
      <c r="P249" s="1103"/>
      <c r="Q249" s="1103"/>
      <c r="R249" s="1103"/>
      <c r="S249" s="1103"/>
      <c r="T249" s="1103"/>
      <c r="U249" s="1103"/>
      <c r="V249" s="1103"/>
      <c r="W249" s="1103"/>
      <c r="X249" s="1103"/>
      <c r="Y249" s="1103"/>
      <c r="Z249" s="1103"/>
      <c r="AA249" s="1475"/>
      <c r="AB249" s="1475"/>
      <c r="AC249" s="1475"/>
      <c r="AD249" s="1103"/>
      <c r="AE249" s="1103"/>
      <c r="AF249" s="1103"/>
      <c r="AG249" s="1103"/>
      <c r="AH249" s="1103"/>
      <c r="AI249" s="1103"/>
      <c r="AJ249" s="1103"/>
      <c r="AK249" s="1103"/>
      <c r="AL249" s="1104"/>
    </row>
    <row r="250" spans="2:38" ht="14.4" hidden="1" thickBot="1">
      <c r="B250" s="2723"/>
      <c r="C250" s="2752"/>
      <c r="D250" s="2753"/>
      <c r="E250" s="2758" t="s">
        <v>264</v>
      </c>
      <c r="F250" s="2759"/>
      <c r="G250" s="1044">
        <f>IFERROR((G249-G248)/G248,0)</f>
        <v>0</v>
      </c>
      <c r="H250" s="1117"/>
      <c r="I250" s="1000"/>
      <c r="J250" s="1000"/>
      <c r="K250" s="1000"/>
      <c r="L250" s="1000"/>
      <c r="M250" s="1000"/>
      <c r="N250" s="1000"/>
      <c r="O250" s="1000"/>
      <c r="P250" s="1000"/>
      <c r="Q250" s="1000"/>
      <c r="R250" s="1000"/>
      <c r="S250" s="1000"/>
      <c r="T250" s="1000"/>
      <c r="U250" s="1000"/>
      <c r="V250" s="1000"/>
      <c r="W250" s="1000"/>
      <c r="X250" s="1000"/>
      <c r="Y250" s="1000"/>
      <c r="Z250" s="1045"/>
      <c r="AA250" s="1647"/>
      <c r="AB250" s="1647"/>
      <c r="AC250" s="1647"/>
      <c r="AD250" s="1117"/>
      <c r="AE250" s="1000"/>
      <c r="AF250" s="1000"/>
      <c r="AG250" s="1000"/>
      <c r="AH250" s="1000"/>
      <c r="AI250" s="1000"/>
      <c r="AJ250" s="1000"/>
      <c r="AK250" s="1000"/>
      <c r="AL250" s="1045"/>
    </row>
  </sheetData>
  <sheetProtection algorithmName="SHA-512" hashValue="f+Y0KK+k3HQw5wOIe4eHN65o3B3psVg3hRAonHAAG80xn0BGUVMuqraCJ4ArvdSiGL7oosh9fwPy3qQ0Acs+XQ==" saltValue="oRHoD8bdA1lvOqXFzL2V2A==" spinCount="100000" sheet="1" objects="1" scenarios="1"/>
  <mergeCells count="400">
    <mergeCell ref="C58:D60"/>
    <mergeCell ref="E58:F58"/>
    <mergeCell ref="E59:F59"/>
    <mergeCell ref="E60:F60"/>
    <mergeCell ref="B233:B235"/>
    <mergeCell ref="B236:B238"/>
    <mergeCell ref="B239:B241"/>
    <mergeCell ref="C233:D235"/>
    <mergeCell ref="C236:D238"/>
    <mergeCell ref="C239:D241"/>
    <mergeCell ref="B230:B232"/>
    <mergeCell ref="C230:D232"/>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20:F220"/>
    <mergeCell ref="E211:F211"/>
    <mergeCell ref="E212:F212"/>
    <mergeCell ref="E213:F213"/>
    <mergeCell ref="E214:F214"/>
    <mergeCell ref="B227:B229"/>
    <mergeCell ref="C227:D229"/>
    <mergeCell ref="E227:F227"/>
    <mergeCell ref="E228:F228"/>
    <mergeCell ref="E229:F229"/>
    <mergeCell ref="E223:F223"/>
    <mergeCell ref="E224:F224"/>
    <mergeCell ref="E225:F225"/>
    <mergeCell ref="E226:F226"/>
    <mergeCell ref="C224:D226"/>
    <mergeCell ref="E200:F200"/>
    <mergeCell ref="E201:F201"/>
    <mergeCell ref="E221:F221"/>
    <mergeCell ref="E222:F222"/>
    <mergeCell ref="C215:D217"/>
    <mergeCell ref="E215:F215"/>
    <mergeCell ref="E216:F216"/>
    <mergeCell ref="E217:F217"/>
    <mergeCell ref="E202:F202"/>
    <mergeCell ref="E203:F203"/>
    <mergeCell ref="E204:F204"/>
    <mergeCell ref="E205:F205"/>
    <mergeCell ref="E206:F206"/>
    <mergeCell ref="E207:F207"/>
    <mergeCell ref="E208:F208"/>
    <mergeCell ref="E209:F209"/>
    <mergeCell ref="E210:F210"/>
    <mergeCell ref="C206:D208"/>
    <mergeCell ref="C209:D211"/>
    <mergeCell ref="C212:D214"/>
    <mergeCell ref="C221:D223"/>
    <mergeCell ref="C218:D220"/>
    <mergeCell ref="E218:F218"/>
    <mergeCell ref="E219:F219"/>
    <mergeCell ref="E191:F191"/>
    <mergeCell ref="E192:F192"/>
    <mergeCell ref="E193:F193"/>
    <mergeCell ref="E194:F194"/>
    <mergeCell ref="E195:F195"/>
    <mergeCell ref="E196:F196"/>
    <mergeCell ref="E197:F197"/>
    <mergeCell ref="E198:F198"/>
    <mergeCell ref="E199:F199"/>
    <mergeCell ref="E182:F182"/>
    <mergeCell ref="E183:F183"/>
    <mergeCell ref="E184:F184"/>
    <mergeCell ref="E185:F185"/>
    <mergeCell ref="E186:F186"/>
    <mergeCell ref="E187:F187"/>
    <mergeCell ref="E188:F188"/>
    <mergeCell ref="E189:F189"/>
    <mergeCell ref="E190:F190"/>
    <mergeCell ref="E173:F173"/>
    <mergeCell ref="E174:F174"/>
    <mergeCell ref="E175:F175"/>
    <mergeCell ref="E176:F176"/>
    <mergeCell ref="E177:F177"/>
    <mergeCell ref="E178:F178"/>
    <mergeCell ref="E179:F179"/>
    <mergeCell ref="E180:F180"/>
    <mergeCell ref="E181:F181"/>
    <mergeCell ref="E164:F164"/>
    <mergeCell ref="E165:F165"/>
    <mergeCell ref="E166:F166"/>
    <mergeCell ref="E167:F167"/>
    <mergeCell ref="E168:F168"/>
    <mergeCell ref="E169:F169"/>
    <mergeCell ref="E170:F170"/>
    <mergeCell ref="E171:F171"/>
    <mergeCell ref="E172:F172"/>
    <mergeCell ref="E155:F155"/>
    <mergeCell ref="E156:F156"/>
    <mergeCell ref="E157:F157"/>
    <mergeCell ref="E158:F158"/>
    <mergeCell ref="E159:F159"/>
    <mergeCell ref="E160:F160"/>
    <mergeCell ref="E161:F161"/>
    <mergeCell ref="E162:F162"/>
    <mergeCell ref="E163:F163"/>
    <mergeCell ref="E146:F146"/>
    <mergeCell ref="E147:F147"/>
    <mergeCell ref="E148:F148"/>
    <mergeCell ref="E149:F149"/>
    <mergeCell ref="E150:F150"/>
    <mergeCell ref="E151:F151"/>
    <mergeCell ref="E152:F152"/>
    <mergeCell ref="E153:F153"/>
    <mergeCell ref="E154:F154"/>
    <mergeCell ref="E137:F137"/>
    <mergeCell ref="E138:F138"/>
    <mergeCell ref="E139:F139"/>
    <mergeCell ref="E140:F140"/>
    <mergeCell ref="E141:F141"/>
    <mergeCell ref="E142:F142"/>
    <mergeCell ref="E143:F143"/>
    <mergeCell ref="E144:F144"/>
    <mergeCell ref="E145:F145"/>
    <mergeCell ref="E128:F128"/>
    <mergeCell ref="E129:F129"/>
    <mergeCell ref="E130:F130"/>
    <mergeCell ref="E131:F131"/>
    <mergeCell ref="E132:F132"/>
    <mergeCell ref="E133:F133"/>
    <mergeCell ref="E134:F134"/>
    <mergeCell ref="E135:F135"/>
    <mergeCell ref="E136:F136"/>
    <mergeCell ref="E119:F119"/>
    <mergeCell ref="E120:F120"/>
    <mergeCell ref="E121:F121"/>
    <mergeCell ref="E122:F122"/>
    <mergeCell ref="E123:F123"/>
    <mergeCell ref="E124:F124"/>
    <mergeCell ref="E125:F125"/>
    <mergeCell ref="E126:F126"/>
    <mergeCell ref="E127:F127"/>
    <mergeCell ref="E110:F110"/>
    <mergeCell ref="E111:F111"/>
    <mergeCell ref="E112:F112"/>
    <mergeCell ref="E113:F113"/>
    <mergeCell ref="E114:F114"/>
    <mergeCell ref="E115:F115"/>
    <mergeCell ref="E116:F116"/>
    <mergeCell ref="E117:F117"/>
    <mergeCell ref="E118:F118"/>
    <mergeCell ref="E101:F101"/>
    <mergeCell ref="E102:F102"/>
    <mergeCell ref="E103:F103"/>
    <mergeCell ref="E104:F104"/>
    <mergeCell ref="E105:F105"/>
    <mergeCell ref="E106:F106"/>
    <mergeCell ref="E107:F107"/>
    <mergeCell ref="E108:F108"/>
    <mergeCell ref="E109:F109"/>
    <mergeCell ref="E92:F92"/>
    <mergeCell ref="E93:F93"/>
    <mergeCell ref="E94:F94"/>
    <mergeCell ref="E95:F95"/>
    <mergeCell ref="E96:F96"/>
    <mergeCell ref="E97:F97"/>
    <mergeCell ref="E98:F98"/>
    <mergeCell ref="E99:F99"/>
    <mergeCell ref="E100:F100"/>
    <mergeCell ref="E83:F83"/>
    <mergeCell ref="E84:F84"/>
    <mergeCell ref="E85:F85"/>
    <mergeCell ref="E86:F86"/>
    <mergeCell ref="E87:F87"/>
    <mergeCell ref="E88:F88"/>
    <mergeCell ref="E89:F89"/>
    <mergeCell ref="E90:F90"/>
    <mergeCell ref="E91:F91"/>
    <mergeCell ref="E74:F74"/>
    <mergeCell ref="E75:F75"/>
    <mergeCell ref="E76:F76"/>
    <mergeCell ref="E77:F77"/>
    <mergeCell ref="E78:F78"/>
    <mergeCell ref="E79:F79"/>
    <mergeCell ref="E80:F80"/>
    <mergeCell ref="E81:F81"/>
    <mergeCell ref="E82:F82"/>
    <mergeCell ref="E65:F65"/>
    <mergeCell ref="E66:F66"/>
    <mergeCell ref="E67:F67"/>
    <mergeCell ref="E68:F68"/>
    <mergeCell ref="E69:F69"/>
    <mergeCell ref="E70:F70"/>
    <mergeCell ref="E71:F71"/>
    <mergeCell ref="E72:F72"/>
    <mergeCell ref="E73:F73"/>
    <mergeCell ref="E56:F56"/>
    <mergeCell ref="E57:F57"/>
    <mergeCell ref="E61:F61"/>
    <mergeCell ref="E62:F62"/>
    <mergeCell ref="E63:F63"/>
    <mergeCell ref="E64:F64"/>
    <mergeCell ref="E46:F46"/>
    <mergeCell ref="E47:F47"/>
    <mergeCell ref="E48:F48"/>
    <mergeCell ref="C187:D189"/>
    <mergeCell ref="C67:D69"/>
    <mergeCell ref="C70:D72"/>
    <mergeCell ref="C73:D75"/>
    <mergeCell ref="C76:D78"/>
    <mergeCell ref="C79:D81"/>
    <mergeCell ref="C82:D84"/>
    <mergeCell ref="C85:D87"/>
    <mergeCell ref="C88:D90"/>
    <mergeCell ref="C91:D93"/>
    <mergeCell ref="C94:D96"/>
    <mergeCell ref="C97:D99"/>
    <mergeCell ref="C124:D126"/>
    <mergeCell ref="C127:D129"/>
    <mergeCell ref="C100:D102"/>
    <mergeCell ref="C103:D105"/>
    <mergeCell ref="C106:D108"/>
    <mergeCell ref="C109:D111"/>
    <mergeCell ref="C112:D114"/>
    <mergeCell ref="C115:D117"/>
    <mergeCell ref="C118:D120"/>
    <mergeCell ref="C121:D123"/>
    <mergeCell ref="C190:D192"/>
    <mergeCell ref="C194:D196"/>
    <mergeCell ref="C197:D199"/>
    <mergeCell ref="C200:D202"/>
    <mergeCell ref="C203:D205"/>
    <mergeCell ref="C130:D132"/>
    <mergeCell ref="C133:D135"/>
    <mergeCell ref="C136:D138"/>
    <mergeCell ref="C139:D141"/>
    <mergeCell ref="C142:D144"/>
    <mergeCell ref="C145:D147"/>
    <mergeCell ref="C148:D150"/>
    <mergeCell ref="C151:D153"/>
    <mergeCell ref="C154:D156"/>
    <mergeCell ref="C166:D168"/>
    <mergeCell ref="C169:D171"/>
    <mergeCell ref="C172:D174"/>
    <mergeCell ref="C175:D177"/>
    <mergeCell ref="C157:D159"/>
    <mergeCell ref="C160:D162"/>
    <mergeCell ref="C163:D165"/>
    <mergeCell ref="C178:D180"/>
    <mergeCell ref="C181:D183"/>
    <mergeCell ref="C184:D186"/>
    <mergeCell ref="B22:B24"/>
    <mergeCell ref="B37:B39"/>
    <mergeCell ref="B34:B36"/>
    <mergeCell ref="B19:B21"/>
    <mergeCell ref="B55:B57"/>
    <mergeCell ref="B82:B84"/>
    <mergeCell ref="B91:B93"/>
    <mergeCell ref="B79:B81"/>
    <mergeCell ref="B76:B78"/>
    <mergeCell ref="B85:B87"/>
    <mergeCell ref="B40:B42"/>
    <mergeCell ref="B31:B33"/>
    <mergeCell ref="B28:B30"/>
    <mergeCell ref="B25:B27"/>
    <mergeCell ref="B49:B51"/>
    <mergeCell ref="B52:B54"/>
    <mergeCell ref="B46:B48"/>
    <mergeCell ref="B73:B75"/>
    <mergeCell ref="B70:B72"/>
    <mergeCell ref="B67:B69"/>
    <mergeCell ref="B64:B66"/>
    <mergeCell ref="B61:B63"/>
    <mergeCell ref="B43:B45"/>
    <mergeCell ref="B58:B60"/>
    <mergeCell ref="B97:B99"/>
    <mergeCell ref="B94:B96"/>
    <mergeCell ref="B88:B90"/>
    <mergeCell ref="B181:B183"/>
    <mergeCell ref="B142:B144"/>
    <mergeCell ref="B139:B141"/>
    <mergeCell ref="B145:B147"/>
    <mergeCell ref="B194:B196"/>
    <mergeCell ref="B190:B192"/>
    <mergeCell ref="B187:B189"/>
    <mergeCell ref="B121:B123"/>
    <mergeCell ref="B118:B120"/>
    <mergeCell ref="B115:B117"/>
    <mergeCell ref="B109:B111"/>
    <mergeCell ref="B106:B108"/>
    <mergeCell ref="B103:B105"/>
    <mergeCell ref="B127:B129"/>
    <mergeCell ref="B178:B180"/>
    <mergeCell ref="B166:B168"/>
    <mergeCell ref="B112:B114"/>
    <mergeCell ref="B148:B150"/>
    <mergeCell ref="B169:B171"/>
    <mergeCell ref="B124:B126"/>
    <mergeCell ref="B172:B174"/>
    <mergeCell ref="B133:B135"/>
    <mergeCell ref="B130:B132"/>
    <mergeCell ref="B224:B226"/>
    <mergeCell ref="B100:B102"/>
    <mergeCell ref="B197:B199"/>
    <mergeCell ref="B221:B223"/>
    <mergeCell ref="B206:B208"/>
    <mergeCell ref="B203:B205"/>
    <mergeCell ref="B175:B177"/>
    <mergeCell ref="B184:B186"/>
    <mergeCell ref="B200:B202"/>
    <mergeCell ref="B212:B214"/>
    <mergeCell ref="B209:B211"/>
    <mergeCell ref="B215:B217"/>
    <mergeCell ref="B163:B165"/>
    <mergeCell ref="B160:B162"/>
    <mergeCell ref="B157:B159"/>
    <mergeCell ref="B154:B156"/>
    <mergeCell ref="B151:B153"/>
    <mergeCell ref="B136:B138"/>
    <mergeCell ref="B218:B220"/>
    <mergeCell ref="T138:U138"/>
    <mergeCell ref="AH189:AI189"/>
    <mergeCell ref="AD30:AL30"/>
    <mergeCell ref="K153:L153"/>
    <mergeCell ref="AH81:AI81"/>
    <mergeCell ref="I117:K117"/>
    <mergeCell ref="AF87:AL87"/>
    <mergeCell ref="AF90:AL90"/>
    <mergeCell ref="AG108:AL108"/>
    <mergeCell ref="C55:D57"/>
    <mergeCell ref="C61:D63"/>
    <mergeCell ref="C64:D66"/>
    <mergeCell ref="AF24:AL24"/>
    <mergeCell ref="C19:D21"/>
    <mergeCell ref="C22:D24"/>
    <mergeCell ref="C25:D27"/>
    <mergeCell ref="C37:D39"/>
    <mergeCell ref="C40:D42"/>
    <mergeCell ref="C46:D48"/>
    <mergeCell ref="E32:F32"/>
    <mergeCell ref="E33:F33"/>
    <mergeCell ref="E34:F34"/>
    <mergeCell ref="E35:F35"/>
    <mergeCell ref="E36:F36"/>
    <mergeCell ref="E37:F37"/>
    <mergeCell ref="E38:F38"/>
    <mergeCell ref="E39:F39"/>
    <mergeCell ref="E40:F40"/>
    <mergeCell ref="E41:F41"/>
    <mergeCell ref="E42:F42"/>
    <mergeCell ref="E25:F25"/>
    <mergeCell ref="E26:F26"/>
    <mergeCell ref="E55:F55"/>
    <mergeCell ref="C49:D51"/>
    <mergeCell ref="C52:D54"/>
    <mergeCell ref="E49:F49"/>
    <mergeCell ref="E50:F50"/>
    <mergeCell ref="E51:F51"/>
    <mergeCell ref="E52:F52"/>
    <mergeCell ref="E53:F53"/>
    <mergeCell ref="E54:F54"/>
    <mergeCell ref="E27:F27"/>
    <mergeCell ref="E28:F28"/>
    <mergeCell ref="E29:F29"/>
    <mergeCell ref="E30:F30"/>
    <mergeCell ref="E31:F31"/>
    <mergeCell ref="C28:D30"/>
    <mergeCell ref="C31:D33"/>
    <mergeCell ref="C34:D36"/>
    <mergeCell ref="E22:F22"/>
    <mergeCell ref="E23:F23"/>
    <mergeCell ref="E24:F24"/>
    <mergeCell ref="C43:D45"/>
    <mergeCell ref="E43:F43"/>
    <mergeCell ref="E44:F44"/>
    <mergeCell ref="E45:F45"/>
    <mergeCell ref="H2:I2"/>
    <mergeCell ref="H3:I3"/>
    <mergeCell ref="H4:I4"/>
    <mergeCell ref="E18:F18"/>
    <mergeCell ref="E19:F19"/>
    <mergeCell ref="E20:F20"/>
    <mergeCell ref="E21:F21"/>
    <mergeCell ref="B242:B244"/>
    <mergeCell ref="B245:B247"/>
    <mergeCell ref="B248:B250"/>
    <mergeCell ref="C242:D244"/>
    <mergeCell ref="C245:D247"/>
    <mergeCell ref="C248:D250"/>
    <mergeCell ref="E242:F242"/>
    <mergeCell ref="E243:F243"/>
    <mergeCell ref="E244:F244"/>
    <mergeCell ref="E245:F245"/>
    <mergeCell ref="E246:F246"/>
    <mergeCell ref="E247:F247"/>
    <mergeCell ref="E248:F248"/>
    <mergeCell ref="E249:F249"/>
    <mergeCell ref="E250:F250"/>
  </mergeCells>
  <phoneticPr fontId="52" type="noConversion"/>
  <conditionalFormatting sqref="B19 B22 B25 B28 B31 B34 B37 B40 B46:B250">
    <cfRule type="cellIs" dxfId="824" priority="650" operator="equal">
      <formula>2</formula>
    </cfRule>
    <cfRule type="cellIs" dxfId="823" priority="649" operator="equal">
      <formula>1</formula>
    </cfRule>
    <cfRule type="cellIs" dxfId="822" priority="648" operator="equal">
      <formula>3</formula>
    </cfRule>
  </conditionalFormatting>
  <conditionalFormatting sqref="B43">
    <cfRule type="cellIs" dxfId="821" priority="121" operator="equal">
      <formula>2</formula>
    </cfRule>
    <cfRule type="cellIs" dxfId="820" priority="119" operator="equal">
      <formula>3</formula>
    </cfRule>
    <cfRule type="cellIs" dxfId="819" priority="120" operator="equal">
      <formula>1</formula>
    </cfRule>
  </conditionalFormatting>
  <conditionalFormatting sqref="D10:D14">
    <cfRule type="cellIs" dxfId="818" priority="883" stopIfTrue="1" operator="greaterThanOrEqual">
      <formula>C10</formula>
    </cfRule>
    <cfRule type="cellIs" dxfId="817" priority="882" stopIfTrue="1" operator="lessThan">
      <formula>C10</formula>
    </cfRule>
  </conditionalFormatting>
  <conditionalFormatting sqref="E10:E14">
    <cfRule type="cellIs" dxfId="816" priority="881" stopIfTrue="1" operator="greaterThanOrEqual">
      <formula>0</formula>
    </cfRule>
    <cfRule type="cellIs" dxfId="815" priority="880" stopIfTrue="1" operator="lessThan">
      <formula>0</formula>
    </cfRule>
  </conditionalFormatting>
  <conditionalFormatting sqref="G20 G23 G26 G29 G32 G35 G38 G41 G47 G50 G53 G56 G62 G65 G68 G71 G74 G77 G80 G83 G86 G89 G92 G95 G98 G101 G104 G107 G110 G113 G116 G119 G122 G125 G128 G131 G134 G137 G140 G143 G146 G149 G152 G155 G158 G161 G164 G167 G170 G173 G176 G179 G182 G185 G188 G191 G195 G198 G201 G204 G207 G210 G213 G222 G225">
    <cfRule type="cellIs" dxfId="814" priority="859" stopIfTrue="1" operator="greaterThanOrEqual">
      <formula>G19</formula>
    </cfRule>
    <cfRule type="cellIs" dxfId="813" priority="858" stopIfTrue="1" operator="lessThan">
      <formula>G19</formula>
    </cfRule>
  </conditionalFormatting>
  <conditionalFormatting sqref="G21 G24 G27 G30 G33 G36 G39 G42 G45 G48 G51 G54 G57 G60 G63 G66 G69 G72 G75 G78 G81 G84 G87 G90 G93 G96 G99 G102 G105 G108 G111 G114 G117 G120 G123 G126 G129 G132 G135 G138 G141 G144 G147 G150 G153 G156 G159 G162 G165 G168 G171 G174 G177 G180 G183 G186 G189 G192 G196 G199 G202 G205 G208 G211 G214 G217 G220 G223 G226">
    <cfRule type="cellIs" dxfId="812" priority="853" operator="lessThan">
      <formula>0</formula>
    </cfRule>
    <cfRule type="cellIs" dxfId="811" priority="852" operator="greaterThan">
      <formula>0</formula>
    </cfRule>
  </conditionalFormatting>
  <conditionalFormatting sqref="G44">
    <cfRule type="cellIs" dxfId="810" priority="123" stopIfTrue="1" operator="greaterThanOrEqual">
      <formula>G43</formula>
    </cfRule>
    <cfRule type="cellIs" dxfId="809" priority="122" stopIfTrue="1" operator="lessThan">
      <formula>G43</formula>
    </cfRule>
  </conditionalFormatting>
  <conditionalFormatting sqref="G59">
    <cfRule type="cellIs" dxfId="808" priority="2" stopIfTrue="1" operator="greaterThanOrEqual">
      <formula>G58</formula>
    </cfRule>
    <cfRule type="cellIs" dxfId="807" priority="1" stopIfTrue="1" operator="lessThan">
      <formula>G58</formula>
    </cfRule>
  </conditionalFormatting>
  <conditionalFormatting sqref="G216">
    <cfRule type="cellIs" dxfId="806" priority="128" stopIfTrue="1" operator="lessThan">
      <formula>G215</formula>
    </cfRule>
    <cfRule type="cellIs" dxfId="805" priority="129" stopIfTrue="1" operator="greaterThanOrEqual">
      <formula>G215</formula>
    </cfRule>
  </conditionalFormatting>
  <conditionalFormatting sqref="G219">
    <cfRule type="cellIs" dxfId="804" priority="135" stopIfTrue="1" operator="greaterThanOrEqual">
      <formula>G218</formula>
    </cfRule>
    <cfRule type="cellIs" dxfId="803" priority="134" stopIfTrue="1" operator="lessThan">
      <formula>G218</formula>
    </cfRule>
  </conditionalFormatting>
  <conditionalFormatting sqref="G228">
    <cfRule type="cellIs" dxfId="802" priority="113" stopIfTrue="1" operator="lessThan">
      <formula>G227</formula>
    </cfRule>
    <cfRule type="cellIs" dxfId="801" priority="114" stopIfTrue="1" operator="greaterThanOrEqual">
      <formula>G227</formula>
    </cfRule>
  </conditionalFormatting>
  <conditionalFormatting sqref="G229">
    <cfRule type="cellIs" dxfId="800" priority="111" operator="greaterThan">
      <formula>0</formula>
    </cfRule>
    <cfRule type="cellIs" dxfId="799" priority="112" operator="lessThan">
      <formula>0</formula>
    </cfRule>
  </conditionalFormatting>
  <conditionalFormatting sqref="G231">
    <cfRule type="cellIs" dxfId="798" priority="105" stopIfTrue="1" operator="lessThan">
      <formula>G230</formula>
    </cfRule>
    <cfRule type="cellIs" dxfId="797" priority="106" stopIfTrue="1" operator="greaterThanOrEqual">
      <formula>G230</formula>
    </cfRule>
  </conditionalFormatting>
  <conditionalFormatting sqref="G232">
    <cfRule type="cellIs" dxfId="796" priority="103" operator="greaterThan">
      <formula>0</formula>
    </cfRule>
    <cfRule type="cellIs" dxfId="795" priority="104" operator="lessThan">
      <formula>0</formula>
    </cfRule>
  </conditionalFormatting>
  <conditionalFormatting sqref="G234">
    <cfRule type="cellIs" dxfId="794" priority="101" stopIfTrue="1" operator="lessThan">
      <formula>G233</formula>
    </cfRule>
    <cfRule type="cellIs" dxfId="793" priority="102" stopIfTrue="1" operator="greaterThanOrEqual">
      <formula>G233</formula>
    </cfRule>
  </conditionalFormatting>
  <conditionalFormatting sqref="G235">
    <cfRule type="cellIs" dxfId="792" priority="99" operator="greaterThan">
      <formula>0</formula>
    </cfRule>
    <cfRule type="cellIs" dxfId="791" priority="100" operator="lessThan">
      <formula>0</formula>
    </cfRule>
  </conditionalFormatting>
  <conditionalFormatting sqref="G237">
    <cfRule type="cellIs" dxfId="790" priority="97" stopIfTrue="1" operator="lessThan">
      <formula>G236</formula>
    </cfRule>
    <cfRule type="cellIs" dxfId="789" priority="98" stopIfTrue="1" operator="greaterThanOrEqual">
      <formula>G236</formula>
    </cfRule>
  </conditionalFormatting>
  <conditionalFormatting sqref="G238">
    <cfRule type="cellIs" dxfId="788" priority="95" operator="greaterThan">
      <formula>0</formula>
    </cfRule>
    <cfRule type="cellIs" dxfId="787" priority="96" operator="lessThan">
      <formula>0</formula>
    </cfRule>
  </conditionalFormatting>
  <conditionalFormatting sqref="G240">
    <cfRule type="cellIs" dxfId="786" priority="93" stopIfTrue="1" operator="lessThan">
      <formula>G239</formula>
    </cfRule>
    <cfRule type="cellIs" dxfId="785" priority="94" stopIfTrue="1" operator="greaterThanOrEqual">
      <formula>G239</formula>
    </cfRule>
  </conditionalFormatting>
  <conditionalFormatting sqref="G241">
    <cfRule type="cellIs" dxfId="784" priority="92" operator="lessThan">
      <formula>0</formula>
    </cfRule>
    <cfRule type="cellIs" dxfId="783" priority="91" operator="greaterThan">
      <formula>0</formula>
    </cfRule>
  </conditionalFormatting>
  <conditionalFormatting sqref="G243">
    <cfRule type="cellIs" dxfId="782" priority="42" stopIfTrue="1" operator="greaterThanOrEqual">
      <formula>G242</formula>
    </cfRule>
    <cfRule type="cellIs" dxfId="781" priority="41" stopIfTrue="1" operator="lessThan">
      <formula>G242</formula>
    </cfRule>
  </conditionalFormatting>
  <conditionalFormatting sqref="G244">
    <cfRule type="cellIs" dxfId="780" priority="40" operator="lessThan">
      <formula>0</formula>
    </cfRule>
    <cfRule type="cellIs" dxfId="779" priority="39" operator="greaterThan">
      <formula>0</formula>
    </cfRule>
  </conditionalFormatting>
  <conditionalFormatting sqref="G246">
    <cfRule type="cellIs" dxfId="778" priority="34" stopIfTrue="1" operator="greaterThanOrEqual">
      <formula>G245</formula>
    </cfRule>
    <cfRule type="cellIs" dxfId="777" priority="33" stopIfTrue="1" operator="lessThan">
      <formula>G245</formula>
    </cfRule>
  </conditionalFormatting>
  <conditionalFormatting sqref="G247">
    <cfRule type="cellIs" dxfId="776" priority="31" operator="greaterThan">
      <formula>0</formula>
    </cfRule>
    <cfRule type="cellIs" dxfId="775" priority="32" operator="lessThan">
      <formula>0</formula>
    </cfRule>
  </conditionalFormatting>
  <conditionalFormatting sqref="G249">
    <cfRule type="cellIs" dxfId="774" priority="26" stopIfTrue="1" operator="greaterThanOrEqual">
      <formula>G248</formula>
    </cfRule>
    <cfRule type="cellIs" dxfId="773" priority="25" stopIfTrue="1" operator="lessThan">
      <formula>G248</formula>
    </cfRule>
  </conditionalFormatting>
  <conditionalFormatting sqref="G250">
    <cfRule type="cellIs" dxfId="772" priority="23" operator="greaterThan">
      <formula>0</formula>
    </cfRule>
    <cfRule type="cellIs" dxfId="771" priority="24" operator="lessThan">
      <formula>0</formula>
    </cfRule>
  </conditionalFormatting>
  <conditionalFormatting sqref="H8:AL8 H10:AL10 H12:AL12 H14:AL14 H16:AL16">
    <cfRule type="expression" dxfId="770" priority="4543" stopIfTrue="1">
      <formula>H$6&gt;$C$7</formula>
    </cfRule>
    <cfRule type="cellIs" dxfId="769" priority="4544" stopIfTrue="1" operator="lessThan">
      <formula>H7</formula>
    </cfRule>
    <cfRule type="cellIs" dxfId="768" priority="4545" stopIfTrue="1" operator="greaterThanOrEqual">
      <formula>H7</formula>
    </cfRule>
  </conditionalFormatting>
  <conditionalFormatting sqref="H20:AL20 H23:AL23 H26:AL26 H29:AL29 H32:AL32 H35:AL35 H38:AL38 H41:AL41 H47:AL47 H50:AL50 H53:AL53 H56:AL56 H62:AL62 H65:AL65 H68:AL68 H71:AL71 H74:AL74 H77:Q77 S77:AL77 H80:U80 W80:AL80 H83:AL83 H86:AL86 H89:AL89 H92:AL92 H95:AL95 H98:AL98 H101:AL101 H104 K104:AL104 H107 J107:AL107 H110:AL110 H113:AL113 H116:AL116 H119:AL119 H122:AL122 H125:AL125 H128:AL128 H131:AL131 H134:AL134 H137:AL137 H140:AL140 H143:AL143 H146:AL146 H149:AL149 H152:AL152 H155:AL155 H158:AL158 H161:AL161 H164:AL164 H167:AL167 H170:AL170 H173:AL173 H176:AL176 H179:AL179 H182:AL182 H185:AL185 H188:AL188 H191:AL191 H195:AL195 H198:AL198 H201 J201:AL201 H204:AL204 H207:AL207 H210:AL210 H213:AL213 H216:AL216 H219:AL219 H222:AL222 H225:AL225 H228:AL228 H231:AL231 H234:AL234 H237:AL237 H240:AL240 H243:AL243 H246:AL246 H249:AL249">
    <cfRule type="expression" priority="4558" stopIfTrue="1">
      <formula>H$6&gt;$C$7</formula>
    </cfRule>
    <cfRule type="expression" priority="4559" stopIfTrue="1">
      <formula>H19=""</formula>
    </cfRule>
    <cfRule type="cellIs" dxfId="767" priority="4560" stopIfTrue="1" operator="lessThan">
      <formula>H19</formula>
    </cfRule>
    <cfRule type="cellIs" dxfId="766" priority="4561" stopIfTrue="1" operator="greaterThanOrEqual">
      <formula>H19</formula>
    </cfRule>
  </conditionalFormatting>
  <conditionalFormatting sqref="H44:AL44">
    <cfRule type="expression" priority="124" stopIfTrue="1">
      <formula>H$6&gt;$C$7</formula>
    </cfRule>
    <cfRule type="expression" priority="125" stopIfTrue="1">
      <formula>H43=""</formula>
    </cfRule>
    <cfRule type="cellIs" dxfId="765" priority="126" stopIfTrue="1" operator="lessThan">
      <formula>H43</formula>
    </cfRule>
    <cfRule type="cellIs" dxfId="764" priority="127" stopIfTrue="1" operator="greaterThanOrEqual">
      <formula>H43</formula>
    </cfRule>
  </conditionalFormatting>
  <conditionalFormatting sqref="H59:AL59">
    <cfRule type="expression" priority="4" stopIfTrue="1">
      <formula>H58=""</formula>
    </cfRule>
    <cfRule type="expression" priority="3" stopIfTrue="1">
      <formula>H$6&gt;$C$7</formula>
    </cfRule>
    <cfRule type="cellIs" dxfId="763" priority="6" stopIfTrue="1" operator="greaterThanOrEqual">
      <formula>H58</formula>
    </cfRule>
    <cfRule type="cellIs" dxfId="762" priority="5" stopIfTrue="1" operator="lessThan">
      <formula>H58</formula>
    </cfRule>
  </conditionalFormatting>
  <conditionalFormatting sqref="I104:J104">
    <cfRule type="expression" priority="5837" stopIfTrue="1">
      <formula>J$6&gt;$C$7</formula>
    </cfRule>
    <cfRule type="expression" priority="5838" stopIfTrue="1">
      <formula>J103=""</formula>
    </cfRule>
    <cfRule type="cellIs" dxfId="761" priority="5839" stopIfTrue="1" operator="lessThan">
      <formula>J103</formula>
    </cfRule>
    <cfRule type="cellIs" dxfId="760" priority="5840" stopIfTrue="1" operator="greaterThanOrEqual">
      <formula>J103</formula>
    </cfRule>
  </conditionalFormatting>
  <conditionalFormatting sqref="Q202">
    <cfRule type="expression" priority="5929" stopIfTrue="1">
      <formula>I$6&gt;$C$7</formula>
    </cfRule>
    <cfRule type="expression" priority="5930" stopIfTrue="1">
      <formula>I200=""</formula>
    </cfRule>
    <cfRule type="cellIs" dxfId="759" priority="5931" stopIfTrue="1" operator="lessThan">
      <formula>I200</formula>
    </cfRule>
    <cfRule type="cellIs" dxfId="758" priority="5932" stopIfTrue="1" operator="greaterThanOrEqual">
      <formula>I200</formula>
    </cfRule>
  </conditionalFormatting>
  <conditionalFormatting sqref="V74">
    <cfRule type="expression" priority="5987" stopIfTrue="1">
      <formula>V$6&gt;$C$7</formula>
    </cfRule>
    <cfRule type="expression" priority="5988" stopIfTrue="1">
      <formula>V79=""</formula>
    </cfRule>
    <cfRule type="cellIs" dxfId="757" priority="5989" stopIfTrue="1" operator="lessThan">
      <formula>V79</formula>
    </cfRule>
    <cfRule type="cellIs" dxfId="756" priority="5990" stopIfTrue="1" operator="greaterThanOrEqual">
      <formula>V79</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1B8F4-39BA-4067-8BA6-16AD64B77C38}">
  <sheetPr>
    <tabColor theme="4" tint="0.59999389629810485"/>
  </sheetPr>
  <dimension ref="A1"/>
  <sheetViews>
    <sheetView workbookViewId="0"/>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17C6F-A867-409D-A25C-C126007CAC0B}">
  <sheetPr>
    <tabColor theme="4" tint="0.59999389629810485"/>
  </sheetPr>
  <dimension ref="A1:O47"/>
  <sheetViews>
    <sheetView showGridLines="0" zoomScaleNormal="100" workbookViewId="0">
      <selection activeCell="B9" sqref="B9:I13"/>
    </sheetView>
  </sheetViews>
  <sheetFormatPr defaultColWidth="8.21875" defaultRowHeight="13.8"/>
  <cols>
    <col min="1" max="1" width="2" style="302" bestFit="1" customWidth="1"/>
    <col min="2" max="2" width="10.77734375" style="302" customWidth="1"/>
    <col min="3" max="3" width="16.109375" style="302" customWidth="1"/>
    <col min="4" max="9" width="11.88671875" style="302" customWidth="1"/>
    <col min="10" max="10" width="10.21875" style="302" bestFit="1" customWidth="1"/>
    <col min="11" max="15" width="11.88671875" style="302" customWidth="1"/>
    <col min="16" max="16" width="2.21875" style="69" customWidth="1"/>
    <col min="17" max="16384" width="8.21875" style="69"/>
  </cols>
  <sheetData>
    <row r="1" spans="2:15" ht="7.35" customHeight="1"/>
    <row r="2" spans="2:15" ht="14.4">
      <c r="B2" s="295" t="s">
        <v>0</v>
      </c>
      <c r="C2" s="296"/>
    </row>
    <row r="3" spans="2:15" ht="14.4">
      <c r="B3" s="64" t="s">
        <v>52</v>
      </c>
      <c r="C3" s="65"/>
      <c r="E3" s="2696" t="s">
        <v>5</v>
      </c>
      <c r="F3" s="2732"/>
    </row>
    <row r="4" spans="2:15">
      <c r="B4" s="297" t="s">
        <v>271</v>
      </c>
      <c r="C4" s="65"/>
      <c r="E4" s="2681" t="s">
        <v>7</v>
      </c>
      <c r="F4" s="2793"/>
    </row>
    <row r="5" spans="2:15">
      <c r="B5" s="65"/>
      <c r="C5" s="65"/>
      <c r="E5" s="2683" t="s">
        <v>9</v>
      </c>
      <c r="F5" s="2794"/>
    </row>
    <row r="6" spans="2:15">
      <c r="B6" s="294" t="s">
        <v>3</v>
      </c>
      <c r="C6" s="857">
        <f>SUMMARY!$C$6</f>
        <v>45870</v>
      </c>
      <c r="E6" s="2685" t="s">
        <v>11</v>
      </c>
      <c r="F6" s="2795"/>
    </row>
    <row r="7" spans="2:15" ht="15" customHeight="1">
      <c r="B7" s="294" t="s">
        <v>4</v>
      </c>
      <c r="C7" s="303">
        <f>SUMMARY!$C$7</f>
        <v>6</v>
      </c>
      <c r="E7" s="2687" t="s">
        <v>12</v>
      </c>
      <c r="F7" s="2796"/>
    </row>
    <row r="9" spans="2:15" ht="13.5" customHeight="1">
      <c r="B9" s="2802" t="s">
        <v>272</v>
      </c>
      <c r="C9" s="2802"/>
      <c r="D9" s="2800" t="s">
        <v>16</v>
      </c>
      <c r="E9" s="2800"/>
      <c r="F9" s="2800"/>
      <c r="G9" s="2800" t="s">
        <v>17</v>
      </c>
      <c r="H9" s="2800"/>
      <c r="I9" s="2800"/>
      <c r="J9" s="2800" t="s">
        <v>207</v>
      </c>
      <c r="K9" s="2800"/>
      <c r="L9" s="2800"/>
      <c r="M9" s="2800" t="s">
        <v>273</v>
      </c>
      <c r="N9" s="2800"/>
      <c r="O9" s="2801"/>
    </row>
    <row r="10" spans="2:15">
      <c r="B10" s="1961" t="s">
        <v>274</v>
      </c>
      <c r="C10" s="304" t="s">
        <v>275</v>
      </c>
      <c r="D10" s="305" t="s">
        <v>276</v>
      </c>
      <c r="E10" s="306" t="s">
        <v>28</v>
      </c>
      <c r="F10" s="307" t="s">
        <v>277</v>
      </c>
      <c r="G10" s="305" t="s">
        <v>276</v>
      </c>
      <c r="H10" s="306" t="s">
        <v>28</v>
      </c>
      <c r="I10" s="307" t="s">
        <v>277</v>
      </c>
      <c r="J10" s="308" t="s">
        <v>276</v>
      </c>
      <c r="K10" s="309" t="s">
        <v>28</v>
      </c>
      <c r="L10" s="310" t="s">
        <v>277</v>
      </c>
      <c r="M10" s="2144" t="s">
        <v>276</v>
      </c>
      <c r="N10" s="2145" t="s">
        <v>28</v>
      </c>
      <c r="O10" s="2146" t="s">
        <v>277</v>
      </c>
    </row>
    <row r="11" spans="2:15" ht="15" customHeight="1">
      <c r="B11" s="2797">
        <v>1</v>
      </c>
      <c r="C11" s="1958" t="str">
        <f>Stoping!C18</f>
        <v>1L W28 STOPE</v>
      </c>
      <c r="D11" s="183">
        <f>Stoping!F19</f>
        <v>0</v>
      </c>
      <c r="E11" s="181">
        <f>Stoping!F22</f>
        <v>0</v>
      </c>
      <c r="F11" s="184">
        <f>(D11*E11)/1000</f>
        <v>0</v>
      </c>
      <c r="G11" s="185">
        <f>Stoping!F18</f>
        <v>0</v>
      </c>
      <c r="H11" s="186">
        <f>Stoping!F21</f>
        <v>0</v>
      </c>
      <c r="I11" s="187">
        <f>(G11*H11)/1000</f>
        <v>0</v>
      </c>
      <c r="J11" s="299">
        <f>D11-G11</f>
        <v>0</v>
      </c>
      <c r="K11" s="300">
        <f>E11-H11</f>
        <v>0</v>
      </c>
      <c r="L11" s="301">
        <f>F11-I11</f>
        <v>0</v>
      </c>
      <c r="M11" s="311">
        <f>IFERROR(J11/G11,0)</f>
        <v>0</v>
      </c>
      <c r="N11" s="312">
        <f>IFERROR(K11/H11,0)</f>
        <v>0</v>
      </c>
      <c r="O11" s="313">
        <f>IFERROR(L11/I11,0)</f>
        <v>0</v>
      </c>
    </row>
    <row r="12" spans="2:15" ht="14.85" hidden="1" customHeight="1">
      <c r="B12" s="2798"/>
      <c r="C12" s="1959"/>
      <c r="D12" s="1455"/>
      <c r="E12" s="1118"/>
      <c r="F12" s="1119">
        <f t="shared" ref="F12" si="0">(D12*E12)/1000</f>
        <v>0</v>
      </c>
      <c r="G12" s="1456"/>
      <c r="H12" s="1457"/>
      <c r="I12" s="1001">
        <f t="shared" ref="I12" si="1">(G12*H12)/1000</f>
        <v>0</v>
      </c>
      <c r="J12" s="1458">
        <f t="shared" ref="J12" si="2">D12-G12</f>
        <v>0</v>
      </c>
      <c r="K12" s="1459">
        <f t="shared" ref="K12" si="3">E12-H12</f>
        <v>0</v>
      </c>
      <c r="L12" s="1460">
        <f t="shared" ref="L12" si="4">F12-I12</f>
        <v>0</v>
      </c>
      <c r="M12" s="1461">
        <f t="shared" ref="M12" si="5">IFERROR(J12/G12,0)</f>
        <v>0</v>
      </c>
      <c r="N12" s="1462">
        <f t="shared" ref="N12" si="6">IFERROR(K12/H12,0)</f>
        <v>0</v>
      </c>
      <c r="O12" s="1463">
        <f t="shared" ref="O12" si="7">IFERROR(L12/I12,0)</f>
        <v>0</v>
      </c>
    </row>
    <row r="13" spans="2:15" ht="15" customHeight="1">
      <c r="B13" s="2798"/>
      <c r="C13" s="1960" t="s">
        <v>278</v>
      </c>
      <c r="D13" s="173">
        <f>+SUM(D11:D12)</f>
        <v>0</v>
      </c>
      <c r="E13" s="177">
        <f>IFERROR(F13*1000/D13,0)</f>
        <v>0</v>
      </c>
      <c r="F13" s="174">
        <f>+SUM(F11:F12)</f>
        <v>0</v>
      </c>
      <c r="G13" s="71">
        <f>+SUM(G11:G12)</f>
        <v>0</v>
      </c>
      <c r="H13" s="72">
        <f>IFERROR(I13*1000/G13,0)</f>
        <v>0</v>
      </c>
      <c r="I13" s="73">
        <f>+SUM(I11:I12)</f>
        <v>0</v>
      </c>
      <c r="J13" s="178">
        <f t="shared" ref="J13:K16" si="8">D13-G13</f>
        <v>0</v>
      </c>
      <c r="K13" s="179">
        <f t="shared" si="8"/>
        <v>0</v>
      </c>
      <c r="L13" s="180">
        <f t="shared" ref="L13:L41" si="9">F13-I13</f>
        <v>0</v>
      </c>
      <c r="M13" s="314">
        <f t="shared" ref="M13:M38" si="10">IFERROR(J13/G13,0)</f>
        <v>0</v>
      </c>
      <c r="N13" s="315">
        <f t="shared" ref="N13:N41" si="11">IFERROR(K13/H13,0)</f>
        <v>0</v>
      </c>
      <c r="O13" s="316">
        <f t="shared" ref="O13:O41" si="12">IFERROR(L13/I13,0)</f>
        <v>0</v>
      </c>
    </row>
    <row r="14" spans="2:15" ht="15" customHeight="1">
      <c r="B14" s="2797">
        <v>3</v>
      </c>
      <c r="C14" s="1962" t="str">
        <f>Stoping!C25</f>
        <v>3L_W23A STOPE</v>
      </c>
      <c r="D14" s="1944">
        <f>Stoping!F26</f>
        <v>201</v>
      </c>
      <c r="E14" s="1945">
        <f>Stoping!F29</f>
        <v>1.1742786069651743</v>
      </c>
      <c r="F14" s="1946">
        <f>(D14*E14)/1000</f>
        <v>0.23603000000000002</v>
      </c>
      <c r="G14" s="1947">
        <f>Stoping!F25</f>
        <v>210</v>
      </c>
      <c r="H14" s="1948">
        <f>Stoping!F28</f>
        <v>1.9859813084112146</v>
      </c>
      <c r="I14" s="1949">
        <f>(G14*H14)/1000</f>
        <v>0.41705607476635503</v>
      </c>
      <c r="J14" s="1950">
        <f t="shared" ref="J14:L15" si="13">D14-G14</f>
        <v>-9</v>
      </c>
      <c r="K14" s="1465">
        <f t="shared" si="13"/>
        <v>-0.81170270144604029</v>
      </c>
      <c r="L14" s="1951">
        <f t="shared" si="13"/>
        <v>-0.18102607476635502</v>
      </c>
      <c r="M14" s="1952">
        <f t="shared" ref="M14:O15" si="14">IFERROR(J14/G14,0)</f>
        <v>-4.2857142857142858E-2</v>
      </c>
      <c r="N14" s="1462">
        <f t="shared" si="14"/>
        <v>-0.40871618378694741</v>
      </c>
      <c r="O14" s="1463">
        <f t="shared" si="14"/>
        <v>-0.43405691876750679</v>
      </c>
    </row>
    <row r="15" spans="2:15" ht="15" customHeight="1">
      <c r="B15" s="2798"/>
      <c r="C15" s="1962" t="str">
        <f>Stoping!C32</f>
        <v>3L_W23B STOPE</v>
      </c>
      <c r="D15" s="1944">
        <f>Stoping!F33</f>
        <v>717</v>
      </c>
      <c r="E15" s="1945">
        <f>Stoping!F36</f>
        <v>2.5611994421199444</v>
      </c>
      <c r="F15" s="1946">
        <f>(D15*E15)/1000</f>
        <v>1.8363800000000001</v>
      </c>
      <c r="G15" s="1947">
        <f>Stoping!F32</f>
        <v>420</v>
      </c>
      <c r="H15" s="1948">
        <f>Stoping!F35</f>
        <v>1.9859813084112146</v>
      </c>
      <c r="I15" s="1949">
        <f>(G15*H15)/1000</f>
        <v>0.83411214953271007</v>
      </c>
      <c r="J15" s="1950">
        <f t="shared" si="13"/>
        <v>297</v>
      </c>
      <c r="K15" s="1465">
        <f t="shared" si="13"/>
        <v>0.57521813370872987</v>
      </c>
      <c r="L15" s="1951">
        <f t="shared" si="13"/>
        <v>1.0022678504672902</v>
      </c>
      <c r="M15" s="1952">
        <f t="shared" si="14"/>
        <v>0.70714285714285718</v>
      </c>
      <c r="N15" s="1462">
        <f t="shared" si="14"/>
        <v>0.28963924850274875</v>
      </c>
      <c r="O15" s="1463">
        <f t="shared" si="14"/>
        <v>1.2015984313725498</v>
      </c>
    </row>
    <row r="16" spans="2:15" ht="15" customHeight="1">
      <c r="B16" s="2798"/>
      <c r="C16" s="1963" t="str">
        <f>Stoping!C39</f>
        <v>3L_W24B STOPE</v>
      </c>
      <c r="D16" s="1953">
        <f>Stoping!F40</f>
        <v>0</v>
      </c>
      <c r="E16" s="1403">
        <f>Stoping!F43</f>
        <v>0</v>
      </c>
      <c r="F16" s="1954">
        <f>(D16*E16)/1000</f>
        <v>0</v>
      </c>
      <c r="G16" s="1334">
        <f>Stoping!F39</f>
        <v>0</v>
      </c>
      <c r="H16" s="2116">
        <f>Stoping!F42</f>
        <v>0</v>
      </c>
      <c r="I16" s="1419">
        <f>(G16*H16)/1000</f>
        <v>0</v>
      </c>
      <c r="J16" s="1955">
        <f t="shared" si="8"/>
        <v>0</v>
      </c>
      <c r="K16" s="1956">
        <f t="shared" si="8"/>
        <v>0</v>
      </c>
      <c r="L16" s="1957">
        <f>F16-I16</f>
        <v>0</v>
      </c>
      <c r="M16" s="1127">
        <f t="shared" ref="M16:O16" si="15">IFERROR(J16/G16,0)</f>
        <v>0</v>
      </c>
      <c r="N16" s="1125">
        <f t="shared" si="15"/>
        <v>0</v>
      </c>
      <c r="O16" s="1126">
        <f t="shared" si="15"/>
        <v>0</v>
      </c>
    </row>
    <row r="17" spans="1:15" ht="14.85" hidden="1" customHeight="1">
      <c r="B17" s="2798"/>
      <c r="C17" s="2104"/>
      <c r="D17" s="597"/>
      <c r="E17" s="2105"/>
      <c r="F17" s="2106">
        <f t="shared" ref="F17" si="16">(D17*E17)/1000</f>
        <v>0</v>
      </c>
      <c r="G17" s="2107"/>
      <c r="H17" s="2108"/>
      <c r="I17" s="2109">
        <f t="shared" ref="I17" si="17">(G17*H17)/1000</f>
        <v>0</v>
      </c>
      <c r="J17" s="2110">
        <f t="shared" ref="J17" si="18">D17-G17</f>
        <v>0</v>
      </c>
      <c r="K17" s="2111">
        <f t="shared" ref="K17" si="19">E17-H17</f>
        <v>0</v>
      </c>
      <c r="L17" s="2112">
        <f t="shared" ref="L17:L18" si="20">F17-I17</f>
        <v>0</v>
      </c>
      <c r="M17" s="2113">
        <f t="shared" ref="M17:M18" si="21">IFERROR(J17/G17,0)</f>
        <v>0</v>
      </c>
      <c r="N17" s="2114">
        <f t="shared" ref="N17:N18" si="22">IFERROR(K17/H17,0)</f>
        <v>0</v>
      </c>
      <c r="O17" s="2115">
        <f t="shared" ref="O17:O18" si="23">IFERROR(L17/I17,0)</f>
        <v>0</v>
      </c>
    </row>
    <row r="18" spans="1:15" ht="15" customHeight="1">
      <c r="B18" s="2799"/>
      <c r="C18" s="595" t="s">
        <v>278</v>
      </c>
      <c r="D18" s="173">
        <f>+SUM(D14:D17)</f>
        <v>918</v>
      </c>
      <c r="E18" s="177">
        <f>IFERROR(F18*1000/D18,0)</f>
        <v>2.2575272331154688</v>
      </c>
      <c r="F18" s="174">
        <f>+SUM(F14:F17)</f>
        <v>2.0724100000000001</v>
      </c>
      <c r="G18" s="71">
        <f>+SUM(G14:G17)</f>
        <v>630</v>
      </c>
      <c r="H18" s="72">
        <f>IFERROR(I18*1000/G18,0)</f>
        <v>1.9859813084112143</v>
      </c>
      <c r="I18" s="73">
        <f>+SUM(I14:I17)</f>
        <v>1.2511682242990652</v>
      </c>
      <c r="J18" s="178">
        <f>D18-G18</f>
        <v>288</v>
      </c>
      <c r="K18" s="179">
        <f>E18-H18</f>
        <v>0.27154592470425443</v>
      </c>
      <c r="L18" s="180">
        <f t="shared" si="20"/>
        <v>0.82124177570093493</v>
      </c>
      <c r="M18" s="314">
        <f t="shared" si="21"/>
        <v>0.45714285714285713</v>
      </c>
      <c r="N18" s="315">
        <f t="shared" si="22"/>
        <v>0.13673135973343639</v>
      </c>
      <c r="O18" s="316">
        <f t="shared" si="23"/>
        <v>0.65637998132586406</v>
      </c>
    </row>
    <row r="19" spans="1:15" ht="15" customHeight="1">
      <c r="B19" s="2798">
        <v>4</v>
      </c>
      <c r="C19" s="1964" t="str">
        <f>Stoping!C46</f>
        <v xml:space="preserve">4L_W26 STOPE </v>
      </c>
      <c r="D19" s="1345">
        <f>Stoping!F47</f>
        <v>432</v>
      </c>
      <c r="E19" s="1344">
        <f>Stoping!F50</f>
        <v>3.0038425925925929</v>
      </c>
      <c r="F19" s="1343">
        <f t="shared" ref="F19" si="24">(D19*E19)/1000</f>
        <v>1.29766</v>
      </c>
      <c r="G19" s="1342">
        <f>Stoping!F46</f>
        <v>420</v>
      </c>
      <c r="H19" s="1341">
        <f>Stoping!F49</f>
        <v>1.9462616822429903</v>
      </c>
      <c r="I19" s="1340">
        <f t="shared" ref="I19" si="25">(G19*H19)/1000</f>
        <v>0.81742990654205594</v>
      </c>
      <c r="J19" s="1339">
        <f t="shared" ref="J19" si="26">D19-G19</f>
        <v>12</v>
      </c>
      <c r="K19" s="1338">
        <f t="shared" ref="K19" si="27">E19-H19</f>
        <v>1.0575809103496026</v>
      </c>
      <c r="L19" s="1337">
        <f t="shared" ref="L19" si="28">F19-I19</f>
        <v>0.4802300934579441</v>
      </c>
      <c r="M19" s="311">
        <f t="shared" ref="M19" si="29">IFERROR(J19/G19,0)</f>
        <v>2.8571428571428571E-2</v>
      </c>
      <c r="N19" s="312">
        <f t="shared" ref="N19" si="30">IFERROR(K19/H19,0)</f>
        <v>0.54339091192032407</v>
      </c>
      <c r="O19" s="313">
        <f t="shared" ref="O19" si="31">IFERROR(L19/I19,0)</f>
        <v>0.5874877951180475</v>
      </c>
    </row>
    <row r="20" spans="1:15" ht="14.85" hidden="1" customHeight="1">
      <c r="B20" s="2798"/>
      <c r="C20" s="1965"/>
      <c r="D20" s="1336"/>
      <c r="E20" s="1279"/>
      <c r="F20" s="1335">
        <f t="shared" ref="F20" si="32">(D20*E20)/1000</f>
        <v>0</v>
      </c>
      <c r="G20" s="1334"/>
      <c r="H20" s="1333"/>
      <c r="I20" s="1332">
        <f t="shared" ref="I20" si="33">(G20*H20)/1000</f>
        <v>0</v>
      </c>
      <c r="J20" s="1464">
        <f t="shared" ref="J20" si="34">D20-G20</f>
        <v>0</v>
      </c>
      <c r="K20" s="1465">
        <f t="shared" ref="K20" si="35">E20-H20</f>
        <v>0</v>
      </c>
      <c r="L20" s="1466">
        <f t="shared" ref="L20" si="36">F20-I20</f>
        <v>0</v>
      </c>
      <c r="M20" s="1124">
        <f t="shared" ref="M20" si="37">IFERROR(J20/G20,0)</f>
        <v>0</v>
      </c>
      <c r="N20" s="1125">
        <f t="shared" ref="N20" si="38">IFERROR(K20/H20,0)</f>
        <v>0</v>
      </c>
      <c r="O20" s="1126">
        <f t="shared" ref="O20" si="39">IFERROR(L20/I20,0)</f>
        <v>0</v>
      </c>
    </row>
    <row r="21" spans="1:15" ht="14.85" hidden="1" customHeight="1">
      <c r="B21" s="2798"/>
      <c r="C21" s="1965"/>
      <c r="D21" s="1336"/>
      <c r="E21" s="1279"/>
      <c r="F21" s="1347">
        <f t="shared" ref="F21" si="40">(D21*E21)/1000</f>
        <v>0</v>
      </c>
      <c r="G21" s="1334"/>
      <c r="H21" s="1333"/>
      <c r="I21" s="1346">
        <f t="shared" ref="I21" si="41">(G21*H21)/1000</f>
        <v>0</v>
      </c>
      <c r="J21" s="1464">
        <f t="shared" ref="J21:J38" si="42">D21-G21</f>
        <v>0</v>
      </c>
      <c r="K21" s="1465">
        <f t="shared" ref="K21:K38" si="43">E21-H21</f>
        <v>0</v>
      </c>
      <c r="L21" s="1466">
        <f t="shared" si="9"/>
        <v>0</v>
      </c>
      <c r="M21" s="1124">
        <f t="shared" si="10"/>
        <v>0</v>
      </c>
      <c r="N21" s="1125">
        <f t="shared" si="11"/>
        <v>0</v>
      </c>
      <c r="O21" s="1126">
        <f t="shared" si="12"/>
        <v>0</v>
      </c>
    </row>
    <row r="22" spans="1:15" ht="15" customHeight="1">
      <c r="B22" s="2798"/>
      <c r="C22" s="595" t="s">
        <v>278</v>
      </c>
      <c r="D22" s="71">
        <f>+SUM(D19:D20)</f>
        <v>432</v>
      </c>
      <c r="E22" s="72">
        <f>IFERROR(F22*1000/D22,0)</f>
        <v>3.0038425925925929</v>
      </c>
      <c r="F22" s="73">
        <f>+SUM(F19:F21)</f>
        <v>1.29766</v>
      </c>
      <c r="G22" s="71">
        <f>+SUM(G19:G21)</f>
        <v>420</v>
      </c>
      <c r="H22" s="72">
        <f>IFERROR(I22*1000/G22,0)</f>
        <v>1.9462616822429903</v>
      </c>
      <c r="I22" s="73">
        <f>+SUM(I19:I21)</f>
        <v>0.81742990654205594</v>
      </c>
      <c r="J22" s="178">
        <f>+D22-G22</f>
        <v>12</v>
      </c>
      <c r="K22" s="179">
        <f>+E22-H22</f>
        <v>1.0575809103496026</v>
      </c>
      <c r="L22" s="180">
        <f>+F22-I22</f>
        <v>0.4802300934579441</v>
      </c>
      <c r="M22" s="314">
        <f t="shared" si="10"/>
        <v>2.8571428571428571E-2</v>
      </c>
      <c r="N22" s="315">
        <f t="shared" si="11"/>
        <v>0.54339091192032407</v>
      </c>
      <c r="O22" s="316">
        <f t="shared" si="12"/>
        <v>0.5874877951180475</v>
      </c>
    </row>
    <row r="23" spans="1:15" ht="15" hidden="1" customHeight="1">
      <c r="A23" s="317"/>
      <c r="B23" s="2797">
        <v>5</v>
      </c>
      <c r="C23" s="1966"/>
      <c r="D23" s="183"/>
      <c r="E23" s="181"/>
      <c r="F23" s="184">
        <f>(D23*E23)/1000</f>
        <v>0</v>
      </c>
      <c r="G23" s="625"/>
      <c r="H23" s="626"/>
      <c r="I23" s="627">
        <f>(G23*H23)/1000</f>
        <v>0</v>
      </c>
      <c r="J23" s="598">
        <f t="shared" ref="J23:L24" si="44">D23-G23</f>
        <v>0</v>
      </c>
      <c r="K23" s="599">
        <f t="shared" si="44"/>
        <v>0</v>
      </c>
      <c r="L23" s="629">
        <f t="shared" si="44"/>
        <v>0</v>
      </c>
      <c r="M23" s="628">
        <f t="shared" ref="M23:O24" si="45">IFERROR(J23/G23,0)</f>
        <v>0</v>
      </c>
      <c r="N23" s="312">
        <f t="shared" si="45"/>
        <v>0</v>
      </c>
      <c r="O23" s="313">
        <f t="shared" si="45"/>
        <v>0</v>
      </c>
    </row>
    <row r="24" spans="1:15" ht="15" customHeight="1">
      <c r="A24" s="317"/>
      <c r="B24" s="2798"/>
      <c r="C24" s="1967" t="str">
        <f>Stoping!C67</f>
        <v>5L_W11 STOPE</v>
      </c>
      <c r="D24" s="1121">
        <f>Stoping!F68</f>
        <v>450</v>
      </c>
      <c r="E24" s="1118">
        <f>Stoping!F71</f>
        <v>1.9963777777777776</v>
      </c>
      <c r="F24" s="1467">
        <f>(D24*E24)/1000</f>
        <v>0.89836999999999989</v>
      </c>
      <c r="G24" s="1122">
        <f>Stoping!F67</f>
        <v>420</v>
      </c>
      <c r="H24" s="1123">
        <f>Stoping!F70</f>
        <v>1.747663551401869</v>
      </c>
      <c r="I24" s="1468">
        <f>(G24*H24)/1000</f>
        <v>0.73401869158878508</v>
      </c>
      <c r="J24" s="1469">
        <f t="shared" si="44"/>
        <v>30</v>
      </c>
      <c r="K24" s="1459">
        <f t="shared" si="44"/>
        <v>0.24871422637590856</v>
      </c>
      <c r="L24" s="1470">
        <f t="shared" si="44"/>
        <v>0.16435130841121481</v>
      </c>
      <c r="M24" s="1127">
        <f t="shared" si="45"/>
        <v>7.1428571428571425E-2</v>
      </c>
      <c r="N24" s="1125">
        <f t="shared" si="45"/>
        <v>0.14231241830065358</v>
      </c>
      <c r="O24" s="1126">
        <f t="shared" si="45"/>
        <v>0.22390616246498579</v>
      </c>
    </row>
    <row r="25" spans="1:15" ht="15" customHeight="1">
      <c r="A25" s="317"/>
      <c r="B25" s="2798"/>
      <c r="C25" s="1968" t="str">
        <f>Stoping!C74</f>
        <v>5L_W8 STOPE</v>
      </c>
      <c r="D25" s="1616">
        <f>Stoping!F75</f>
        <v>618</v>
      </c>
      <c r="E25" s="1617">
        <f>Stoping!F78</f>
        <v>3.2245631067961162</v>
      </c>
      <c r="F25" s="1618">
        <f>(D25*E25)/1000</f>
        <v>1.9927799999999998</v>
      </c>
      <c r="G25" s="1619">
        <f>Stoping!F74</f>
        <v>630</v>
      </c>
      <c r="H25" s="1620">
        <f>Stoping!F77</f>
        <v>1.8271028037383172</v>
      </c>
      <c r="I25" s="1468">
        <f>(G25*H25)/1000</f>
        <v>1.1510747663551399</v>
      </c>
      <c r="J25" s="1621">
        <f>D25-G25</f>
        <v>-12</v>
      </c>
      <c r="K25" s="1622">
        <f>E25-H25</f>
        <v>1.397460303057799</v>
      </c>
      <c r="L25" s="1623">
        <f>F25-I25</f>
        <v>0.84170523364485983</v>
      </c>
      <c r="M25" s="1624">
        <f>IFERROR(J25/G25,0)</f>
        <v>-1.9047619047619049E-2</v>
      </c>
      <c r="N25" s="1625">
        <f>IFERROR(K25/H25,0)</f>
        <v>0.76485039604697969</v>
      </c>
      <c r="O25" s="1626">
        <f>IFERROR(L25/I25,0)</f>
        <v>0.73123419802703704</v>
      </c>
    </row>
    <row r="26" spans="1:15" ht="15" hidden="1" customHeight="1">
      <c r="A26" s="317"/>
      <c r="B26" s="2798"/>
      <c r="C26" s="1969"/>
      <c r="D26" s="1128"/>
      <c r="E26" s="1129"/>
      <c r="F26" s="1130"/>
      <c r="G26" s="1128"/>
      <c r="H26" s="1129"/>
      <c r="I26" s="1130"/>
      <c r="J26" s="1469"/>
      <c r="K26" s="1458"/>
      <c r="L26" s="1471"/>
      <c r="M26" s="1458"/>
      <c r="N26" s="1458"/>
      <c r="O26" s="1471"/>
    </row>
    <row r="27" spans="1:15" ht="15" hidden="1" customHeight="1">
      <c r="A27" s="317"/>
      <c r="B27" s="2798"/>
      <c r="C27" s="1969"/>
      <c r="D27" s="1128"/>
      <c r="E27" s="1129"/>
      <c r="F27" s="1130"/>
      <c r="G27" s="1128"/>
      <c r="H27" s="1129"/>
      <c r="I27" s="1130"/>
      <c r="J27" s="1469"/>
      <c r="K27" s="1458"/>
      <c r="L27" s="1471"/>
      <c r="M27" s="1458"/>
      <c r="N27" s="1458"/>
      <c r="O27" s="1471"/>
    </row>
    <row r="28" spans="1:15" ht="15" hidden="1" customHeight="1">
      <c r="A28" s="317"/>
      <c r="B28" s="2798"/>
      <c r="C28" s="1969"/>
      <c r="D28" s="1128"/>
      <c r="E28" s="1129"/>
      <c r="F28" s="1130"/>
      <c r="G28" s="1128"/>
      <c r="H28" s="1129"/>
      <c r="I28" s="1130"/>
      <c r="J28" s="1469"/>
      <c r="K28" s="1458"/>
      <c r="L28" s="1471"/>
      <c r="M28" s="1458"/>
      <c r="N28" s="1458"/>
      <c r="O28" s="1471"/>
    </row>
    <row r="29" spans="1:15" ht="15" hidden="1" customHeight="1">
      <c r="A29" s="317"/>
      <c r="B29" s="2798"/>
      <c r="C29" s="1970"/>
      <c r="D29" s="1046"/>
      <c r="E29" s="1002"/>
      <c r="F29" s="1003"/>
      <c r="G29" s="1046"/>
      <c r="H29" s="1002"/>
      <c r="I29" s="1003"/>
      <c r="J29" s="1047"/>
      <c r="K29" s="1131"/>
      <c r="L29" s="1132"/>
      <c r="M29" s="1131"/>
      <c r="N29" s="1131"/>
      <c r="O29" s="1132"/>
    </row>
    <row r="30" spans="1:15" ht="15" customHeight="1">
      <c r="A30" s="317"/>
      <c r="B30" s="2799"/>
      <c r="C30" s="595" t="s">
        <v>278</v>
      </c>
      <c r="D30" s="1596">
        <f>+SUM(D23:D29)</f>
        <v>1068</v>
      </c>
      <c r="E30" s="1597">
        <f>IFERROR(F30*1000/D30,0)</f>
        <v>2.7070692883895129</v>
      </c>
      <c r="F30" s="1598">
        <f t="shared" ref="F30:O30" si="46">+SUM(F23:F29)</f>
        <v>2.8911499999999997</v>
      </c>
      <c r="G30" s="1596">
        <f>+SUM(G23:G29)</f>
        <v>1050</v>
      </c>
      <c r="H30" s="2147">
        <f t="shared" si="46"/>
        <v>3.574766355140186</v>
      </c>
      <c r="I30" s="2148">
        <f>+SUM(I23:I29)</f>
        <v>1.8850934579439249</v>
      </c>
      <c r="J30" s="178">
        <f t="shared" si="46"/>
        <v>18</v>
      </c>
      <c r="K30" s="179">
        <f t="shared" si="46"/>
        <v>1.6461745294337076</v>
      </c>
      <c r="L30" s="180">
        <f t="shared" si="46"/>
        <v>1.0060565420560748</v>
      </c>
      <c r="M30" s="2141">
        <f t="shared" si="46"/>
        <v>5.2380952380952375E-2</v>
      </c>
      <c r="N30" s="2142">
        <f t="shared" si="46"/>
        <v>0.90716281434763324</v>
      </c>
      <c r="O30" s="2143">
        <f t="shared" si="46"/>
        <v>0.95514036049202278</v>
      </c>
    </row>
    <row r="31" spans="1:15" ht="15" customHeight="1">
      <c r="A31" s="317"/>
      <c r="B31" s="2798">
        <v>6</v>
      </c>
      <c r="C31" s="1602" t="str">
        <f>Stoping!C81</f>
        <v>6L_E1 STOPE</v>
      </c>
      <c r="D31" s="1599">
        <f>Stoping!F82</f>
        <v>320</v>
      </c>
      <c r="E31" s="1600">
        <f>Stoping!F85</f>
        <v>3.5494999999999997</v>
      </c>
      <c r="F31" s="1601">
        <f t="shared" ref="F31:F37" si="47">(D31*E31)/1000</f>
        <v>1.13584</v>
      </c>
      <c r="G31" s="625">
        <f>Stoping!F81</f>
        <v>210</v>
      </c>
      <c r="H31" s="626">
        <f>Stoping!F84</f>
        <v>3.1378504672897196</v>
      </c>
      <c r="I31" s="596">
        <f t="shared" ref="I31:I38" si="48">(G31*H31)/1000</f>
        <v>0.65894859813084106</v>
      </c>
      <c r="J31" s="1458">
        <f t="shared" si="42"/>
        <v>110</v>
      </c>
      <c r="K31" s="1459">
        <f t="shared" si="43"/>
        <v>0.41164953271028004</v>
      </c>
      <c r="L31" s="2131">
        <f t="shared" si="9"/>
        <v>0.4768914018691589</v>
      </c>
      <c r="M31" s="2135">
        <f t="shared" si="10"/>
        <v>0.52380952380952384</v>
      </c>
      <c r="N31" s="2136">
        <f t="shared" si="11"/>
        <v>0.13118838421444518</v>
      </c>
      <c r="O31" s="2137">
        <f t="shared" si="12"/>
        <v>0.72371563308867859</v>
      </c>
    </row>
    <row r="32" spans="1:15" ht="14.85" customHeight="1">
      <c r="A32" s="317"/>
      <c r="B32" s="2798"/>
      <c r="C32" s="1602" t="str">
        <f>Stoping!C88</f>
        <v xml:space="preserve">6L_W1 STOPE </v>
      </c>
      <c r="D32" s="1121">
        <f>Stoping!F89</f>
        <v>0</v>
      </c>
      <c r="E32" s="1118">
        <f>Stoping!F92</f>
        <v>0</v>
      </c>
      <c r="F32" s="1467">
        <f t="shared" si="47"/>
        <v>0</v>
      </c>
      <c r="G32" s="1122">
        <f>Stoping!F88</f>
        <v>0</v>
      </c>
      <c r="H32" s="1123">
        <f>Stoping!F91</f>
        <v>0</v>
      </c>
      <c r="I32" s="1468">
        <f t="shared" si="48"/>
        <v>0</v>
      </c>
      <c r="J32" s="1458">
        <f t="shared" si="42"/>
        <v>0</v>
      </c>
      <c r="K32" s="1459">
        <f t="shared" si="43"/>
        <v>0</v>
      </c>
      <c r="L32" s="2131">
        <f t="shared" si="9"/>
        <v>0</v>
      </c>
      <c r="M32" s="1124">
        <f t="shared" si="10"/>
        <v>0</v>
      </c>
      <c r="N32" s="1125">
        <f t="shared" si="11"/>
        <v>0</v>
      </c>
      <c r="O32" s="1126">
        <f t="shared" si="12"/>
        <v>0</v>
      </c>
    </row>
    <row r="33" spans="1:15" ht="14.85" customHeight="1">
      <c r="A33" s="317"/>
      <c r="B33" s="2798"/>
      <c r="C33" s="1602" t="str">
        <f>Stoping!C95</f>
        <v xml:space="preserve">6L_W2 STOPE </v>
      </c>
      <c r="D33" s="1121">
        <f>Stoping!F96</f>
        <v>1049</v>
      </c>
      <c r="E33" s="1118">
        <f>Stoping!F99</f>
        <v>4.6257387988560543</v>
      </c>
      <c r="F33" s="1467">
        <f t="shared" ref="F33" si="49">(D33*E33)/1000</f>
        <v>4.8524000000000003</v>
      </c>
      <c r="G33" s="1122">
        <f>Stoping!F95</f>
        <v>840</v>
      </c>
      <c r="H33" s="1123">
        <f>Stoping!F98</f>
        <v>2.5420560747663545</v>
      </c>
      <c r="I33" s="1468">
        <f t="shared" ref="I33" si="50">(G33*H33)/1000</f>
        <v>2.1353271028037382</v>
      </c>
      <c r="J33" s="1458">
        <f t="shared" ref="J33" si="51">D33-G33</f>
        <v>209</v>
      </c>
      <c r="K33" s="1459">
        <f t="shared" ref="K33" si="52">E33-H33</f>
        <v>2.0836827240896998</v>
      </c>
      <c r="L33" s="2131">
        <f t="shared" ref="L33" si="53">F33-I33</f>
        <v>2.7170728971962621</v>
      </c>
      <c r="M33" s="1124">
        <f t="shared" ref="M33" si="54">IFERROR(J33/G33,0)</f>
        <v>0.24880952380952381</v>
      </c>
      <c r="N33" s="1125">
        <f t="shared" ref="N33" si="55">IFERROR(K33/H33,0)</f>
        <v>0.81968401278528646</v>
      </c>
      <c r="O33" s="1126">
        <f t="shared" ref="O33" si="56">IFERROR(L33/I33,0)</f>
        <v>1.2724387254901963</v>
      </c>
    </row>
    <row r="34" spans="1:15" ht="14.85" customHeight="1">
      <c r="A34" s="317"/>
      <c r="B34" s="2798"/>
      <c r="C34" s="1602" t="str">
        <f>Stoping!C102</f>
        <v>6L_W3 STOPE</v>
      </c>
      <c r="D34" s="1121">
        <f>Stoping!F103</f>
        <v>523</v>
      </c>
      <c r="E34" s="1118">
        <f>Stoping!F106</f>
        <v>3.4429254302103254</v>
      </c>
      <c r="F34" s="1467">
        <f t="shared" ref="F34:F35" si="57">(D34*E34)/1000</f>
        <v>1.8006500000000001</v>
      </c>
      <c r="G34" s="1122">
        <f>Stoping!F102</f>
        <v>630</v>
      </c>
      <c r="H34" s="1123">
        <f>Stoping!F105</f>
        <v>2.3831775700934577</v>
      </c>
      <c r="I34" s="1468">
        <f t="shared" ref="I34:I35" si="58">(G34*H34)/1000</f>
        <v>1.5014018691588782</v>
      </c>
      <c r="J34" s="1458">
        <f>D34-G34</f>
        <v>-107</v>
      </c>
      <c r="K34" s="1459">
        <f t="shared" ref="K34:K35" si="59">E34-H34</f>
        <v>1.0597478601168677</v>
      </c>
      <c r="L34" s="2131">
        <f t="shared" ref="L34:L35" si="60">F34-I34</f>
        <v>0.2992481308411219</v>
      </c>
      <c r="M34" s="1124">
        <f t="shared" ref="M34:M35" si="61">IFERROR(J34/G34,0)</f>
        <v>-0.16984126984126985</v>
      </c>
      <c r="N34" s="1125">
        <f t="shared" ref="N34:N35" si="62">IFERROR(K34/H34,0)</f>
        <v>0.44467851385296026</v>
      </c>
      <c r="O34" s="1126">
        <f t="shared" ref="O34:O35" si="63">IFERROR(L34/I34,0)</f>
        <v>0.19931248054777498</v>
      </c>
    </row>
    <row r="35" spans="1:15" ht="14.85" customHeight="1">
      <c r="A35" s="317"/>
      <c r="B35" s="2798"/>
      <c r="C35" s="1602" t="str">
        <f>Stoping!C109</f>
        <v>6L_W4 STOPE</v>
      </c>
      <c r="D35" s="1121">
        <f>Stoping!F110</f>
        <v>0</v>
      </c>
      <c r="E35" s="1118">
        <f>Stoping!F113</f>
        <v>0</v>
      </c>
      <c r="F35" s="1467">
        <f t="shared" si="57"/>
        <v>0</v>
      </c>
      <c r="G35" s="1122">
        <f>Stoping!F109</f>
        <v>0</v>
      </c>
      <c r="H35" s="1123">
        <f>Stoping!F112</f>
        <v>0</v>
      </c>
      <c r="I35" s="1468">
        <f t="shared" si="58"/>
        <v>0</v>
      </c>
      <c r="J35" s="1458">
        <f>D35-G35</f>
        <v>0</v>
      </c>
      <c r="K35" s="1459">
        <f t="shared" si="59"/>
        <v>0</v>
      </c>
      <c r="L35" s="2131">
        <f t="shared" si="60"/>
        <v>0</v>
      </c>
      <c r="M35" s="1124">
        <f t="shared" si="61"/>
        <v>0</v>
      </c>
      <c r="N35" s="1125">
        <f t="shared" si="62"/>
        <v>0</v>
      </c>
      <c r="O35" s="1126">
        <f t="shared" si="63"/>
        <v>0</v>
      </c>
    </row>
    <row r="36" spans="1:15" ht="14.85" customHeight="1">
      <c r="A36" s="317"/>
      <c r="B36" s="2798"/>
      <c r="C36" s="1602" t="str">
        <f>Stoping!C116</f>
        <v>6L_W8 STOPE</v>
      </c>
      <c r="D36" s="1121">
        <f>Stoping!F117</f>
        <v>527</v>
      </c>
      <c r="E36" s="1118">
        <f>Stoping!F120</f>
        <v>1.6287286527514231</v>
      </c>
      <c r="F36" s="1467">
        <f t="shared" si="47"/>
        <v>0.85833999999999988</v>
      </c>
      <c r="G36" s="1122">
        <f>Stoping!F116</f>
        <v>630</v>
      </c>
      <c r="H36" s="1123">
        <f>Stoping!F119</f>
        <v>2.7803738317757007</v>
      </c>
      <c r="I36" s="1468">
        <f t="shared" si="48"/>
        <v>1.7516355140186914</v>
      </c>
      <c r="J36" s="1458">
        <f t="shared" si="42"/>
        <v>-103</v>
      </c>
      <c r="K36" s="1459">
        <f t="shared" si="43"/>
        <v>-1.1516451790242777</v>
      </c>
      <c r="L36" s="2131">
        <f t="shared" si="9"/>
        <v>-0.89329551401869156</v>
      </c>
      <c r="M36" s="1124">
        <f t="shared" si="10"/>
        <v>-0.16349206349206349</v>
      </c>
      <c r="N36" s="1125">
        <f t="shared" si="11"/>
        <v>-0.41420515682553855</v>
      </c>
      <c r="O36" s="1126">
        <f t="shared" si="12"/>
        <v>-0.50997796451914101</v>
      </c>
    </row>
    <row r="37" spans="1:15" ht="14.85" customHeight="1">
      <c r="A37" s="317"/>
      <c r="B37" s="2798"/>
      <c r="C37" s="1602" t="str">
        <f>Stoping!C123</f>
        <v>6L_W13 STOPE</v>
      </c>
      <c r="D37" s="1455">
        <f>Stoping!F124</f>
        <v>88</v>
      </c>
      <c r="E37" s="2129">
        <f>Stoping!F127</f>
        <v>4.2880681818181818</v>
      </c>
      <c r="F37" s="1467">
        <f t="shared" si="47"/>
        <v>0.37735000000000002</v>
      </c>
      <c r="G37" s="2130">
        <f>Stoping!F123</f>
        <v>210</v>
      </c>
      <c r="H37" s="1457">
        <f>Stoping!F126</f>
        <v>1.9859813084112146</v>
      </c>
      <c r="I37" s="1468">
        <f t="shared" si="48"/>
        <v>0.41705607476635503</v>
      </c>
      <c r="J37" s="1595">
        <f t="shared" si="42"/>
        <v>-122</v>
      </c>
      <c r="K37" s="1280">
        <f t="shared" si="43"/>
        <v>2.3020868734069673</v>
      </c>
      <c r="L37" s="2132">
        <f t="shared" si="9"/>
        <v>-3.9706074766355015E-2</v>
      </c>
      <c r="M37" s="1124">
        <f t="shared" si="10"/>
        <v>-0.580952380952381</v>
      </c>
      <c r="N37" s="1125">
        <f t="shared" si="11"/>
        <v>1.1591684491978613</v>
      </c>
      <c r="O37" s="1126">
        <f t="shared" si="12"/>
        <v>-9.5205602240896081E-2</v>
      </c>
    </row>
    <row r="38" spans="1:15" ht="14.85" customHeight="1">
      <c r="A38" s="317"/>
      <c r="B38" s="2798"/>
      <c r="C38" s="1603" t="str">
        <f>Stoping!C130</f>
        <v>6L_W15_STOPE</v>
      </c>
      <c r="D38" s="1121">
        <f>Stoping!F131</f>
        <v>457</v>
      </c>
      <c r="E38" s="1118">
        <f>Stoping!F134</f>
        <v>1.5616630196936545</v>
      </c>
      <c r="F38" s="1332">
        <f>(D38*E38)/1000</f>
        <v>0.71368000000000009</v>
      </c>
      <c r="G38" s="1418">
        <f>Stoping!F130</f>
        <v>420</v>
      </c>
      <c r="H38" s="1123">
        <f>Stoping!F133</f>
        <v>1.747663551401869</v>
      </c>
      <c r="I38" s="1419">
        <f t="shared" si="48"/>
        <v>0.73401869158878508</v>
      </c>
      <c r="J38" s="1458">
        <f t="shared" si="42"/>
        <v>37</v>
      </c>
      <c r="K38" s="2117">
        <f t="shared" si="43"/>
        <v>-0.18600053170821451</v>
      </c>
      <c r="L38" s="2133">
        <f t="shared" si="9"/>
        <v>-2.0338691588784985E-2</v>
      </c>
      <c r="M38" s="1461">
        <f t="shared" si="10"/>
        <v>8.8095238095238101E-2</v>
      </c>
      <c r="N38" s="1462">
        <f t="shared" si="11"/>
        <v>-0.10642811172609067</v>
      </c>
      <c r="O38" s="1463">
        <f t="shared" si="12"/>
        <v>-2.770868347338927E-2</v>
      </c>
    </row>
    <row r="39" spans="1:15" ht="14.85" customHeight="1">
      <c r="A39" s="317"/>
      <c r="B39" s="2798"/>
      <c r="C39" s="2122" t="str">
        <f>Stoping!C140</f>
        <v>6L_W18_STOPE</v>
      </c>
      <c r="D39" s="2124">
        <f>Stoping!F138</f>
        <v>331</v>
      </c>
      <c r="E39" s="2125">
        <f>Stoping!F141</f>
        <v>2.1303021148036252</v>
      </c>
      <c r="F39" s="2126">
        <f>(D39*E39)/1000</f>
        <v>0.70512999999999992</v>
      </c>
      <c r="G39" s="2127">
        <f>Stoping!F137</f>
        <v>420</v>
      </c>
      <c r="H39" s="2128">
        <f>Stoping!F140</f>
        <v>2.7803738317757007</v>
      </c>
      <c r="I39" s="2126">
        <f>(G39*H39)/1000</f>
        <v>1.1677570093457943</v>
      </c>
      <c r="J39" s="1464">
        <f>D39-G39</f>
        <v>-89</v>
      </c>
      <c r="K39" s="2123">
        <f>E39-H39</f>
        <v>-0.65007171697207555</v>
      </c>
      <c r="L39" s="2134">
        <f>F39-I39</f>
        <v>-0.46262700934579437</v>
      </c>
      <c r="M39" s="2138">
        <f>IFERROR(J39/G39,0)</f>
        <v>-0.2119047619047619</v>
      </c>
      <c r="N39" s="2139">
        <f>IFERROR(K39/H39,0)</f>
        <v>-0.23380730660844401</v>
      </c>
      <c r="O39" s="2140">
        <f>IFERROR(L39/I39,0)</f>
        <v>-0.39616718687474989</v>
      </c>
    </row>
    <row r="40" spans="1:15" ht="15" customHeight="1">
      <c r="A40" s="317"/>
      <c r="B40" s="2799"/>
      <c r="C40" s="70" t="s">
        <v>278</v>
      </c>
      <c r="D40" s="1408">
        <f>SUM(D31:D39)</f>
        <v>3295</v>
      </c>
      <c r="E40" s="1409">
        <f>IFERROR(F40*1000/D40,0)</f>
        <v>3.1694658573596364</v>
      </c>
      <c r="F40" s="1409">
        <f>SUM(F31:F39)</f>
        <v>10.443390000000001</v>
      </c>
      <c r="G40" s="1410">
        <f>SUM(G31:G39)</f>
        <v>3360</v>
      </c>
      <c r="H40" s="1411">
        <f>IFERROR(I40*1000/G40,0)</f>
        <v>2.4899240654205603</v>
      </c>
      <c r="I40" s="2118">
        <f>SUM(I31:I39)</f>
        <v>8.3661448598130832</v>
      </c>
      <c r="J40" s="178">
        <f t="shared" ref="J40" si="64">D40-G40</f>
        <v>-65</v>
      </c>
      <c r="K40" s="179">
        <f t="shared" ref="K40" si="65">E40-H40</f>
        <v>0.67954179193907605</v>
      </c>
      <c r="L40" s="180">
        <f t="shared" ref="L40" si="66">F40-I40</f>
        <v>2.0772451401869176</v>
      </c>
      <c r="M40" s="1415">
        <f t="shared" ref="M40" si="67">IFERROR(J40/G40,0)</f>
        <v>-1.9345238095238096E-2</v>
      </c>
      <c r="N40" s="1416">
        <f t="shared" ref="N40" si="68">IFERROR(K40/H40,0)</f>
        <v>0.2729166729927156</v>
      </c>
      <c r="O40" s="1417">
        <f t="shared" ref="O40" si="69">IFERROR(L40/I40,0)</f>
        <v>0.24829179687827299</v>
      </c>
    </row>
    <row r="41" spans="1:15" ht="15" customHeight="1">
      <c r="A41" s="317"/>
      <c r="B41" s="493" t="s">
        <v>279</v>
      </c>
      <c r="C41" s="494"/>
      <c r="D41" s="175">
        <f>SUM(D13,D18,D22,D40,D30)</f>
        <v>5713</v>
      </c>
      <c r="E41" s="182">
        <f>IFERROR(F41*1000/D41,0)</f>
        <v>2.92396464204446</v>
      </c>
      <c r="F41" s="176">
        <f>SUM(F13,F18,F22,F40,F30)</f>
        <v>16.704610000000002</v>
      </c>
      <c r="G41" s="175">
        <f>SUM(G13,G18,G22,G40,G30)</f>
        <v>5460</v>
      </c>
      <c r="H41" s="182">
        <f>IFERROR(I41*1000/G41,0)</f>
        <v>2.2563803019410491</v>
      </c>
      <c r="I41" s="176">
        <f>SUM(I13,I18,I22,I40,I30)</f>
        <v>12.319836448598128</v>
      </c>
      <c r="J41" s="1412">
        <f>D41-G41</f>
        <v>253</v>
      </c>
      <c r="K41" s="1413">
        <f>E41-H41</f>
        <v>0.66758434010341094</v>
      </c>
      <c r="L41" s="1414">
        <f t="shared" si="9"/>
        <v>4.3847735514018744</v>
      </c>
      <c r="M41" s="2119">
        <f>IFERROR(J41/G41,0)</f>
        <v>4.6336996336996339E-2</v>
      </c>
      <c r="N41" s="2120">
        <f t="shared" si="11"/>
        <v>0.29586516932855783</v>
      </c>
      <c r="O41" s="2121">
        <f t="shared" si="12"/>
        <v>0.35591166893297654</v>
      </c>
    </row>
    <row r="42" spans="1:15">
      <c r="A42" s="317"/>
    </row>
    <row r="43" spans="1:15">
      <c r="A43" s="317"/>
    </row>
    <row r="45" spans="1:15" ht="15" customHeight="1">
      <c r="A45" s="317"/>
    </row>
    <row r="47" spans="1:15">
      <c r="A47" s="302" t="s">
        <v>265</v>
      </c>
    </row>
  </sheetData>
  <sheetProtection algorithmName="SHA-512" hashValue="hJHnv958cAUWyzTOEZ9XYL7TU3nR4WO0v7P8bGEdg0+qwCfVDk0bBOHTsFDWMFpFilKgFf+fD1xb8wROgO8k9g==" saltValue="iMQpdWQH2zQpM/jm+/rdiA==" spinCount="100000" sheet="1" objects="1" scenarios="1"/>
  <mergeCells count="15">
    <mergeCell ref="G9:I9"/>
    <mergeCell ref="J9:L9"/>
    <mergeCell ref="M9:O9"/>
    <mergeCell ref="B9:C9"/>
    <mergeCell ref="D9:F9"/>
    <mergeCell ref="B11:B13"/>
    <mergeCell ref="B14:B18"/>
    <mergeCell ref="B19:B22"/>
    <mergeCell ref="B23:B30"/>
    <mergeCell ref="B31:B40"/>
    <mergeCell ref="E3:F3"/>
    <mergeCell ref="E4:F4"/>
    <mergeCell ref="E5:F5"/>
    <mergeCell ref="E6:F6"/>
    <mergeCell ref="E7:F7"/>
  </mergeCells>
  <phoneticPr fontId="52" type="noConversion"/>
  <conditionalFormatting sqref="E11:E15 E17:E21 E23:E25 E31:E41">
    <cfRule type="cellIs" dxfId="755" priority="42" operator="greaterThanOrEqual">
      <formula>2</formula>
    </cfRule>
    <cfRule type="cellIs" dxfId="754" priority="43" operator="between">
      <formula>1.6</formula>
      <formula>2</formula>
    </cfRule>
    <cfRule type="cellIs" dxfId="753" priority="44" operator="greaterThanOrEqual">
      <formula>0.6</formula>
    </cfRule>
  </conditionalFormatting>
  <conditionalFormatting sqref="F40">
    <cfRule type="cellIs" dxfId="752" priority="1" operator="greaterThanOrEqual">
      <formula>2</formula>
    </cfRule>
    <cfRule type="cellIs" dxfId="751" priority="2" operator="between">
      <formula>1.6</formula>
      <formula>2</formula>
    </cfRule>
    <cfRule type="cellIs" dxfId="750" priority="3" operator="greaterThanOrEqual">
      <formula>0.6</formula>
    </cfRule>
  </conditionalFormatting>
  <conditionalFormatting sqref="H41">
    <cfRule type="cellIs" dxfId="749" priority="14" operator="greaterThanOrEqual">
      <formula>2</formula>
    </cfRule>
    <cfRule type="cellIs" dxfId="748" priority="15" operator="between">
      <formula>1.6</formula>
      <formula>2</formula>
    </cfRule>
    <cfRule type="cellIs" dxfId="747" priority="16" operator="greaterThanOrEqual">
      <formula>0.6</formula>
    </cfRule>
  </conditionalFormatting>
  <conditionalFormatting sqref="J11:L25 J30:L41">
    <cfRule type="cellIs" dxfId="746" priority="4" operator="lessThan">
      <formula>0</formula>
    </cfRule>
    <cfRule type="cellIs" dxfId="745" priority="5" operator="greaterThan">
      <formula>0</formula>
    </cfRule>
  </conditionalFormatting>
  <conditionalFormatting sqref="J23:O29">
    <cfRule type="cellIs" dxfId="744" priority="20" operator="lessThan">
      <formula>0</formula>
    </cfRule>
    <cfRule type="cellIs" dxfId="743" priority="21" operator="greaterThan">
      <formula>0</formula>
    </cfRule>
  </conditionalFormatting>
  <conditionalFormatting sqref="M11:O25 M30:O41">
    <cfRule type="cellIs" dxfId="742" priority="45" operator="greaterThan">
      <formula>0</formula>
    </cfRule>
    <cfRule type="cellIs" dxfId="741" priority="46" operator="lessThan">
      <formula>0</formula>
    </cfRule>
  </conditionalFormatting>
  <pageMargins left="0.7" right="0.7" top="0.75" bottom="0.75" header="0.3" footer="0.3"/>
  <pageSetup scale="54"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A6B5-0731-4C25-A90F-3DD246F1248A}">
  <sheetPr>
    <tabColor theme="4" tint="0.59999389629810485"/>
    <pageSetUpPr fitToPage="1"/>
  </sheetPr>
  <dimension ref="A1:AM143"/>
  <sheetViews>
    <sheetView showGridLines="0" topLeftCell="A6" zoomScale="84" zoomScaleNormal="88" workbookViewId="0">
      <pane xSplit="7" ySplit="13" topLeftCell="H33" activePane="bottomRight" state="frozen"/>
      <selection pane="topRight" activeCell="H6" sqref="H6"/>
      <selection pane="bottomLeft" activeCell="A19" sqref="A19"/>
      <selection pane="bottomRight" activeCell="K127" sqref="K127"/>
    </sheetView>
  </sheetViews>
  <sheetFormatPr defaultColWidth="9" defaultRowHeight="13.8"/>
  <cols>
    <col min="1" max="1" width="3.21875" style="69" bestFit="1" customWidth="1"/>
    <col min="2" max="2" width="24.21875" style="69" customWidth="1"/>
    <col min="3" max="3" width="15.21875" style="69" bestFit="1" customWidth="1"/>
    <col min="4" max="4" width="9.21875" style="76" customWidth="1"/>
    <col min="5" max="5" width="12.21875" style="77" customWidth="1"/>
    <col min="6" max="7" width="9.109375" style="78" customWidth="1"/>
    <col min="8" max="10" width="7.21875" style="74" customWidth="1"/>
    <col min="11" max="38" width="7.21875" style="69" customWidth="1"/>
    <col min="39" max="39" width="33.21875" style="69" bestFit="1" customWidth="1"/>
    <col min="40" max="40" width="9" style="69"/>
    <col min="41" max="41" width="4" style="69" bestFit="1" customWidth="1"/>
    <col min="42" max="42" width="12" style="69" bestFit="1" customWidth="1"/>
    <col min="43" max="16383" width="9" style="69"/>
    <col min="16384" max="16384" width="9" style="69" customWidth="1"/>
  </cols>
  <sheetData>
    <row r="1" spans="2:38" s="302" customFormat="1" ht="14.4" thickBot="1">
      <c r="D1" s="321"/>
      <c r="E1" s="354"/>
      <c r="F1" s="355"/>
      <c r="G1" s="355"/>
    </row>
    <row r="2" spans="2:38" s="302" customFormat="1" ht="15" thickBot="1">
      <c r="B2" s="295" t="s">
        <v>0</v>
      </c>
      <c r="D2" s="342"/>
      <c r="H2" s="2696" t="s">
        <v>6</v>
      </c>
      <c r="I2" s="2697"/>
      <c r="K2" s="2696" t="s">
        <v>5</v>
      </c>
      <c r="L2" s="2803"/>
      <c r="M2" s="2803"/>
      <c r="N2" s="2697"/>
      <c r="P2" s="376" t="s">
        <v>199</v>
      </c>
      <c r="Q2" s="377"/>
      <c r="R2" s="378"/>
    </row>
    <row r="3" spans="2:38" s="302" customFormat="1" ht="14.4">
      <c r="B3" s="64" t="s">
        <v>52</v>
      </c>
      <c r="D3" s="321"/>
      <c r="H3" s="2733" t="s">
        <v>8</v>
      </c>
      <c r="I3" s="2763"/>
      <c r="K3" s="2804" t="s">
        <v>7</v>
      </c>
      <c r="L3" s="2805"/>
      <c r="M3" s="2805"/>
      <c r="N3" s="2806"/>
      <c r="P3" s="347" t="s">
        <v>280</v>
      </c>
      <c r="Q3" s="348"/>
      <c r="R3" s="349"/>
    </row>
    <row r="4" spans="2:38" s="302" customFormat="1" ht="14.85" customHeight="1" thickBot="1">
      <c r="B4" s="297" t="s">
        <v>281</v>
      </c>
      <c r="D4" s="321"/>
      <c r="H4" s="2737" t="s">
        <v>10</v>
      </c>
      <c r="I4" s="2764"/>
      <c r="K4" s="2807" t="s">
        <v>9</v>
      </c>
      <c r="L4" s="2808"/>
      <c r="M4" s="2808"/>
      <c r="N4" s="2809"/>
      <c r="P4" s="194" t="s">
        <v>282</v>
      </c>
      <c r="Q4" s="193"/>
      <c r="R4" s="351"/>
    </row>
    <row r="5" spans="2:38" s="302" customFormat="1" ht="14.85" customHeight="1">
      <c r="B5" s="65"/>
      <c r="D5" s="321"/>
      <c r="K5" s="2818" t="s">
        <v>11</v>
      </c>
      <c r="L5" s="2819"/>
      <c r="M5" s="2819"/>
      <c r="N5" s="2820"/>
      <c r="P5" s="194" t="s">
        <v>283</v>
      </c>
      <c r="Q5" s="193"/>
      <c r="R5" s="351"/>
    </row>
    <row r="6" spans="2:38" s="302" customFormat="1" ht="15" customHeight="1" thickBot="1">
      <c r="B6" s="294" t="s">
        <v>3</v>
      </c>
      <c r="C6" s="298">
        <f>SUMMARY!$C$6</f>
        <v>45870</v>
      </c>
      <c r="D6" s="321"/>
      <c r="K6" s="2821" t="s">
        <v>12</v>
      </c>
      <c r="L6" s="2822"/>
      <c r="M6" s="2822"/>
      <c r="N6" s="2823"/>
      <c r="P6" s="194" t="s">
        <v>284</v>
      </c>
      <c r="Q6" s="193"/>
      <c r="R6" s="351"/>
    </row>
    <row r="7" spans="2:38" s="302" customFormat="1" ht="14.4" thickBot="1">
      <c r="B7" s="294" t="s">
        <v>4</v>
      </c>
      <c r="C7" s="303">
        <f>SUMMARY!C7</f>
        <v>6</v>
      </c>
      <c r="D7" s="321"/>
      <c r="E7" s="354"/>
      <c r="F7" s="355"/>
      <c r="G7" s="355"/>
      <c r="H7" s="356"/>
      <c r="I7" s="342"/>
      <c r="J7" s="342"/>
      <c r="P7" s="195" t="s">
        <v>285</v>
      </c>
      <c r="Q7" s="157"/>
      <c r="R7" s="353"/>
    </row>
    <row r="8" spans="2:38" s="302" customFormat="1" ht="14.4" thickBot="1">
      <c r="B8" s="357"/>
      <c r="C8" s="357"/>
      <c r="D8" s="358"/>
      <c r="E8" s="357"/>
      <c r="F8" s="357"/>
      <c r="G8" s="357"/>
      <c r="H8" s="357"/>
      <c r="I8" s="357"/>
      <c r="J8" s="357"/>
      <c r="K8" s="379"/>
    </row>
    <row r="9" spans="2:38" s="342" customFormat="1" ht="14.4" thickBot="1">
      <c r="B9" s="362" t="s">
        <v>14</v>
      </c>
      <c r="C9" s="363" t="s">
        <v>206</v>
      </c>
      <c r="D9" s="364" t="s">
        <v>16</v>
      </c>
      <c r="E9" s="365" t="s">
        <v>207</v>
      </c>
      <c r="G9" s="196" t="s">
        <v>13</v>
      </c>
      <c r="H9" s="380">
        <v>1</v>
      </c>
      <c r="I9" s="381">
        <v>2</v>
      </c>
      <c r="J9" s="381">
        <v>3</v>
      </c>
      <c r="K9" s="381">
        <v>4</v>
      </c>
      <c r="L9" s="381">
        <v>5</v>
      </c>
      <c r="M9" s="381">
        <v>6</v>
      </c>
      <c r="N9" s="381">
        <v>7</v>
      </c>
      <c r="O9" s="381">
        <v>8</v>
      </c>
      <c r="P9" s="382">
        <v>9</v>
      </c>
      <c r="Q9" s="381">
        <v>10</v>
      </c>
      <c r="R9" s="381">
        <v>11</v>
      </c>
      <c r="S9" s="382">
        <v>12</v>
      </c>
      <c r="T9" s="382">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c r="B10" s="366" t="s">
        <v>286</v>
      </c>
      <c r="C10" s="86">
        <f>SUM(H10:AL10)</f>
        <v>5460</v>
      </c>
      <c r="D10" s="100">
        <f>SUM(H11:AL11)</f>
        <v>5713</v>
      </c>
      <c r="E10" s="101">
        <f>IFERROR((D10-C10)/C10,0)</f>
        <v>4.6336996336996339E-2</v>
      </c>
      <c r="F10" s="355"/>
      <c r="G10" s="198" t="s">
        <v>287</v>
      </c>
      <c r="H10" s="102">
        <f>IF(H$9&gt;$C$7,"",SUMIF($E$18:$E307,"Budget (t)",H$18:H307))</f>
        <v>910</v>
      </c>
      <c r="I10" s="153">
        <f>IF(I$9&gt;$C$7,"",SUMIF($E$18:$E307,"Budget (t)",I$18:I307))</f>
        <v>910</v>
      </c>
      <c r="J10" s="459">
        <f>IF(J$9&gt;$C$7,"",SUMIF($E$18:$E307,"Budget (t)",J$18:J307))</f>
        <v>910</v>
      </c>
      <c r="K10" s="103">
        <f>IF(K$9&gt;$C$7,"",SUMIF($E$18:$E307,"Budget (t)",K$18:K307))</f>
        <v>910</v>
      </c>
      <c r="L10" s="103">
        <f>IF(L$9&gt;$C$7,"",SUMIF($E$18:$E307,"Budget (t)",L$18:L307))</f>
        <v>910</v>
      </c>
      <c r="M10" s="103">
        <f>IF(M$9&gt;$C$7,"",SUMIF($E$18:$E307,"Budget (t)",M$18:M307))</f>
        <v>910</v>
      </c>
      <c r="N10" s="103" t="str">
        <f>IF(N$9&gt;$C$7,"",SUMIF($E$18:$E307,"Budget (t)",N$18:N307))</f>
        <v/>
      </c>
      <c r="O10" s="103" t="str">
        <f>IF(O$9&gt;$C$7,"",SUMIF($E$18:$E307,"Budget (t)",O$18:O307))</f>
        <v/>
      </c>
      <c r="P10" s="103" t="str">
        <f>IF(P$9&gt;$C$7,"",SUMIF($E$18:$E307,"Budget (t)",P$18:P307))</f>
        <v/>
      </c>
      <c r="Q10" s="153" t="str">
        <f>IF(Q$9&gt;$C$7,"",SUMIF($E$18:$E307,"Budget (t)",Q$18:Q307))</f>
        <v/>
      </c>
      <c r="R10" s="153" t="str">
        <f>IF(R$9&gt;$C$7,"",SUMIF($E$18:$E307,"Budget (t)",R$18:R307))</f>
        <v/>
      </c>
      <c r="S10" s="103" t="str">
        <f>IF(S$9&gt;$C$7,"",SUMIF($E$18:$E307,"Budget (t)",S$18:S307))</f>
        <v/>
      </c>
      <c r="T10" s="103" t="str">
        <f>IF(T$9&gt;$C$7,"",SUMIF($E$18:$E307,"Budget (t)",T$18:T307))</f>
        <v/>
      </c>
      <c r="U10" s="103" t="str">
        <f>IF(U$9&gt;$C$7,"",SUMIF($E$18:$E307,"Budget (t)",U$18:U307))</f>
        <v/>
      </c>
      <c r="V10" s="103" t="str">
        <f>IF(V$9&gt;$C$7,"",SUMIF($E$18:$E307,"Budget (t)",V$18:V307))</f>
        <v/>
      </c>
      <c r="W10" s="103" t="str">
        <f>IF(W$9&gt;$C$7,"",SUMIF($E$18:$E307,"Budget (t)",W$18:W307))</f>
        <v/>
      </c>
      <c r="X10" s="103" t="str">
        <f>IF(X$9&gt;$C$7,"",SUMIF($E$18:$E307,"Budget (t)",X$18:X307))</f>
        <v/>
      </c>
      <c r="Y10" s="103" t="str">
        <f>IF(Y$9&gt;$C$7,"",SUMIF($E$18:$E307,"Budget (t)",Y$18:Y307))</f>
        <v/>
      </c>
      <c r="Z10" s="103" t="str">
        <f>IF(Z$9&gt;$C$7,"",SUMIF($E$18:$E307,"Budget (t)",Z$18:Z307))</f>
        <v/>
      </c>
      <c r="AA10" s="103" t="str">
        <f>IF(AA$9&gt;$C$7,"",SUMIF($E$18:$E307,"Budget (t)",AA$18:AA307))</f>
        <v/>
      </c>
      <c r="AB10" s="103" t="str">
        <f>IF(AB$9&gt;$C$7,"",SUMIF($E$18:$E307,"Budget (t)",AB$18:AB307))</f>
        <v/>
      </c>
      <c r="AC10" s="103" t="str">
        <f>IF(AC$9&gt;$C$7,"",SUMIF($E$18:$E307,"Budget (t)",AC$18:AC307))</f>
        <v/>
      </c>
      <c r="AD10" s="103" t="str">
        <f>IF(AD$9&gt;$C$7,"",SUMIF($E$18:$E307,"Budget (t)",AD$18:AD307))</f>
        <v/>
      </c>
      <c r="AE10" s="103" t="str">
        <f>IF(AE$9&gt;$C$7,"",SUMIF($E$18:$E307,"Budget (t)",AE$18:AE307))</f>
        <v/>
      </c>
      <c r="AF10" s="103" t="str">
        <f>IF(AF$9&gt;$C$7,"",SUMIF($E$18:$E307,"Budget (t)",AF$18:AF307))</f>
        <v/>
      </c>
      <c r="AG10" s="103" t="str">
        <f>IF(AG$9&gt;$C$7,"",SUMIF($E$18:$E307,"Budget (t)",AG$18:AG307))</f>
        <v/>
      </c>
      <c r="AH10" s="103" t="str">
        <f>IF(AH$9&gt;$C$7,"",SUMIF($E$18:$E307,"Budget (t)",AH$18:AH307))</f>
        <v/>
      </c>
      <c r="AI10" s="103" t="str">
        <f>IF(AI$9&gt;$C$7,"",SUMIF($E$18:$E307,"Budget (t)",AI$18:AI307))</f>
        <v/>
      </c>
      <c r="AJ10" s="103" t="str">
        <f>IF(AJ$9&gt;$C$7,"",SUMIF($E$18:$E307,"Budget (t)",AJ$18:AJ307))</f>
        <v/>
      </c>
      <c r="AK10" s="103" t="str">
        <f>IF(AK$9&gt;$C$7,"",SUMIF($E$18:$E307,"Budget (t)",AK$18:AK307))</f>
        <v/>
      </c>
      <c r="AL10" s="104" t="str">
        <f>IF(AL$9&gt;$C$7,"",SUMIF($E$18:$E307,"Budget (t)",AL$18:AL307))</f>
        <v/>
      </c>
    </row>
    <row r="11" spans="2:38" s="343" customFormat="1" ht="14.4" thickBot="1">
      <c r="B11" s="1133" t="s">
        <v>28</v>
      </c>
      <c r="C11" s="1134">
        <f>IFERROR(C12*1000/C10,0)</f>
        <v>2.2563803019410491</v>
      </c>
      <c r="D11" s="1472">
        <f>IFERROR(D12*1000/D10,0)</f>
        <v>2.92396464204446</v>
      </c>
      <c r="E11" s="1473">
        <f t="shared" ref="E11:E12" si="0">IFERROR((D11-C11)/C11,0)</f>
        <v>0.29586516932855783</v>
      </c>
      <c r="G11" s="196" t="s">
        <v>288</v>
      </c>
      <c r="H11" s="1043">
        <f>IF(H$9&gt;$C$7,"",SUMIF($E$18:$E307,"Actual (t)",H$18:H307))</f>
        <v>926</v>
      </c>
      <c r="I11" s="1135">
        <f>IF(I$9&gt;$C$7,"",SUMIF($E$18:$E307,"Actual (t)",I$18:I307))</f>
        <v>879</v>
      </c>
      <c r="J11" s="1135">
        <f>IF(J$9&gt;$C$7,"",SUMIF($E$18:$E307,"Actual (t)",J$18:J307))</f>
        <v>965</v>
      </c>
      <c r="K11" s="1135">
        <f>IF(K$9&gt;$C$7,"",SUMIF($E$18:$E307,"Actual (t)",K$18:K307))</f>
        <v>977</v>
      </c>
      <c r="L11" s="1135">
        <f>IF(L$9&gt;$C$7,"",SUMIF($E$18:$E307,"Actual (t)",L$18:L307))</f>
        <v>979</v>
      </c>
      <c r="M11" s="1135">
        <f>IF(M$9&gt;$C$7,"",SUMIF($E$18:$E307,"Actual (t)",M$18:M307))</f>
        <v>987</v>
      </c>
      <c r="N11" s="1135" t="str">
        <f>IF(N$9&gt;$C$7,"",SUMIF($E$18:$E307,"Actual (t)",N$18:N307))</f>
        <v/>
      </c>
      <c r="O11" s="1135" t="str">
        <f>IF(O$9&gt;$C$7,"",SUMIF($E$18:$E307,"Actual (t)",O$18:O307))</f>
        <v/>
      </c>
      <c r="P11" s="1135" t="str">
        <f>IF(P$9&gt;$C$7,"",SUMIF($E$18:$E307,"Actual (t)",P$18:P307))</f>
        <v/>
      </c>
      <c r="Q11" s="1135" t="str">
        <f>IF(Q$9&gt;$C$7,"",SUMIF($E$18:$E307,"Actual (t)",Q$18:Q307))</f>
        <v/>
      </c>
      <c r="R11" s="1135" t="str">
        <f>IF(R$9&gt;$C$7,"",SUMIF($E$18:$E307,"Actual (t)",R$18:R307))</f>
        <v/>
      </c>
      <c r="S11" s="1135" t="str">
        <f>IF(S$9&gt;$C$7,"",SUMIF($E$18:$E307,"Actual (t)",S$18:S307))</f>
        <v/>
      </c>
      <c r="T11" s="1135" t="str">
        <f>IF(T$9&gt;$C$7,"",SUMIF($E$18:$E307,"Actual (t)",T$18:T307))</f>
        <v/>
      </c>
      <c r="U11" s="1135" t="str">
        <f>IF(U$9&gt;$C$7,"",SUMIF($E$18:$E307,"Actual (t)",U$18:U307))</f>
        <v/>
      </c>
      <c r="V11" s="1135" t="str">
        <f>IF(V$9&gt;$C$7,"",SUMIF($E$18:$E307,"Actual (t)",V$18:V307))</f>
        <v/>
      </c>
      <c r="W11" s="1135" t="str">
        <f>IF(W$9&gt;$C$7,"",SUMIF($E$18:$E307,"Actual (t)",W$18:W307))</f>
        <v/>
      </c>
      <c r="X11" s="1135" t="str">
        <f>IF(X$9&gt;$C$7,"",SUMIF($E$18:$E307,"Actual (t)",X$18:X307))</f>
        <v/>
      </c>
      <c r="Y11" s="1135" t="str">
        <f>IF(Y$9&gt;$C$7,"",SUMIF($E$18:$E307,"Actual (t)",Y$18:Y307))</f>
        <v/>
      </c>
      <c r="Z11" s="1135" t="str">
        <f>IF(Z$9&gt;$C$7,"",SUMIF($E$18:$E307,"Actual (t)",Z$18:Z307))</f>
        <v/>
      </c>
      <c r="AA11" s="1135" t="str">
        <f>IF(AA$9&gt;$C$7,"",SUMIF($E$18:$E307,"Actual (t)",AA$18:AA307))</f>
        <v/>
      </c>
      <c r="AB11" s="1135" t="str">
        <f>IF(AB$9&gt;$C$7,"",SUMIF($E$18:$E307,"Actual (t)",AB$18:AB307))</f>
        <v/>
      </c>
      <c r="AC11" s="1135" t="str">
        <f>IF(AC$9&gt;$C$7,"",SUMIF($E$18:$E307,"Actual (t)",AC$18:AC307))</f>
        <v/>
      </c>
      <c r="AD11" s="1135" t="str">
        <f>IF(AD$9&gt;$C$7,"",SUMIF($E$18:$E307,"Actual (t)",AD$18:AD307))</f>
        <v/>
      </c>
      <c r="AE11" s="1135" t="str">
        <f>IF(AE$9&gt;$C$7,"",SUMIF($E$18:$E307,"Actual (t)",AE$18:AE307))</f>
        <v/>
      </c>
      <c r="AF11" s="1135" t="str">
        <f>IF(AF$9&gt;$C$7,"",SUMIF($E$18:$E307,"Actual (t)",AF$18:AF307))</f>
        <v/>
      </c>
      <c r="AG11" s="1135" t="str">
        <f>IF(AG$9&gt;$C$7,"",SUMIF($E$18:$E307,"Actual (t)",AG$18:AG307))</f>
        <v/>
      </c>
      <c r="AH11" s="1135" t="str">
        <f>IF(AH$9&gt;$C$7,"",SUMIF($E$18:$E307,"Actual (t)",AH$18:AH307))</f>
        <v/>
      </c>
      <c r="AI11" s="1135" t="str">
        <f>IF(AI$9&gt;$C$7,"",SUMIF($E$18:$E307,"Actual (t)",AI$18:AI307))</f>
        <v/>
      </c>
      <c r="AJ11" s="1135" t="str">
        <f>IF(AJ$9&gt;$C$7,"",SUMIF($E$18:$E307,"Actual (t)",AJ$18:AJ307))</f>
        <v/>
      </c>
      <c r="AK11" s="1135" t="str">
        <f>IF(AK$9&gt;$C$7,"",SUMIF($E$18:$E307,"Actual (t)",AK$18:AK307))</f>
        <v/>
      </c>
      <c r="AL11" s="1136" t="str">
        <f>IF(AL$9&gt;$C$7,"",SUMIF($E$18:$E307,"Actual (t)",AL$18:AL307))</f>
        <v/>
      </c>
    </row>
    <row r="12" spans="2:38" s="105" customFormat="1" ht="14.4" thickBot="1">
      <c r="B12" s="1035" t="s">
        <v>29</v>
      </c>
      <c r="C12" s="1048">
        <f>SUM(H14:AL14)</f>
        <v>12.319836448598128</v>
      </c>
      <c r="D12" s="1100">
        <f>SUM(H15:AL15)</f>
        <v>16.704610000000002</v>
      </c>
      <c r="E12" s="1137">
        <f t="shared" si="0"/>
        <v>0.35591166893297654</v>
      </c>
      <c r="G12" s="198" t="s">
        <v>289</v>
      </c>
      <c r="H12" s="106">
        <f t="shared" ref="H12" si="1">IFERROR(H14*1000/H10,"")</f>
        <v>2.2563803019410491</v>
      </c>
      <c r="I12" s="107">
        <f t="shared" ref="I12:AL12" si="2">IFERROR(I14*1000/I10,"")</f>
        <v>2.2563803019410491</v>
      </c>
      <c r="J12" s="107">
        <f t="shared" si="2"/>
        <v>2.2563803019410491</v>
      </c>
      <c r="K12" s="107">
        <f t="shared" si="2"/>
        <v>2.2563803019410491</v>
      </c>
      <c r="L12" s="107">
        <f t="shared" si="2"/>
        <v>2.2563803019410491</v>
      </c>
      <c r="M12" s="107">
        <f t="shared" si="2"/>
        <v>2.2563803019410491</v>
      </c>
      <c r="N12" s="107" t="str">
        <f t="shared" si="2"/>
        <v/>
      </c>
      <c r="O12" s="107" t="str">
        <f t="shared" si="2"/>
        <v/>
      </c>
      <c r="P12" s="107" t="str">
        <f t="shared" si="2"/>
        <v/>
      </c>
      <c r="Q12" s="154" t="str">
        <f t="shared" si="2"/>
        <v/>
      </c>
      <c r="R12" s="154" t="str">
        <f t="shared" si="2"/>
        <v/>
      </c>
      <c r="S12" s="107" t="str">
        <f t="shared" si="2"/>
        <v/>
      </c>
      <c r="T12" s="107" t="str">
        <f t="shared" si="2"/>
        <v/>
      </c>
      <c r="U12" s="107" t="str">
        <f t="shared" ref="U12:AK12" si="3">IFERROR(U14*1000/U10,"")</f>
        <v/>
      </c>
      <c r="V12" s="107" t="str">
        <f t="shared" si="3"/>
        <v/>
      </c>
      <c r="W12" s="107" t="str">
        <f t="shared" si="3"/>
        <v/>
      </c>
      <c r="X12" s="107" t="str">
        <f t="shared" si="3"/>
        <v/>
      </c>
      <c r="Y12" s="107" t="str">
        <f t="shared" si="3"/>
        <v/>
      </c>
      <c r="Z12" s="107" t="str">
        <f t="shared" si="3"/>
        <v/>
      </c>
      <c r="AA12" s="107" t="str">
        <f t="shared" si="3"/>
        <v/>
      </c>
      <c r="AB12" s="107" t="str">
        <f t="shared" si="3"/>
        <v/>
      </c>
      <c r="AC12" s="107" t="str">
        <f t="shared" si="3"/>
        <v/>
      </c>
      <c r="AD12" s="107" t="str">
        <f t="shared" si="3"/>
        <v/>
      </c>
      <c r="AE12" s="107" t="str">
        <f t="shared" si="3"/>
        <v/>
      </c>
      <c r="AF12" s="107" t="str">
        <f t="shared" si="3"/>
        <v/>
      </c>
      <c r="AG12" s="107" t="str">
        <f t="shared" si="3"/>
        <v/>
      </c>
      <c r="AH12" s="107" t="str">
        <f t="shared" si="3"/>
        <v/>
      </c>
      <c r="AI12" s="107" t="str">
        <f t="shared" si="3"/>
        <v/>
      </c>
      <c r="AJ12" s="107" t="str">
        <f t="shared" si="3"/>
        <v/>
      </c>
      <c r="AK12" s="107" t="str">
        <f t="shared" si="3"/>
        <v/>
      </c>
      <c r="AL12" s="108" t="str">
        <f t="shared" si="2"/>
        <v/>
      </c>
    </row>
    <row r="13" spans="2:38" s="109" customFormat="1" ht="14.4" thickBot="1">
      <c r="E13" s="155"/>
      <c r="G13" s="197" t="s">
        <v>290</v>
      </c>
      <c r="H13" s="1138">
        <f>IFERROR(H15*1000/H11,"")</f>
        <v>3.5549352051835856</v>
      </c>
      <c r="I13" s="1139">
        <f t="shared" ref="I13:AL13" si="4">IFERROR(I15*1000/I11,"")</f>
        <v>3.330409556313993</v>
      </c>
      <c r="J13" s="1139">
        <f>IFERROR(J15*1000/J11,"")</f>
        <v>2.9583834196891199</v>
      </c>
      <c r="K13" s="1139">
        <f t="shared" si="4"/>
        <v>3.4357523029682699</v>
      </c>
      <c r="L13" s="1139">
        <f t="shared" si="4"/>
        <v>1.5281716036772217</v>
      </c>
      <c r="M13" s="1139">
        <f t="shared" si="4"/>
        <v>2.8142451874366765</v>
      </c>
      <c r="N13" s="1139" t="str">
        <f t="shared" si="4"/>
        <v/>
      </c>
      <c r="O13" s="1139" t="str">
        <f t="shared" si="4"/>
        <v/>
      </c>
      <c r="P13" s="1139" t="str">
        <f t="shared" si="4"/>
        <v/>
      </c>
      <c r="Q13" s="1139" t="str">
        <f t="shared" si="4"/>
        <v/>
      </c>
      <c r="R13" s="1139" t="str">
        <f t="shared" si="4"/>
        <v/>
      </c>
      <c r="S13" s="1139" t="str">
        <f t="shared" si="4"/>
        <v/>
      </c>
      <c r="T13" s="1139" t="str">
        <f t="shared" si="4"/>
        <v/>
      </c>
      <c r="U13" s="1139" t="str">
        <f t="shared" ref="U13:AK13" si="5">IFERROR(U15*1000/U11,"")</f>
        <v/>
      </c>
      <c r="V13" s="1139" t="str">
        <f t="shared" si="5"/>
        <v/>
      </c>
      <c r="W13" s="1139" t="str">
        <f t="shared" si="5"/>
        <v/>
      </c>
      <c r="X13" s="1139" t="str">
        <f t="shared" si="5"/>
        <v/>
      </c>
      <c r="Y13" s="1139" t="str">
        <f t="shared" si="5"/>
        <v/>
      </c>
      <c r="Z13" s="1139" t="str">
        <f t="shared" si="5"/>
        <v/>
      </c>
      <c r="AA13" s="1139" t="str">
        <f t="shared" si="5"/>
        <v/>
      </c>
      <c r="AB13" s="1139" t="str">
        <f t="shared" si="5"/>
        <v/>
      </c>
      <c r="AC13" s="1139" t="str">
        <f t="shared" si="5"/>
        <v/>
      </c>
      <c r="AD13" s="1139" t="str">
        <f>IFERROR(AD15*1000/AD11,"")</f>
        <v/>
      </c>
      <c r="AE13" s="1139" t="str">
        <f t="shared" si="5"/>
        <v/>
      </c>
      <c r="AF13" s="1139" t="str">
        <f t="shared" si="5"/>
        <v/>
      </c>
      <c r="AG13" s="1139" t="str">
        <f t="shared" si="5"/>
        <v/>
      </c>
      <c r="AH13" s="1139" t="str">
        <f t="shared" si="5"/>
        <v/>
      </c>
      <c r="AI13" s="1139" t="str">
        <f t="shared" si="5"/>
        <v/>
      </c>
      <c r="AJ13" s="1139" t="str">
        <f t="shared" si="5"/>
        <v/>
      </c>
      <c r="AK13" s="1139" t="str">
        <f t="shared" si="5"/>
        <v/>
      </c>
      <c r="AL13" s="1140" t="str">
        <f t="shared" si="4"/>
        <v/>
      </c>
    </row>
    <row r="14" spans="2:38" s="110" customFormat="1">
      <c r="G14" s="199" t="s">
        <v>291</v>
      </c>
      <c r="H14" s="111">
        <f>IF(H$9&gt;$C$7,"",SUMIF($E$18:$E307,"Budget (kg)",H$18:H307))</f>
        <v>2.053306074766355</v>
      </c>
      <c r="I14" s="112">
        <f>IF(I$9&gt;$C$7,"",SUMIF($E$18:$E307,"Budget (kg)",I$18:I307))</f>
        <v>2.053306074766355</v>
      </c>
      <c r="J14" s="112">
        <f>IF(J$9&gt;$C$7,"",SUMIF($E$18:$E307,"Budget (kg)",J$18:J307))</f>
        <v>2.053306074766355</v>
      </c>
      <c r="K14" s="112">
        <f>IF(K$9&gt;$C$7,"",SUMIF($E$18:$E307,"Budget (kg)",K$18:K307))</f>
        <v>2.053306074766355</v>
      </c>
      <c r="L14" s="112">
        <f>IF(L$9&gt;$C$7,"",SUMIF($E$18:$E307,"Budget (kg)",L$18:L307))</f>
        <v>2.053306074766355</v>
      </c>
      <c r="M14" s="112">
        <f>IF(M$9&gt;$C$7,"",SUMIF($E$18:$E307,"Budget (kg)",M$18:M307))</f>
        <v>2.053306074766355</v>
      </c>
      <c r="N14" s="112" t="str">
        <f>IF(N$9&gt;$C$7,"",SUMIF($E$18:$E307,"Budget (kg)",N$18:N307))</f>
        <v/>
      </c>
      <c r="O14" s="112" t="str">
        <f>IF(O$9&gt;$C$7,"",SUMIF($E$18:$E307,"Budget (kg)",O$18:O307))</f>
        <v/>
      </c>
      <c r="P14" s="112" t="str">
        <f>IF(P$9&gt;$C$7,"",SUMIF($E$18:$E307,"Budget (kg)",P$18:P307))</f>
        <v/>
      </c>
      <c r="Q14" s="156" t="str">
        <f>IF(Q$9&gt;$C$7,"",SUMIF($E$18:$E307,"Budget (kg)",Q$18:Q307))</f>
        <v/>
      </c>
      <c r="R14" s="156" t="str">
        <f>IF(R$9&gt;$C$7,"",SUMIF($E$18:$E307,"Budget (kg)",R$18:R307))</f>
        <v/>
      </c>
      <c r="S14" s="112" t="str">
        <f>IF(S$9&gt;$C$7,"",SUMIF($E$18:$E307,"Budget (kg)",S$18:S307))</f>
        <v/>
      </c>
      <c r="T14" s="112" t="str">
        <f>IF(T$9&gt;$C$7,"",SUMIF($E$18:$E307,"Budget (kg)",T$18:T307))</f>
        <v/>
      </c>
      <c r="U14" s="112" t="str">
        <f>IF(U$9&gt;$C$7,"",SUMIF($E$18:$E307,"Budget (kg)",U$18:U307))</f>
        <v/>
      </c>
      <c r="V14" s="112" t="str">
        <f>IF(V$9&gt;$C$7,"",SUMIF($E$18:$E307,"Budget (kg)",V$18:V307))</f>
        <v/>
      </c>
      <c r="W14" s="112" t="str">
        <f>IF(W$9&gt;$C$7,"",SUMIF($E$18:$E307,"Budget (kg)",W$18:W307))</f>
        <v/>
      </c>
      <c r="X14" s="112" t="str">
        <f>IF(X$9&gt;$C$7,"",SUMIF($E$18:$E307,"Budget (kg)",X$18:X307))</f>
        <v/>
      </c>
      <c r="Y14" s="112" t="str">
        <f>IF(Y$9&gt;$C$7,"",SUMIF($E$18:$E307,"Budget (kg)",Y$18:Y307))</f>
        <v/>
      </c>
      <c r="Z14" s="112" t="str">
        <f>IF(Z$9&gt;$C$7,"",SUMIF($E$18:$E307,"Budget (kg)",Z$18:Z307))</f>
        <v/>
      </c>
      <c r="AA14" s="112" t="str">
        <f>IF(AA$9&gt;$C$7,"",SUMIF($E$18:$E307,"Budget (kg)",AA$18:AA307))</f>
        <v/>
      </c>
      <c r="AB14" s="112" t="str">
        <f>IF(AB$9&gt;$C$7,"",SUMIF($E$18:$E307,"Budget (kg)",AB$18:AB307))</f>
        <v/>
      </c>
      <c r="AC14" s="112" t="str">
        <f>IF(AC$9&gt;$C$7,"",SUMIF($E$18:$E307,"Budget (kg)",AC$18:AC307))</f>
        <v/>
      </c>
      <c r="AD14" s="112" t="str">
        <f>IF(AD$9&gt;$C$7,"",SUMIF($E$18:$E307,"Budget (kg)",AD$18:AD307))</f>
        <v/>
      </c>
      <c r="AE14" s="112" t="str">
        <f>IF(AE$9&gt;$C$7,"",SUMIF($E$18:$E307,"Budget (kg)",AE$18:AE307))</f>
        <v/>
      </c>
      <c r="AF14" s="112" t="str">
        <f>IF(AF$9&gt;$C$7,"",SUMIF($E$18:$E307,"Budget (kg)",AF$18:AF307))</f>
        <v/>
      </c>
      <c r="AG14" s="112" t="str">
        <f>IF(AG$9&gt;$C$7,"",SUMIF($E$18:$E307,"Budget (kg)",AG$18:AG307))</f>
        <v/>
      </c>
      <c r="AH14" s="112" t="str">
        <f>IF(AH$9&gt;$C$7,"",SUMIF($E$18:$E307,"Budget (kg)",AH$18:AH307))</f>
        <v/>
      </c>
      <c r="AI14" s="112" t="str">
        <f>IF(AI$9&gt;$C$7,"",SUMIF($E$18:$E307,"Budget (kg)",AI$18:AI307))</f>
        <v/>
      </c>
      <c r="AJ14" s="112" t="str">
        <f>IF(AJ$9&gt;$C$7,"",SUMIF($E$18:$E307,"Budget (kg)",AJ$18:AJ307))</f>
        <v/>
      </c>
      <c r="AK14" s="112" t="str">
        <f>IF(AK$9&gt;$C$7,"",SUMIF($E$18:$E307,"Budget (kg)",AK$18:AK307))</f>
        <v/>
      </c>
      <c r="AL14" s="113" t="str">
        <f>IF(AL$9&gt;$C$7,"",SUMIF($E$18:$E307,"Budget (kg)",AL$18:AL307))</f>
        <v/>
      </c>
    </row>
    <row r="15" spans="2:38" s="109" customFormat="1" ht="14.4" thickBot="1">
      <c r="G15" s="196" t="s">
        <v>292</v>
      </c>
      <c r="H15" s="1528">
        <f>IF(H$9&gt;$C$7,"",SUMIF($E$18:$E307,"Actual (kg)",H$18:H307))</f>
        <v>3.2918700000000003</v>
      </c>
      <c r="I15" s="1008">
        <f>IF(I$9&gt;$C$7,"",SUMIF($E$18:$E307,"Actual (kg)",I$18:I307))</f>
        <v>2.9274299999999998</v>
      </c>
      <c r="J15" s="1008">
        <f>IF(J$9&gt;$C$7,"",SUMIF($E$18:$E307,"Actual (kg)",J$18:J307))</f>
        <v>2.8548400000000007</v>
      </c>
      <c r="K15" s="1008">
        <f>IF(K$9&gt;$C$7,"",SUMIF($E$18:$E307,"Actual (kg)",K$18:K307))</f>
        <v>3.3567299999999998</v>
      </c>
      <c r="L15" s="1008">
        <f>IF(L$9&gt;$C$7,"",SUMIF($E$18:$E307,"Actual (kg)",L$18:L307))</f>
        <v>1.4960800000000001</v>
      </c>
      <c r="M15" s="1008">
        <f>IF(M$9&gt;$C$7,"",SUMIF($E$18:$E307,"Actual (kg)",M$18:M307))</f>
        <v>2.77766</v>
      </c>
      <c r="N15" s="1008" t="str">
        <f>IF(N$9&gt;$C$7,"",SUMIF($E$18:$E307,"Actual (kg)",N$18:N307))</f>
        <v/>
      </c>
      <c r="O15" s="1008" t="str">
        <f>IF(O$9&gt;$C$7,"",SUMIF($E$18:$E307,"Actual (kg)",O$18:O307))</f>
        <v/>
      </c>
      <c r="P15" s="1008" t="str">
        <f>IF(P$9&gt;$C$7,"",SUMIF($E$18:$E307,"Actual (kg)",P$18:P307))</f>
        <v/>
      </c>
      <c r="Q15" s="1008" t="str">
        <f>IF(Q$9&gt;$C$7,"",SUMIF($E$18:$E307,"Actual (kg)",Q$18:Q307))</f>
        <v/>
      </c>
      <c r="R15" s="1008" t="str">
        <f>IF(R$9&gt;$C$7,"",SUMIF($E$18:$E307,"Actual (kg)",R$18:R307))</f>
        <v/>
      </c>
      <c r="S15" s="1008" t="str">
        <f>IF(S$9&gt;$C$7,"",SUMIF($E$18:$E307,"Actual (kg)",S$18:S307))</f>
        <v/>
      </c>
      <c r="T15" s="1008" t="str">
        <f>IF(T$9&gt;$C$7,"",SUMIF($E$18:$E307,"Actual (kg)",T$18:T307))</f>
        <v/>
      </c>
      <c r="U15" s="1008" t="str">
        <f>IF(U$9&gt;$C$7,"",SUMIF($E$18:$E307,"Actual (kg)",U$18:U307))</f>
        <v/>
      </c>
      <c r="V15" s="1008" t="str">
        <f>IF(V$9&gt;$C$7,"",SUMIF($E$18:$E307,"Actual (kg)",V$18:V307))</f>
        <v/>
      </c>
      <c r="W15" s="1008" t="str">
        <f>IF(W$9&gt;$C$7,"",SUMIF($E$18:$E307,"Actual (kg)",W$18:W307))</f>
        <v/>
      </c>
      <c r="X15" s="1008" t="str">
        <f>IF(X$9&gt;$C$7,"",SUMIF($E$18:$E307,"Actual (kg)",X$18:X307))</f>
        <v/>
      </c>
      <c r="Y15" s="1008" t="str">
        <f>IF(Y$9&gt;$C$7,"",SUMIF($E$18:$E307,"Actual (kg)",Y$18:Y307))</f>
        <v/>
      </c>
      <c r="Z15" s="1008" t="str">
        <f>IF(Z$9&gt;$C$7,"",SUMIF($E$18:$E307,"Actual (kg)",Z$18:Z307))</f>
        <v/>
      </c>
      <c r="AA15" s="1008" t="str">
        <f>IF(AA$9&gt;$C$7,"",SUMIF($E$18:$E307,"Actual (kg)",AA$18:AA307))</f>
        <v/>
      </c>
      <c r="AB15" s="1008" t="str">
        <f>IF(AB$9&gt;$C$7,"",SUMIF($E$18:$E307,"Actual (kg)",AB$18:AB307))</f>
        <v/>
      </c>
      <c r="AC15" s="1008" t="str">
        <f>IF(AC$9&gt;$C$7,"",SUMIF($E$18:$E307,"Actual (kg)",AC$18:AC307))</f>
        <v/>
      </c>
      <c r="AD15" s="1008" t="str">
        <f>IF(AD$9&gt;$C$7,"",SUMIF($E$18:$E307,"Actual (kg)",AD$18:AD307))</f>
        <v/>
      </c>
      <c r="AE15" s="1008" t="str">
        <f>IF(AE$9&gt;$C$7,"",SUMIF($E$18:$E307,"Actual (kg)",AE$18:AE307))</f>
        <v/>
      </c>
      <c r="AF15" s="1008" t="str">
        <f>IF(AF$9&gt;$C$7,"",SUMIF($E$18:$E307,"Actual (kg)",AF$18:AF307))</f>
        <v/>
      </c>
      <c r="AG15" s="1008" t="str">
        <f>IF(AG$9&gt;$C$7,"",SUMIF($E$18:$E307,"Actual (kg)",AG$18:AG307))</f>
        <v/>
      </c>
      <c r="AH15" s="1008" t="str">
        <f>IF(AH$9&gt;$C$7,"",SUMIF($E$18:$E307,"Actual (kg)",AH$18:AH307))</f>
        <v/>
      </c>
      <c r="AI15" s="1008" t="str">
        <f>IF(AI$9&gt;$C$7,"",SUMIF($E$18:$E307,"Actual (kg)",AI$18:AI307))</f>
        <v/>
      </c>
      <c r="AJ15" s="1008" t="str">
        <f>IF(AJ$9&gt;$C$7,"",SUMIF($E$18:$E307,"Actual (kg)",AJ$18:AJ307))</f>
        <v/>
      </c>
      <c r="AK15" s="1008" t="str">
        <f>IF(AK$9&gt;$C$7,"",SUMIF($E$18:$E307,"Actual (kg)",AK$18:AK307))</f>
        <v/>
      </c>
      <c r="AL15" s="1013" t="str">
        <f>IF(AL$9&gt;$C$7,"",SUMIF($E$18:$E307,"Actual (kg)",AL$18:AL307))</f>
        <v/>
      </c>
    </row>
    <row r="16" spans="2:38" s="302" customFormat="1" ht="14.4" thickBot="1">
      <c r="D16" s="321"/>
      <c r="E16" s="354"/>
      <c r="F16" s="355"/>
      <c r="G16" s="355"/>
      <c r="H16" s="342"/>
      <c r="I16" s="342"/>
      <c r="J16" s="342"/>
    </row>
    <row r="17" spans="1:39" s="389" customFormat="1" ht="14.4" thickBot="1">
      <c r="A17" s="368">
        <f>COUNT(B18:B307)</f>
        <v>16</v>
      </c>
      <c r="B17" s="384" t="s">
        <v>109</v>
      </c>
      <c r="C17" s="385" t="s">
        <v>293</v>
      </c>
      <c r="D17" s="2824"/>
      <c r="E17" s="2824"/>
      <c r="F17" s="369" t="s">
        <v>14</v>
      </c>
      <c r="G17" s="370" t="s">
        <v>220</v>
      </c>
      <c r="H17" s="371">
        <f>SUMMARY!I16</f>
        <v>45870</v>
      </c>
      <c r="I17" s="372">
        <f>SUMMARY!J16</f>
        <v>45871</v>
      </c>
      <c r="J17" s="372">
        <f>SUMMARY!K16</f>
        <v>45872</v>
      </c>
      <c r="K17" s="386">
        <f>SUMMARY!L16</f>
        <v>45873</v>
      </c>
      <c r="L17" s="386">
        <f>SUMMARY!M16</f>
        <v>45874</v>
      </c>
      <c r="M17" s="386">
        <f>SUMMARY!N16</f>
        <v>45875</v>
      </c>
      <c r="N17" s="386">
        <f>SUMMARY!O16</f>
        <v>45876</v>
      </c>
      <c r="O17" s="386">
        <f>SUMMARY!P16</f>
        <v>45877</v>
      </c>
      <c r="P17" s="386">
        <f>SUMMARY!Q16</f>
        <v>45878</v>
      </c>
      <c r="Q17" s="387">
        <f>SUMMARY!R16</f>
        <v>45879</v>
      </c>
      <c r="R17" s="387">
        <f>SUMMARY!S16</f>
        <v>45880</v>
      </c>
      <c r="S17" s="386">
        <f>SUMMARY!T16</f>
        <v>45881</v>
      </c>
      <c r="T17" s="386">
        <f>SUMMARY!U16</f>
        <v>45882</v>
      </c>
      <c r="U17" s="386">
        <f>SUMMARY!V16</f>
        <v>45883</v>
      </c>
      <c r="V17" s="386">
        <f>SUMMARY!W16</f>
        <v>45884</v>
      </c>
      <c r="W17" s="386">
        <f>SUMMARY!X16</f>
        <v>45885</v>
      </c>
      <c r="X17" s="386">
        <f>SUMMARY!Y16</f>
        <v>45886</v>
      </c>
      <c r="Y17" s="386">
        <f>SUMMARY!Z16</f>
        <v>45887</v>
      </c>
      <c r="Z17" s="386">
        <f>SUMMARY!AA16</f>
        <v>45888</v>
      </c>
      <c r="AA17" s="386">
        <f>SUMMARY!AB16</f>
        <v>45889</v>
      </c>
      <c r="AB17" s="386">
        <f>SUMMARY!AC16</f>
        <v>45890</v>
      </c>
      <c r="AC17" s="386">
        <f>SUMMARY!AD16</f>
        <v>45891</v>
      </c>
      <c r="AD17" s="386">
        <f>SUMMARY!AE16</f>
        <v>45892</v>
      </c>
      <c r="AE17" s="386">
        <f>SUMMARY!AF16</f>
        <v>45893</v>
      </c>
      <c r="AF17" s="386">
        <f>SUMMARY!AG16</f>
        <v>45894</v>
      </c>
      <c r="AG17" s="386">
        <f>SUMMARY!AH16</f>
        <v>45895</v>
      </c>
      <c r="AH17" s="386">
        <f>SUMMARY!AI16</f>
        <v>45896</v>
      </c>
      <c r="AI17" s="386">
        <f>SUMMARY!AJ16</f>
        <v>45897</v>
      </c>
      <c r="AJ17" s="386">
        <f>SUMMARY!AK16</f>
        <v>45898</v>
      </c>
      <c r="AK17" s="386">
        <f>SUMMARY!AL16</f>
        <v>45899</v>
      </c>
      <c r="AL17" s="388">
        <f>SUMMARY!AM16</f>
        <v>45900</v>
      </c>
      <c r="AM17" s="374" t="s">
        <v>118</v>
      </c>
    </row>
    <row r="18" spans="1:39" ht="15" hidden="1" customHeight="1" thickBot="1">
      <c r="B18" s="2718">
        <v>1</v>
      </c>
      <c r="C18" s="2815" t="str">
        <f>Breaking.!A9</f>
        <v>1L W28 STOPE</v>
      </c>
      <c r="D18" s="2827" t="s">
        <v>66</v>
      </c>
      <c r="E18" s="145" t="s">
        <v>294</v>
      </c>
      <c r="F18" s="146">
        <f>SUMIF($H$9:$AL$9,"&lt;="&amp;$C$7,H18:AL18)</f>
        <v>0</v>
      </c>
      <c r="G18" s="81"/>
      <c r="H18" s="1398">
        <f>Breaking.!D9</f>
        <v>0</v>
      </c>
      <c r="I18" s="1398">
        <f>Breaking.!E9</f>
        <v>0</v>
      </c>
      <c r="J18" s="1398">
        <f>Breaking.!F9</f>
        <v>0</v>
      </c>
      <c r="K18" s="1398">
        <f>Breaking.!G9</f>
        <v>0</v>
      </c>
      <c r="L18" s="1398">
        <f>Breaking.!H9</f>
        <v>0</v>
      </c>
      <c r="M18" s="1398">
        <f>Breaking.!I9</f>
        <v>0</v>
      </c>
      <c r="N18" s="1398">
        <f>Breaking.!J9</f>
        <v>0</v>
      </c>
      <c r="O18" s="1398">
        <f>Breaking.!K9</f>
        <v>0</v>
      </c>
      <c r="P18" s="1398">
        <f>Breaking.!L9</f>
        <v>0</v>
      </c>
      <c r="Q18" s="1398">
        <f>Breaking.!M9</f>
        <v>0</v>
      </c>
      <c r="R18" s="1398">
        <f>Breaking.!N9</f>
        <v>0</v>
      </c>
      <c r="S18" s="1398">
        <f>Breaking.!O9</f>
        <v>0</v>
      </c>
      <c r="T18" s="1398">
        <f>Breaking.!P9</f>
        <v>0</v>
      </c>
      <c r="U18" s="1398">
        <f>Breaking.!Q9</f>
        <v>0</v>
      </c>
      <c r="V18" s="1398">
        <f>Breaking.!R9</f>
        <v>0</v>
      </c>
      <c r="W18" s="1398">
        <f>Breaking.!S9</f>
        <v>0</v>
      </c>
      <c r="X18" s="1398">
        <f>Breaking.!T9</f>
        <v>0</v>
      </c>
      <c r="Y18" s="1398">
        <f>Breaking.!U9</f>
        <v>0</v>
      </c>
      <c r="Z18" s="1398">
        <f>Breaking.!V9</f>
        <v>0</v>
      </c>
      <c r="AA18" s="1398">
        <f>Breaking.!W9</f>
        <v>0</v>
      </c>
      <c r="AB18" s="1398">
        <f>Breaking.!X9</f>
        <v>0</v>
      </c>
      <c r="AC18" s="1398">
        <f>Breaking.!Y9</f>
        <v>0</v>
      </c>
      <c r="AD18" s="1398">
        <f>Breaking.!Z9</f>
        <v>0</v>
      </c>
      <c r="AE18" s="1398">
        <f>Breaking.!AA9</f>
        <v>0</v>
      </c>
      <c r="AF18" s="1398">
        <f>Breaking.!AB9</f>
        <v>0</v>
      </c>
      <c r="AG18" s="1398">
        <f>Breaking.!AC9</f>
        <v>0</v>
      </c>
      <c r="AH18" s="1398">
        <f>Breaking.!AD9</f>
        <v>0</v>
      </c>
      <c r="AI18" s="1398">
        <f>Breaking.!AE9</f>
        <v>0</v>
      </c>
      <c r="AJ18" s="1398">
        <f>Breaking.!AF9</f>
        <v>0</v>
      </c>
      <c r="AK18" s="1398">
        <f>Breaking.!AG9</f>
        <v>0</v>
      </c>
      <c r="AL18" s="1398">
        <f>Breaking.!AH9</f>
        <v>0</v>
      </c>
      <c r="AM18" s="150"/>
    </row>
    <row r="19" spans="1:39" ht="14.85" hidden="1" customHeight="1" thickBot="1">
      <c r="B19" s="2718"/>
      <c r="C19" s="2816"/>
      <c r="D19" s="2843"/>
      <c r="E19" s="1141" t="s">
        <v>295</v>
      </c>
      <c r="F19" s="1095">
        <f>SUMIF($H$9:$AL$9,"&lt;="&amp;$C$7,H19:AL19)</f>
        <v>0</v>
      </c>
      <c r="G19" s="1142">
        <f t="shared" ref="G19" si="6">IFERROR((F19-F18)/F18,0)</f>
        <v>0</v>
      </c>
      <c r="H19" s="1143"/>
      <c r="I19" s="1095"/>
      <c r="J19" s="1095"/>
      <c r="K19" s="1095"/>
      <c r="L19" s="1095"/>
      <c r="M19" s="1095"/>
      <c r="N19" s="1095"/>
      <c r="O19" s="1095"/>
      <c r="P19" s="1095"/>
      <c r="Q19" s="1095"/>
      <c r="R19" s="1095"/>
      <c r="S19" s="1095"/>
      <c r="T19" s="1095"/>
      <c r="U19" s="1095"/>
      <c r="V19" s="1095"/>
      <c r="W19" s="1095"/>
      <c r="X19" s="1095"/>
      <c r="Y19" s="1095"/>
      <c r="Z19" s="1095"/>
      <c r="AA19" s="1095"/>
      <c r="AB19" s="1095"/>
      <c r="AC19" s="1095"/>
      <c r="AD19" s="1095"/>
      <c r="AE19" s="1095"/>
      <c r="AF19" s="1095"/>
      <c r="AG19" s="1095"/>
      <c r="AH19" s="1095"/>
      <c r="AI19" s="1095"/>
      <c r="AJ19" s="1095"/>
      <c r="AK19" s="1095"/>
      <c r="AL19" s="1095"/>
      <c r="AM19" s="95"/>
    </row>
    <row r="20" spans="1:39" s="169" customFormat="1" ht="14.85" hidden="1" customHeight="1" thickBot="1">
      <c r="B20" s="2718"/>
      <c r="C20" s="2816"/>
      <c r="D20" s="2843"/>
      <c r="E20" s="1144" t="s">
        <v>199</v>
      </c>
      <c r="F20" s="1145"/>
      <c r="G20" s="1146"/>
      <c r="H20" s="151"/>
      <c r="I20" s="151"/>
      <c r="J20" s="151"/>
      <c r="K20" s="151"/>
      <c r="L20" s="151"/>
      <c r="M20" s="151"/>
      <c r="N20" s="151"/>
      <c r="O20" s="151"/>
      <c r="P20" s="170"/>
      <c r="Q20" s="151"/>
      <c r="R20" s="151"/>
      <c r="S20" s="151"/>
      <c r="T20" s="151"/>
      <c r="U20" s="151"/>
      <c r="V20" s="151"/>
      <c r="W20" s="151"/>
      <c r="X20" s="151"/>
      <c r="Y20" s="151"/>
      <c r="Z20" s="151"/>
      <c r="AA20" s="151"/>
      <c r="AB20" s="151"/>
      <c r="AC20" s="151"/>
      <c r="AD20" s="151"/>
      <c r="AE20" s="151"/>
      <c r="AF20" s="151"/>
      <c r="AG20" s="151"/>
      <c r="AH20" s="151"/>
      <c r="AI20" s="151"/>
      <c r="AJ20" s="151"/>
      <c r="AK20" s="151"/>
      <c r="AL20" s="171"/>
      <c r="AM20" s="172"/>
    </row>
    <row r="21" spans="1:39" ht="14.85" hidden="1" customHeight="1" thickBot="1">
      <c r="B21" s="2718"/>
      <c r="C21" s="2816"/>
      <c r="D21" s="2828" t="s">
        <v>68</v>
      </c>
      <c r="E21" s="1147" t="s">
        <v>296</v>
      </c>
      <c r="F21" s="1148">
        <f>IFERROR(F23*1000/F18,0)</f>
        <v>0</v>
      </c>
      <c r="G21" s="1149"/>
      <c r="H21" s="1150">
        <f>Breaking.!D10</f>
        <v>0</v>
      </c>
      <c r="I21" s="1150">
        <f>Breaking.!E10</f>
        <v>0</v>
      </c>
      <c r="J21" s="1150">
        <f>Breaking.!F10</f>
        <v>0</v>
      </c>
      <c r="K21" s="1150">
        <f>Breaking.!G10</f>
        <v>0</v>
      </c>
      <c r="L21" s="1150">
        <f>Breaking.!H10</f>
        <v>0</v>
      </c>
      <c r="M21" s="1150">
        <f>Breaking.!I10</f>
        <v>0</v>
      </c>
      <c r="N21" s="1150">
        <f>Breaking.!J10</f>
        <v>0</v>
      </c>
      <c r="O21" s="1150">
        <f>Breaking.!K10</f>
        <v>0</v>
      </c>
      <c r="P21" s="1150">
        <f>Breaking.!L10</f>
        <v>0</v>
      </c>
      <c r="Q21" s="1150">
        <f>Breaking.!M10</f>
        <v>0</v>
      </c>
      <c r="R21" s="1150">
        <f>Breaking.!N10</f>
        <v>0</v>
      </c>
      <c r="S21" s="1150">
        <f>Breaking.!O10</f>
        <v>0</v>
      </c>
      <c r="T21" s="1150">
        <f>Breaking.!P10</f>
        <v>0</v>
      </c>
      <c r="U21" s="1150">
        <f>Breaking.!Q10</f>
        <v>0</v>
      </c>
      <c r="V21" s="1150">
        <f>Breaking.!R10</f>
        <v>0</v>
      </c>
      <c r="W21" s="1150">
        <f>Breaking.!S10</f>
        <v>0</v>
      </c>
      <c r="X21" s="1150">
        <f>Breaking.!T10</f>
        <v>0</v>
      </c>
      <c r="Y21" s="1150">
        <f>Breaking.!U10</f>
        <v>0</v>
      </c>
      <c r="Z21" s="1150">
        <f>Breaking.!V10</f>
        <v>0</v>
      </c>
      <c r="AA21" s="1150">
        <f>Breaking.!W10</f>
        <v>0</v>
      </c>
      <c r="AB21" s="1150">
        <f>Breaking.!X10</f>
        <v>0</v>
      </c>
      <c r="AC21" s="1150">
        <f>Breaking.!Y10</f>
        <v>0</v>
      </c>
      <c r="AD21" s="1150">
        <f>Breaking.!Z10</f>
        <v>0</v>
      </c>
      <c r="AE21" s="1150">
        <f>Breaking.!AA10</f>
        <v>0</v>
      </c>
      <c r="AF21" s="1150">
        <f>Breaking.!AB10</f>
        <v>0</v>
      </c>
      <c r="AG21" s="1150">
        <f>Breaking.!AC10</f>
        <v>0</v>
      </c>
      <c r="AH21" s="1150">
        <f>Breaking.!AD10</f>
        <v>0</v>
      </c>
      <c r="AI21" s="1150">
        <f>Breaking.!AE10</f>
        <v>0</v>
      </c>
      <c r="AJ21" s="1150">
        <f>Breaking.!AF10</f>
        <v>0</v>
      </c>
      <c r="AK21" s="1150">
        <f>Breaking.!AG10</f>
        <v>0</v>
      </c>
      <c r="AL21" s="1150">
        <f>Breaking.!AH10</f>
        <v>0</v>
      </c>
      <c r="AM21" s="95"/>
    </row>
    <row r="22" spans="1:39" ht="14.85" hidden="1" customHeight="1" thickBot="1">
      <c r="B22" s="2718"/>
      <c r="C22" s="2816"/>
      <c r="D22" s="2828"/>
      <c r="E22" s="1151" t="s">
        <v>297</v>
      </c>
      <c r="F22" s="1152">
        <f>IFERROR(F24*1000/F19,0)</f>
        <v>0</v>
      </c>
      <c r="G22" s="1142">
        <f t="shared" ref="G22" si="7">IFERROR((F22-F21)/F21,0)</f>
        <v>0</v>
      </c>
      <c r="H22" s="1153"/>
      <c r="I22" s="1152"/>
      <c r="J22" s="1152"/>
      <c r="K22" s="1152"/>
      <c r="L22" s="1152"/>
      <c r="M22" s="1152"/>
      <c r="N22" s="1152"/>
      <c r="O22" s="1152"/>
      <c r="P22" s="1152"/>
      <c r="Q22" s="1152"/>
      <c r="R22" s="1152"/>
      <c r="S22" s="1152"/>
      <c r="T22" s="1152"/>
      <c r="U22" s="1152"/>
      <c r="V22" s="1152"/>
      <c r="W22" s="1152"/>
      <c r="X22" s="1152"/>
      <c r="Y22" s="1152"/>
      <c r="Z22" s="1152"/>
      <c r="AA22" s="1152"/>
      <c r="AB22" s="1152"/>
      <c r="AC22" s="1152"/>
      <c r="AD22" s="1152"/>
      <c r="AE22" s="1152"/>
      <c r="AF22" s="1152"/>
      <c r="AG22" s="1152"/>
      <c r="AH22" s="1152"/>
      <c r="AI22" s="1152"/>
      <c r="AJ22" s="1152"/>
      <c r="AK22" s="1152"/>
      <c r="AL22" s="1152"/>
      <c r="AM22" s="95"/>
    </row>
    <row r="23" spans="1:39" ht="14.85" hidden="1" customHeight="1" thickBot="1">
      <c r="B23" s="2718"/>
      <c r="C23" s="2816"/>
      <c r="D23" s="2828" t="s">
        <v>70</v>
      </c>
      <c r="E23" s="1147" t="s">
        <v>298</v>
      </c>
      <c r="F23" s="96">
        <f>SUMIF($H$9:$AL$9,"&lt;="&amp;$C$7,H23:AL23)</f>
        <v>0</v>
      </c>
      <c r="G23" s="1149"/>
      <c r="H23" s="1154">
        <f t="shared" ref="H23:H24" si="8">+H21*H18/1000</f>
        <v>0</v>
      </c>
      <c r="I23" s="1154">
        <f t="shared" ref="I23:AL23" si="9">+I21*I18/1000</f>
        <v>0</v>
      </c>
      <c r="J23" s="1154">
        <f t="shared" si="9"/>
        <v>0</v>
      </c>
      <c r="K23" s="1155">
        <f t="shared" si="9"/>
        <v>0</v>
      </c>
      <c r="L23" s="1155">
        <f t="shared" si="9"/>
        <v>0</v>
      </c>
      <c r="M23" s="1155">
        <f t="shared" ref="M23:Q24" si="10">+M21*M18/1000</f>
        <v>0</v>
      </c>
      <c r="N23" s="1155">
        <f>+N21*N18/1000</f>
        <v>0</v>
      </c>
      <c r="O23" s="1155">
        <f t="shared" si="10"/>
        <v>0</v>
      </c>
      <c r="P23" s="1156">
        <f t="shared" si="10"/>
        <v>0</v>
      </c>
      <c r="Q23" s="1155">
        <f t="shared" si="10"/>
        <v>0</v>
      </c>
      <c r="R23" s="1155">
        <f t="shared" si="9"/>
        <v>0</v>
      </c>
      <c r="S23" s="1155">
        <f t="shared" si="9"/>
        <v>0</v>
      </c>
      <c r="T23" s="1155">
        <f t="shared" si="9"/>
        <v>0</v>
      </c>
      <c r="U23" s="1155">
        <f t="shared" si="9"/>
        <v>0</v>
      </c>
      <c r="V23" s="1155">
        <f t="shared" si="9"/>
        <v>0</v>
      </c>
      <c r="W23" s="1155">
        <f>+W21*W18/1000</f>
        <v>0</v>
      </c>
      <c r="X23" s="1155">
        <f t="shared" si="9"/>
        <v>0</v>
      </c>
      <c r="Y23" s="1155">
        <f t="shared" si="9"/>
        <v>0</v>
      </c>
      <c r="Z23" s="1155">
        <f t="shared" si="9"/>
        <v>0</v>
      </c>
      <c r="AA23" s="1155">
        <f t="shared" si="9"/>
        <v>0</v>
      </c>
      <c r="AB23" s="1155">
        <f t="shared" si="9"/>
        <v>0</v>
      </c>
      <c r="AC23" s="1155">
        <f t="shared" si="9"/>
        <v>0</v>
      </c>
      <c r="AD23" s="1155">
        <f t="shared" si="9"/>
        <v>0</v>
      </c>
      <c r="AE23" s="1155">
        <f t="shared" si="9"/>
        <v>0</v>
      </c>
      <c r="AF23" s="1155">
        <f t="shared" si="9"/>
        <v>0</v>
      </c>
      <c r="AG23" s="1155">
        <f t="shared" si="9"/>
        <v>0</v>
      </c>
      <c r="AH23" s="1155">
        <f t="shared" si="9"/>
        <v>0</v>
      </c>
      <c r="AI23" s="1155">
        <f t="shared" si="9"/>
        <v>0</v>
      </c>
      <c r="AJ23" s="1155">
        <f t="shared" si="9"/>
        <v>0</v>
      </c>
      <c r="AK23" s="1155">
        <f t="shared" si="9"/>
        <v>0</v>
      </c>
      <c r="AL23" s="1157">
        <f t="shared" si="9"/>
        <v>0</v>
      </c>
      <c r="AM23" s="97"/>
    </row>
    <row r="24" spans="1:39" ht="15" hidden="1" customHeight="1" thickBot="1">
      <c r="B24" s="2831"/>
      <c r="C24" s="2817"/>
      <c r="D24" s="2829"/>
      <c r="E24" s="1049" t="s">
        <v>299</v>
      </c>
      <c r="F24" s="1004">
        <f>SUMIF($H$9:$AL$9,"&lt;="&amp;$C$7,H24:AL24)</f>
        <v>0</v>
      </c>
      <c r="G24" s="1105">
        <f t="shared" ref="G24" si="11">IFERROR((F24-F23)/F23,0)</f>
        <v>0</v>
      </c>
      <c r="H24" s="1158">
        <f t="shared" si="8"/>
        <v>0</v>
      </c>
      <c r="I24" s="1004">
        <f t="shared" ref="I24:AL24" si="12">+I22*I19/1000</f>
        <v>0</v>
      </c>
      <c r="J24" s="1004">
        <f t="shared" si="12"/>
        <v>0</v>
      </c>
      <c r="K24" s="1004">
        <f t="shared" si="12"/>
        <v>0</v>
      </c>
      <c r="L24" s="1004">
        <f t="shared" si="12"/>
        <v>0</v>
      </c>
      <c r="M24" s="1004">
        <f t="shared" si="10"/>
        <v>0</v>
      </c>
      <c r="N24" s="1004">
        <f t="shared" si="10"/>
        <v>0</v>
      </c>
      <c r="O24" s="1004">
        <f t="shared" si="10"/>
        <v>0</v>
      </c>
      <c r="P24" s="1004">
        <f t="shared" si="10"/>
        <v>0</v>
      </c>
      <c r="Q24" s="1004">
        <f t="shared" si="10"/>
        <v>0</v>
      </c>
      <c r="R24" s="1004">
        <f t="shared" si="12"/>
        <v>0</v>
      </c>
      <c r="S24" s="1004">
        <f t="shared" si="12"/>
        <v>0</v>
      </c>
      <c r="T24" s="1004">
        <f t="shared" si="12"/>
        <v>0</v>
      </c>
      <c r="U24" s="1004">
        <f t="shared" si="12"/>
        <v>0</v>
      </c>
      <c r="V24" s="1004">
        <f>+V22*V19/1000</f>
        <v>0</v>
      </c>
      <c r="W24" s="1004">
        <f>+W22*W19/1000</f>
        <v>0</v>
      </c>
      <c r="X24" s="1004">
        <f>+X22*X19/1000</f>
        <v>0</v>
      </c>
      <c r="Y24" s="1004">
        <f t="shared" si="12"/>
        <v>0</v>
      </c>
      <c r="Z24" s="1004">
        <f t="shared" si="12"/>
        <v>0</v>
      </c>
      <c r="AA24" s="1004">
        <f>+AA22*AA19/1000</f>
        <v>0</v>
      </c>
      <c r="AB24" s="1004">
        <f>+AB22*AB19/1000</f>
        <v>0</v>
      </c>
      <c r="AC24" s="1004">
        <f>+AC22*AC19/1000</f>
        <v>0</v>
      </c>
      <c r="AD24" s="1004">
        <f t="shared" si="12"/>
        <v>0</v>
      </c>
      <c r="AE24" s="1004">
        <f t="shared" si="12"/>
        <v>0</v>
      </c>
      <c r="AF24" s="1004">
        <f t="shared" si="12"/>
        <v>0</v>
      </c>
      <c r="AG24" s="1004">
        <f t="shared" si="12"/>
        <v>0</v>
      </c>
      <c r="AH24" s="1004">
        <f t="shared" si="12"/>
        <v>0</v>
      </c>
      <c r="AI24" s="1004">
        <f t="shared" si="12"/>
        <v>0</v>
      </c>
      <c r="AJ24" s="1004">
        <f t="shared" si="12"/>
        <v>0</v>
      </c>
      <c r="AK24" s="1004">
        <f t="shared" si="12"/>
        <v>0</v>
      </c>
      <c r="AL24" s="1004">
        <f t="shared" si="12"/>
        <v>0</v>
      </c>
      <c r="AM24" s="98"/>
    </row>
    <row r="25" spans="1:39" ht="14.4" thickBot="1">
      <c r="B25" s="2718">
        <v>1</v>
      </c>
      <c r="C25" s="2815" t="str">
        <f>Breaking.!A13</f>
        <v>3L_W23A STOPE</v>
      </c>
      <c r="D25" s="2827" t="s">
        <v>66</v>
      </c>
      <c r="E25" s="145" t="s">
        <v>294</v>
      </c>
      <c r="F25" s="146">
        <f>SUMIF($H$9:$AL$9,"&lt;="&amp;$C$7,H25:AL25)</f>
        <v>210</v>
      </c>
      <c r="G25" s="81"/>
      <c r="H25" s="147">
        <f>Breaking.!D13</f>
        <v>35</v>
      </c>
      <c r="I25" s="147">
        <f>Breaking.!E13</f>
        <v>35</v>
      </c>
      <c r="J25" s="147">
        <f>Breaking.!F13</f>
        <v>35</v>
      </c>
      <c r="K25" s="147">
        <f>Breaking.!G13</f>
        <v>35</v>
      </c>
      <c r="L25" s="147">
        <f>Breaking.!H13</f>
        <v>35</v>
      </c>
      <c r="M25" s="147">
        <f>Breaking.!I13</f>
        <v>35</v>
      </c>
      <c r="N25" s="147">
        <f>Breaking.!J13</f>
        <v>35</v>
      </c>
      <c r="O25" s="147">
        <f>Breaking.!K13</f>
        <v>35</v>
      </c>
      <c r="P25" s="147">
        <f>Breaking.!L13</f>
        <v>35</v>
      </c>
      <c r="Q25" s="147">
        <f>Breaking.!M13</f>
        <v>35</v>
      </c>
      <c r="R25" s="147">
        <f>Breaking.!N13</f>
        <v>0</v>
      </c>
      <c r="S25" s="147">
        <f>Breaking.!O13</f>
        <v>0</v>
      </c>
      <c r="T25" s="147">
        <f>Breaking.!P13</f>
        <v>35</v>
      </c>
      <c r="U25" s="147">
        <f>Breaking.!Q13</f>
        <v>35</v>
      </c>
      <c r="V25" s="147">
        <f>Breaking.!R13</f>
        <v>0</v>
      </c>
      <c r="W25" s="147">
        <f>Breaking.!S13</f>
        <v>0</v>
      </c>
      <c r="X25" s="147">
        <f>Breaking.!T13</f>
        <v>0</v>
      </c>
      <c r="Y25" s="147">
        <f>Breaking.!U13</f>
        <v>0</v>
      </c>
      <c r="Z25" s="147">
        <f>Breaking.!V13</f>
        <v>0</v>
      </c>
      <c r="AA25" s="147">
        <f>Breaking.!W13</f>
        <v>0</v>
      </c>
      <c r="AB25" s="147">
        <f>Breaking.!X13</f>
        <v>0</v>
      </c>
      <c r="AC25" s="147">
        <f>Breaking.!Y13</f>
        <v>140</v>
      </c>
      <c r="AD25" s="147">
        <f>Breaking.!Z13</f>
        <v>140</v>
      </c>
      <c r="AE25" s="147">
        <f>Breaking.!AA13</f>
        <v>140</v>
      </c>
      <c r="AF25" s="147">
        <f>Breaking.!AB13</f>
        <v>140</v>
      </c>
      <c r="AG25" s="147">
        <f>Breaking.!AC13</f>
        <v>140</v>
      </c>
      <c r="AH25" s="147">
        <f>Breaking.!AD13</f>
        <v>140</v>
      </c>
      <c r="AI25" s="147">
        <f>Breaking.!AE13</f>
        <v>140</v>
      </c>
      <c r="AJ25" s="147">
        <f>Breaking.!AF13</f>
        <v>140</v>
      </c>
      <c r="AK25" s="147">
        <f>Breaking.!AG13</f>
        <v>140</v>
      </c>
      <c r="AL25" s="147">
        <f>Breaking.!AH13</f>
        <v>140</v>
      </c>
      <c r="AM25" s="150"/>
    </row>
    <row r="26" spans="1:39" ht="14.85" customHeight="1" thickBot="1">
      <c r="B26" s="2718"/>
      <c r="C26" s="2816"/>
      <c r="D26" s="2843"/>
      <c r="E26" s="1141" t="s">
        <v>295</v>
      </c>
      <c r="F26" s="1095">
        <f>SUMIF($H$9:$AL$9,"&lt;="&amp;$C$7,H26:AL26)</f>
        <v>201</v>
      </c>
      <c r="G26" s="1142">
        <f>IFERROR((F26-F25)/F25,0)</f>
        <v>-4.2857142857142858E-2</v>
      </c>
      <c r="H26" s="1143">
        <v>44</v>
      </c>
      <c r="I26" s="1095">
        <v>39</v>
      </c>
      <c r="J26" s="1095">
        <v>40</v>
      </c>
      <c r="K26" s="1095">
        <v>39</v>
      </c>
      <c r="L26" s="1095">
        <v>39</v>
      </c>
      <c r="M26" s="1095"/>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95"/>
    </row>
    <row r="27" spans="1:39" s="169" customFormat="1" ht="14.85" customHeight="1" thickBot="1">
      <c r="B27" s="2718"/>
      <c r="C27" s="2816"/>
      <c r="D27" s="2843"/>
      <c r="E27" s="1144" t="s">
        <v>199</v>
      </c>
      <c r="F27" s="1145"/>
      <c r="G27" s="1146"/>
      <c r="H27" s="151"/>
      <c r="I27" s="151"/>
      <c r="J27" s="151"/>
      <c r="K27" s="151"/>
      <c r="L27" s="151"/>
      <c r="M27" s="151"/>
      <c r="N27" s="151"/>
      <c r="O27" s="151"/>
      <c r="P27" s="170"/>
      <c r="Q27" s="151"/>
      <c r="R27" s="151"/>
      <c r="S27" s="151"/>
      <c r="T27" s="151"/>
      <c r="U27" s="151"/>
      <c r="V27" s="151"/>
      <c r="W27" s="151"/>
      <c r="X27" s="151"/>
      <c r="Y27" s="151"/>
      <c r="Z27" s="151"/>
      <c r="AA27" s="151"/>
      <c r="AB27" s="151"/>
      <c r="AC27" s="151"/>
      <c r="AD27" s="151"/>
      <c r="AE27" s="151"/>
      <c r="AF27" s="151"/>
      <c r="AG27" s="151"/>
      <c r="AH27" s="151"/>
      <c r="AI27" s="151"/>
      <c r="AJ27" s="151"/>
      <c r="AK27" s="151"/>
      <c r="AL27" s="171"/>
      <c r="AM27" s="172"/>
    </row>
    <row r="28" spans="1:39" ht="14.85" customHeight="1" thickBot="1">
      <c r="B28" s="2718"/>
      <c r="C28" s="2816"/>
      <c r="D28" s="2828" t="s">
        <v>68</v>
      </c>
      <c r="E28" s="1147" t="s">
        <v>296</v>
      </c>
      <c r="F28" s="1148">
        <f>IFERROR(F30*1000/F25,0)</f>
        <v>1.9859813084112146</v>
      </c>
      <c r="G28" s="1149"/>
      <c r="H28" s="1150">
        <f>Breaking.!D14</f>
        <v>1.9859813084112148</v>
      </c>
      <c r="I28" s="1150">
        <f>Breaking.!E14</f>
        <v>1.9859813084112148</v>
      </c>
      <c r="J28" s="1150">
        <f>Breaking.!F14</f>
        <v>1.9859813084112148</v>
      </c>
      <c r="K28" s="1150">
        <f>Breaking.!G14</f>
        <v>1.9859813084112148</v>
      </c>
      <c r="L28" s="1150">
        <f>Breaking.!H14</f>
        <v>1.9859813084112148</v>
      </c>
      <c r="M28" s="1150">
        <f>Breaking.!I14</f>
        <v>1.9859813084112148</v>
      </c>
      <c r="N28" s="1150">
        <f>Breaking.!J14</f>
        <v>1.9859813084112148</v>
      </c>
      <c r="O28" s="1150">
        <f>Breaking.!K14</f>
        <v>1.9859813084112148</v>
      </c>
      <c r="P28" s="1150">
        <f>Breaking.!L14</f>
        <v>1.9859813084112148</v>
      </c>
      <c r="Q28" s="1150">
        <f>Breaking.!M14</f>
        <v>1.9859813084112148</v>
      </c>
      <c r="R28" s="1150">
        <f>Breaking.!N14</f>
        <v>0</v>
      </c>
      <c r="S28" s="1150">
        <f>Breaking.!O14</f>
        <v>0</v>
      </c>
      <c r="T28" s="1150">
        <f>Breaking.!P14</f>
        <v>1.9859813084112148</v>
      </c>
      <c r="U28" s="1150">
        <f>Breaking.!Q14</f>
        <v>1.9859813084112148</v>
      </c>
      <c r="V28" s="1150">
        <f>Breaking.!R14</f>
        <v>1.9859813084112148</v>
      </c>
      <c r="W28" s="1150">
        <f>Breaking.!S14</f>
        <v>1.9859813084112148</v>
      </c>
      <c r="X28" s="1150">
        <f>Breaking.!T14</f>
        <v>1.9859813084112148</v>
      </c>
      <c r="Y28" s="1150">
        <f>Breaking.!U14</f>
        <v>1.9859813084112148</v>
      </c>
      <c r="Z28" s="1150">
        <f>Breaking.!V14</f>
        <v>1.9859813084112148</v>
      </c>
      <c r="AA28" s="1150">
        <f>Breaking.!W14</f>
        <v>1.9859813084112148</v>
      </c>
      <c r="AB28" s="1150">
        <f>Breaking.!X14</f>
        <v>1.9859813084112148</v>
      </c>
      <c r="AC28" s="1150">
        <f>Breaking.!Y14</f>
        <v>1.9859813084112148</v>
      </c>
      <c r="AD28" s="1150">
        <f>Breaking.!Z14</f>
        <v>1.9859813084112148</v>
      </c>
      <c r="AE28" s="1150">
        <f>Breaking.!AA14</f>
        <v>1.9859813084112148</v>
      </c>
      <c r="AF28" s="1150">
        <f>Breaking.!AB14</f>
        <v>1.9859813084112148</v>
      </c>
      <c r="AG28" s="1150">
        <f>Breaking.!AC14</f>
        <v>1.9859813084112148</v>
      </c>
      <c r="AH28" s="1150">
        <f>Breaking.!AD14</f>
        <v>1.9859813084112148</v>
      </c>
      <c r="AI28" s="1150">
        <f>Breaking.!AE14</f>
        <v>1.9859813084112148</v>
      </c>
      <c r="AJ28" s="1150">
        <f>Breaking.!AF14</f>
        <v>1.9859813084112148</v>
      </c>
      <c r="AK28" s="1150">
        <f>Breaking.!AG14</f>
        <v>1.9859813084112148</v>
      </c>
      <c r="AL28" s="1150">
        <f>Breaking.!AH14</f>
        <v>1.9859813084112148</v>
      </c>
      <c r="AM28" s="95"/>
    </row>
    <row r="29" spans="1:39" ht="14.85" customHeight="1" thickBot="1">
      <c r="B29" s="2718"/>
      <c r="C29" s="2816"/>
      <c r="D29" s="2828"/>
      <c r="E29" s="1151" t="s">
        <v>297</v>
      </c>
      <c r="F29" s="1152">
        <f>IFERROR(F31*1000/F26,0)</f>
        <v>1.1742786069651743</v>
      </c>
      <c r="G29" s="1142">
        <f>IFERROR((F29-F28)/F28,0)</f>
        <v>-0.40871618378694741</v>
      </c>
      <c r="H29" s="1153">
        <v>1.02</v>
      </c>
      <c r="I29" s="1152">
        <v>1.61</v>
      </c>
      <c r="J29" s="1152">
        <v>1.61</v>
      </c>
      <c r="K29" s="1152">
        <v>1.36</v>
      </c>
      <c r="L29" s="1152">
        <v>0.28000000000000003</v>
      </c>
      <c r="M29" s="1152"/>
      <c r="N29" s="1152"/>
      <c r="O29" s="1152"/>
      <c r="P29" s="1152"/>
      <c r="Q29" s="1152"/>
      <c r="R29" s="1152"/>
      <c r="S29" s="1152"/>
      <c r="T29" s="1152"/>
      <c r="U29" s="1152"/>
      <c r="V29" s="1152"/>
      <c r="W29" s="1152"/>
      <c r="X29" s="1152"/>
      <c r="Y29" s="1152"/>
      <c r="Z29" s="1152"/>
      <c r="AA29" s="1152"/>
      <c r="AB29" s="1152"/>
      <c r="AC29" s="1152"/>
      <c r="AD29" s="1152"/>
      <c r="AE29" s="1152"/>
      <c r="AF29" s="1152"/>
      <c r="AG29" s="1152"/>
      <c r="AH29" s="1152"/>
      <c r="AI29" s="1152"/>
      <c r="AJ29" s="1152"/>
      <c r="AK29" s="1152"/>
      <c r="AL29" s="1152"/>
      <c r="AM29" s="95"/>
    </row>
    <row r="30" spans="1:39" ht="14.85" customHeight="1" thickBot="1">
      <c r="B30" s="2718"/>
      <c r="C30" s="2816"/>
      <c r="D30" s="2828" t="s">
        <v>70</v>
      </c>
      <c r="E30" s="1147" t="s">
        <v>298</v>
      </c>
      <c r="F30" s="96">
        <f>SUMIF($H$9:$AL$9,"&lt;="&amp;$C$7,H30:AL30)</f>
        <v>0.41705607476635503</v>
      </c>
      <c r="G30" s="1149"/>
      <c r="H30" s="1154">
        <f t="shared" ref="H30" si="13">+H28*H25/1000</f>
        <v>6.950934579439251E-2</v>
      </c>
      <c r="I30" s="1154">
        <f t="shared" ref="I30:AL30" si="14">+I28*I25/1000</f>
        <v>6.950934579439251E-2</v>
      </c>
      <c r="J30" s="1154">
        <f t="shared" si="14"/>
        <v>6.950934579439251E-2</v>
      </c>
      <c r="K30" s="1155">
        <f t="shared" si="14"/>
        <v>6.950934579439251E-2</v>
      </c>
      <c r="L30" s="1155">
        <f t="shared" si="14"/>
        <v>6.950934579439251E-2</v>
      </c>
      <c r="M30" s="1155">
        <f t="shared" ref="M30:Q31" si="15">+M28*M25/1000</f>
        <v>6.950934579439251E-2</v>
      </c>
      <c r="N30" s="1155">
        <f t="shared" si="15"/>
        <v>6.950934579439251E-2</v>
      </c>
      <c r="O30" s="1155">
        <f t="shared" si="15"/>
        <v>6.950934579439251E-2</v>
      </c>
      <c r="P30" s="1156">
        <f t="shared" si="15"/>
        <v>6.950934579439251E-2</v>
      </c>
      <c r="Q30" s="1155">
        <f t="shared" si="15"/>
        <v>6.950934579439251E-2</v>
      </c>
      <c r="R30" s="1155">
        <f t="shared" si="14"/>
        <v>0</v>
      </c>
      <c r="S30" s="1155">
        <f t="shared" si="14"/>
        <v>0</v>
      </c>
      <c r="T30" s="1155">
        <f t="shared" si="14"/>
        <v>6.950934579439251E-2</v>
      </c>
      <c r="U30" s="1155">
        <f t="shared" si="14"/>
        <v>6.950934579439251E-2</v>
      </c>
      <c r="V30" s="1155">
        <f t="shared" si="14"/>
        <v>0</v>
      </c>
      <c r="W30" s="1155">
        <f>+W28*W25/1000</f>
        <v>0</v>
      </c>
      <c r="X30" s="1155">
        <f t="shared" si="14"/>
        <v>0</v>
      </c>
      <c r="Y30" s="1155">
        <f t="shared" si="14"/>
        <v>0</v>
      </c>
      <c r="Z30" s="1155">
        <f t="shared" si="14"/>
        <v>0</v>
      </c>
      <c r="AA30" s="1155">
        <f t="shared" si="14"/>
        <v>0</v>
      </c>
      <c r="AB30" s="1155">
        <f t="shared" si="14"/>
        <v>0</v>
      </c>
      <c r="AC30" s="1155">
        <f t="shared" si="14"/>
        <v>0.27803738317757004</v>
      </c>
      <c r="AD30" s="1155">
        <f t="shared" si="14"/>
        <v>0.27803738317757004</v>
      </c>
      <c r="AE30" s="1155">
        <f t="shared" si="14"/>
        <v>0.27803738317757004</v>
      </c>
      <c r="AF30" s="1155">
        <f t="shared" si="14"/>
        <v>0.27803738317757004</v>
      </c>
      <c r="AG30" s="1155">
        <f t="shared" si="14"/>
        <v>0.27803738317757004</v>
      </c>
      <c r="AH30" s="1155">
        <f t="shared" si="14"/>
        <v>0.27803738317757004</v>
      </c>
      <c r="AI30" s="1155">
        <f t="shared" si="14"/>
        <v>0.27803738317757004</v>
      </c>
      <c r="AJ30" s="1155">
        <f t="shared" si="14"/>
        <v>0.27803738317757004</v>
      </c>
      <c r="AK30" s="1155">
        <f t="shared" si="14"/>
        <v>0.27803738317757004</v>
      </c>
      <c r="AL30" s="1157">
        <f t="shared" si="14"/>
        <v>0.27803738317757004</v>
      </c>
      <c r="AM30" s="97"/>
    </row>
    <row r="31" spans="1:39" ht="14.4" thickBot="1">
      <c r="B31" s="2831"/>
      <c r="C31" s="2817"/>
      <c r="D31" s="2829"/>
      <c r="E31" s="1049" t="s">
        <v>299</v>
      </c>
      <c r="F31" s="1004">
        <f>SUMIF($H$9:$AL$9,"&lt;="&amp;$C$7,H31:AL31)</f>
        <v>0.23603000000000002</v>
      </c>
      <c r="G31" s="1105">
        <f>IFERROR((F31-F30)/F30,0)</f>
        <v>-0.43405691876750679</v>
      </c>
      <c r="H31" s="1158">
        <f t="shared" ref="H31" si="16">+H29*H26/1000</f>
        <v>4.4880000000000003E-2</v>
      </c>
      <c r="I31" s="1004">
        <f t="shared" ref="I31:AL31" si="17">+I29*I26/1000</f>
        <v>6.2790000000000012E-2</v>
      </c>
      <c r="J31" s="1004">
        <f t="shared" si="17"/>
        <v>6.4399999999999999E-2</v>
      </c>
      <c r="K31" s="1004">
        <f t="shared" si="17"/>
        <v>5.3040000000000004E-2</v>
      </c>
      <c r="L31" s="1004">
        <f t="shared" si="17"/>
        <v>1.0920000000000001E-2</v>
      </c>
      <c r="M31" s="1004">
        <f t="shared" si="15"/>
        <v>0</v>
      </c>
      <c r="N31" s="1004">
        <f t="shared" si="15"/>
        <v>0</v>
      </c>
      <c r="O31" s="1004">
        <f t="shared" si="15"/>
        <v>0</v>
      </c>
      <c r="P31" s="1004">
        <f t="shared" si="15"/>
        <v>0</v>
      </c>
      <c r="Q31" s="1004">
        <f t="shared" si="15"/>
        <v>0</v>
      </c>
      <c r="R31" s="1004">
        <f t="shared" si="17"/>
        <v>0</v>
      </c>
      <c r="S31" s="1004">
        <f t="shared" si="17"/>
        <v>0</v>
      </c>
      <c r="T31" s="1004">
        <f t="shared" si="17"/>
        <v>0</v>
      </c>
      <c r="U31" s="1004">
        <f t="shared" si="17"/>
        <v>0</v>
      </c>
      <c r="V31" s="1004">
        <f t="shared" si="17"/>
        <v>0</v>
      </c>
      <c r="W31" s="1004">
        <f>+W29*W26/1000</f>
        <v>0</v>
      </c>
      <c r="X31" s="1004">
        <f t="shared" si="17"/>
        <v>0</v>
      </c>
      <c r="Y31" s="1004">
        <f t="shared" si="17"/>
        <v>0</v>
      </c>
      <c r="Z31" s="1004">
        <f t="shared" si="17"/>
        <v>0</v>
      </c>
      <c r="AA31" s="1004">
        <f t="shared" si="17"/>
        <v>0</v>
      </c>
      <c r="AB31" s="1004">
        <f t="shared" si="17"/>
        <v>0</v>
      </c>
      <c r="AC31" s="1004">
        <f t="shared" si="17"/>
        <v>0</v>
      </c>
      <c r="AD31" s="1004">
        <f t="shared" si="17"/>
        <v>0</v>
      </c>
      <c r="AE31" s="1004">
        <f t="shared" si="17"/>
        <v>0</v>
      </c>
      <c r="AF31" s="1004">
        <f t="shared" si="17"/>
        <v>0</v>
      </c>
      <c r="AG31" s="1004">
        <f t="shared" si="17"/>
        <v>0</v>
      </c>
      <c r="AH31" s="1004">
        <f t="shared" si="17"/>
        <v>0</v>
      </c>
      <c r="AI31" s="1004">
        <f t="shared" si="17"/>
        <v>0</v>
      </c>
      <c r="AJ31" s="1004">
        <f t="shared" si="17"/>
        <v>0</v>
      </c>
      <c r="AK31" s="1004">
        <f t="shared" si="17"/>
        <v>0</v>
      </c>
      <c r="AL31" s="1004">
        <f t="shared" si="17"/>
        <v>0</v>
      </c>
      <c r="AM31" s="98"/>
    </row>
    <row r="32" spans="1:39" ht="14.4" thickBot="1">
      <c r="B32" s="2718">
        <v>1</v>
      </c>
      <c r="C32" s="2815" t="str">
        <f>Breaking.!A15</f>
        <v>3L_W23B STOPE</v>
      </c>
      <c r="D32" s="2827" t="s">
        <v>66</v>
      </c>
      <c r="E32" s="145" t="s">
        <v>294</v>
      </c>
      <c r="F32" s="146">
        <f>SUMIF($H$9:$AL$9,"&lt;="&amp;$C$7,H32:AL32)</f>
        <v>420</v>
      </c>
      <c r="G32" s="81"/>
      <c r="H32" s="1398">
        <f>Breaking.!D15</f>
        <v>70</v>
      </c>
      <c r="I32" s="1398">
        <f>Breaking.!E15</f>
        <v>70</v>
      </c>
      <c r="J32" s="1398">
        <f>Breaking.!F15</f>
        <v>70</v>
      </c>
      <c r="K32" s="1398">
        <f>Breaking.!G15</f>
        <v>70</v>
      </c>
      <c r="L32" s="1398">
        <f>Breaking.!H15</f>
        <v>70</v>
      </c>
      <c r="M32" s="1398">
        <f>Breaking.!I15</f>
        <v>70</v>
      </c>
      <c r="N32" s="1398">
        <f>Breaking.!J15</f>
        <v>70</v>
      </c>
      <c r="O32" s="1398">
        <f>Breaking.!K15</f>
        <v>70</v>
      </c>
      <c r="P32" s="1398">
        <f>Breaking.!L15</f>
        <v>70</v>
      </c>
      <c r="Q32" s="1398">
        <f>Breaking.!M15</f>
        <v>70</v>
      </c>
      <c r="R32" s="1398">
        <f>Breaking.!N15</f>
        <v>0</v>
      </c>
      <c r="S32" s="1398">
        <f>Breaking.!O15</f>
        <v>0</v>
      </c>
      <c r="T32" s="1398">
        <f>Breaking.!P15</f>
        <v>70</v>
      </c>
      <c r="U32" s="1398">
        <f>Breaking.!Q15</f>
        <v>70</v>
      </c>
      <c r="V32" s="1398">
        <f>Breaking.!R15</f>
        <v>70</v>
      </c>
      <c r="W32" s="1398">
        <f>Breaking.!S15</f>
        <v>70</v>
      </c>
      <c r="X32" s="1398">
        <f>Breaking.!T15</f>
        <v>70</v>
      </c>
      <c r="Y32" s="1398">
        <f>Breaking.!U15</f>
        <v>70</v>
      </c>
      <c r="Z32" s="1398">
        <f>Breaking.!V15</f>
        <v>70</v>
      </c>
      <c r="AA32" s="1398">
        <f>Breaking.!W15</f>
        <v>70</v>
      </c>
      <c r="AB32" s="1398">
        <f>Breaking.!X15</f>
        <v>70</v>
      </c>
      <c r="AC32" s="1398">
        <f>Breaking.!Y15</f>
        <v>70</v>
      </c>
      <c r="AD32" s="1398">
        <f>Breaking.!Z15</f>
        <v>70</v>
      </c>
      <c r="AE32" s="1398">
        <f>Breaking.!AA15</f>
        <v>70</v>
      </c>
      <c r="AF32" s="1398">
        <f>Breaking.!AB15</f>
        <v>70</v>
      </c>
      <c r="AG32" s="1398">
        <f>Breaking.!AC15</f>
        <v>70</v>
      </c>
      <c r="AH32" s="1398">
        <f>Breaking.!AD15</f>
        <v>70</v>
      </c>
      <c r="AI32" s="1398">
        <f>Breaking.!AE15</f>
        <v>70</v>
      </c>
      <c r="AJ32" s="1398">
        <f>Breaking.!AF15</f>
        <v>70</v>
      </c>
      <c r="AK32" s="1398">
        <f>Breaking.!AG15</f>
        <v>70</v>
      </c>
      <c r="AL32" s="1398">
        <f>Breaking.!AH15</f>
        <v>70</v>
      </c>
      <c r="AM32" s="150"/>
    </row>
    <row r="33" spans="2:39" ht="14.4" thickBot="1">
      <c r="B33" s="2718"/>
      <c r="C33" s="2816"/>
      <c r="D33" s="2827"/>
      <c r="E33" s="1141" t="s">
        <v>295</v>
      </c>
      <c r="F33" s="1095">
        <f>SUMIF($H$9:$AL$9,"&lt;="&amp;$C$7,H33:AL33)</f>
        <v>717</v>
      </c>
      <c r="G33" s="1142">
        <f t="shared" ref="G33" si="18">IFERROR((F33-F32)/F32,0)</f>
        <v>0.70714285714285718</v>
      </c>
      <c r="H33" s="1143">
        <v>124</v>
      </c>
      <c r="I33" s="1095">
        <f>40+38+36</f>
        <v>114</v>
      </c>
      <c r="J33" s="1095">
        <f>39+38+37</f>
        <v>114</v>
      </c>
      <c r="K33" s="1095">
        <v>119</v>
      </c>
      <c r="L33" s="1095">
        <f>43+40+40</f>
        <v>123</v>
      </c>
      <c r="M33" s="1095">
        <f>40+43+40</f>
        <v>123</v>
      </c>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5"/>
      <c r="AM33" s="95"/>
    </row>
    <row r="34" spans="2:39" ht="14.4" thickBot="1">
      <c r="B34" s="2718"/>
      <c r="C34" s="2816"/>
      <c r="D34" s="2827"/>
      <c r="E34" s="1159" t="s">
        <v>199</v>
      </c>
      <c r="F34" s="1160"/>
      <c r="G34" s="1161"/>
      <c r="H34" s="151"/>
      <c r="I34" s="151"/>
      <c r="J34" s="151"/>
      <c r="K34" s="151"/>
      <c r="L34" s="151"/>
      <c r="M34" s="151"/>
      <c r="N34" s="151"/>
      <c r="O34" s="151"/>
      <c r="P34" s="170"/>
      <c r="Q34" s="151"/>
      <c r="R34" s="151"/>
      <c r="S34" s="151"/>
      <c r="T34" s="151"/>
      <c r="U34" s="151"/>
      <c r="V34" s="151"/>
      <c r="W34" s="151"/>
      <c r="X34" s="151"/>
      <c r="Y34" s="151"/>
      <c r="Z34" s="151"/>
      <c r="AA34" s="151"/>
      <c r="AB34" s="151"/>
      <c r="AC34" s="151"/>
      <c r="AD34" s="151"/>
      <c r="AE34" s="151"/>
      <c r="AF34" s="151"/>
      <c r="AG34" s="151"/>
      <c r="AH34" s="151"/>
      <c r="AI34" s="151"/>
      <c r="AJ34" s="151"/>
      <c r="AK34" s="151"/>
      <c r="AL34" s="171"/>
      <c r="AM34" s="172"/>
    </row>
    <row r="35" spans="2:39" ht="14.4" thickBot="1">
      <c r="B35" s="2718"/>
      <c r="C35" s="2816"/>
      <c r="D35" s="2828" t="s">
        <v>68</v>
      </c>
      <c r="E35" s="1147" t="s">
        <v>296</v>
      </c>
      <c r="F35" s="1148">
        <f>IFERROR(F37*1000/F32,0)</f>
        <v>1.9859813084112146</v>
      </c>
      <c r="G35" s="1149"/>
      <c r="H35" s="1150">
        <f>Breaking.!D16</f>
        <v>1.9859813084112148</v>
      </c>
      <c r="I35" s="1150">
        <f>Breaking.!E16</f>
        <v>1.9859813084112148</v>
      </c>
      <c r="J35" s="1150">
        <f>Breaking.!F16</f>
        <v>1.9859813084112148</v>
      </c>
      <c r="K35" s="1150">
        <f>Breaking.!G16</f>
        <v>1.9859813084112148</v>
      </c>
      <c r="L35" s="1150">
        <f>Breaking.!H16</f>
        <v>1.9859813084112148</v>
      </c>
      <c r="M35" s="1150">
        <f>Breaking.!I16</f>
        <v>1.9859813084112148</v>
      </c>
      <c r="N35" s="1150">
        <f>Breaking.!J16</f>
        <v>1.9859813084112148</v>
      </c>
      <c r="O35" s="1150">
        <f>Breaking.!K16</f>
        <v>1.9859813084112148</v>
      </c>
      <c r="P35" s="1150">
        <f>Breaking.!L16</f>
        <v>1.9859813084112148</v>
      </c>
      <c r="Q35" s="1150">
        <f>Breaking.!M16</f>
        <v>1.9859813084112148</v>
      </c>
      <c r="R35" s="1150">
        <f>Breaking.!N16</f>
        <v>0</v>
      </c>
      <c r="S35" s="1150">
        <f>Breaking.!O16</f>
        <v>0</v>
      </c>
      <c r="T35" s="1150">
        <f>Breaking.!P16</f>
        <v>1.9859813084112148</v>
      </c>
      <c r="U35" s="1150">
        <f>Breaking.!Q16</f>
        <v>1.9859813084112148</v>
      </c>
      <c r="V35" s="1150">
        <f>Breaking.!R16</f>
        <v>1.9859813084112148</v>
      </c>
      <c r="W35" s="1150">
        <f>Breaking.!S16</f>
        <v>1.9859813084112148</v>
      </c>
      <c r="X35" s="1150">
        <f>Breaking.!T16</f>
        <v>1.9859813084112148</v>
      </c>
      <c r="Y35" s="1150">
        <f>Breaking.!U16</f>
        <v>1.9859813084112148</v>
      </c>
      <c r="Z35" s="1150">
        <f>Breaking.!V16</f>
        <v>1.9859813084112148</v>
      </c>
      <c r="AA35" s="1150">
        <f>Breaking.!W16</f>
        <v>1.9859813084112148</v>
      </c>
      <c r="AB35" s="1150">
        <f>Breaking.!X16</f>
        <v>1.9859813084112148</v>
      </c>
      <c r="AC35" s="1150">
        <f>Breaking.!Y16</f>
        <v>1.9859813084112148</v>
      </c>
      <c r="AD35" s="1150">
        <f>Breaking.!Z16</f>
        <v>1.9859813084112148</v>
      </c>
      <c r="AE35" s="1150">
        <f>Breaking.!AA16</f>
        <v>1.9859813084112148</v>
      </c>
      <c r="AF35" s="1150">
        <f>Breaking.!AB16</f>
        <v>1.9859813084112148</v>
      </c>
      <c r="AG35" s="1150">
        <f>Breaking.!AC16</f>
        <v>1.9859813084112148</v>
      </c>
      <c r="AH35" s="1150">
        <f>Breaking.!AD16</f>
        <v>1.9859813084112148</v>
      </c>
      <c r="AI35" s="1150">
        <f>Breaking.!AE16</f>
        <v>1.9859813084112148</v>
      </c>
      <c r="AJ35" s="1150">
        <f>Breaking.!AF16</f>
        <v>1.9859813084112148</v>
      </c>
      <c r="AK35" s="1150">
        <f>Breaking.!AG16</f>
        <v>1.9859813084112148</v>
      </c>
      <c r="AL35" s="1150">
        <f>Breaking.!AH16</f>
        <v>1.9859813084112148</v>
      </c>
      <c r="AM35" s="95"/>
    </row>
    <row r="36" spans="2:39" ht="14.4" thickBot="1">
      <c r="B36" s="2718"/>
      <c r="C36" s="2816"/>
      <c r="D36" s="2828"/>
      <c r="E36" s="1151" t="s">
        <v>297</v>
      </c>
      <c r="F36" s="1152">
        <f>IFERROR(F38*1000/F33,0)</f>
        <v>2.5611994421199444</v>
      </c>
      <c r="G36" s="1142">
        <f t="shared" ref="G36" si="19">IFERROR((F36-F35)/F35,0)</f>
        <v>0.28963924850274875</v>
      </c>
      <c r="H36" s="1153">
        <v>1.95</v>
      </c>
      <c r="I36" s="1152">
        <v>1.41</v>
      </c>
      <c r="J36" s="1152">
        <v>1.41</v>
      </c>
      <c r="K36" s="1152">
        <v>3.37</v>
      </c>
      <c r="L36" s="1152">
        <v>3.62</v>
      </c>
      <c r="M36" s="1152">
        <v>3.47</v>
      </c>
      <c r="N36" s="1152"/>
      <c r="O36" s="1152"/>
      <c r="P36" s="1152"/>
      <c r="Q36" s="1152"/>
      <c r="R36" s="1152"/>
      <c r="S36" s="1152"/>
      <c r="T36" s="1152"/>
      <c r="U36" s="1152"/>
      <c r="V36" s="1152"/>
      <c r="W36" s="1152"/>
      <c r="X36" s="1152"/>
      <c r="Y36" s="1152"/>
      <c r="Z36" s="1152"/>
      <c r="AA36" s="1152"/>
      <c r="AB36" s="1152"/>
      <c r="AC36" s="1152"/>
      <c r="AD36" s="1152"/>
      <c r="AE36" s="1152"/>
      <c r="AF36" s="1152"/>
      <c r="AG36" s="1152"/>
      <c r="AH36" s="1152"/>
      <c r="AI36" s="1152"/>
      <c r="AJ36" s="1152"/>
      <c r="AK36" s="1152"/>
      <c r="AL36" s="1152"/>
      <c r="AM36" s="95"/>
    </row>
    <row r="37" spans="2:39" ht="14.4" thickBot="1">
      <c r="B37" s="2718"/>
      <c r="C37" s="2816"/>
      <c r="D37" s="2828" t="s">
        <v>70</v>
      </c>
      <c r="E37" s="1147" t="s">
        <v>298</v>
      </c>
      <c r="F37" s="96">
        <f>SUMIF($H$9:$AL$9,"&lt;="&amp;$C$7,H37:AL37)</f>
        <v>0.83411214953271007</v>
      </c>
      <c r="G37" s="1149"/>
      <c r="H37" s="1154">
        <f t="shared" ref="H37:H38" si="20">+H35*H32/1000</f>
        <v>0.13901869158878502</v>
      </c>
      <c r="I37" s="1154">
        <f t="shared" ref="I37:AL37" si="21">+I35*I32/1000</f>
        <v>0.13901869158878502</v>
      </c>
      <c r="J37" s="1154">
        <f t="shared" si="21"/>
        <v>0.13901869158878502</v>
      </c>
      <c r="K37" s="1155">
        <f t="shared" si="21"/>
        <v>0.13901869158878502</v>
      </c>
      <c r="L37" s="1155">
        <f t="shared" si="21"/>
        <v>0.13901869158878502</v>
      </c>
      <c r="M37" s="1155">
        <f t="shared" ref="M37:Q38" si="22">+M35*M32/1000</f>
        <v>0.13901869158878502</v>
      </c>
      <c r="N37" s="1155">
        <f t="shared" si="22"/>
        <v>0.13901869158878502</v>
      </c>
      <c r="O37" s="1155">
        <f t="shared" si="22"/>
        <v>0.13901869158878502</v>
      </c>
      <c r="P37" s="1156">
        <f t="shared" si="22"/>
        <v>0.13901869158878502</v>
      </c>
      <c r="Q37" s="1155">
        <f t="shared" si="22"/>
        <v>0.13901869158878502</v>
      </c>
      <c r="R37" s="1155">
        <f t="shared" si="21"/>
        <v>0</v>
      </c>
      <c r="S37" s="1155">
        <f t="shared" si="21"/>
        <v>0</v>
      </c>
      <c r="T37" s="1155">
        <f t="shared" si="21"/>
        <v>0.13901869158878502</v>
      </c>
      <c r="U37" s="1155">
        <f t="shared" si="21"/>
        <v>0.13901869158878502</v>
      </c>
      <c r="V37" s="1155">
        <f t="shared" si="21"/>
        <v>0.13901869158878502</v>
      </c>
      <c r="W37" s="1155">
        <f>+W35*W32/1000</f>
        <v>0.13901869158878502</v>
      </c>
      <c r="X37" s="1155">
        <f t="shared" si="21"/>
        <v>0.13901869158878502</v>
      </c>
      <c r="Y37" s="1155">
        <f t="shared" si="21"/>
        <v>0.13901869158878502</v>
      </c>
      <c r="Z37" s="1155">
        <f t="shared" si="21"/>
        <v>0.13901869158878502</v>
      </c>
      <c r="AA37" s="1155">
        <f t="shared" si="21"/>
        <v>0.13901869158878502</v>
      </c>
      <c r="AB37" s="1155">
        <f>+AB35*AB32/1000</f>
        <v>0.13901869158878502</v>
      </c>
      <c r="AC37" s="1155">
        <f t="shared" si="21"/>
        <v>0.13901869158878502</v>
      </c>
      <c r="AD37" s="1155">
        <f>+AD35*AD32/1000</f>
        <v>0.13901869158878502</v>
      </c>
      <c r="AE37" s="1155">
        <f t="shared" si="21"/>
        <v>0.13901869158878502</v>
      </c>
      <c r="AF37" s="1155">
        <f t="shared" si="21"/>
        <v>0.13901869158878502</v>
      </c>
      <c r="AG37" s="1155">
        <f t="shared" si="21"/>
        <v>0.13901869158878502</v>
      </c>
      <c r="AH37" s="1155">
        <f t="shared" si="21"/>
        <v>0.13901869158878502</v>
      </c>
      <c r="AI37" s="1155">
        <f t="shared" si="21"/>
        <v>0.13901869158878502</v>
      </c>
      <c r="AJ37" s="1155">
        <f t="shared" si="21"/>
        <v>0.13901869158878502</v>
      </c>
      <c r="AK37" s="1155">
        <f t="shared" si="21"/>
        <v>0.13901869158878502</v>
      </c>
      <c r="AL37" s="1157">
        <f t="shared" si="21"/>
        <v>0.13901869158878502</v>
      </c>
      <c r="AM37" s="97"/>
    </row>
    <row r="38" spans="2:39" ht="14.4" thickBot="1">
      <c r="B38" s="2831"/>
      <c r="C38" s="2817"/>
      <c r="D38" s="2829"/>
      <c r="E38" s="1049" t="s">
        <v>299</v>
      </c>
      <c r="F38" s="1004">
        <f>SUMIF($H$9:$AL$9,"&lt;="&amp;$C$7,H38:AL38)</f>
        <v>1.8363800000000001</v>
      </c>
      <c r="G38" s="1105">
        <f t="shared" ref="G38" si="23">IFERROR((F38-F37)/F37,0)</f>
        <v>1.2015984313725498</v>
      </c>
      <c r="H38" s="1158">
        <f t="shared" si="20"/>
        <v>0.24179999999999999</v>
      </c>
      <c r="I38" s="1004">
        <f t="shared" ref="I38:AL38" si="24">+I36*I33/1000</f>
        <v>0.16073999999999999</v>
      </c>
      <c r="J38" s="1004">
        <f t="shared" si="24"/>
        <v>0.16073999999999999</v>
      </c>
      <c r="K38" s="1004">
        <f t="shared" si="24"/>
        <v>0.40103000000000005</v>
      </c>
      <c r="L38" s="1004">
        <f t="shared" si="24"/>
        <v>0.44525999999999999</v>
      </c>
      <c r="M38" s="1004">
        <f t="shared" si="22"/>
        <v>0.42681000000000002</v>
      </c>
      <c r="N38" s="1004">
        <f t="shared" si="22"/>
        <v>0</v>
      </c>
      <c r="O38" s="1004">
        <f t="shared" si="22"/>
        <v>0</v>
      </c>
      <c r="P38" s="1004">
        <f t="shared" si="22"/>
        <v>0</v>
      </c>
      <c r="Q38" s="1004">
        <f t="shared" si="22"/>
        <v>0</v>
      </c>
      <c r="R38" s="1004">
        <f t="shared" si="24"/>
        <v>0</v>
      </c>
      <c r="S38" s="1004">
        <f t="shared" si="24"/>
        <v>0</v>
      </c>
      <c r="T38" s="1004">
        <f t="shared" si="24"/>
        <v>0</v>
      </c>
      <c r="U38" s="1004">
        <f t="shared" si="24"/>
        <v>0</v>
      </c>
      <c r="V38" s="1004">
        <f t="shared" si="24"/>
        <v>0</v>
      </c>
      <c r="W38" s="1004">
        <f>+W36*W33/1000</f>
        <v>0</v>
      </c>
      <c r="X38" s="1004">
        <f t="shared" si="24"/>
        <v>0</v>
      </c>
      <c r="Y38" s="1004">
        <f t="shared" si="24"/>
        <v>0</v>
      </c>
      <c r="Z38" s="1004">
        <f t="shared" si="24"/>
        <v>0</v>
      </c>
      <c r="AA38" s="1004">
        <f t="shared" si="24"/>
        <v>0</v>
      </c>
      <c r="AB38" s="1004">
        <f t="shared" si="24"/>
        <v>0</v>
      </c>
      <c r="AC38" s="1004">
        <f t="shared" si="24"/>
        <v>0</v>
      </c>
      <c r="AD38" s="1004">
        <f t="shared" si="24"/>
        <v>0</v>
      </c>
      <c r="AE38" s="1004">
        <f t="shared" si="24"/>
        <v>0</v>
      </c>
      <c r="AF38" s="1004">
        <f t="shared" si="24"/>
        <v>0</v>
      </c>
      <c r="AG38" s="1004">
        <f t="shared" si="24"/>
        <v>0</v>
      </c>
      <c r="AH38" s="1004">
        <f t="shared" si="24"/>
        <v>0</v>
      </c>
      <c r="AI38" s="1004">
        <f t="shared" si="24"/>
        <v>0</v>
      </c>
      <c r="AJ38" s="1004">
        <f t="shared" si="24"/>
        <v>0</v>
      </c>
      <c r="AK38" s="1004">
        <f t="shared" si="24"/>
        <v>0</v>
      </c>
      <c r="AL38" s="1004">
        <f t="shared" si="24"/>
        <v>0</v>
      </c>
      <c r="AM38" s="98"/>
    </row>
    <row r="39" spans="2:39" ht="14.4" hidden="1" thickBot="1">
      <c r="B39" s="2718">
        <v>1</v>
      </c>
      <c r="C39" s="2844" t="str">
        <f>Breaking.!A17</f>
        <v>3L_W24B STOPE</v>
      </c>
      <c r="D39" s="2827" t="s">
        <v>66</v>
      </c>
      <c r="E39" s="145" t="s">
        <v>294</v>
      </c>
      <c r="F39" s="146">
        <f>SUMIF($H$9:$AL$9,"&lt;="&amp;$C$7,H39:AL39)</f>
        <v>0</v>
      </c>
      <c r="G39" s="81"/>
      <c r="H39" s="1398">
        <f>Breaking.!D17</f>
        <v>0</v>
      </c>
      <c r="I39" s="1398">
        <f>Breaking.!E17</f>
        <v>0</v>
      </c>
      <c r="J39" s="1398">
        <f>Breaking.!F17</f>
        <v>0</v>
      </c>
      <c r="K39" s="1398">
        <f>Breaking.!G17</f>
        <v>0</v>
      </c>
      <c r="L39" s="1398">
        <f>Breaking.!H17</f>
        <v>0</v>
      </c>
      <c r="M39" s="1398">
        <f>Breaking.!I17</f>
        <v>0</v>
      </c>
      <c r="N39" s="1398">
        <f>Breaking.!J17</f>
        <v>0</v>
      </c>
      <c r="O39" s="1398">
        <f>Breaking.!K17</f>
        <v>0</v>
      </c>
      <c r="P39" s="1398">
        <f>Breaking.!L17</f>
        <v>0</v>
      </c>
      <c r="Q39" s="1398">
        <f>Breaking.!M17</f>
        <v>0</v>
      </c>
      <c r="R39" s="1398">
        <f>Breaking.!N17</f>
        <v>0</v>
      </c>
      <c r="S39" s="1398">
        <f>Breaking.!O17</f>
        <v>0</v>
      </c>
      <c r="T39" s="1398">
        <f>Breaking.!P17</f>
        <v>0</v>
      </c>
      <c r="U39" s="1398">
        <f>Breaking.!Q17</f>
        <v>0</v>
      </c>
      <c r="V39" s="1398">
        <f>Breaking.!R17</f>
        <v>0</v>
      </c>
      <c r="W39" s="1398">
        <f>Breaking.!S17</f>
        <v>0</v>
      </c>
      <c r="X39" s="1398">
        <f>Breaking.!T17</f>
        <v>0</v>
      </c>
      <c r="Y39" s="1398">
        <f>Breaking.!U17</f>
        <v>0</v>
      </c>
      <c r="Z39" s="1398">
        <f>Breaking.!V17</f>
        <v>0</v>
      </c>
      <c r="AA39" s="1398">
        <f>Breaking.!W17</f>
        <v>0</v>
      </c>
      <c r="AB39" s="1398">
        <f>Breaking.!X17</f>
        <v>0</v>
      </c>
      <c r="AC39" s="1398">
        <f>Breaking.!Y17</f>
        <v>0</v>
      </c>
      <c r="AD39" s="1398">
        <f>Breaking.!Z17</f>
        <v>0</v>
      </c>
      <c r="AE39" s="1398">
        <f>Breaking.!AA17</f>
        <v>0</v>
      </c>
      <c r="AF39" s="1398">
        <f>Breaking.!AB17</f>
        <v>0</v>
      </c>
      <c r="AG39" s="1398">
        <f>Breaking.!AC17</f>
        <v>0</v>
      </c>
      <c r="AH39" s="1398">
        <f>Breaking.!AD17</f>
        <v>0</v>
      </c>
      <c r="AI39" s="1398">
        <f>Breaking.!AE17</f>
        <v>0</v>
      </c>
      <c r="AJ39" s="1398">
        <f>Breaking.!AF17</f>
        <v>0</v>
      </c>
      <c r="AK39" s="1398">
        <f>Breaking.!AG17</f>
        <v>0</v>
      </c>
      <c r="AL39" s="1398">
        <f>Breaking.!AH17</f>
        <v>0</v>
      </c>
      <c r="AM39" s="150"/>
    </row>
    <row r="40" spans="2:39" ht="15" hidden="1" customHeight="1" thickBot="1">
      <c r="B40" s="2718"/>
      <c r="C40" s="2845"/>
      <c r="D40" s="2827"/>
      <c r="E40" s="1141" t="s">
        <v>295</v>
      </c>
      <c r="F40" s="1095">
        <f>SUMIF($H$9:$AL$9,"&lt;="&amp;$C$7,H40:AL40)</f>
        <v>0</v>
      </c>
      <c r="G40" s="1142">
        <f t="shared" ref="G40" si="25">IFERROR((F40-F39)/F39,0)</f>
        <v>0</v>
      </c>
      <c r="H40" s="1143"/>
      <c r="I40" s="1095"/>
      <c r="J40" s="1095"/>
      <c r="K40" s="1095"/>
      <c r="L40" s="1095"/>
      <c r="M40" s="1095"/>
      <c r="N40" s="1095"/>
      <c r="O40" s="1095"/>
      <c r="P40" s="1095"/>
      <c r="Q40" s="1095"/>
      <c r="R40" s="1095"/>
      <c r="S40" s="1095"/>
      <c r="T40" s="1095"/>
      <c r="U40" s="1095"/>
      <c r="V40" s="1095"/>
      <c r="W40" s="1095"/>
      <c r="X40" s="1095">
        <v>0</v>
      </c>
      <c r="Y40" s="1095">
        <v>0</v>
      </c>
      <c r="Z40" s="1095">
        <v>0</v>
      </c>
      <c r="AA40" s="1095">
        <v>0</v>
      </c>
      <c r="AB40" s="1095">
        <v>0</v>
      </c>
      <c r="AC40" s="1095">
        <v>0</v>
      </c>
      <c r="AD40" s="1095">
        <v>0</v>
      </c>
      <c r="AE40" s="1095">
        <v>0</v>
      </c>
      <c r="AF40" s="1095">
        <v>0</v>
      </c>
      <c r="AG40" s="1095">
        <v>0</v>
      </c>
      <c r="AH40" s="1095">
        <v>0</v>
      </c>
      <c r="AI40" s="1095">
        <v>0</v>
      </c>
      <c r="AJ40" s="1095">
        <v>0</v>
      </c>
      <c r="AK40" s="1095">
        <v>0</v>
      </c>
      <c r="AL40" s="1095"/>
      <c r="AM40" s="95"/>
    </row>
    <row r="41" spans="2:39" ht="15" hidden="1" customHeight="1" thickBot="1">
      <c r="B41" s="2718"/>
      <c r="C41" s="2845"/>
      <c r="D41" s="2827"/>
      <c r="E41" s="1159" t="s">
        <v>199</v>
      </c>
      <c r="F41" s="1160"/>
      <c r="G41" s="1161"/>
      <c r="H41" s="151"/>
      <c r="I41" s="151"/>
      <c r="J41" s="151"/>
      <c r="K41" s="151"/>
      <c r="L41" s="151"/>
      <c r="M41" s="151"/>
      <c r="N41" s="151"/>
      <c r="O41" s="151"/>
      <c r="P41" s="170"/>
      <c r="Q41" s="151"/>
      <c r="R41" s="151"/>
      <c r="S41" s="151"/>
      <c r="T41" s="151"/>
      <c r="U41" s="151"/>
      <c r="V41" s="151"/>
      <c r="W41" s="151"/>
      <c r="X41" s="151"/>
      <c r="Y41" s="151"/>
      <c r="Z41" s="151"/>
      <c r="AA41" s="151"/>
      <c r="AB41" s="151"/>
      <c r="AC41" s="151"/>
      <c r="AD41" s="151"/>
      <c r="AE41" s="151"/>
      <c r="AF41" s="151"/>
      <c r="AG41" s="151"/>
      <c r="AH41" s="151"/>
      <c r="AI41" s="151"/>
      <c r="AJ41" s="151"/>
      <c r="AK41" s="151"/>
      <c r="AL41" s="171"/>
      <c r="AM41" s="172"/>
    </row>
    <row r="42" spans="2:39" ht="15" hidden="1" customHeight="1" thickBot="1">
      <c r="B42" s="2718"/>
      <c r="C42" s="2845"/>
      <c r="D42" s="2828" t="s">
        <v>68</v>
      </c>
      <c r="E42" s="1147" t="s">
        <v>296</v>
      </c>
      <c r="F42" s="1148">
        <f>IFERROR(F44*1000/F39,0)</f>
        <v>0</v>
      </c>
      <c r="G42" s="1149"/>
      <c r="H42" s="1150">
        <f>Breaking.!D18</f>
        <v>0</v>
      </c>
      <c r="I42" s="1150">
        <f>Breaking.!E18</f>
        <v>0</v>
      </c>
      <c r="J42" s="1150">
        <f>Breaking.!F18</f>
        <v>0</v>
      </c>
      <c r="K42" s="1150">
        <f>Breaking.!G18</f>
        <v>0</v>
      </c>
      <c r="L42" s="1150">
        <f>Breaking.!H18</f>
        <v>0</v>
      </c>
      <c r="M42" s="1150">
        <f>Breaking.!I18</f>
        <v>0</v>
      </c>
      <c r="N42" s="1150">
        <f>Breaking.!J18</f>
        <v>0</v>
      </c>
      <c r="O42" s="1150">
        <f>Breaking.!K18</f>
        <v>0</v>
      </c>
      <c r="P42" s="1150">
        <f>Breaking.!L18</f>
        <v>0</v>
      </c>
      <c r="Q42" s="1150">
        <f>Breaking.!M18</f>
        <v>0</v>
      </c>
      <c r="R42" s="1150">
        <f>Breaking.!N18</f>
        <v>0</v>
      </c>
      <c r="S42" s="1150">
        <f>Breaking.!O18</f>
        <v>0</v>
      </c>
      <c r="T42" s="1150">
        <f>Breaking.!P18</f>
        <v>0</v>
      </c>
      <c r="U42" s="1150">
        <f>Breaking.!Q18</f>
        <v>0</v>
      </c>
      <c r="V42" s="1150">
        <f>Breaking.!R18</f>
        <v>0</v>
      </c>
      <c r="W42" s="1150">
        <f>Breaking.!S18</f>
        <v>0</v>
      </c>
      <c r="X42" s="1150">
        <f>Breaking.!T18</f>
        <v>0</v>
      </c>
      <c r="Y42" s="1150">
        <f>Breaking.!U18</f>
        <v>0</v>
      </c>
      <c r="Z42" s="1150">
        <f>Breaking.!V18</f>
        <v>0</v>
      </c>
      <c r="AA42" s="1150">
        <f>Breaking.!W18</f>
        <v>0</v>
      </c>
      <c r="AB42" s="1150">
        <f>Breaking.!X18</f>
        <v>0</v>
      </c>
      <c r="AC42" s="1150">
        <f>Breaking.!Y18</f>
        <v>0</v>
      </c>
      <c r="AD42" s="1150">
        <f>Breaking.!Z18</f>
        <v>0</v>
      </c>
      <c r="AE42" s="1150">
        <f>Breaking.!AA18</f>
        <v>0</v>
      </c>
      <c r="AF42" s="1150">
        <f>Breaking.!AB18</f>
        <v>0</v>
      </c>
      <c r="AG42" s="1150">
        <f>Breaking.!AC18</f>
        <v>0</v>
      </c>
      <c r="AH42" s="1150">
        <f>Breaking.!AD18</f>
        <v>0</v>
      </c>
      <c r="AI42" s="1150">
        <f>Breaking.!AE18</f>
        <v>0</v>
      </c>
      <c r="AJ42" s="1150">
        <f>Breaking.!AF18</f>
        <v>0</v>
      </c>
      <c r="AK42" s="1150">
        <f>Breaking.!AG18</f>
        <v>0</v>
      </c>
      <c r="AL42" s="1150">
        <f>Breaking.!AH18</f>
        <v>0</v>
      </c>
      <c r="AM42" s="95"/>
    </row>
    <row r="43" spans="2:39" ht="15" hidden="1" customHeight="1" thickBot="1">
      <c r="B43" s="2718"/>
      <c r="C43" s="2845"/>
      <c r="D43" s="2828"/>
      <c r="E43" s="1151" t="s">
        <v>297</v>
      </c>
      <c r="F43" s="1152">
        <f>IFERROR(F45*1000/F40,0)</f>
        <v>0</v>
      </c>
      <c r="G43" s="1142">
        <f t="shared" ref="G43" si="26">IFERROR((F43-F42)/F42,0)</f>
        <v>0</v>
      </c>
      <c r="H43" s="1153"/>
      <c r="I43" s="1152"/>
      <c r="J43" s="1152"/>
      <c r="K43" s="1152"/>
      <c r="L43" s="1152"/>
      <c r="M43" s="1152"/>
      <c r="N43" s="1152"/>
      <c r="O43" s="1152"/>
      <c r="P43" s="1152"/>
      <c r="Q43" s="1152"/>
      <c r="R43" s="1152"/>
      <c r="S43" s="1152"/>
      <c r="T43" s="1152"/>
      <c r="U43" s="1152"/>
      <c r="V43" s="1152"/>
      <c r="W43" s="1152"/>
      <c r="X43" s="1152"/>
      <c r="Y43" s="1152"/>
      <c r="Z43" s="1152"/>
      <c r="AA43" s="1152"/>
      <c r="AB43" s="1152"/>
      <c r="AC43" s="1152"/>
      <c r="AD43" s="1152"/>
      <c r="AE43" s="1152"/>
      <c r="AF43" s="1152"/>
      <c r="AG43" s="1152"/>
      <c r="AH43" s="1152"/>
      <c r="AI43" s="1152"/>
      <c r="AJ43" s="1152"/>
      <c r="AK43" s="1152"/>
      <c r="AL43" s="1152"/>
      <c r="AM43" s="95"/>
    </row>
    <row r="44" spans="2:39" ht="15" hidden="1" customHeight="1" thickBot="1">
      <c r="B44" s="2718"/>
      <c r="C44" s="2845"/>
      <c r="D44" s="2828" t="s">
        <v>70</v>
      </c>
      <c r="E44" s="1147" t="s">
        <v>298</v>
      </c>
      <c r="F44" s="96">
        <f>SUMIF($H$9:$AL$9,"&lt;="&amp;$C$7,H44:AL44)</f>
        <v>0</v>
      </c>
      <c r="G44" s="1149"/>
      <c r="H44" s="1154">
        <f t="shared" ref="H44:AL44" si="27">+H42*H39/1000</f>
        <v>0</v>
      </c>
      <c r="I44" s="1154">
        <f t="shared" si="27"/>
        <v>0</v>
      </c>
      <c r="J44" s="1154">
        <f t="shared" si="27"/>
        <v>0</v>
      </c>
      <c r="K44" s="1155">
        <f t="shared" si="27"/>
        <v>0</v>
      </c>
      <c r="L44" s="1155">
        <f t="shared" si="27"/>
        <v>0</v>
      </c>
      <c r="M44" s="1155">
        <f t="shared" ref="M44:Q45" si="28">+M42*M39/1000</f>
        <v>0</v>
      </c>
      <c r="N44" s="1155">
        <f t="shared" si="28"/>
        <v>0</v>
      </c>
      <c r="O44" s="1155">
        <f t="shared" si="28"/>
        <v>0</v>
      </c>
      <c r="P44" s="1156">
        <f t="shared" si="28"/>
        <v>0</v>
      </c>
      <c r="Q44" s="1155">
        <f t="shared" si="28"/>
        <v>0</v>
      </c>
      <c r="R44" s="1155">
        <f t="shared" si="27"/>
        <v>0</v>
      </c>
      <c r="S44" s="1155">
        <f t="shared" si="27"/>
        <v>0</v>
      </c>
      <c r="T44" s="1155">
        <f t="shared" si="27"/>
        <v>0</v>
      </c>
      <c r="U44" s="1155">
        <f t="shared" si="27"/>
        <v>0</v>
      </c>
      <c r="V44" s="1155">
        <f t="shared" si="27"/>
        <v>0</v>
      </c>
      <c r="W44" s="1155">
        <f t="shared" si="27"/>
        <v>0</v>
      </c>
      <c r="X44" s="1155">
        <f t="shared" si="27"/>
        <v>0</v>
      </c>
      <c r="Y44" s="1155">
        <f t="shared" si="27"/>
        <v>0</v>
      </c>
      <c r="Z44" s="1155">
        <f t="shared" si="27"/>
        <v>0</v>
      </c>
      <c r="AA44" s="1155">
        <f t="shared" si="27"/>
        <v>0</v>
      </c>
      <c r="AB44" s="1155">
        <f t="shared" si="27"/>
        <v>0</v>
      </c>
      <c r="AC44" s="1155">
        <f t="shared" si="27"/>
        <v>0</v>
      </c>
      <c r="AD44" s="1155">
        <f t="shared" si="27"/>
        <v>0</v>
      </c>
      <c r="AE44" s="1155">
        <f t="shared" si="27"/>
        <v>0</v>
      </c>
      <c r="AF44" s="1155">
        <f t="shared" si="27"/>
        <v>0</v>
      </c>
      <c r="AG44" s="1155">
        <f t="shared" si="27"/>
        <v>0</v>
      </c>
      <c r="AH44" s="1155">
        <f t="shared" si="27"/>
        <v>0</v>
      </c>
      <c r="AI44" s="1155">
        <f t="shared" si="27"/>
        <v>0</v>
      </c>
      <c r="AJ44" s="1155">
        <f t="shared" si="27"/>
        <v>0</v>
      </c>
      <c r="AK44" s="1155">
        <f t="shared" si="27"/>
        <v>0</v>
      </c>
      <c r="AL44" s="1157">
        <f t="shared" si="27"/>
        <v>0</v>
      </c>
      <c r="AM44" s="97"/>
    </row>
    <row r="45" spans="2:39" ht="15" hidden="1" customHeight="1" thickBot="1">
      <c r="B45" s="2831"/>
      <c r="C45" s="2846"/>
      <c r="D45" s="2829"/>
      <c r="E45" s="1049" t="s">
        <v>299</v>
      </c>
      <c r="F45" s="1004">
        <f>SUMIF($H$9:$AL$9,"&lt;="&amp;$C$7,H45:AL45)</f>
        <v>0</v>
      </c>
      <c r="G45" s="1105">
        <f t="shared" ref="G45" si="29">IFERROR((F45-F44)/F44,0)</f>
        <v>0</v>
      </c>
      <c r="H45" s="1158">
        <f t="shared" ref="H45" si="30">+H43*H40/1000</f>
        <v>0</v>
      </c>
      <c r="I45" s="1004">
        <f t="shared" ref="I45:AL45" si="31">+I43*I40/1000</f>
        <v>0</v>
      </c>
      <c r="J45" s="1004">
        <f t="shared" si="31"/>
        <v>0</v>
      </c>
      <c r="K45" s="1004">
        <f t="shared" si="31"/>
        <v>0</v>
      </c>
      <c r="L45" s="1004">
        <f t="shared" si="31"/>
        <v>0</v>
      </c>
      <c r="M45" s="1004">
        <f t="shared" si="28"/>
        <v>0</v>
      </c>
      <c r="N45" s="1004">
        <f t="shared" si="28"/>
        <v>0</v>
      </c>
      <c r="O45" s="1004">
        <f t="shared" si="28"/>
        <v>0</v>
      </c>
      <c r="P45" s="1004">
        <f t="shared" si="28"/>
        <v>0</v>
      </c>
      <c r="Q45" s="1004">
        <f t="shared" si="28"/>
        <v>0</v>
      </c>
      <c r="R45" s="1004">
        <f t="shared" si="31"/>
        <v>0</v>
      </c>
      <c r="S45" s="1004">
        <f t="shared" si="31"/>
        <v>0</v>
      </c>
      <c r="T45" s="1004">
        <f t="shared" si="31"/>
        <v>0</v>
      </c>
      <c r="U45" s="1004">
        <f t="shared" si="31"/>
        <v>0</v>
      </c>
      <c r="V45" s="1004">
        <f t="shared" si="31"/>
        <v>0</v>
      </c>
      <c r="W45" s="1004">
        <f>+W43*W40/1000</f>
        <v>0</v>
      </c>
      <c r="X45" s="1004">
        <f t="shared" si="31"/>
        <v>0</v>
      </c>
      <c r="Y45" s="1004">
        <f t="shared" si="31"/>
        <v>0</v>
      </c>
      <c r="Z45" s="1004">
        <f t="shared" si="31"/>
        <v>0</v>
      </c>
      <c r="AA45" s="1004">
        <f t="shared" si="31"/>
        <v>0</v>
      </c>
      <c r="AB45" s="1004">
        <f t="shared" si="31"/>
        <v>0</v>
      </c>
      <c r="AC45" s="1004">
        <f t="shared" si="31"/>
        <v>0</v>
      </c>
      <c r="AD45" s="1004">
        <f t="shared" si="31"/>
        <v>0</v>
      </c>
      <c r="AE45" s="1004">
        <f t="shared" si="31"/>
        <v>0</v>
      </c>
      <c r="AF45" s="1004">
        <f t="shared" si="31"/>
        <v>0</v>
      </c>
      <c r="AG45" s="1004">
        <f t="shared" si="31"/>
        <v>0</v>
      </c>
      <c r="AH45" s="1004">
        <f t="shared" si="31"/>
        <v>0</v>
      </c>
      <c r="AI45" s="1004">
        <f t="shared" si="31"/>
        <v>0</v>
      </c>
      <c r="AJ45" s="1004">
        <f t="shared" si="31"/>
        <v>0</v>
      </c>
      <c r="AK45" s="1004">
        <f t="shared" si="31"/>
        <v>0</v>
      </c>
      <c r="AL45" s="1004">
        <f t="shared" si="31"/>
        <v>0</v>
      </c>
      <c r="AM45" s="98"/>
    </row>
    <row r="46" spans="2:39" ht="14.4" thickBot="1">
      <c r="B46" s="2718">
        <v>1</v>
      </c>
      <c r="C46" s="2815" t="str">
        <f>Breaking.!A47</f>
        <v xml:space="preserve">4L_W26 STOPE </v>
      </c>
      <c r="D46" s="2827" t="s">
        <v>66</v>
      </c>
      <c r="E46" s="145" t="s">
        <v>294</v>
      </c>
      <c r="F46" s="146">
        <f>SUMIF($H$9:$AL$9,"&lt;="&amp;$C$7,H46:AL46)</f>
        <v>420</v>
      </c>
      <c r="G46" s="81"/>
      <c r="H46" s="1398">
        <f>Breaking.!D47</f>
        <v>70</v>
      </c>
      <c r="I46" s="1398">
        <f>Breaking.!E47</f>
        <v>70</v>
      </c>
      <c r="J46" s="1398">
        <f>Breaking.!F47</f>
        <v>70</v>
      </c>
      <c r="K46" s="1398">
        <f>Breaking.!G47</f>
        <v>70</v>
      </c>
      <c r="L46" s="1398">
        <f>Breaking.!H47</f>
        <v>70</v>
      </c>
      <c r="M46" s="1398">
        <f>Breaking.!I47</f>
        <v>70</v>
      </c>
      <c r="N46" s="1398">
        <f>Breaking.!J47</f>
        <v>70</v>
      </c>
      <c r="O46" s="1398">
        <f>Breaking.!K47</f>
        <v>70</v>
      </c>
      <c r="P46" s="1398">
        <f>Breaking.!L47</f>
        <v>70</v>
      </c>
      <c r="Q46" s="1398">
        <f>Breaking.!M47</f>
        <v>70</v>
      </c>
      <c r="R46" s="1398">
        <f>Breaking.!N47</f>
        <v>0</v>
      </c>
      <c r="S46" s="1398">
        <f>Breaking.!O47</f>
        <v>0</v>
      </c>
      <c r="T46" s="1398">
        <f>Breaking.!P47</f>
        <v>70</v>
      </c>
      <c r="U46" s="1398">
        <f>Breaking.!Q47</f>
        <v>70</v>
      </c>
      <c r="V46" s="1398">
        <f>Breaking.!R47</f>
        <v>70</v>
      </c>
      <c r="W46" s="1398">
        <f>Breaking.!S47</f>
        <v>70</v>
      </c>
      <c r="X46" s="1398">
        <f>Breaking.!T47</f>
        <v>70</v>
      </c>
      <c r="Y46" s="1398">
        <f>Breaking.!U47</f>
        <v>70</v>
      </c>
      <c r="Z46" s="1398">
        <f>Breaking.!V47</f>
        <v>70</v>
      </c>
      <c r="AA46" s="1398">
        <f>Breaking.!W47</f>
        <v>70</v>
      </c>
      <c r="AB46" s="1398">
        <f>Breaking.!X47</f>
        <v>70</v>
      </c>
      <c r="AC46" s="1398">
        <f>Breaking.!Y47</f>
        <v>70</v>
      </c>
      <c r="AD46" s="1398">
        <f>Breaking.!Z47</f>
        <v>70</v>
      </c>
      <c r="AE46" s="1398">
        <f>Breaking.!AA47</f>
        <v>70</v>
      </c>
      <c r="AF46" s="1398">
        <f>Breaking.!AB47</f>
        <v>70</v>
      </c>
      <c r="AG46" s="1398">
        <f>Breaking.!AC47</f>
        <v>70</v>
      </c>
      <c r="AH46" s="1398">
        <f>Breaking.!AD47</f>
        <v>70</v>
      </c>
      <c r="AI46" s="1398">
        <f>Breaking.!AE47</f>
        <v>70</v>
      </c>
      <c r="AJ46" s="1398">
        <f>Breaking.!AF47</f>
        <v>70</v>
      </c>
      <c r="AK46" s="1398">
        <f>Breaking.!AG47</f>
        <v>70</v>
      </c>
      <c r="AL46" s="1398">
        <f>Breaking.!AH47</f>
        <v>70</v>
      </c>
      <c r="AM46" s="150"/>
    </row>
    <row r="47" spans="2:39" ht="14.4" thickBot="1">
      <c r="B47" s="2718"/>
      <c r="C47" s="2816"/>
      <c r="D47" s="2827"/>
      <c r="E47" s="1141" t="s">
        <v>295</v>
      </c>
      <c r="F47" s="1095">
        <f>SUMIF($H$9:$AL$9,"&lt;="&amp;$C$7,H47:AL47)</f>
        <v>432</v>
      </c>
      <c r="G47" s="1142">
        <f t="shared" ref="G47" si="32">IFERROR((F47-F46)/F46,0)</f>
        <v>2.8571428571428571E-2</v>
      </c>
      <c r="H47" s="1143">
        <v>42</v>
      </c>
      <c r="I47" s="1095">
        <f>40+35</f>
        <v>75</v>
      </c>
      <c r="J47" s="1095">
        <f>40+36</f>
        <v>76</v>
      </c>
      <c r="K47" s="1095">
        <v>71</v>
      </c>
      <c r="L47" s="1095">
        <f>43+44</f>
        <v>87</v>
      </c>
      <c r="M47" s="1095">
        <f>38+43</f>
        <v>81</v>
      </c>
      <c r="N47" s="1095"/>
      <c r="O47" s="1095"/>
      <c r="P47" s="1095"/>
      <c r="Q47" s="1213"/>
      <c r="R47" s="1095"/>
      <c r="S47" s="1095"/>
      <c r="T47" s="1095"/>
      <c r="U47" s="1095"/>
      <c r="V47" s="1095"/>
      <c r="W47" s="1095"/>
      <c r="X47" s="1095"/>
      <c r="Y47" s="1095"/>
      <c r="Z47" s="1095"/>
      <c r="AA47" s="1095"/>
      <c r="AB47" s="1095"/>
      <c r="AC47" s="1095"/>
      <c r="AD47" s="1095"/>
      <c r="AE47" s="1095"/>
      <c r="AF47" s="1095"/>
      <c r="AG47" s="1095"/>
      <c r="AH47" s="1095"/>
      <c r="AI47" s="1095"/>
      <c r="AJ47" s="1095"/>
      <c r="AK47" s="1095"/>
      <c r="AL47" s="1095"/>
      <c r="AM47" s="95"/>
    </row>
    <row r="48" spans="2:39" ht="14.4" thickBot="1">
      <c r="B48" s="2718"/>
      <c r="C48" s="2816"/>
      <c r="D48" s="2827"/>
      <c r="E48" s="1159" t="s">
        <v>199</v>
      </c>
      <c r="F48" s="1160"/>
      <c r="G48" s="1161"/>
      <c r="H48" s="151"/>
      <c r="I48" s="151"/>
      <c r="J48" s="151"/>
      <c r="K48" s="151"/>
      <c r="L48" s="151"/>
      <c r="M48" s="151"/>
      <c r="N48" s="151"/>
      <c r="O48" s="151"/>
      <c r="P48" s="170"/>
      <c r="Q48" s="151"/>
      <c r="R48" s="151"/>
      <c r="S48" s="151"/>
      <c r="T48" s="151"/>
      <c r="U48" s="151"/>
      <c r="V48" s="151"/>
      <c r="W48" s="151" t="s">
        <v>195</v>
      </c>
      <c r="X48" s="151"/>
      <c r="Y48" s="151"/>
      <c r="Z48" s="151"/>
      <c r="AA48" s="151"/>
      <c r="AB48" s="151"/>
      <c r="AC48" s="151"/>
      <c r="AD48" s="151"/>
      <c r="AE48" s="151"/>
      <c r="AF48" s="151"/>
      <c r="AG48" s="151"/>
      <c r="AH48" s="151"/>
      <c r="AI48" s="151"/>
      <c r="AJ48" s="151"/>
      <c r="AK48" s="151"/>
      <c r="AL48" s="171"/>
      <c r="AM48" s="172"/>
    </row>
    <row r="49" spans="2:39" ht="14.4" thickBot="1">
      <c r="B49" s="2718"/>
      <c r="C49" s="2816"/>
      <c r="D49" s="2828" t="s">
        <v>68</v>
      </c>
      <c r="E49" s="1147" t="s">
        <v>296</v>
      </c>
      <c r="F49" s="1148">
        <f t="shared" ref="F49" si="33">IFERROR(F51*1000/F46,0)</f>
        <v>1.9462616822429903</v>
      </c>
      <c r="G49" s="1149"/>
      <c r="H49" s="1150">
        <f>Breaking.!D48</f>
        <v>1.9462616822429906</v>
      </c>
      <c r="I49" s="1150">
        <f>Breaking.!E48</f>
        <v>1.9462616822429906</v>
      </c>
      <c r="J49" s="1150">
        <f>Breaking.!F48</f>
        <v>1.9462616822429906</v>
      </c>
      <c r="K49" s="1150">
        <f>Breaking.!G48</f>
        <v>1.9462616822429906</v>
      </c>
      <c r="L49" s="1150">
        <f>Breaking.!H48</f>
        <v>1.9462616822429906</v>
      </c>
      <c r="M49" s="1150">
        <f>Breaking.!I48</f>
        <v>1.9462616822429906</v>
      </c>
      <c r="N49" s="1150">
        <f>Breaking.!J48</f>
        <v>1.9462616822429906</v>
      </c>
      <c r="O49" s="1150">
        <f>Breaking.!K48</f>
        <v>1.9462616822429906</v>
      </c>
      <c r="P49" s="1150">
        <f>Breaking.!L48</f>
        <v>1.9462616822429906</v>
      </c>
      <c r="Q49" s="1150">
        <f>Breaking.!M48</f>
        <v>1.9462616822429906</v>
      </c>
      <c r="R49" s="1150">
        <f>Breaking.!N48</f>
        <v>0</v>
      </c>
      <c r="S49" s="1150">
        <f>Breaking.!O48</f>
        <v>0</v>
      </c>
      <c r="T49" s="1150">
        <f>Breaking.!P48</f>
        <v>1.9462616822429906</v>
      </c>
      <c r="U49" s="1150">
        <f>Breaking.!Q48</f>
        <v>1.9462616822429906</v>
      </c>
      <c r="V49" s="1150">
        <f>Breaking.!R48</f>
        <v>1.9462616822429906</v>
      </c>
      <c r="W49" s="1150">
        <f>Breaking.!S48</f>
        <v>1.9462616822429906</v>
      </c>
      <c r="X49" s="1150">
        <f>Breaking.!T48</f>
        <v>1.9462616822429906</v>
      </c>
      <c r="Y49" s="1150">
        <f>Breaking.!U48</f>
        <v>1.9462616822429906</v>
      </c>
      <c r="Z49" s="1150">
        <f>Breaking.!V48</f>
        <v>1.9462616822429906</v>
      </c>
      <c r="AA49" s="1150">
        <f>Breaking.!W48</f>
        <v>1.9462616822429906</v>
      </c>
      <c r="AB49" s="1150">
        <f>Breaking.!X48</f>
        <v>1.9462616822429906</v>
      </c>
      <c r="AC49" s="1150">
        <f>Breaking.!Y48</f>
        <v>1.9462616822429906</v>
      </c>
      <c r="AD49" s="1150">
        <f>Breaking.!Z48</f>
        <v>1.9462616822429906</v>
      </c>
      <c r="AE49" s="1150">
        <f>Breaking.!AA48</f>
        <v>1.9462616822429906</v>
      </c>
      <c r="AF49" s="1150">
        <f>Breaking.!AB48</f>
        <v>1.9462616822429906</v>
      </c>
      <c r="AG49" s="1150">
        <f>Breaking.!AC48</f>
        <v>1.9462616822429906</v>
      </c>
      <c r="AH49" s="1150">
        <f>Breaking.!AD48</f>
        <v>1.9462616822429906</v>
      </c>
      <c r="AI49" s="1150">
        <f>Breaking.!AE48</f>
        <v>1.9462616822429906</v>
      </c>
      <c r="AJ49" s="1150">
        <f>Breaking.!AF48</f>
        <v>1.9462616822429906</v>
      </c>
      <c r="AK49" s="1150">
        <f>Breaking.!AG48</f>
        <v>1.9462616822429906</v>
      </c>
      <c r="AL49" s="1150">
        <f>Breaking.!AH48</f>
        <v>1.9462616822429906</v>
      </c>
      <c r="AM49" s="95"/>
    </row>
    <row r="50" spans="2:39" ht="14.4" thickBot="1">
      <c r="B50" s="2718"/>
      <c r="C50" s="2816"/>
      <c r="D50" s="2828"/>
      <c r="E50" s="1151" t="s">
        <v>297</v>
      </c>
      <c r="F50" s="1152">
        <f>IFERROR(F52*1000/F47,0)</f>
        <v>3.0038425925925929</v>
      </c>
      <c r="G50" s="1142">
        <f t="shared" ref="G50" si="34">IFERROR((F50-F49)/F49,0)</f>
        <v>0.54339091192032407</v>
      </c>
      <c r="H50" s="1162">
        <v>4.12</v>
      </c>
      <c r="I50" s="1152">
        <v>2.52</v>
      </c>
      <c r="J50" s="1152">
        <v>2.52</v>
      </c>
      <c r="K50" s="1152">
        <v>3.38</v>
      </c>
      <c r="L50" s="1152">
        <v>1.94</v>
      </c>
      <c r="M50" s="1152">
        <v>4.1399999999999997</v>
      </c>
      <c r="N50" s="1152"/>
      <c r="O50" s="1152"/>
      <c r="P50" s="1152"/>
      <c r="Q50" s="1152"/>
      <c r="R50" s="1152"/>
      <c r="S50" s="1152"/>
      <c r="T50" s="1152"/>
      <c r="U50" s="1152"/>
      <c r="V50" s="1152"/>
      <c r="W50" s="1152"/>
      <c r="X50" s="1152"/>
      <c r="Y50" s="1152"/>
      <c r="Z50" s="1152"/>
      <c r="AA50" s="1152"/>
      <c r="AB50" s="1152"/>
      <c r="AC50" s="1152"/>
      <c r="AD50" s="1152"/>
      <c r="AE50" s="1152"/>
      <c r="AF50" s="1152"/>
      <c r="AG50" s="1152"/>
      <c r="AH50" s="1152"/>
      <c r="AI50" s="1152"/>
      <c r="AJ50" s="1152"/>
      <c r="AK50" s="1152"/>
      <c r="AL50" s="1152"/>
      <c r="AM50" s="95"/>
    </row>
    <row r="51" spans="2:39" ht="14.4" thickBot="1">
      <c r="B51" s="2718"/>
      <c r="C51" s="2816"/>
      <c r="D51" s="2828" t="s">
        <v>70</v>
      </c>
      <c r="E51" s="1147" t="s">
        <v>298</v>
      </c>
      <c r="F51" s="96">
        <f>SUMIF($H$9:$AL$9,"&lt;="&amp;$C$7,H51:AL51)</f>
        <v>0.81742990654205594</v>
      </c>
      <c r="G51" s="1149"/>
      <c r="H51" s="1154">
        <f t="shared" ref="H51:H52" si="35">+H49*H46/1000</f>
        <v>0.13623831775700931</v>
      </c>
      <c r="I51" s="1154">
        <f t="shared" ref="I51:AL51" si="36">+I49*I46/1000</f>
        <v>0.13623831775700931</v>
      </c>
      <c r="J51" s="1154">
        <f t="shared" si="36"/>
        <v>0.13623831775700931</v>
      </c>
      <c r="K51" s="1155">
        <f>+K49*K46/1000</f>
        <v>0.13623831775700931</v>
      </c>
      <c r="L51" s="1155">
        <f t="shared" si="36"/>
        <v>0.13623831775700931</v>
      </c>
      <c r="M51" s="1155">
        <f t="shared" ref="M51:Q52" si="37">+M49*M46/1000</f>
        <v>0.13623831775700931</v>
      </c>
      <c r="N51" s="1155">
        <f t="shared" si="37"/>
        <v>0.13623831775700931</v>
      </c>
      <c r="O51" s="1155">
        <f t="shared" si="37"/>
        <v>0.13623831775700931</v>
      </c>
      <c r="P51" s="1156">
        <f t="shared" si="37"/>
        <v>0.13623831775700931</v>
      </c>
      <c r="Q51" s="1155">
        <f t="shared" si="37"/>
        <v>0.13623831775700931</v>
      </c>
      <c r="R51" s="1155">
        <f t="shared" si="36"/>
        <v>0</v>
      </c>
      <c r="S51" s="1155">
        <f t="shared" si="36"/>
        <v>0</v>
      </c>
      <c r="T51" s="1155">
        <f t="shared" si="36"/>
        <v>0.13623831775700931</v>
      </c>
      <c r="U51" s="1155">
        <f t="shared" si="36"/>
        <v>0.13623831775700931</v>
      </c>
      <c r="V51" s="1155">
        <f>+V49*V46/1000</f>
        <v>0.13623831775700931</v>
      </c>
      <c r="W51" s="1155">
        <f>+W49*W46/1000</f>
        <v>0.13623831775700931</v>
      </c>
      <c r="X51" s="1155">
        <f t="shared" si="36"/>
        <v>0.13623831775700931</v>
      </c>
      <c r="Y51" s="1155">
        <f t="shared" si="36"/>
        <v>0.13623831775700931</v>
      </c>
      <c r="Z51" s="1155">
        <f t="shared" si="36"/>
        <v>0.13623831775700931</v>
      </c>
      <c r="AA51" s="1155">
        <f t="shared" si="36"/>
        <v>0.13623831775700931</v>
      </c>
      <c r="AB51" s="1155">
        <f t="shared" si="36"/>
        <v>0.13623831775700931</v>
      </c>
      <c r="AC51" s="1155">
        <f t="shared" si="36"/>
        <v>0.13623831775700931</v>
      </c>
      <c r="AD51" s="1155">
        <f t="shared" si="36"/>
        <v>0.13623831775700931</v>
      </c>
      <c r="AE51" s="1155">
        <f t="shared" si="36"/>
        <v>0.13623831775700931</v>
      </c>
      <c r="AF51" s="1155">
        <f t="shared" si="36"/>
        <v>0.13623831775700931</v>
      </c>
      <c r="AG51" s="1155">
        <f t="shared" si="36"/>
        <v>0.13623831775700931</v>
      </c>
      <c r="AH51" s="1155">
        <f t="shared" si="36"/>
        <v>0.13623831775700931</v>
      </c>
      <c r="AI51" s="1155">
        <f t="shared" si="36"/>
        <v>0.13623831775700931</v>
      </c>
      <c r="AJ51" s="1155">
        <f>+AJ49*AJ46/1000</f>
        <v>0.13623831775700931</v>
      </c>
      <c r="AK51" s="1155">
        <f t="shared" si="36"/>
        <v>0.13623831775700931</v>
      </c>
      <c r="AL51" s="1157">
        <f t="shared" si="36"/>
        <v>0.13623831775700931</v>
      </c>
      <c r="AM51" s="97"/>
    </row>
    <row r="52" spans="2:39" ht="14.4" thickBot="1">
      <c r="B52" s="2831"/>
      <c r="C52" s="2817"/>
      <c r="D52" s="2829"/>
      <c r="E52" s="1049" t="s">
        <v>299</v>
      </c>
      <c r="F52" s="1004">
        <f>SUMIF($H$9:$AL$9,"&lt;="&amp;$C$7,H52:AL52)</f>
        <v>1.29766</v>
      </c>
      <c r="G52" s="1105">
        <f t="shared" ref="G52" si="38">IFERROR((F52-F51)/F51,0)</f>
        <v>0.5874877951180475</v>
      </c>
      <c r="H52" s="1158">
        <f t="shared" si="35"/>
        <v>0.17304</v>
      </c>
      <c r="I52" s="1004">
        <f t="shared" ref="I52:AL52" si="39">+I50*I47/1000</f>
        <v>0.189</v>
      </c>
      <c r="J52" s="1004">
        <f t="shared" si="39"/>
        <v>0.19152000000000002</v>
      </c>
      <c r="K52" s="1004">
        <f t="shared" si="39"/>
        <v>0.23998</v>
      </c>
      <c r="L52" s="1004">
        <f t="shared" si="39"/>
        <v>0.16878000000000001</v>
      </c>
      <c r="M52" s="1004">
        <f t="shared" si="37"/>
        <v>0.33533999999999997</v>
      </c>
      <c r="N52" s="1004">
        <f t="shared" si="37"/>
        <v>0</v>
      </c>
      <c r="O52" s="1004">
        <f t="shared" si="37"/>
        <v>0</v>
      </c>
      <c r="P52" s="1004">
        <f t="shared" si="37"/>
        <v>0</v>
      </c>
      <c r="Q52" s="1004">
        <f t="shared" si="37"/>
        <v>0</v>
      </c>
      <c r="R52" s="1004">
        <f t="shared" si="39"/>
        <v>0</v>
      </c>
      <c r="S52" s="1004">
        <f t="shared" si="39"/>
        <v>0</v>
      </c>
      <c r="T52" s="1004">
        <f t="shared" si="39"/>
        <v>0</v>
      </c>
      <c r="U52" s="1004">
        <f t="shared" si="39"/>
        <v>0</v>
      </c>
      <c r="V52" s="1004">
        <f t="shared" si="39"/>
        <v>0</v>
      </c>
      <c r="W52" s="1004">
        <f>+W50*W47/1000</f>
        <v>0</v>
      </c>
      <c r="X52" s="1004">
        <f t="shared" si="39"/>
        <v>0</v>
      </c>
      <c r="Y52" s="1004">
        <f t="shared" si="39"/>
        <v>0</v>
      </c>
      <c r="Z52" s="1004">
        <f t="shared" si="39"/>
        <v>0</v>
      </c>
      <c r="AA52" s="1004">
        <f t="shared" si="39"/>
        <v>0</v>
      </c>
      <c r="AB52" s="1004">
        <f t="shared" si="39"/>
        <v>0</v>
      </c>
      <c r="AC52" s="1004">
        <f t="shared" si="39"/>
        <v>0</v>
      </c>
      <c r="AD52" s="1004">
        <f t="shared" si="39"/>
        <v>0</v>
      </c>
      <c r="AE52" s="1004">
        <f t="shared" si="39"/>
        <v>0</v>
      </c>
      <c r="AF52" s="1004">
        <f t="shared" si="39"/>
        <v>0</v>
      </c>
      <c r="AG52" s="1004">
        <f t="shared" si="39"/>
        <v>0</v>
      </c>
      <c r="AH52" s="1004">
        <f t="shared" si="39"/>
        <v>0</v>
      </c>
      <c r="AI52" s="1004">
        <f t="shared" si="39"/>
        <v>0</v>
      </c>
      <c r="AJ52" s="1004">
        <f t="shared" si="39"/>
        <v>0</v>
      </c>
      <c r="AK52" s="1004">
        <f t="shared" si="39"/>
        <v>0</v>
      </c>
      <c r="AL52" s="1004">
        <f t="shared" si="39"/>
        <v>0</v>
      </c>
      <c r="AM52" s="98"/>
    </row>
    <row r="53" spans="2:39" ht="14.4" hidden="1" thickBot="1">
      <c r="B53" s="2718"/>
      <c r="C53" s="2815"/>
      <c r="D53" s="2827" t="s">
        <v>66</v>
      </c>
      <c r="E53" s="145" t="s">
        <v>294</v>
      </c>
      <c r="F53" s="146">
        <f>SUMIF($H$9:$AL$9,"&lt;="&amp;$C$7,H53:AL53)</f>
        <v>0</v>
      </c>
      <c r="G53" s="81"/>
      <c r="H53" s="1398"/>
      <c r="I53" s="1398"/>
      <c r="J53" s="1398"/>
      <c r="K53" s="1398"/>
      <c r="L53" s="1398"/>
      <c r="M53" s="1398"/>
      <c r="N53" s="1398"/>
      <c r="O53" s="1398"/>
      <c r="P53" s="1398"/>
      <c r="Q53" s="1398"/>
      <c r="R53" s="1398"/>
      <c r="S53" s="1398"/>
      <c r="T53" s="1398"/>
      <c r="U53" s="1398"/>
      <c r="V53" s="1398"/>
      <c r="W53" s="1398"/>
      <c r="X53" s="1398"/>
      <c r="Y53" s="1398"/>
      <c r="Z53" s="1398"/>
      <c r="AA53" s="1398"/>
      <c r="AB53" s="1398"/>
      <c r="AC53" s="1398"/>
      <c r="AD53" s="1398"/>
      <c r="AE53" s="1398"/>
      <c r="AF53" s="1398"/>
      <c r="AG53" s="1398"/>
      <c r="AH53" s="1398"/>
      <c r="AI53" s="1398"/>
      <c r="AJ53" s="1398"/>
      <c r="AK53" s="1398"/>
      <c r="AL53" s="1398"/>
      <c r="AM53" s="150"/>
    </row>
    <row r="54" spans="2:39" ht="14.4" hidden="1" thickBot="1">
      <c r="B54" s="2718"/>
      <c r="C54" s="2816"/>
      <c r="D54" s="2827"/>
      <c r="E54" s="1141" t="s">
        <v>295</v>
      </c>
      <c r="F54" s="1095">
        <f>SUMIF($H$9:$AL$9,"&lt;="&amp;$C$7,H54:AL54)</f>
        <v>0</v>
      </c>
      <c r="G54" s="1142">
        <f t="shared" ref="G54" si="40">IFERROR((F54-F53)/F53,0)</f>
        <v>0</v>
      </c>
      <c r="H54" s="1143"/>
      <c r="I54" s="1095"/>
      <c r="J54" s="1095"/>
      <c r="K54" s="1095"/>
      <c r="L54" s="1095"/>
      <c r="M54" s="1095"/>
      <c r="N54" s="1095"/>
      <c r="O54" s="1095"/>
      <c r="P54" s="1095"/>
      <c r="Q54" s="1095"/>
      <c r="R54" s="1095"/>
      <c r="S54" s="1095"/>
      <c r="T54" s="1095"/>
      <c r="U54" s="1095"/>
      <c r="V54" s="1095"/>
      <c r="W54" s="1095"/>
      <c r="X54" s="1095"/>
      <c r="Y54" s="1095"/>
      <c r="Z54" s="1095"/>
      <c r="AA54" s="1095"/>
      <c r="AB54" s="1095"/>
      <c r="AC54" s="1095"/>
      <c r="AD54" s="1095"/>
      <c r="AE54" s="1095"/>
      <c r="AF54" s="1095"/>
      <c r="AG54" s="1095"/>
      <c r="AH54" s="1095"/>
      <c r="AI54" s="1095"/>
      <c r="AJ54" s="1095"/>
      <c r="AK54" s="1095"/>
      <c r="AL54" s="1095"/>
      <c r="AM54" s="95"/>
    </row>
    <row r="55" spans="2:39" ht="14.4" hidden="1" thickBot="1">
      <c r="B55" s="2718"/>
      <c r="C55" s="2816"/>
      <c r="D55" s="2827"/>
      <c r="E55" s="1159" t="s">
        <v>199</v>
      </c>
      <c r="F55" s="1160"/>
      <c r="G55" s="1161"/>
      <c r="H55" s="151"/>
      <c r="I55" s="151"/>
      <c r="J55" s="151"/>
      <c r="K55" s="151"/>
      <c r="L55" s="151"/>
      <c r="M55" s="151"/>
      <c r="N55" s="151"/>
      <c r="O55" s="151"/>
      <c r="P55" s="170"/>
      <c r="Q55" s="151"/>
      <c r="R55" s="151"/>
      <c r="S55" s="151"/>
      <c r="T55" s="151"/>
      <c r="U55" s="151"/>
      <c r="V55" s="151"/>
      <c r="W55" s="151"/>
      <c r="X55" s="151"/>
      <c r="Y55" s="151"/>
      <c r="Z55" s="151"/>
      <c r="AA55" s="151"/>
      <c r="AB55" s="151"/>
      <c r="AC55" s="151"/>
      <c r="AD55" s="151"/>
      <c r="AE55" s="151"/>
      <c r="AF55" s="151"/>
      <c r="AG55" s="151"/>
      <c r="AH55" s="151"/>
      <c r="AI55" s="151"/>
      <c r="AJ55" s="151"/>
      <c r="AK55" s="151"/>
      <c r="AL55" s="171"/>
      <c r="AM55" s="172"/>
    </row>
    <row r="56" spans="2:39" ht="14.4" hidden="1" thickBot="1">
      <c r="B56" s="2718"/>
      <c r="C56" s="2816"/>
      <c r="D56" s="2828" t="s">
        <v>68</v>
      </c>
      <c r="E56" s="1147" t="s">
        <v>296</v>
      </c>
      <c r="F56" s="1148">
        <f t="shared" ref="F56:F57" si="41">IFERROR(F58*1000/F53,0)</f>
        <v>0</v>
      </c>
      <c r="G56" s="1149"/>
      <c r="H56" s="1150"/>
      <c r="I56" s="1150"/>
      <c r="J56" s="1150"/>
      <c r="K56" s="1150"/>
      <c r="L56" s="1150"/>
      <c r="M56" s="1150"/>
      <c r="N56" s="1150"/>
      <c r="O56" s="1150"/>
      <c r="P56" s="1150"/>
      <c r="Q56" s="1150"/>
      <c r="R56" s="1150"/>
      <c r="S56" s="1150"/>
      <c r="T56" s="1150"/>
      <c r="U56" s="1150"/>
      <c r="V56" s="1150"/>
      <c r="W56" s="1150"/>
      <c r="X56" s="1150"/>
      <c r="Y56" s="1150"/>
      <c r="Z56" s="1150"/>
      <c r="AA56" s="1150"/>
      <c r="AB56" s="1150"/>
      <c r="AC56" s="1150"/>
      <c r="AD56" s="1150"/>
      <c r="AE56" s="1150"/>
      <c r="AF56" s="1150"/>
      <c r="AG56" s="1150"/>
      <c r="AH56" s="1150"/>
      <c r="AI56" s="1150"/>
      <c r="AJ56" s="1150"/>
      <c r="AK56" s="1150"/>
      <c r="AL56" s="1150"/>
      <c r="AM56" s="95"/>
    </row>
    <row r="57" spans="2:39" ht="14.4" hidden="1" thickBot="1">
      <c r="B57" s="2718"/>
      <c r="C57" s="2816"/>
      <c r="D57" s="2828"/>
      <c r="E57" s="1151" t="s">
        <v>297</v>
      </c>
      <c r="F57" s="1152">
        <f t="shared" si="41"/>
        <v>0</v>
      </c>
      <c r="G57" s="1142">
        <f t="shared" ref="G57" si="42">IFERROR((F57-F56)/F56,0)</f>
        <v>0</v>
      </c>
      <c r="H57" s="1153"/>
      <c r="I57" s="1152"/>
      <c r="J57" s="1152"/>
      <c r="K57" s="1152"/>
      <c r="L57" s="1152"/>
      <c r="M57" s="1152"/>
      <c r="N57" s="1152"/>
      <c r="O57" s="1152"/>
      <c r="P57" s="1152"/>
      <c r="Q57" s="1152"/>
      <c r="R57" s="1152"/>
      <c r="S57" s="1152"/>
      <c r="T57" s="1152"/>
      <c r="U57" s="1152"/>
      <c r="V57" s="1152"/>
      <c r="W57" s="1152"/>
      <c r="X57" s="1152"/>
      <c r="Y57" s="1152"/>
      <c r="Z57" s="1152"/>
      <c r="AA57" s="1152"/>
      <c r="AB57" s="1152"/>
      <c r="AC57" s="1152"/>
      <c r="AD57" s="1152"/>
      <c r="AE57" s="1152"/>
      <c r="AF57" s="1152"/>
      <c r="AG57" s="1152"/>
      <c r="AH57" s="1152"/>
      <c r="AI57" s="1152"/>
      <c r="AJ57" s="1152"/>
      <c r="AK57" s="1152"/>
      <c r="AL57" s="1152"/>
      <c r="AM57" s="95"/>
    </row>
    <row r="58" spans="2:39" ht="14.4" hidden="1" thickBot="1">
      <c r="B58" s="2718"/>
      <c r="C58" s="2816"/>
      <c r="D58" s="2828" t="s">
        <v>70</v>
      </c>
      <c r="E58" s="1147" t="s">
        <v>298</v>
      </c>
      <c r="F58" s="96">
        <f>SUMIF($H$9:$AL$9,"&lt;="&amp;$C$7,H58:AL58)</f>
        <v>0</v>
      </c>
      <c r="G58" s="1149"/>
      <c r="H58" s="1154">
        <f t="shared" ref="H58:W59" si="43">+H56*H53/1000</f>
        <v>0</v>
      </c>
      <c r="I58" s="1154">
        <f t="shared" si="43"/>
        <v>0</v>
      </c>
      <c r="J58" s="1154">
        <f t="shared" si="43"/>
        <v>0</v>
      </c>
      <c r="K58" s="1154">
        <f t="shared" si="43"/>
        <v>0</v>
      </c>
      <c r="L58" s="1154">
        <f t="shared" si="43"/>
        <v>0</v>
      </c>
      <c r="M58" s="1154">
        <f t="shared" si="43"/>
        <v>0</v>
      </c>
      <c r="N58" s="1154">
        <f t="shared" si="43"/>
        <v>0</v>
      </c>
      <c r="O58" s="1154">
        <f t="shared" si="43"/>
        <v>0</v>
      </c>
      <c r="P58" s="1154">
        <f t="shared" si="43"/>
        <v>0</v>
      </c>
      <c r="Q58" s="1154">
        <f t="shared" si="43"/>
        <v>0</v>
      </c>
      <c r="R58" s="1154">
        <f t="shared" si="43"/>
        <v>0</v>
      </c>
      <c r="S58" s="1154">
        <f t="shared" si="43"/>
        <v>0</v>
      </c>
      <c r="T58" s="1154">
        <f t="shared" si="43"/>
        <v>0</v>
      </c>
      <c r="U58" s="1154">
        <f t="shared" si="43"/>
        <v>0</v>
      </c>
      <c r="V58" s="1154">
        <f t="shared" si="43"/>
        <v>0</v>
      </c>
      <c r="W58" s="1154">
        <f t="shared" si="43"/>
        <v>0</v>
      </c>
      <c r="X58" s="1154">
        <f t="shared" ref="X58:AK58" si="44">+X56*X53/1000</f>
        <v>0</v>
      </c>
      <c r="Y58" s="1154">
        <f t="shared" si="44"/>
        <v>0</v>
      </c>
      <c r="Z58" s="1154">
        <f t="shared" si="44"/>
        <v>0</v>
      </c>
      <c r="AA58" s="1154">
        <f t="shared" si="44"/>
        <v>0</v>
      </c>
      <c r="AB58" s="1154">
        <f t="shared" si="44"/>
        <v>0</v>
      </c>
      <c r="AC58" s="1154">
        <f t="shared" si="44"/>
        <v>0</v>
      </c>
      <c r="AD58" s="1154">
        <f t="shared" si="44"/>
        <v>0</v>
      </c>
      <c r="AE58" s="1154">
        <f t="shared" si="44"/>
        <v>0</v>
      </c>
      <c r="AF58" s="1154">
        <f t="shared" si="44"/>
        <v>0</v>
      </c>
      <c r="AG58" s="1154">
        <f t="shared" si="44"/>
        <v>0</v>
      </c>
      <c r="AH58" s="1154">
        <f t="shared" si="44"/>
        <v>0</v>
      </c>
      <c r="AI58" s="1154">
        <f t="shared" si="44"/>
        <v>0</v>
      </c>
      <c r="AJ58" s="1154">
        <f t="shared" si="44"/>
        <v>0</v>
      </c>
      <c r="AK58" s="1154">
        <f t="shared" si="44"/>
        <v>0</v>
      </c>
      <c r="AL58" s="1157">
        <f t="shared" ref="AL58" si="45">+AL56*AL53/1000</f>
        <v>0</v>
      </c>
      <c r="AM58" s="97"/>
    </row>
    <row r="59" spans="2:39" ht="14.4" hidden="1" thickBot="1">
      <c r="B59" s="2831"/>
      <c r="C59" s="2817"/>
      <c r="D59" s="2829"/>
      <c r="E59" s="1049" t="s">
        <v>299</v>
      </c>
      <c r="F59" s="1004">
        <f>SUMIF($H$9:$AL$9,"&lt;="&amp;$C$7,H59:AL59)</f>
        <v>0</v>
      </c>
      <c r="G59" s="1105">
        <f t="shared" ref="G59" si="46">IFERROR((F59-F58)/F58,0)</f>
        <v>0</v>
      </c>
      <c r="H59" s="1158">
        <f t="shared" si="43"/>
        <v>0</v>
      </c>
      <c r="I59" s="1004">
        <f t="shared" ref="I59:AL59" si="47">+I57*I54/1000</f>
        <v>0</v>
      </c>
      <c r="J59" s="1004">
        <f t="shared" si="47"/>
        <v>0</v>
      </c>
      <c r="K59" s="1004">
        <f t="shared" si="47"/>
        <v>0</v>
      </c>
      <c r="L59" s="1004">
        <f t="shared" si="47"/>
        <v>0</v>
      </c>
      <c r="M59" s="1004">
        <f t="shared" ref="M59:Q59" si="48">+M57*M54/1000</f>
        <v>0</v>
      </c>
      <c r="N59" s="1004">
        <f t="shared" si="48"/>
        <v>0</v>
      </c>
      <c r="O59" s="1004">
        <f t="shared" si="48"/>
        <v>0</v>
      </c>
      <c r="P59" s="1004">
        <f t="shared" si="48"/>
        <v>0</v>
      </c>
      <c r="Q59" s="1004">
        <f t="shared" si="48"/>
        <v>0</v>
      </c>
      <c r="R59" s="1004">
        <f t="shared" si="47"/>
        <v>0</v>
      </c>
      <c r="S59" s="1004">
        <f t="shared" si="47"/>
        <v>0</v>
      </c>
      <c r="T59" s="1004">
        <f t="shared" si="47"/>
        <v>0</v>
      </c>
      <c r="U59" s="1004">
        <f t="shared" si="47"/>
        <v>0</v>
      </c>
      <c r="V59" s="1004">
        <f t="shared" si="47"/>
        <v>0</v>
      </c>
      <c r="W59" s="1004">
        <f>+W57*W54/1000</f>
        <v>0</v>
      </c>
      <c r="X59" s="1004">
        <f t="shared" si="47"/>
        <v>0</v>
      </c>
      <c r="Y59" s="1004">
        <f t="shared" si="47"/>
        <v>0</v>
      </c>
      <c r="Z59" s="1004">
        <f t="shared" si="47"/>
        <v>0</v>
      </c>
      <c r="AA59" s="1004">
        <f t="shared" si="47"/>
        <v>0</v>
      </c>
      <c r="AB59" s="1004">
        <f t="shared" si="47"/>
        <v>0</v>
      </c>
      <c r="AC59" s="1004">
        <f t="shared" si="47"/>
        <v>0</v>
      </c>
      <c r="AD59" s="1004">
        <f t="shared" si="47"/>
        <v>0</v>
      </c>
      <c r="AE59" s="1004">
        <f t="shared" si="47"/>
        <v>0</v>
      </c>
      <c r="AF59" s="1004">
        <f t="shared" si="47"/>
        <v>0</v>
      </c>
      <c r="AG59" s="1004">
        <f t="shared" si="47"/>
        <v>0</v>
      </c>
      <c r="AH59" s="1004">
        <f t="shared" si="47"/>
        <v>0</v>
      </c>
      <c r="AI59" s="1004">
        <f t="shared" si="47"/>
        <v>0</v>
      </c>
      <c r="AJ59" s="1004">
        <f t="shared" si="47"/>
        <v>0</v>
      </c>
      <c r="AK59" s="1004">
        <f t="shared" si="47"/>
        <v>0</v>
      </c>
      <c r="AL59" s="1004">
        <f t="shared" si="47"/>
        <v>0</v>
      </c>
      <c r="AM59" s="98"/>
    </row>
    <row r="60" spans="2:39" ht="14.4" hidden="1" thickBot="1">
      <c r="B60" s="2718"/>
      <c r="C60" s="2815"/>
      <c r="D60" s="2827" t="s">
        <v>66</v>
      </c>
      <c r="E60" s="145" t="s">
        <v>294</v>
      </c>
      <c r="F60" s="146">
        <f>SUMIF($H$9:$AL$9,"&lt;="&amp;$C$7,H60:AL60)</f>
        <v>0</v>
      </c>
      <c r="G60" s="81"/>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c r="AL60" s="147"/>
      <c r="AM60" s="150"/>
    </row>
    <row r="61" spans="2:39" ht="14.4" hidden="1" thickBot="1">
      <c r="B61" s="2718"/>
      <c r="C61" s="2816"/>
      <c r="D61" s="2827"/>
      <c r="E61" s="1141" t="s">
        <v>295</v>
      </c>
      <c r="F61" s="1095">
        <f>SUMIF($H$9:$AL$9,"&lt;="&amp;$C$7,H61:AL61)</f>
        <v>0</v>
      </c>
      <c r="G61" s="1142">
        <f t="shared" ref="G61" si="49">IFERROR((F61-F60)/F60,0)</f>
        <v>0</v>
      </c>
      <c r="H61" s="1143"/>
      <c r="I61" s="1095"/>
      <c r="J61" s="1095"/>
      <c r="K61" s="1095"/>
      <c r="L61" s="1095"/>
      <c r="M61" s="1095"/>
      <c r="N61" s="1095"/>
      <c r="O61" s="1095"/>
      <c r="P61" s="1095"/>
      <c r="Q61" s="1095"/>
      <c r="R61" s="1095"/>
      <c r="S61" s="1095"/>
      <c r="T61" s="1095"/>
      <c r="U61" s="1095"/>
      <c r="V61" s="1095"/>
      <c r="W61" s="1095"/>
      <c r="X61" s="1095"/>
      <c r="Y61" s="1095"/>
      <c r="Z61" s="1095"/>
      <c r="AA61" s="1095"/>
      <c r="AB61" s="1095"/>
      <c r="AC61" s="1095"/>
      <c r="AD61" s="1095"/>
      <c r="AE61" s="1095"/>
      <c r="AF61" s="1095"/>
      <c r="AG61" s="1095"/>
      <c r="AH61" s="1095"/>
      <c r="AI61" s="1095"/>
      <c r="AJ61" s="1095"/>
      <c r="AK61" s="1095"/>
      <c r="AL61" s="1095"/>
      <c r="AM61" s="95"/>
    </row>
    <row r="62" spans="2:39" ht="14.4" hidden="1" thickBot="1">
      <c r="B62" s="2718"/>
      <c r="C62" s="2816"/>
      <c r="D62" s="2827"/>
      <c r="E62" s="1159" t="s">
        <v>199</v>
      </c>
      <c r="F62" s="1160"/>
      <c r="G62" s="1161"/>
      <c r="H62" s="151"/>
      <c r="I62" s="151"/>
      <c r="J62" s="151"/>
      <c r="K62" s="151"/>
      <c r="L62" s="151"/>
      <c r="M62" s="151"/>
      <c r="N62" s="151"/>
      <c r="O62" s="151"/>
      <c r="P62" s="170"/>
      <c r="Q62" s="151"/>
      <c r="R62" s="151"/>
      <c r="S62" s="151"/>
      <c r="T62" s="151"/>
      <c r="U62" s="151"/>
      <c r="V62" s="151"/>
      <c r="W62" s="151"/>
      <c r="X62" s="151"/>
      <c r="Y62" s="151"/>
      <c r="Z62" s="151"/>
      <c r="AA62" s="151"/>
      <c r="AB62" s="151"/>
      <c r="AC62" s="151"/>
      <c r="AD62" s="151"/>
      <c r="AE62" s="151"/>
      <c r="AF62" s="151"/>
      <c r="AG62" s="151"/>
      <c r="AH62" s="151"/>
      <c r="AI62" s="151"/>
      <c r="AJ62" s="151"/>
      <c r="AK62" s="151"/>
      <c r="AL62" s="171"/>
      <c r="AM62" s="172"/>
    </row>
    <row r="63" spans="2:39" ht="14.4" hidden="1" thickBot="1">
      <c r="B63" s="2718"/>
      <c r="C63" s="2816"/>
      <c r="D63" s="2828" t="s">
        <v>68</v>
      </c>
      <c r="E63" s="1147" t="s">
        <v>296</v>
      </c>
      <c r="F63" s="1148">
        <f t="shared" ref="F63:F64" si="50">IFERROR(F65*1000/F60,0)</f>
        <v>0</v>
      </c>
      <c r="G63" s="1149"/>
      <c r="H63" s="1150"/>
      <c r="I63" s="1150"/>
      <c r="J63" s="1150"/>
      <c r="K63" s="1150"/>
      <c r="L63" s="1150"/>
      <c r="M63" s="1150"/>
      <c r="N63" s="1150"/>
      <c r="O63" s="1150"/>
      <c r="P63" s="1150"/>
      <c r="Q63" s="1150"/>
      <c r="R63" s="1150"/>
      <c r="S63" s="1150"/>
      <c r="T63" s="1150"/>
      <c r="U63" s="1150"/>
      <c r="V63" s="1150"/>
      <c r="W63" s="1150"/>
      <c r="X63" s="1150"/>
      <c r="Y63" s="1150"/>
      <c r="Z63" s="1150"/>
      <c r="AA63" s="1150"/>
      <c r="AB63" s="1150"/>
      <c r="AC63" s="1150"/>
      <c r="AD63" s="1150"/>
      <c r="AE63" s="1150"/>
      <c r="AF63" s="1150"/>
      <c r="AG63" s="1150"/>
      <c r="AH63" s="1150"/>
      <c r="AI63" s="1150"/>
      <c r="AJ63" s="1150"/>
      <c r="AK63" s="1150"/>
      <c r="AL63" s="1150"/>
      <c r="AM63" s="95"/>
    </row>
    <row r="64" spans="2:39" ht="14.4" hidden="1" thickBot="1">
      <c r="B64" s="2718"/>
      <c r="C64" s="2816"/>
      <c r="D64" s="2828"/>
      <c r="E64" s="1151" t="s">
        <v>297</v>
      </c>
      <c r="F64" s="1152">
        <f t="shared" si="50"/>
        <v>0</v>
      </c>
      <c r="G64" s="1142">
        <f t="shared" ref="G64" si="51">IFERROR((F64-F63)/F63,0)</f>
        <v>0</v>
      </c>
      <c r="H64" s="1153"/>
      <c r="I64" s="1152"/>
      <c r="J64" s="1152"/>
      <c r="K64" s="1152"/>
      <c r="L64" s="1152"/>
      <c r="M64" s="1152"/>
      <c r="N64" s="1152"/>
      <c r="O64" s="1152"/>
      <c r="P64" s="1152"/>
      <c r="Q64" s="1152"/>
      <c r="R64" s="1152"/>
      <c r="S64" s="1152"/>
      <c r="T64" s="1152"/>
      <c r="U64" s="1152"/>
      <c r="V64" s="1152"/>
      <c r="W64" s="1152"/>
      <c r="X64" s="1152"/>
      <c r="Y64" s="1152"/>
      <c r="Z64" s="1152"/>
      <c r="AA64" s="1152"/>
      <c r="AB64" s="1152"/>
      <c r="AC64" s="1152"/>
      <c r="AD64" s="1152"/>
      <c r="AE64" s="1152"/>
      <c r="AF64" s="1152"/>
      <c r="AG64" s="1152"/>
      <c r="AH64" s="1152"/>
      <c r="AI64" s="1152"/>
      <c r="AJ64" s="1152"/>
      <c r="AK64" s="1152"/>
      <c r="AL64" s="1152"/>
      <c r="AM64" s="95"/>
    </row>
    <row r="65" spans="2:39" ht="14.4" hidden="1" thickBot="1">
      <c r="B65" s="2718"/>
      <c r="C65" s="2816"/>
      <c r="D65" s="2828" t="s">
        <v>70</v>
      </c>
      <c r="E65" s="1147" t="s">
        <v>298</v>
      </c>
      <c r="F65" s="96">
        <f>SUMIF($H$9:$AL$9,"&lt;="&amp;$C$7,H65:AL65)</f>
        <v>0</v>
      </c>
      <c r="G65" s="1149"/>
      <c r="H65" s="1154">
        <f t="shared" ref="H65:H66" si="52">+H63*H60/1000</f>
        <v>0</v>
      </c>
      <c r="I65" s="1154">
        <f t="shared" ref="I65:AL65" si="53">+I63*I60/1000</f>
        <v>0</v>
      </c>
      <c r="J65" s="1154">
        <f t="shared" si="53"/>
        <v>0</v>
      </c>
      <c r="K65" s="1155">
        <f t="shared" si="53"/>
        <v>0</v>
      </c>
      <c r="L65" s="1155">
        <f t="shared" si="53"/>
        <v>0</v>
      </c>
      <c r="M65" s="1155">
        <f t="shared" ref="M65:Q66" si="54">+M63*M60/1000</f>
        <v>0</v>
      </c>
      <c r="N65" s="1155">
        <f t="shared" si="54"/>
        <v>0</v>
      </c>
      <c r="O65" s="1155">
        <f t="shared" si="54"/>
        <v>0</v>
      </c>
      <c r="P65" s="1156">
        <f t="shared" si="54"/>
        <v>0</v>
      </c>
      <c r="Q65" s="1155">
        <f t="shared" si="54"/>
        <v>0</v>
      </c>
      <c r="R65" s="1155">
        <f t="shared" si="53"/>
        <v>0</v>
      </c>
      <c r="S65" s="1155">
        <f t="shared" si="53"/>
        <v>0</v>
      </c>
      <c r="T65" s="1155">
        <f t="shared" si="53"/>
        <v>0</v>
      </c>
      <c r="U65" s="1155">
        <f t="shared" si="53"/>
        <v>0</v>
      </c>
      <c r="V65" s="1155">
        <f t="shared" si="53"/>
        <v>0</v>
      </c>
      <c r="W65" s="1155">
        <f>+W63*W60/1000</f>
        <v>0</v>
      </c>
      <c r="X65" s="1155">
        <f t="shared" si="53"/>
        <v>0</v>
      </c>
      <c r="Y65" s="1155">
        <f t="shared" si="53"/>
        <v>0</v>
      </c>
      <c r="Z65" s="1155">
        <f t="shared" si="53"/>
        <v>0</v>
      </c>
      <c r="AA65" s="1155">
        <f t="shared" si="53"/>
        <v>0</v>
      </c>
      <c r="AB65" s="1155">
        <f t="shared" si="53"/>
        <v>0</v>
      </c>
      <c r="AC65" s="1155">
        <f t="shared" si="53"/>
        <v>0</v>
      </c>
      <c r="AD65" s="1155">
        <f t="shared" si="53"/>
        <v>0</v>
      </c>
      <c r="AE65" s="1155">
        <f t="shared" si="53"/>
        <v>0</v>
      </c>
      <c r="AF65" s="1155">
        <f t="shared" si="53"/>
        <v>0</v>
      </c>
      <c r="AG65" s="1155">
        <f t="shared" si="53"/>
        <v>0</v>
      </c>
      <c r="AH65" s="1155">
        <f t="shared" si="53"/>
        <v>0</v>
      </c>
      <c r="AI65" s="1155">
        <f t="shared" si="53"/>
        <v>0</v>
      </c>
      <c r="AJ65" s="1155">
        <f t="shared" si="53"/>
        <v>0</v>
      </c>
      <c r="AK65" s="1155">
        <f t="shared" si="53"/>
        <v>0</v>
      </c>
      <c r="AL65" s="1157">
        <f t="shared" si="53"/>
        <v>0</v>
      </c>
      <c r="AM65" s="97"/>
    </row>
    <row r="66" spans="2:39" ht="14.4" hidden="1" thickBot="1">
      <c r="B66" s="2718"/>
      <c r="C66" s="2817"/>
      <c r="D66" s="2829"/>
      <c r="E66" s="1049" t="s">
        <v>299</v>
      </c>
      <c r="F66" s="1004">
        <f>SUMIF($H$9:$AL$9,"&lt;="&amp;$C$7,H66:AL66)</f>
        <v>0</v>
      </c>
      <c r="G66" s="1105">
        <f t="shared" ref="G66" si="55">IFERROR((F66-F65)/F65,0)</f>
        <v>0</v>
      </c>
      <c r="H66" s="1158">
        <f t="shared" si="52"/>
        <v>0</v>
      </c>
      <c r="I66" s="1004">
        <f t="shared" ref="I66:AL66" si="56">+I64*I61/1000</f>
        <v>0</v>
      </c>
      <c r="J66" s="1004">
        <f t="shared" si="56"/>
        <v>0</v>
      </c>
      <c r="K66" s="1004">
        <f t="shared" si="56"/>
        <v>0</v>
      </c>
      <c r="L66" s="1004">
        <f t="shared" si="56"/>
        <v>0</v>
      </c>
      <c r="M66" s="1004">
        <f t="shared" si="54"/>
        <v>0</v>
      </c>
      <c r="N66" s="1004">
        <f t="shared" si="54"/>
        <v>0</v>
      </c>
      <c r="O66" s="1004">
        <f t="shared" si="54"/>
        <v>0</v>
      </c>
      <c r="P66" s="1004">
        <f t="shared" si="54"/>
        <v>0</v>
      </c>
      <c r="Q66" s="1004">
        <f t="shared" si="54"/>
        <v>0</v>
      </c>
      <c r="R66" s="1004">
        <f t="shared" si="56"/>
        <v>0</v>
      </c>
      <c r="S66" s="1004">
        <f t="shared" si="56"/>
        <v>0</v>
      </c>
      <c r="T66" s="1004">
        <f t="shared" si="56"/>
        <v>0</v>
      </c>
      <c r="U66" s="1004">
        <f t="shared" si="56"/>
        <v>0</v>
      </c>
      <c r="V66" s="1004">
        <f t="shared" si="56"/>
        <v>0</v>
      </c>
      <c r="W66" s="1004">
        <f>+W64*W61/1000</f>
        <v>0</v>
      </c>
      <c r="X66" s="1004">
        <f t="shared" si="56"/>
        <v>0</v>
      </c>
      <c r="Y66" s="1004">
        <f t="shared" si="56"/>
        <v>0</v>
      </c>
      <c r="Z66" s="1004">
        <f t="shared" si="56"/>
        <v>0</v>
      </c>
      <c r="AA66" s="1004">
        <f t="shared" si="56"/>
        <v>0</v>
      </c>
      <c r="AB66" s="1004">
        <f t="shared" si="56"/>
        <v>0</v>
      </c>
      <c r="AC66" s="1004">
        <f t="shared" si="56"/>
        <v>0</v>
      </c>
      <c r="AD66" s="1004">
        <f t="shared" si="56"/>
        <v>0</v>
      </c>
      <c r="AE66" s="1004">
        <f t="shared" si="56"/>
        <v>0</v>
      </c>
      <c r="AF66" s="1004">
        <f t="shared" si="56"/>
        <v>0</v>
      </c>
      <c r="AG66" s="1004">
        <f t="shared" si="56"/>
        <v>0</v>
      </c>
      <c r="AH66" s="1004">
        <f t="shared" si="56"/>
        <v>0</v>
      </c>
      <c r="AI66" s="1004">
        <f t="shared" si="56"/>
        <v>0</v>
      </c>
      <c r="AJ66" s="1004">
        <f t="shared" si="56"/>
        <v>0</v>
      </c>
      <c r="AK66" s="1004">
        <f t="shared" si="56"/>
        <v>0</v>
      </c>
      <c r="AL66" s="1004">
        <f t="shared" si="56"/>
        <v>0</v>
      </c>
      <c r="AM66" s="98"/>
    </row>
    <row r="67" spans="2:39" ht="14.4" thickBot="1">
      <c r="B67" s="2830">
        <v>1</v>
      </c>
      <c r="C67" s="2736" t="str">
        <f>Breaking.!A55</f>
        <v>5L_W11 STOPE</v>
      </c>
      <c r="D67" s="2827" t="s">
        <v>66</v>
      </c>
      <c r="E67" s="145" t="s">
        <v>294</v>
      </c>
      <c r="F67" s="146">
        <f>SUMIF($H$9:$AL$9,"&lt;="&amp;$C$7,H67:AL67)</f>
        <v>420</v>
      </c>
      <c r="G67" s="81"/>
      <c r="H67" s="1398">
        <f>Breaking.!D55</f>
        <v>70</v>
      </c>
      <c r="I67" s="1398">
        <f>Breaking.!E55</f>
        <v>70</v>
      </c>
      <c r="J67" s="1398">
        <f>Breaking.!F55</f>
        <v>70</v>
      </c>
      <c r="K67" s="1398">
        <f>Breaking.!G55</f>
        <v>70</v>
      </c>
      <c r="L67" s="1398">
        <f>Breaking.!H55</f>
        <v>70</v>
      </c>
      <c r="M67" s="1398">
        <f>Breaking.!I55</f>
        <v>70</v>
      </c>
      <c r="N67" s="1398">
        <f>Breaking.!J55</f>
        <v>70</v>
      </c>
      <c r="O67" s="1398">
        <f>Breaking.!K55</f>
        <v>70</v>
      </c>
      <c r="P67" s="1398">
        <f>Breaking.!L55</f>
        <v>70</v>
      </c>
      <c r="Q67" s="1398">
        <f>Breaking.!M55</f>
        <v>70</v>
      </c>
      <c r="R67" s="1398">
        <f>Breaking.!N55</f>
        <v>0</v>
      </c>
      <c r="S67" s="1398">
        <f>Breaking.!O55</f>
        <v>0</v>
      </c>
      <c r="T67" s="1398">
        <f>Breaking.!P55</f>
        <v>70</v>
      </c>
      <c r="U67" s="1398">
        <f>Breaking.!Q55</f>
        <v>70</v>
      </c>
      <c r="V67" s="1398">
        <f>Breaking.!R55</f>
        <v>70</v>
      </c>
      <c r="W67" s="1398">
        <f>Breaking.!S55</f>
        <v>70</v>
      </c>
      <c r="X67" s="1398">
        <f>Breaking.!T55</f>
        <v>70</v>
      </c>
      <c r="Y67" s="1398">
        <f>Breaking.!U55</f>
        <v>70</v>
      </c>
      <c r="Z67" s="1398">
        <f>Breaking.!V55</f>
        <v>70</v>
      </c>
      <c r="AA67" s="1398">
        <f>Breaking.!W55</f>
        <v>70</v>
      </c>
      <c r="AB67" s="1398">
        <f>Breaking.!X55</f>
        <v>70</v>
      </c>
      <c r="AC67" s="1398">
        <f>Breaking.!Y55</f>
        <v>70</v>
      </c>
      <c r="AD67" s="1398">
        <f>Breaking.!Z55</f>
        <v>70</v>
      </c>
      <c r="AE67" s="1398">
        <f>Breaking.!AA55</f>
        <v>70</v>
      </c>
      <c r="AF67" s="1398">
        <f>Breaking.!AB55</f>
        <v>70</v>
      </c>
      <c r="AG67" s="1398">
        <f>Breaking.!AC55</f>
        <v>70</v>
      </c>
      <c r="AH67" s="1398">
        <f>Breaking.!AD55</f>
        <v>70</v>
      </c>
      <c r="AI67" s="1398">
        <f>Breaking.!AE55</f>
        <v>70</v>
      </c>
      <c r="AJ67" s="1398">
        <f>Breaking.!AF55</f>
        <v>70</v>
      </c>
      <c r="AK67" s="1398">
        <f>Breaking.!AG55</f>
        <v>70</v>
      </c>
      <c r="AL67" s="1398">
        <f>Breaking.!AH55</f>
        <v>70</v>
      </c>
      <c r="AM67" s="150"/>
    </row>
    <row r="68" spans="2:39" ht="14.4" thickBot="1">
      <c r="B68" s="2811"/>
      <c r="C68" s="2813"/>
      <c r="D68" s="2827"/>
      <c r="E68" s="1141" t="s">
        <v>295</v>
      </c>
      <c r="F68" s="1095">
        <f>SUMIF($H$9:$AL$9,"&lt;="&amp;$C$7,H68:AL68)</f>
        <v>450</v>
      </c>
      <c r="G68" s="1142">
        <f t="shared" ref="G68" si="57">IFERROR((F68-F67)/F67,0)</f>
        <v>7.1428571428571425E-2</v>
      </c>
      <c r="H68" s="1143">
        <v>35</v>
      </c>
      <c r="I68" s="1095">
        <f>36+30</f>
        <v>66</v>
      </c>
      <c r="J68" s="1095">
        <f>34+38</f>
        <v>72</v>
      </c>
      <c r="K68" s="1095">
        <v>70</v>
      </c>
      <c r="L68" s="1095">
        <f>38+43</f>
        <v>81</v>
      </c>
      <c r="M68" s="1095">
        <f>43+43+40</f>
        <v>126</v>
      </c>
      <c r="N68" s="1095"/>
      <c r="O68" s="1095"/>
      <c r="P68" s="1095"/>
      <c r="Q68" s="1095"/>
      <c r="R68" s="1095"/>
      <c r="S68" s="1095"/>
      <c r="T68" s="1095"/>
      <c r="U68" s="1095"/>
      <c r="V68" s="1095"/>
      <c r="W68" s="1095"/>
      <c r="X68" s="1095"/>
      <c r="Y68" s="1095"/>
      <c r="Z68" s="1095"/>
      <c r="AA68" s="1095"/>
      <c r="AB68" s="1095"/>
      <c r="AC68" s="1095"/>
      <c r="AD68" s="1095"/>
      <c r="AE68" s="1095"/>
      <c r="AF68" s="1095"/>
      <c r="AG68" s="1095"/>
      <c r="AH68" s="1095"/>
      <c r="AI68" s="1095"/>
      <c r="AJ68" s="1095"/>
      <c r="AK68" s="1095"/>
      <c r="AL68" s="1095"/>
      <c r="AM68" s="95"/>
    </row>
    <row r="69" spans="2:39" ht="14.4" thickBot="1">
      <c r="B69" s="2811"/>
      <c r="C69" s="2813"/>
      <c r="D69" s="2827"/>
      <c r="E69" s="1159" t="s">
        <v>199</v>
      </c>
      <c r="F69" s="1160"/>
      <c r="G69" s="1161"/>
      <c r="H69" s="151"/>
      <c r="I69" s="151"/>
      <c r="J69" s="151"/>
      <c r="K69" s="151"/>
      <c r="L69" s="151"/>
      <c r="M69" s="151"/>
      <c r="N69" s="151"/>
      <c r="O69" s="151"/>
      <c r="P69" s="170"/>
      <c r="Q69" s="151"/>
      <c r="R69" s="151"/>
      <c r="S69" s="151"/>
      <c r="T69" s="151"/>
      <c r="U69" s="151"/>
      <c r="V69" s="151"/>
      <c r="W69" s="151"/>
      <c r="X69" s="151"/>
      <c r="Y69" s="151"/>
      <c r="Z69" s="151"/>
      <c r="AA69" s="151"/>
      <c r="AB69" s="151"/>
      <c r="AC69" s="151"/>
      <c r="AD69" s="151"/>
      <c r="AE69" s="151"/>
      <c r="AF69" s="151"/>
      <c r="AG69" s="151"/>
      <c r="AH69" s="151"/>
      <c r="AI69" s="151"/>
      <c r="AJ69" s="151"/>
      <c r="AK69" s="151"/>
      <c r="AL69" s="171"/>
      <c r="AM69" s="172"/>
    </row>
    <row r="70" spans="2:39" ht="14.4" thickBot="1">
      <c r="B70" s="2811"/>
      <c r="C70" s="2813"/>
      <c r="D70" s="2828" t="s">
        <v>68</v>
      </c>
      <c r="E70" s="1147" t="s">
        <v>296</v>
      </c>
      <c r="F70" s="1148">
        <f t="shared" ref="F70" si="58">IFERROR(F72*1000/F67,0)</f>
        <v>1.747663551401869</v>
      </c>
      <c r="G70" s="1149"/>
      <c r="H70" s="1150">
        <f>Breaking.!D56</f>
        <v>1.7476635514018692</v>
      </c>
      <c r="I70" s="1150">
        <f>Breaking.!E56</f>
        <v>1.7476635514018692</v>
      </c>
      <c r="J70" s="1150">
        <f>Breaking.!F56</f>
        <v>1.7476635514018692</v>
      </c>
      <c r="K70" s="1150">
        <f>Breaking.!G56</f>
        <v>1.7476635514018692</v>
      </c>
      <c r="L70" s="1150">
        <f>Breaking.!H56</f>
        <v>1.7476635514018692</v>
      </c>
      <c r="M70" s="1150">
        <f>Breaking.!I56</f>
        <v>1.7476635514018692</v>
      </c>
      <c r="N70" s="1150">
        <f>Breaking.!J56</f>
        <v>1.7476635514018692</v>
      </c>
      <c r="O70" s="1150">
        <f>Breaking.!K56</f>
        <v>1.7476635514018692</v>
      </c>
      <c r="P70" s="1150">
        <f>Breaking.!L56</f>
        <v>1.7476635514018692</v>
      </c>
      <c r="Q70" s="1150">
        <f>Breaking.!M56</f>
        <v>1.7476635514018692</v>
      </c>
      <c r="R70" s="1150">
        <f>Breaking.!N56</f>
        <v>0</v>
      </c>
      <c r="S70" s="1150">
        <f>Breaking.!O56</f>
        <v>0</v>
      </c>
      <c r="T70" s="1150">
        <f>Breaking.!P56</f>
        <v>1.7476635514018692</v>
      </c>
      <c r="U70" s="1150">
        <f>Breaking.!Q56</f>
        <v>1.7476635514018692</v>
      </c>
      <c r="V70" s="1150">
        <f>Breaking.!R56</f>
        <v>1.7476635514018692</v>
      </c>
      <c r="W70" s="1150">
        <f>Breaking.!S56</f>
        <v>1.7476635514018692</v>
      </c>
      <c r="X70" s="1150">
        <f>Breaking.!T56</f>
        <v>1.7476635514018692</v>
      </c>
      <c r="Y70" s="1150">
        <f>Breaking.!U56</f>
        <v>1.7476635514018692</v>
      </c>
      <c r="Z70" s="1150">
        <f>Breaking.!V56</f>
        <v>1.7476635514018692</v>
      </c>
      <c r="AA70" s="1150">
        <f>Breaking.!W56</f>
        <v>1.7476635514018692</v>
      </c>
      <c r="AB70" s="1150">
        <f>Breaking.!X56</f>
        <v>1.7476635514018692</v>
      </c>
      <c r="AC70" s="1150">
        <f>Breaking.!Y56</f>
        <v>1.7476635514018692</v>
      </c>
      <c r="AD70" s="1150">
        <f>Breaking.!Z56</f>
        <v>1.7476635514018692</v>
      </c>
      <c r="AE70" s="1150">
        <f>Breaking.!AA56</f>
        <v>1.7476635514018692</v>
      </c>
      <c r="AF70" s="1150">
        <f>Breaking.!AB56</f>
        <v>1.7476635514018692</v>
      </c>
      <c r="AG70" s="1150">
        <f>Breaking.!AC56</f>
        <v>1.7476635514018692</v>
      </c>
      <c r="AH70" s="1150">
        <f>Breaking.!AD56</f>
        <v>1.7476635514018692</v>
      </c>
      <c r="AI70" s="1150">
        <f>Breaking.!AE56</f>
        <v>1.7476635514018692</v>
      </c>
      <c r="AJ70" s="1150">
        <f>Breaking.!AF56</f>
        <v>1.7476635514018692</v>
      </c>
      <c r="AK70" s="1150">
        <f>Breaking.!AG56</f>
        <v>1.7476635514018692</v>
      </c>
      <c r="AL70" s="1150">
        <f>Breaking.!AH56</f>
        <v>1.7476635514018692</v>
      </c>
      <c r="AM70" s="95"/>
    </row>
    <row r="71" spans="2:39" ht="14.4" thickBot="1">
      <c r="B71" s="2811"/>
      <c r="C71" s="2813"/>
      <c r="D71" s="2828"/>
      <c r="E71" s="1151" t="s">
        <v>297</v>
      </c>
      <c r="F71" s="1152">
        <f>IFERROR(F73*1000/F68,0)</f>
        <v>1.9963777777777776</v>
      </c>
      <c r="G71" s="1142">
        <f t="shared" ref="G71" si="59">IFERROR((F71-F70)/F70,0)</f>
        <v>0.14231241830065358</v>
      </c>
      <c r="H71" s="1153">
        <v>1.46</v>
      </c>
      <c r="I71" s="1152">
        <v>4.54</v>
      </c>
      <c r="J71" s="1152">
        <v>4.54</v>
      </c>
      <c r="K71" s="1152">
        <v>2.98</v>
      </c>
      <c r="L71" s="1152">
        <v>0.15</v>
      </c>
      <c r="M71" s="1152"/>
      <c r="N71" s="1152"/>
      <c r="O71" s="1152"/>
      <c r="P71" s="1152"/>
      <c r="Q71" s="1152"/>
      <c r="R71" s="1152"/>
      <c r="S71" s="1152"/>
      <c r="T71" s="1152"/>
      <c r="U71" s="1152"/>
      <c r="V71" s="1152"/>
      <c r="W71" s="1152"/>
      <c r="X71" s="1152"/>
      <c r="Y71" s="1152"/>
      <c r="Z71" s="1152"/>
      <c r="AA71" s="1152"/>
      <c r="AB71" s="1152"/>
      <c r="AC71" s="1152"/>
      <c r="AD71" s="1152"/>
      <c r="AE71" s="1152"/>
      <c r="AF71" s="1152"/>
      <c r="AG71" s="1152"/>
      <c r="AH71" s="1152"/>
      <c r="AI71" s="1152"/>
      <c r="AJ71" s="1152"/>
      <c r="AK71" s="1152"/>
      <c r="AL71" s="1152"/>
      <c r="AM71" s="95"/>
    </row>
    <row r="72" spans="2:39" ht="14.4" thickBot="1">
      <c r="B72" s="2811"/>
      <c r="C72" s="2813"/>
      <c r="D72" s="2828" t="s">
        <v>70</v>
      </c>
      <c r="E72" s="1147" t="s">
        <v>298</v>
      </c>
      <c r="F72" s="96">
        <f>SUMIF($H$9:$AL$9,"&lt;="&amp;$C$7,H72:AL72)</f>
        <v>0.73401869158878508</v>
      </c>
      <c r="G72" s="1149"/>
      <c r="H72" s="1154">
        <f t="shared" ref="H72:H73" si="60">+H70*H67/1000</f>
        <v>0.12233644859813084</v>
      </c>
      <c r="I72" s="1154">
        <f t="shared" ref="I72:AL72" si="61">+I70*I67/1000</f>
        <v>0.12233644859813084</v>
      </c>
      <c r="J72" s="1154">
        <f t="shared" si="61"/>
        <v>0.12233644859813084</v>
      </c>
      <c r="K72" s="1155">
        <f t="shared" si="61"/>
        <v>0.12233644859813084</v>
      </c>
      <c r="L72" s="1155">
        <f t="shared" si="61"/>
        <v>0.12233644859813084</v>
      </c>
      <c r="M72" s="1155">
        <f t="shared" ref="M72:Q73" si="62">+M70*M67/1000</f>
        <v>0.12233644859813084</v>
      </c>
      <c r="N72" s="1155">
        <f t="shared" si="62"/>
        <v>0.12233644859813084</v>
      </c>
      <c r="O72" s="1155">
        <f t="shared" si="62"/>
        <v>0.12233644859813084</v>
      </c>
      <c r="P72" s="1156">
        <f t="shared" si="62"/>
        <v>0.12233644859813084</v>
      </c>
      <c r="Q72" s="1155">
        <f t="shared" si="62"/>
        <v>0.12233644859813084</v>
      </c>
      <c r="R72" s="1155">
        <f t="shared" si="61"/>
        <v>0</v>
      </c>
      <c r="S72" s="1155">
        <f t="shared" si="61"/>
        <v>0</v>
      </c>
      <c r="T72" s="1155">
        <f t="shared" si="61"/>
        <v>0.12233644859813084</v>
      </c>
      <c r="U72" s="1155">
        <f t="shared" si="61"/>
        <v>0.12233644859813084</v>
      </c>
      <c r="V72" s="1155">
        <f t="shared" si="61"/>
        <v>0.12233644859813084</v>
      </c>
      <c r="W72" s="1155">
        <f>+W70*W67/1000</f>
        <v>0.12233644859813084</v>
      </c>
      <c r="X72" s="1155">
        <f t="shared" si="61"/>
        <v>0.12233644859813084</v>
      </c>
      <c r="Y72" s="1155">
        <f t="shared" si="61"/>
        <v>0.12233644859813084</v>
      </c>
      <c r="Z72" s="1155">
        <f t="shared" si="61"/>
        <v>0.12233644859813084</v>
      </c>
      <c r="AA72" s="1155">
        <f t="shared" si="61"/>
        <v>0.12233644859813084</v>
      </c>
      <c r="AB72" s="1155">
        <f t="shared" si="61"/>
        <v>0.12233644859813084</v>
      </c>
      <c r="AC72" s="1155">
        <f t="shared" si="61"/>
        <v>0.12233644859813084</v>
      </c>
      <c r="AD72" s="1155">
        <f t="shared" si="61"/>
        <v>0.12233644859813084</v>
      </c>
      <c r="AE72" s="1155">
        <f t="shared" si="61"/>
        <v>0.12233644859813084</v>
      </c>
      <c r="AF72" s="1155">
        <f t="shared" si="61"/>
        <v>0.12233644859813084</v>
      </c>
      <c r="AG72" s="1155">
        <f t="shared" si="61"/>
        <v>0.12233644859813084</v>
      </c>
      <c r="AH72" s="1155">
        <f t="shared" si="61"/>
        <v>0.12233644859813084</v>
      </c>
      <c r="AI72" s="1155">
        <f t="shared" si="61"/>
        <v>0.12233644859813084</v>
      </c>
      <c r="AJ72" s="1155">
        <f t="shared" si="61"/>
        <v>0.12233644859813084</v>
      </c>
      <c r="AK72" s="1155">
        <f t="shared" si="61"/>
        <v>0.12233644859813084</v>
      </c>
      <c r="AL72" s="1157">
        <f t="shared" si="61"/>
        <v>0.12233644859813084</v>
      </c>
      <c r="AM72" s="97"/>
    </row>
    <row r="73" spans="2:39" ht="14.4" thickBot="1">
      <c r="B73" s="2811"/>
      <c r="C73" s="2814"/>
      <c r="D73" s="2829"/>
      <c r="E73" s="1049" t="s">
        <v>299</v>
      </c>
      <c r="F73" s="1004">
        <f>SUMIF($H$9:$AL$9,"&lt;="&amp;$C$7,H73:AL73)</f>
        <v>0.89836999999999989</v>
      </c>
      <c r="G73" s="1105">
        <f t="shared" ref="G73" si="63">IFERROR((F73-F72)/F72,0)</f>
        <v>0.22390616246498579</v>
      </c>
      <c r="H73" s="1158">
        <f t="shared" si="60"/>
        <v>5.11E-2</v>
      </c>
      <c r="I73" s="1004">
        <f t="shared" ref="I73:AL73" si="64">+I71*I68/1000</f>
        <v>0.29963999999999996</v>
      </c>
      <c r="J73" s="1004">
        <f t="shared" si="64"/>
        <v>0.32688</v>
      </c>
      <c r="K73" s="1004">
        <f t="shared" si="64"/>
        <v>0.20860000000000001</v>
      </c>
      <c r="L73" s="1004">
        <f t="shared" si="64"/>
        <v>1.2150000000000001E-2</v>
      </c>
      <c r="M73" s="1004">
        <f t="shared" si="62"/>
        <v>0</v>
      </c>
      <c r="N73" s="1004">
        <f t="shared" si="62"/>
        <v>0</v>
      </c>
      <c r="O73" s="1004">
        <f t="shared" si="62"/>
        <v>0</v>
      </c>
      <c r="P73" s="1004">
        <f t="shared" si="62"/>
        <v>0</v>
      </c>
      <c r="Q73" s="1004">
        <f t="shared" si="62"/>
        <v>0</v>
      </c>
      <c r="R73" s="1004">
        <f>+R71*R68/1000</f>
        <v>0</v>
      </c>
      <c r="S73" s="1004">
        <f>+S71*S68/1000</f>
        <v>0</v>
      </c>
      <c r="T73" s="1004">
        <f>+T71*T68/1000</f>
        <v>0</v>
      </c>
      <c r="U73" s="1004">
        <f>+U71*U68/1000</f>
        <v>0</v>
      </c>
      <c r="V73" s="1004">
        <f t="shared" si="64"/>
        <v>0</v>
      </c>
      <c r="W73" s="1004">
        <f>+W71*W68/1000</f>
        <v>0</v>
      </c>
      <c r="X73" s="1004">
        <f t="shared" si="64"/>
        <v>0</v>
      </c>
      <c r="Y73" s="1004">
        <f t="shared" si="64"/>
        <v>0</v>
      </c>
      <c r="Z73" s="1004">
        <f t="shared" si="64"/>
        <v>0</v>
      </c>
      <c r="AA73" s="1004">
        <f t="shared" si="64"/>
        <v>0</v>
      </c>
      <c r="AB73" s="1004">
        <f>+AB71*AB68/1000</f>
        <v>0</v>
      </c>
      <c r="AC73" s="1004">
        <f>+AC71*AC68/1000</f>
        <v>0</v>
      </c>
      <c r="AD73" s="1004">
        <f t="shared" si="64"/>
        <v>0</v>
      </c>
      <c r="AE73" s="1004">
        <f t="shared" si="64"/>
        <v>0</v>
      </c>
      <c r="AF73" s="1004">
        <f t="shared" si="64"/>
        <v>0</v>
      </c>
      <c r="AG73" s="1004">
        <f t="shared" si="64"/>
        <v>0</v>
      </c>
      <c r="AH73" s="1004">
        <f t="shared" si="64"/>
        <v>0</v>
      </c>
      <c r="AI73" s="1004">
        <f t="shared" si="64"/>
        <v>0</v>
      </c>
      <c r="AJ73" s="1004">
        <f>+AJ71*AJ68/1000</f>
        <v>0</v>
      </c>
      <c r="AK73" s="1004">
        <f t="shared" si="64"/>
        <v>0</v>
      </c>
      <c r="AL73" s="1004">
        <f t="shared" si="64"/>
        <v>0</v>
      </c>
      <c r="AM73" s="98"/>
    </row>
    <row r="74" spans="2:39" ht="14.4" thickBot="1">
      <c r="B74" s="2833">
        <v>1</v>
      </c>
      <c r="C74" s="2736" t="str">
        <f>+Breaking.!A53</f>
        <v>5L_W8 STOPE</v>
      </c>
      <c r="D74" s="2827" t="s">
        <v>66</v>
      </c>
      <c r="E74" s="145" t="s">
        <v>294</v>
      </c>
      <c r="F74" s="146">
        <f>SUMIF($H$9:$AL$9,"&lt;="&amp;$C$7,H74:AL74)</f>
        <v>630</v>
      </c>
      <c r="G74" s="81"/>
      <c r="H74" s="1594">
        <f>Breaking.!D53</f>
        <v>105</v>
      </c>
      <c r="I74" s="1594">
        <f>Breaking.!E53</f>
        <v>105</v>
      </c>
      <c r="J74" s="1594">
        <f>Breaking.!F53</f>
        <v>105</v>
      </c>
      <c r="K74" s="1594">
        <f>Breaking.!G53</f>
        <v>105</v>
      </c>
      <c r="L74" s="1594">
        <f>Breaking.!H53</f>
        <v>105</v>
      </c>
      <c r="M74" s="1594">
        <f>Breaking.!I53</f>
        <v>105</v>
      </c>
      <c r="N74" s="1594">
        <f>Breaking.!J53</f>
        <v>105</v>
      </c>
      <c r="O74" s="1594">
        <f>Breaking.!K53</f>
        <v>105</v>
      </c>
      <c r="P74" s="1594">
        <f>Breaking.!L53</f>
        <v>105</v>
      </c>
      <c r="Q74" s="1594">
        <f>Breaking.!M53</f>
        <v>105</v>
      </c>
      <c r="R74" s="1594">
        <f>Breaking.!N53</f>
        <v>0</v>
      </c>
      <c r="S74" s="1594">
        <f>Breaking.!O53</f>
        <v>0</v>
      </c>
      <c r="T74" s="1594">
        <f>Breaking.!P53</f>
        <v>105</v>
      </c>
      <c r="U74" s="1594">
        <f>Breaking.!Q53</f>
        <v>105</v>
      </c>
      <c r="V74" s="1594">
        <f>Breaking.!R53</f>
        <v>105</v>
      </c>
      <c r="W74" s="1594">
        <f>Breaking.!S53</f>
        <v>105</v>
      </c>
      <c r="X74" s="1594">
        <f>Breaking.!T53</f>
        <v>105</v>
      </c>
      <c r="Y74" s="1594">
        <f>Breaking.!U53</f>
        <v>105</v>
      </c>
      <c r="Z74" s="1594">
        <f>Breaking.!V53</f>
        <v>105</v>
      </c>
      <c r="AA74" s="1594">
        <f>Breaking.!W53</f>
        <v>105</v>
      </c>
      <c r="AB74" s="1594">
        <f>Breaking.!X53</f>
        <v>105</v>
      </c>
      <c r="AC74" s="1594">
        <f>Breaking.!Y53</f>
        <v>105</v>
      </c>
      <c r="AD74" s="1594">
        <f>Breaking.!Z53</f>
        <v>105</v>
      </c>
      <c r="AE74" s="1594">
        <f>Breaking.!AA53</f>
        <v>105</v>
      </c>
      <c r="AF74" s="1594">
        <f>Breaking.!AB53</f>
        <v>105</v>
      </c>
      <c r="AG74" s="1594">
        <f>Breaking.!AC53</f>
        <v>105</v>
      </c>
      <c r="AH74" s="1594">
        <f>Breaking.!AD53</f>
        <v>105</v>
      </c>
      <c r="AI74" s="1594">
        <f>Breaking.!AE53</f>
        <v>105</v>
      </c>
      <c r="AJ74" s="1594">
        <f>Breaking.!AF53</f>
        <v>105</v>
      </c>
      <c r="AK74" s="1594">
        <f>Breaking.!AG53</f>
        <v>105</v>
      </c>
      <c r="AL74" s="1594">
        <f>Breaking.!AH53</f>
        <v>105</v>
      </c>
      <c r="AM74" s="150"/>
    </row>
    <row r="75" spans="2:39">
      <c r="B75" s="2834"/>
      <c r="C75" s="2813"/>
      <c r="D75" s="2827"/>
      <c r="E75" s="1141" t="s">
        <v>295</v>
      </c>
      <c r="F75" s="1095">
        <f>SUMIF($H$9:$AL$9,"&lt;="&amp;$C$7,H75:AL75)</f>
        <v>618</v>
      </c>
      <c r="G75" s="1142">
        <f>IFERROR((F75-F74)/F74,0)</f>
        <v>-1.9047619047619049E-2</v>
      </c>
      <c r="H75" s="1143">
        <f>38+46+43</f>
        <v>127</v>
      </c>
      <c r="I75" s="1095">
        <f>39+40+43</f>
        <v>122</v>
      </c>
      <c r="J75" s="1095">
        <f>35+34+39</f>
        <v>108</v>
      </c>
      <c r="K75" s="1095">
        <v>106</v>
      </c>
      <c r="L75" s="1095">
        <f>39+40</f>
        <v>79</v>
      </c>
      <c r="M75" s="1095">
        <f>40+40+39-43</f>
        <v>76</v>
      </c>
      <c r="N75" s="1095"/>
      <c r="O75" s="1095"/>
      <c r="P75" s="1095"/>
      <c r="Q75" s="1095"/>
      <c r="R75" s="1095"/>
      <c r="S75" s="1095"/>
      <c r="T75" s="1095"/>
      <c r="U75" s="1095"/>
      <c r="V75" s="1095"/>
      <c r="W75" s="1095"/>
      <c r="X75" s="1095"/>
      <c r="Y75" s="1095"/>
      <c r="Z75" s="1095"/>
      <c r="AA75" s="1095"/>
      <c r="AB75" s="1095"/>
      <c r="AC75" s="1095"/>
      <c r="AD75" s="1095"/>
      <c r="AE75" s="1095"/>
      <c r="AF75" s="1095"/>
      <c r="AG75" s="1095"/>
      <c r="AH75" s="1095"/>
      <c r="AI75" s="1095"/>
      <c r="AJ75" s="1095"/>
      <c r="AK75" s="1095"/>
      <c r="AL75" s="1095"/>
      <c r="AM75" s="95"/>
    </row>
    <row r="76" spans="2:39" ht="14.4" thickBot="1">
      <c r="B76" s="2834"/>
      <c r="C76" s="2813"/>
      <c r="D76" s="2827"/>
      <c r="E76" s="1159" t="s">
        <v>199</v>
      </c>
      <c r="F76" s="1160"/>
      <c r="G76" s="1161"/>
      <c r="H76" s="151"/>
      <c r="I76" s="151"/>
      <c r="J76" s="151"/>
      <c r="K76" s="151"/>
      <c r="L76" s="151"/>
      <c r="M76" s="151"/>
      <c r="N76" s="151"/>
      <c r="O76" s="151"/>
      <c r="P76" s="170"/>
      <c r="Q76" s="151"/>
      <c r="R76" s="151"/>
      <c r="S76" s="151"/>
      <c r="T76" s="151"/>
      <c r="U76" s="151"/>
      <c r="V76" s="151"/>
      <c r="W76" s="151"/>
      <c r="X76" s="151"/>
      <c r="Y76" s="151"/>
      <c r="Z76" s="151"/>
      <c r="AA76" s="151"/>
      <c r="AB76" s="151"/>
      <c r="AC76" s="151"/>
      <c r="AD76" s="151"/>
      <c r="AE76" s="151"/>
      <c r="AF76" s="151"/>
      <c r="AG76" s="151"/>
      <c r="AH76" s="151"/>
      <c r="AI76" s="151"/>
      <c r="AJ76" s="151"/>
      <c r="AK76" s="151"/>
      <c r="AL76" s="171"/>
      <c r="AM76" s="172"/>
    </row>
    <row r="77" spans="2:39" ht="14.4" thickBot="1">
      <c r="B77" s="2834"/>
      <c r="C77" s="2813"/>
      <c r="D77" s="2828" t="s">
        <v>68</v>
      </c>
      <c r="E77" s="1147" t="s">
        <v>296</v>
      </c>
      <c r="F77" s="1148">
        <f>IFERROR(F79*1000/F74,0)</f>
        <v>1.8271028037383172</v>
      </c>
      <c r="G77" s="1149"/>
      <c r="H77" s="1150">
        <f>Breaking.!D54</f>
        <v>1.8271028037383175</v>
      </c>
      <c r="I77" s="1150">
        <f>Breaking.!E54</f>
        <v>1.8271028037383175</v>
      </c>
      <c r="J77" s="1150">
        <f>Breaking.!F54</f>
        <v>1.8271028037383175</v>
      </c>
      <c r="K77" s="1150">
        <f>Breaking.!G54</f>
        <v>1.8271028037383175</v>
      </c>
      <c r="L77" s="1150">
        <f>Breaking.!H54</f>
        <v>1.8271028037383175</v>
      </c>
      <c r="M77" s="1150">
        <f>Breaking.!I54</f>
        <v>1.8271028037383175</v>
      </c>
      <c r="N77" s="1150">
        <f>Breaking.!J54</f>
        <v>1.8271028037383175</v>
      </c>
      <c r="O77" s="1150">
        <f>Breaking.!K54</f>
        <v>1.8271028037383175</v>
      </c>
      <c r="P77" s="1150">
        <f>Breaking.!L54</f>
        <v>1.8271028037383175</v>
      </c>
      <c r="Q77" s="1150">
        <f>Breaking.!M54</f>
        <v>1.8271028037383175</v>
      </c>
      <c r="R77" s="1150">
        <f>Breaking.!N54</f>
        <v>0</v>
      </c>
      <c r="S77" s="1150">
        <f>Breaking.!O54</f>
        <v>0</v>
      </c>
      <c r="T77" s="1150">
        <f>Breaking.!P54</f>
        <v>1.8271028037383175</v>
      </c>
      <c r="U77" s="1150">
        <f>Breaking.!Q54</f>
        <v>1.8271028037383175</v>
      </c>
      <c r="V77" s="1150">
        <f>Breaking.!R54</f>
        <v>1.8271028037383175</v>
      </c>
      <c r="W77" s="1150">
        <f>Breaking.!S54</f>
        <v>1.8271028037383175</v>
      </c>
      <c r="X77" s="1150">
        <f>Breaking.!T54</f>
        <v>1.8271028037383175</v>
      </c>
      <c r="Y77" s="1150">
        <f>Breaking.!U54</f>
        <v>1.8271028037383175</v>
      </c>
      <c r="Z77" s="1150">
        <f>Breaking.!V54</f>
        <v>1.8271028037383175</v>
      </c>
      <c r="AA77" s="1150">
        <f>Breaking.!W54</f>
        <v>1.8271028037383175</v>
      </c>
      <c r="AB77" s="1150">
        <f>Breaking.!X54</f>
        <v>1.8271028037383175</v>
      </c>
      <c r="AC77" s="1150">
        <f>Breaking.!Y54</f>
        <v>1.8271028037383175</v>
      </c>
      <c r="AD77" s="1150">
        <f>Breaking.!Z54</f>
        <v>1.8271028037383175</v>
      </c>
      <c r="AE77" s="1150">
        <f>Breaking.!AA54</f>
        <v>1.8271028037383175</v>
      </c>
      <c r="AF77" s="1150">
        <f>Breaking.!AB54</f>
        <v>1.8271028037383175</v>
      </c>
      <c r="AG77" s="1150">
        <f>Breaking.!AC54</f>
        <v>1.8271028037383175</v>
      </c>
      <c r="AH77" s="1150">
        <f>Breaking.!AD54</f>
        <v>1.8271028037383175</v>
      </c>
      <c r="AI77" s="1150">
        <f>Breaking.!AE54</f>
        <v>1.8271028037383175</v>
      </c>
      <c r="AJ77" s="1150">
        <f>Breaking.!AF54</f>
        <v>1.8271028037383175</v>
      </c>
      <c r="AK77" s="1150">
        <f>Breaking.!AG54</f>
        <v>1.8271028037383175</v>
      </c>
      <c r="AL77" s="1150">
        <f>Breaking.!AH54</f>
        <v>1.8271028037383175</v>
      </c>
      <c r="AM77" s="95"/>
    </row>
    <row r="78" spans="2:39" ht="14.4" thickBot="1">
      <c r="B78" s="2834"/>
      <c r="C78" s="2813"/>
      <c r="D78" s="2828"/>
      <c r="E78" s="1151" t="s">
        <v>297</v>
      </c>
      <c r="F78" s="1152">
        <f>IFERROR(F80*1000/F75,0)</f>
        <v>3.2245631067961162</v>
      </c>
      <c r="G78" s="1142">
        <f>IFERROR((F78-F77)/F77,0)</f>
        <v>0.76485039604697969</v>
      </c>
      <c r="H78" s="1153">
        <v>3.88</v>
      </c>
      <c r="I78" s="1152">
        <v>4.3499999999999996</v>
      </c>
      <c r="J78" s="1152">
        <v>4.3499999999999996</v>
      </c>
      <c r="K78" s="1152">
        <v>1.39</v>
      </c>
      <c r="L78" s="1152">
        <v>3.14</v>
      </c>
      <c r="M78" s="1152">
        <v>1.37</v>
      </c>
      <c r="N78" s="1152"/>
      <c r="O78" s="1152"/>
      <c r="P78" s="1152"/>
      <c r="Q78" s="1152"/>
      <c r="R78" s="1152"/>
      <c r="S78" s="1152"/>
      <c r="T78" s="1152"/>
      <c r="U78" s="1152"/>
      <c r="V78" s="1152"/>
      <c r="W78" s="1152"/>
      <c r="X78" s="1152"/>
      <c r="Y78" s="1152"/>
      <c r="Z78" s="1152"/>
      <c r="AA78" s="1152"/>
      <c r="AB78" s="1152"/>
      <c r="AC78" s="1152"/>
      <c r="AD78" s="1152"/>
      <c r="AE78" s="1152"/>
      <c r="AF78" s="1152"/>
      <c r="AG78" s="1152"/>
      <c r="AH78" s="1152"/>
      <c r="AI78" s="1152"/>
      <c r="AJ78" s="1152"/>
      <c r="AK78" s="1152"/>
      <c r="AL78" s="1152"/>
      <c r="AM78" s="95"/>
    </row>
    <row r="79" spans="2:39" ht="14.4" thickBot="1">
      <c r="B79" s="2834"/>
      <c r="C79" s="2813"/>
      <c r="D79" s="2828" t="s">
        <v>70</v>
      </c>
      <c r="E79" s="1147" t="s">
        <v>298</v>
      </c>
      <c r="F79" s="96">
        <f>SUMIF($H$9:$AL$9,"&lt;="&amp;$C$7,H79:AL79)</f>
        <v>1.1510747663551399</v>
      </c>
      <c r="G79" s="1149"/>
      <c r="H79" s="1154">
        <f t="shared" ref="H79:AL79" si="65">+H77*H74/1000</f>
        <v>0.19184579439252333</v>
      </c>
      <c r="I79" s="1154">
        <f t="shared" si="65"/>
        <v>0.19184579439252333</v>
      </c>
      <c r="J79" s="1154">
        <f>+J77*J74/1000</f>
        <v>0.19184579439252333</v>
      </c>
      <c r="K79" s="1155">
        <f t="shared" si="65"/>
        <v>0.19184579439252333</v>
      </c>
      <c r="L79" s="1155">
        <f t="shared" si="65"/>
        <v>0.19184579439252333</v>
      </c>
      <c r="M79" s="1155">
        <f t="shared" si="65"/>
        <v>0.19184579439252333</v>
      </c>
      <c r="N79" s="1155">
        <f t="shared" si="65"/>
        <v>0.19184579439252333</v>
      </c>
      <c r="O79" s="1155">
        <f t="shared" si="65"/>
        <v>0.19184579439252333</v>
      </c>
      <c r="P79" s="1156">
        <f t="shared" si="65"/>
        <v>0.19184579439252333</v>
      </c>
      <c r="Q79" s="1155">
        <f t="shared" si="65"/>
        <v>0.19184579439252333</v>
      </c>
      <c r="R79" s="1155">
        <f t="shared" si="65"/>
        <v>0</v>
      </c>
      <c r="S79" s="1155">
        <f t="shared" si="65"/>
        <v>0</v>
      </c>
      <c r="T79" s="1155">
        <f t="shared" si="65"/>
        <v>0.19184579439252333</v>
      </c>
      <c r="U79" s="1155">
        <f t="shared" si="65"/>
        <v>0.19184579439252333</v>
      </c>
      <c r="V79" s="1155">
        <f t="shared" si="65"/>
        <v>0.19184579439252333</v>
      </c>
      <c r="W79" s="1155">
        <f t="shared" si="65"/>
        <v>0.19184579439252333</v>
      </c>
      <c r="X79" s="1155">
        <f t="shared" si="65"/>
        <v>0.19184579439252333</v>
      </c>
      <c r="Y79" s="1155">
        <f t="shared" si="65"/>
        <v>0.19184579439252333</v>
      </c>
      <c r="Z79" s="1155">
        <f t="shared" si="65"/>
        <v>0.19184579439252333</v>
      </c>
      <c r="AA79" s="1155">
        <f t="shared" si="65"/>
        <v>0.19184579439252333</v>
      </c>
      <c r="AB79" s="1155">
        <f t="shared" si="65"/>
        <v>0.19184579439252333</v>
      </c>
      <c r="AC79" s="1155">
        <f t="shared" si="65"/>
        <v>0.19184579439252333</v>
      </c>
      <c r="AD79" s="1155">
        <f t="shared" si="65"/>
        <v>0.19184579439252333</v>
      </c>
      <c r="AE79" s="1155">
        <f t="shared" si="65"/>
        <v>0.19184579439252333</v>
      </c>
      <c r="AF79" s="1155">
        <f t="shared" si="65"/>
        <v>0.19184579439252333</v>
      </c>
      <c r="AG79" s="1155">
        <f t="shared" si="65"/>
        <v>0.19184579439252333</v>
      </c>
      <c r="AH79" s="1155">
        <f t="shared" si="65"/>
        <v>0.19184579439252333</v>
      </c>
      <c r="AI79" s="1155">
        <f t="shared" si="65"/>
        <v>0.19184579439252333</v>
      </c>
      <c r="AJ79" s="1155">
        <f t="shared" si="65"/>
        <v>0.19184579439252333</v>
      </c>
      <c r="AK79" s="1155">
        <f t="shared" si="65"/>
        <v>0.19184579439252333</v>
      </c>
      <c r="AL79" s="1157">
        <f t="shared" si="65"/>
        <v>0.19184579439252333</v>
      </c>
      <c r="AM79" s="97"/>
    </row>
    <row r="80" spans="2:39" ht="14.4" thickBot="1">
      <c r="B80" s="2834"/>
      <c r="C80" s="2814"/>
      <c r="D80" s="2829"/>
      <c r="E80" s="1049" t="s">
        <v>299</v>
      </c>
      <c r="F80" s="1004">
        <f>SUMIF($H$9:$AL$9,"&lt;="&amp;$C$7,H80:AL80)</f>
        <v>1.99278</v>
      </c>
      <c r="G80" s="1105">
        <f>IFERROR((F80-F79)/F79,0)</f>
        <v>0.73123419802703726</v>
      </c>
      <c r="H80" s="1158">
        <f t="shared" ref="H80:AL80" si="66">+H78*H75/1000</f>
        <v>0.49275999999999998</v>
      </c>
      <c r="I80" s="1004">
        <f t="shared" si="66"/>
        <v>0.53069999999999995</v>
      </c>
      <c r="J80" s="1004">
        <f t="shared" si="66"/>
        <v>0.46979999999999994</v>
      </c>
      <c r="K80" s="1004">
        <f t="shared" si="66"/>
        <v>0.14734</v>
      </c>
      <c r="L80" s="1004">
        <f t="shared" si="66"/>
        <v>0.24806</v>
      </c>
      <c r="M80" s="1004">
        <f t="shared" si="66"/>
        <v>0.10412</v>
      </c>
      <c r="N80" s="1911">
        <f>+N78*N75/1000</f>
        <v>0</v>
      </c>
      <c r="O80" s="1004">
        <f>+O78*O75/1000</f>
        <v>0</v>
      </c>
      <c r="P80" s="1004">
        <f t="shared" si="66"/>
        <v>0</v>
      </c>
      <c r="Q80" s="1004">
        <f t="shared" si="66"/>
        <v>0</v>
      </c>
      <c r="R80" s="1004">
        <f t="shared" si="66"/>
        <v>0</v>
      </c>
      <c r="S80" s="1004">
        <f t="shared" si="66"/>
        <v>0</v>
      </c>
      <c r="T80" s="1004">
        <f t="shared" si="66"/>
        <v>0</v>
      </c>
      <c r="U80" s="1004">
        <f t="shared" si="66"/>
        <v>0</v>
      </c>
      <c r="V80" s="1004">
        <f t="shared" si="66"/>
        <v>0</v>
      </c>
      <c r="W80" s="1004">
        <f t="shared" si="66"/>
        <v>0</v>
      </c>
      <c r="X80" s="1004">
        <f t="shared" si="66"/>
        <v>0</v>
      </c>
      <c r="Y80" s="1004">
        <f t="shared" si="66"/>
        <v>0</v>
      </c>
      <c r="Z80" s="1004">
        <f t="shared" si="66"/>
        <v>0</v>
      </c>
      <c r="AA80" s="1004">
        <f t="shared" si="66"/>
        <v>0</v>
      </c>
      <c r="AB80" s="1004">
        <f>+AB78*AB75/1000</f>
        <v>0</v>
      </c>
      <c r="AC80" s="1004">
        <f>+AC78*AC75/1000</f>
        <v>0</v>
      </c>
      <c r="AD80" s="1004">
        <f t="shared" si="66"/>
        <v>0</v>
      </c>
      <c r="AE80" s="1004">
        <f t="shared" si="66"/>
        <v>0</v>
      </c>
      <c r="AF80" s="1004">
        <f t="shared" si="66"/>
        <v>0</v>
      </c>
      <c r="AG80" s="1004">
        <f t="shared" si="66"/>
        <v>0</v>
      </c>
      <c r="AH80" s="1004">
        <f t="shared" si="66"/>
        <v>0</v>
      </c>
      <c r="AI80" s="1004">
        <f t="shared" si="66"/>
        <v>0</v>
      </c>
      <c r="AJ80" s="1004">
        <f>+AJ78*AJ75/1000</f>
        <v>0</v>
      </c>
      <c r="AK80" s="1004">
        <f t="shared" si="66"/>
        <v>0</v>
      </c>
      <c r="AL80" s="1004">
        <f t="shared" si="66"/>
        <v>0</v>
      </c>
      <c r="AM80" s="98"/>
    </row>
    <row r="81" spans="2:39" ht="14.4" thickBot="1">
      <c r="B81" s="2830">
        <v>1</v>
      </c>
      <c r="C81" s="2736" t="str">
        <f>Breaking.!A63</f>
        <v>6L_E1 STOPE</v>
      </c>
      <c r="D81" s="2843" t="s">
        <v>66</v>
      </c>
      <c r="E81" s="91" t="s">
        <v>294</v>
      </c>
      <c r="F81" s="92">
        <f>SUMIF($H$9:$AL$9,"&lt;="&amp;$C$7,H81:AL81)</f>
        <v>210</v>
      </c>
      <c r="G81" s="93"/>
      <c r="H81" s="1398">
        <f>Breaking.!D63</f>
        <v>35</v>
      </c>
      <c r="I81" s="1398">
        <f>Breaking.!E63</f>
        <v>35</v>
      </c>
      <c r="J81" s="1398">
        <f>Breaking.!F63</f>
        <v>35</v>
      </c>
      <c r="K81" s="1398">
        <f>Breaking.!G63</f>
        <v>35</v>
      </c>
      <c r="L81" s="1398">
        <f>Breaking.!H63</f>
        <v>35</v>
      </c>
      <c r="M81" s="1398">
        <f>Breaking.!I63</f>
        <v>35</v>
      </c>
      <c r="N81" s="1398">
        <f>Breaking.!J63</f>
        <v>35</v>
      </c>
      <c r="O81" s="1398">
        <f>Breaking.!K63</f>
        <v>35</v>
      </c>
      <c r="P81" s="1398">
        <f>Breaking.!L63</f>
        <v>35</v>
      </c>
      <c r="Q81" s="1398">
        <f>Breaking.!M63</f>
        <v>35</v>
      </c>
      <c r="R81" s="1398">
        <f>Breaking.!N63</f>
        <v>0</v>
      </c>
      <c r="S81" s="1398">
        <f>Breaking.!O63</f>
        <v>0</v>
      </c>
      <c r="T81" s="1398">
        <f>Breaking.!P63</f>
        <v>35</v>
      </c>
      <c r="U81" s="1398">
        <f>Breaking.!Q63</f>
        <v>35</v>
      </c>
      <c r="V81" s="1398">
        <f>Breaking.!R63</f>
        <v>35</v>
      </c>
      <c r="W81" s="1398">
        <f>Breaking.!S63</f>
        <v>35</v>
      </c>
      <c r="X81" s="1398">
        <f>Breaking.!T63</f>
        <v>35</v>
      </c>
      <c r="Y81" s="1398">
        <f>Breaking.!U63</f>
        <v>35</v>
      </c>
      <c r="Z81" s="1398">
        <f>Breaking.!V63</f>
        <v>35</v>
      </c>
      <c r="AA81" s="1398">
        <f>Breaking.!W63</f>
        <v>35</v>
      </c>
      <c r="AB81" s="1398">
        <f>Breaking.!X63</f>
        <v>35</v>
      </c>
      <c r="AC81" s="1398">
        <f>Breaking.!Y63</f>
        <v>35</v>
      </c>
      <c r="AD81" s="1398">
        <f>Breaking.!Z63</f>
        <v>35</v>
      </c>
      <c r="AE81" s="1398">
        <f>Breaking.!AA63</f>
        <v>35</v>
      </c>
      <c r="AF81" s="1398">
        <f>Breaking.!AB63</f>
        <v>35</v>
      </c>
      <c r="AG81" s="1398">
        <f>Breaking.!AC63</f>
        <v>35</v>
      </c>
      <c r="AH81" s="1398">
        <f>Breaking.!AD63</f>
        <v>35</v>
      </c>
      <c r="AI81" s="1398">
        <f>Breaking.!AE63</f>
        <v>35</v>
      </c>
      <c r="AJ81" s="1398">
        <f>Breaking.!AF63</f>
        <v>35</v>
      </c>
      <c r="AK81" s="1398">
        <f>Breaking.!AG63</f>
        <v>35</v>
      </c>
      <c r="AL81" s="1398">
        <f>Breaking.!AH63</f>
        <v>35</v>
      </c>
      <c r="AM81" s="150"/>
    </row>
    <row r="82" spans="2:39" ht="14.4" thickBot="1">
      <c r="B82" s="2811"/>
      <c r="C82" s="2813"/>
      <c r="D82" s="2827"/>
      <c r="E82" s="1141" t="s">
        <v>295</v>
      </c>
      <c r="F82" s="1095">
        <f>SUMIF($H$9:$AL$9,"&lt;="&amp;$C$7,H82:AL82)</f>
        <v>320</v>
      </c>
      <c r="G82" s="1142">
        <f t="shared" ref="G82" si="67">IFERROR((F82-F81)/F81,0)</f>
        <v>0.52380952380952384</v>
      </c>
      <c r="H82" s="1143">
        <v>60</v>
      </c>
      <c r="I82" s="1095">
        <v>63</v>
      </c>
      <c r="J82" s="1095"/>
      <c r="K82" s="1095">
        <v>75</v>
      </c>
      <c r="L82" s="1095">
        <f>48</f>
        <v>48</v>
      </c>
      <c r="M82" s="1095">
        <v>74</v>
      </c>
      <c r="N82" s="1095"/>
      <c r="O82" s="1095"/>
      <c r="P82" s="1095"/>
      <c r="Q82" s="1095"/>
      <c r="R82" s="1095"/>
      <c r="S82" s="1095"/>
      <c r="T82" s="1095"/>
      <c r="U82" s="1095"/>
      <c r="V82" s="1095"/>
      <c r="W82" s="1095"/>
      <c r="X82" s="1095"/>
      <c r="Y82" s="1095"/>
      <c r="Z82" s="1095"/>
      <c r="AA82" s="1095"/>
      <c r="AB82" s="1095"/>
      <c r="AC82" s="1095"/>
      <c r="AD82" s="1095"/>
      <c r="AE82" s="1095"/>
      <c r="AF82" s="1095"/>
      <c r="AG82" s="1095"/>
      <c r="AH82" s="1095"/>
      <c r="AI82" s="1095"/>
      <c r="AJ82" s="1095"/>
      <c r="AK82" s="1095"/>
      <c r="AL82" s="1095"/>
      <c r="AM82" s="95"/>
    </row>
    <row r="83" spans="2:39" ht="14.4" thickBot="1">
      <c r="B83" s="2811"/>
      <c r="C83" s="2813"/>
      <c r="D83" s="2827"/>
      <c r="E83" s="1159" t="s">
        <v>199</v>
      </c>
      <c r="F83" s="1160"/>
      <c r="G83" s="1161"/>
      <c r="H83" s="151"/>
      <c r="I83" s="151"/>
      <c r="J83" s="151"/>
      <c r="K83" s="151"/>
      <c r="L83" s="151"/>
      <c r="M83" s="151"/>
      <c r="N83" s="151"/>
      <c r="O83" s="151"/>
      <c r="P83" s="170"/>
      <c r="Q83" s="151"/>
      <c r="R83" s="151"/>
      <c r="S83" s="151"/>
      <c r="T83" s="151"/>
      <c r="U83" s="151"/>
      <c r="V83" s="151"/>
      <c r="W83" s="151"/>
      <c r="X83" s="151"/>
      <c r="Y83" s="151"/>
      <c r="Z83" s="151"/>
      <c r="AA83" s="151"/>
      <c r="AB83" s="151"/>
      <c r="AC83" s="151"/>
      <c r="AD83" s="151"/>
      <c r="AE83" s="151"/>
      <c r="AF83" s="151"/>
      <c r="AG83" s="151"/>
      <c r="AH83" s="151"/>
      <c r="AI83" s="151"/>
      <c r="AJ83" s="151"/>
      <c r="AK83" s="151"/>
      <c r="AL83" s="171"/>
      <c r="AM83" s="172"/>
    </row>
    <row r="84" spans="2:39" ht="14.4" thickBot="1">
      <c r="B84" s="2811"/>
      <c r="C84" s="2813"/>
      <c r="D84" s="2828" t="s">
        <v>68</v>
      </c>
      <c r="E84" s="1147" t="s">
        <v>296</v>
      </c>
      <c r="F84" s="1148">
        <f t="shared" ref="F84:F85" si="68">IFERROR(F86*1000/F81,0)</f>
        <v>3.1378504672897196</v>
      </c>
      <c r="G84" s="1149"/>
      <c r="H84" s="1150">
        <f>Breaking.!D64</f>
        <v>3.1378504672897192</v>
      </c>
      <c r="I84" s="1150">
        <f>Breaking.!E64</f>
        <v>3.1378504672897192</v>
      </c>
      <c r="J84" s="1150">
        <f>Breaking.!F64</f>
        <v>3.1378504672897192</v>
      </c>
      <c r="K84" s="1150">
        <f>Breaking.!G64</f>
        <v>3.1378504672897192</v>
      </c>
      <c r="L84" s="1150">
        <f>Breaking.!H64</f>
        <v>3.1378504672897192</v>
      </c>
      <c r="M84" s="1150">
        <f>Breaking.!I64</f>
        <v>3.1378504672897192</v>
      </c>
      <c r="N84" s="1150">
        <f>Breaking.!J64</f>
        <v>3.1378504672897192</v>
      </c>
      <c r="O84" s="1150">
        <f>Breaking.!K64</f>
        <v>3.1378504672897192</v>
      </c>
      <c r="P84" s="1150">
        <f>Breaking.!L64</f>
        <v>3.1378504672897192</v>
      </c>
      <c r="Q84" s="1150">
        <f>Breaking.!M64</f>
        <v>3.1378504672897192</v>
      </c>
      <c r="R84" s="1150">
        <f>Breaking.!N64</f>
        <v>0</v>
      </c>
      <c r="S84" s="1150">
        <f>Breaking.!O64</f>
        <v>0</v>
      </c>
      <c r="T84" s="1150">
        <f>Breaking.!P64</f>
        <v>3.1378504672897192</v>
      </c>
      <c r="U84" s="1150">
        <f>Breaking.!Q64</f>
        <v>3.1378504672897192</v>
      </c>
      <c r="V84" s="1150">
        <f>Breaking.!R64</f>
        <v>3.1378504672897192</v>
      </c>
      <c r="W84" s="1150">
        <f>Breaking.!S64</f>
        <v>3.1378504672897192</v>
      </c>
      <c r="X84" s="1150">
        <f>Breaking.!T64</f>
        <v>3.1378504672897192</v>
      </c>
      <c r="Y84" s="1150">
        <f>Breaking.!U64</f>
        <v>3.1378504672897192</v>
      </c>
      <c r="Z84" s="1150">
        <f>Breaking.!V64</f>
        <v>3.1378504672897192</v>
      </c>
      <c r="AA84" s="1150">
        <f>Breaking.!W64</f>
        <v>3.1378504672897192</v>
      </c>
      <c r="AB84" s="1150">
        <f>Breaking.!X64</f>
        <v>3.1378504672897192</v>
      </c>
      <c r="AC84" s="1150">
        <f>Breaking.!Y64</f>
        <v>3.1378504672897192</v>
      </c>
      <c r="AD84" s="1150">
        <f>Breaking.!Z64</f>
        <v>3.1378504672897192</v>
      </c>
      <c r="AE84" s="1150">
        <f>Breaking.!AA64</f>
        <v>3.1378504672897192</v>
      </c>
      <c r="AF84" s="1150">
        <f>Breaking.!AB64</f>
        <v>3.1378504672897192</v>
      </c>
      <c r="AG84" s="1150">
        <f>Breaking.!AC64</f>
        <v>3.1378504672897192</v>
      </c>
      <c r="AH84" s="1150">
        <f>Breaking.!AD64</f>
        <v>3.1378504672897192</v>
      </c>
      <c r="AI84" s="1150">
        <f>Breaking.!AE64</f>
        <v>3.1378504672897192</v>
      </c>
      <c r="AJ84" s="1150">
        <f>Breaking.!AF64</f>
        <v>3.1378504672897192</v>
      </c>
      <c r="AK84" s="1150">
        <f>Breaking.!AG64</f>
        <v>3.1378504672897192</v>
      </c>
      <c r="AL84" s="1150">
        <f>Breaking.!AH64</f>
        <v>3.1378504672897192</v>
      </c>
      <c r="AM84" s="95"/>
    </row>
    <row r="85" spans="2:39" ht="14.4" thickBot="1">
      <c r="B85" s="2811"/>
      <c r="C85" s="2813"/>
      <c r="D85" s="2828"/>
      <c r="E85" s="1151" t="s">
        <v>297</v>
      </c>
      <c r="F85" s="1152">
        <f t="shared" si="68"/>
        <v>3.5494999999999997</v>
      </c>
      <c r="G85" s="1142">
        <f t="shared" ref="G85" si="69">IFERROR((F85-F84)/F84,0)</f>
        <v>0.13118838421444518</v>
      </c>
      <c r="H85" s="1153">
        <v>1.71</v>
      </c>
      <c r="I85" s="1152">
        <v>3.57</v>
      </c>
      <c r="J85" s="1152"/>
      <c r="K85" s="1152">
        <v>5.71</v>
      </c>
      <c r="L85" s="1152">
        <v>0.95</v>
      </c>
      <c r="M85" s="1152">
        <v>4.5199999999999996</v>
      </c>
      <c r="N85" s="1152"/>
      <c r="O85" s="1152"/>
      <c r="P85" s="1152"/>
      <c r="Q85" s="1152"/>
      <c r="R85" s="1152"/>
      <c r="S85" s="1152"/>
      <c r="T85" s="1152"/>
      <c r="U85" s="1152"/>
      <c r="V85" s="1152"/>
      <c r="W85" s="1152"/>
      <c r="X85" s="1152"/>
      <c r="Y85" s="1152"/>
      <c r="Z85" s="1152"/>
      <c r="AA85" s="1152"/>
      <c r="AB85" s="1152"/>
      <c r="AC85" s="1152"/>
      <c r="AD85" s="1152"/>
      <c r="AE85" s="1152"/>
      <c r="AF85" s="1152"/>
      <c r="AG85" s="1152"/>
      <c r="AH85" s="1152"/>
      <c r="AI85" s="1152"/>
      <c r="AJ85" s="1152"/>
      <c r="AK85" s="1152"/>
      <c r="AL85" s="1152"/>
      <c r="AM85" s="95"/>
    </row>
    <row r="86" spans="2:39" ht="14.4" thickBot="1">
      <c r="B86" s="2811"/>
      <c r="C86" s="2813"/>
      <c r="D86" s="2828" t="s">
        <v>70</v>
      </c>
      <c r="E86" s="1147" t="s">
        <v>298</v>
      </c>
      <c r="F86" s="96">
        <f>SUMIF($H$9:$AL$9,"&lt;="&amp;$C$7,H86:AL86)</f>
        <v>0.65894859813084106</v>
      </c>
      <c r="G86" s="1149"/>
      <c r="H86" s="1154">
        <f t="shared" ref="H86:H87" si="70">+H84*H81/1000</f>
        <v>0.10982476635514017</v>
      </c>
      <c r="I86" s="1154">
        <f t="shared" ref="I86:AL86" si="71">+I84*I81/1000</f>
        <v>0.10982476635514017</v>
      </c>
      <c r="J86" s="1154">
        <f t="shared" si="71"/>
        <v>0.10982476635514017</v>
      </c>
      <c r="K86" s="1155">
        <f t="shared" si="71"/>
        <v>0.10982476635514017</v>
      </c>
      <c r="L86" s="1155">
        <f t="shared" si="71"/>
        <v>0.10982476635514017</v>
      </c>
      <c r="M86" s="1155">
        <f t="shared" ref="M86:Q87" si="72">+M84*M81/1000</f>
        <v>0.10982476635514017</v>
      </c>
      <c r="N86" s="1155">
        <f t="shared" si="72"/>
        <v>0.10982476635514017</v>
      </c>
      <c r="O86" s="1155">
        <f t="shared" si="72"/>
        <v>0.10982476635514017</v>
      </c>
      <c r="P86" s="1156">
        <f t="shared" si="72"/>
        <v>0.10982476635514017</v>
      </c>
      <c r="Q86" s="1155">
        <f t="shared" si="72"/>
        <v>0.10982476635514017</v>
      </c>
      <c r="R86" s="1155">
        <f t="shared" si="71"/>
        <v>0</v>
      </c>
      <c r="S86" s="1155">
        <f t="shared" si="71"/>
        <v>0</v>
      </c>
      <c r="T86" s="1155">
        <f t="shared" si="71"/>
        <v>0.10982476635514017</v>
      </c>
      <c r="U86" s="1155">
        <f t="shared" si="71"/>
        <v>0.10982476635514017</v>
      </c>
      <c r="V86" s="1155">
        <f t="shared" si="71"/>
        <v>0.10982476635514017</v>
      </c>
      <c r="W86" s="1155">
        <f>+W84*W81/1000</f>
        <v>0.10982476635514017</v>
      </c>
      <c r="X86" s="1155">
        <f t="shared" si="71"/>
        <v>0.10982476635514017</v>
      </c>
      <c r="Y86" s="1155">
        <f t="shared" si="71"/>
        <v>0.10982476635514017</v>
      </c>
      <c r="Z86" s="1155">
        <f t="shared" si="71"/>
        <v>0.10982476635514017</v>
      </c>
      <c r="AA86" s="1155">
        <f t="shared" si="71"/>
        <v>0.10982476635514017</v>
      </c>
      <c r="AB86" s="1155">
        <f t="shared" si="71"/>
        <v>0.10982476635514017</v>
      </c>
      <c r="AC86" s="1155">
        <v>0.56000000000000005</v>
      </c>
      <c r="AD86" s="1155">
        <f t="shared" si="71"/>
        <v>0.10982476635514017</v>
      </c>
      <c r="AE86" s="1155">
        <f t="shared" si="71"/>
        <v>0.10982476635514017</v>
      </c>
      <c r="AF86" s="1155">
        <f t="shared" si="71"/>
        <v>0.10982476635514017</v>
      </c>
      <c r="AG86" s="1155">
        <f t="shared" si="71"/>
        <v>0.10982476635514017</v>
      </c>
      <c r="AH86" s="1155">
        <f t="shared" si="71"/>
        <v>0.10982476635514017</v>
      </c>
      <c r="AI86" s="1155">
        <f t="shared" si="71"/>
        <v>0.10982476635514017</v>
      </c>
      <c r="AJ86" s="1155">
        <f t="shared" si="71"/>
        <v>0.10982476635514017</v>
      </c>
      <c r="AK86" s="1155">
        <f t="shared" si="71"/>
        <v>0.10982476635514017</v>
      </c>
      <c r="AL86" s="1157">
        <f t="shared" si="71"/>
        <v>0.10982476635514017</v>
      </c>
      <c r="AM86" s="97"/>
    </row>
    <row r="87" spans="2:39" ht="14.4" thickBot="1">
      <c r="B87" s="2812"/>
      <c r="C87" s="2814"/>
      <c r="D87" s="2828"/>
      <c r="E87" s="1474" t="s">
        <v>299</v>
      </c>
      <c r="F87" s="1475">
        <f>SUMIF($H$9:$AL$9,"&lt;="&amp;$C$7,H87:AL87)</f>
        <v>1.13584</v>
      </c>
      <c r="G87" s="1476">
        <f t="shared" ref="G87" si="73">IFERROR((F87-F86)/F86,0)</f>
        <v>0.72371563308867859</v>
      </c>
      <c r="H87" s="1158">
        <f t="shared" si="70"/>
        <v>0.1026</v>
      </c>
      <c r="I87" s="1004">
        <f t="shared" ref="I87:AL87" si="74">+I85*I82/1000</f>
        <v>0.22491</v>
      </c>
      <c r="J87" s="1004">
        <f t="shared" si="74"/>
        <v>0</v>
      </c>
      <c r="K87" s="1004">
        <f t="shared" si="74"/>
        <v>0.42825000000000002</v>
      </c>
      <c r="L87" s="1004">
        <f t="shared" si="74"/>
        <v>4.5599999999999995E-2</v>
      </c>
      <c r="M87" s="1004">
        <f t="shared" si="72"/>
        <v>0.33447999999999994</v>
      </c>
      <c r="N87" s="1004">
        <f t="shared" si="72"/>
        <v>0</v>
      </c>
      <c r="O87" s="1004">
        <f t="shared" si="72"/>
        <v>0</v>
      </c>
      <c r="P87" s="1004">
        <f t="shared" si="72"/>
        <v>0</v>
      </c>
      <c r="Q87" s="1004">
        <f t="shared" si="72"/>
        <v>0</v>
      </c>
      <c r="R87" s="1004">
        <f t="shared" si="74"/>
        <v>0</v>
      </c>
      <c r="S87" s="1004">
        <f t="shared" si="74"/>
        <v>0</v>
      </c>
      <c r="T87" s="1004">
        <f t="shared" si="74"/>
        <v>0</v>
      </c>
      <c r="U87" s="1004">
        <f t="shared" si="74"/>
        <v>0</v>
      </c>
      <c r="V87" s="1004">
        <f t="shared" si="74"/>
        <v>0</v>
      </c>
      <c r="W87" s="1004">
        <f>+W85*W82/1000</f>
        <v>0</v>
      </c>
      <c r="X87" s="1004">
        <f t="shared" si="74"/>
        <v>0</v>
      </c>
      <c r="Y87" s="1004">
        <f t="shared" si="74"/>
        <v>0</v>
      </c>
      <c r="Z87" s="1004">
        <f t="shared" si="74"/>
        <v>0</v>
      </c>
      <c r="AA87" s="1004">
        <f t="shared" si="74"/>
        <v>0</v>
      </c>
      <c r="AB87" s="1004">
        <f t="shared" si="74"/>
        <v>0</v>
      </c>
      <c r="AC87" s="1004">
        <f t="shared" si="74"/>
        <v>0</v>
      </c>
      <c r="AD87" s="1004">
        <f t="shared" si="74"/>
        <v>0</v>
      </c>
      <c r="AE87" s="1004">
        <f t="shared" si="74"/>
        <v>0</v>
      </c>
      <c r="AF87" s="1004">
        <f t="shared" si="74"/>
        <v>0</v>
      </c>
      <c r="AG87" s="1004">
        <f t="shared" si="74"/>
        <v>0</v>
      </c>
      <c r="AH87" s="1004">
        <f t="shared" si="74"/>
        <v>0</v>
      </c>
      <c r="AI87" s="1004">
        <f t="shared" si="74"/>
        <v>0</v>
      </c>
      <c r="AJ87" s="1004">
        <f t="shared" si="74"/>
        <v>0</v>
      </c>
      <c r="AK87" s="1004">
        <f t="shared" si="74"/>
        <v>0</v>
      </c>
      <c r="AL87" s="1004">
        <f t="shared" si="74"/>
        <v>0</v>
      </c>
      <c r="AM87" s="98"/>
    </row>
    <row r="88" spans="2:39" ht="14.4" hidden="1" thickBot="1">
      <c r="B88" s="2810">
        <v>1</v>
      </c>
      <c r="C88" s="2736" t="str">
        <f>Breaking.!A65</f>
        <v xml:space="preserve">6L_W1 STOPE </v>
      </c>
      <c r="D88" s="2827" t="s">
        <v>66</v>
      </c>
      <c r="E88" s="145" t="s">
        <v>294</v>
      </c>
      <c r="F88" s="146">
        <f>SUMIF($H$9:$AL$9,"&lt;="&amp;$C$7,H88:AL88)</f>
        <v>0</v>
      </c>
      <c r="G88" s="81"/>
      <c r="H88" s="1398">
        <f>Breaking.!D65</f>
        <v>0</v>
      </c>
      <c r="I88" s="1398">
        <f>Breaking.!E65</f>
        <v>0</v>
      </c>
      <c r="J88" s="1398">
        <f>Breaking.!F65</f>
        <v>0</v>
      </c>
      <c r="K88" s="1398">
        <f>Breaking.!G65</f>
        <v>0</v>
      </c>
      <c r="L88" s="1398">
        <f>Breaking.!H65</f>
        <v>0</v>
      </c>
      <c r="M88" s="1398">
        <f>Breaking.!I65</f>
        <v>0</v>
      </c>
      <c r="N88" s="1398">
        <f>Breaking.!J65</f>
        <v>0</v>
      </c>
      <c r="O88" s="1398">
        <f>Breaking.!K65</f>
        <v>0</v>
      </c>
      <c r="P88" s="1398">
        <f>Breaking.!L65</f>
        <v>0</v>
      </c>
      <c r="Q88" s="1398">
        <f>Breaking.!M65</f>
        <v>0</v>
      </c>
      <c r="R88" s="1398">
        <f>Breaking.!N65</f>
        <v>0</v>
      </c>
      <c r="S88" s="1398">
        <f>Breaking.!O65</f>
        <v>0</v>
      </c>
      <c r="T88" s="1398">
        <f>Breaking.!P65</f>
        <v>0</v>
      </c>
      <c r="U88" s="1398">
        <f>Breaking.!Q65</f>
        <v>0</v>
      </c>
      <c r="V88" s="1398">
        <f>Breaking.!R65</f>
        <v>0</v>
      </c>
      <c r="W88" s="1398">
        <f>Breaking.!S65</f>
        <v>0</v>
      </c>
      <c r="X88" s="1398">
        <f>Breaking.!T65</f>
        <v>0</v>
      </c>
      <c r="Y88" s="1398">
        <f>Breaking.!U65</f>
        <v>0</v>
      </c>
      <c r="Z88" s="1398">
        <f>Breaking.!V65</f>
        <v>0</v>
      </c>
      <c r="AA88" s="1398">
        <f>Breaking.!W65</f>
        <v>0</v>
      </c>
      <c r="AB88" s="1398">
        <f>Breaking.!X65</f>
        <v>0</v>
      </c>
      <c r="AC88" s="1398">
        <f>Breaking.!Y65</f>
        <v>0</v>
      </c>
      <c r="AD88" s="1398">
        <f>Breaking.!Z65</f>
        <v>0</v>
      </c>
      <c r="AE88" s="1398">
        <f>Breaking.!AA65</f>
        <v>0</v>
      </c>
      <c r="AF88" s="1398">
        <f>Breaking.!AB65</f>
        <v>0</v>
      </c>
      <c r="AG88" s="1398">
        <f>Breaking.!AC65</f>
        <v>0</v>
      </c>
      <c r="AH88" s="1398">
        <f>Breaking.!AD65</f>
        <v>0</v>
      </c>
      <c r="AI88" s="1398">
        <f>Breaking.!AE65</f>
        <v>0</v>
      </c>
      <c r="AJ88" s="1398">
        <f>Breaking.!AF65</f>
        <v>0</v>
      </c>
      <c r="AK88" s="1398">
        <f>Breaking.!AG65</f>
        <v>0</v>
      </c>
      <c r="AL88" s="1398">
        <f>Breaking.!AH65</f>
        <v>0</v>
      </c>
      <c r="AM88" s="150"/>
    </row>
    <row r="89" spans="2:39" ht="14.4" hidden="1" thickBot="1">
      <c r="B89" s="2811"/>
      <c r="C89" s="2813"/>
      <c r="D89" s="2827"/>
      <c r="E89" s="1141" t="s">
        <v>295</v>
      </c>
      <c r="F89" s="1095">
        <f>SUMIF($H$9:$AL$9,"&lt;="&amp;$C$7,H89:AL89)</f>
        <v>0</v>
      </c>
      <c r="G89" s="1142">
        <f t="shared" ref="G89" si="75">IFERROR((F89-F88)/F88,0)</f>
        <v>0</v>
      </c>
      <c r="H89" s="1143"/>
      <c r="I89" s="1095"/>
      <c r="J89" s="1095"/>
      <c r="K89" s="1095"/>
      <c r="L89" s="1095"/>
      <c r="M89" s="1095"/>
      <c r="N89" s="1095"/>
      <c r="O89" s="1095"/>
      <c r="P89" s="1095"/>
      <c r="Q89" s="1095"/>
      <c r="R89" s="1095"/>
      <c r="S89" s="1095"/>
      <c r="T89" s="1095"/>
      <c r="U89" s="1095"/>
      <c r="V89" s="1095"/>
      <c r="W89" s="1095"/>
      <c r="X89" s="1095"/>
      <c r="Y89" s="1095"/>
      <c r="Z89" s="1095"/>
      <c r="AA89" s="1095"/>
      <c r="AB89" s="1095"/>
      <c r="AC89" s="1095"/>
      <c r="AD89" s="1095"/>
      <c r="AE89" s="1095"/>
      <c r="AF89" s="1095"/>
      <c r="AG89" s="1095"/>
      <c r="AH89" s="1095"/>
      <c r="AI89" s="1095"/>
      <c r="AJ89" s="1095"/>
      <c r="AK89" s="1095"/>
      <c r="AL89" s="1095"/>
      <c r="AM89" s="95"/>
    </row>
    <row r="90" spans="2:39" ht="14.4" hidden="1" thickBot="1">
      <c r="B90" s="2811"/>
      <c r="C90" s="2813"/>
      <c r="D90" s="2827"/>
      <c r="E90" s="1159" t="s">
        <v>199</v>
      </c>
      <c r="F90" s="1160"/>
      <c r="G90" s="1161"/>
      <c r="H90" s="151"/>
      <c r="I90" s="151"/>
      <c r="J90" s="151"/>
      <c r="K90" s="151"/>
      <c r="L90" s="151"/>
      <c r="M90" s="151"/>
      <c r="N90" s="151"/>
      <c r="O90" s="151"/>
      <c r="P90" s="170"/>
      <c r="Q90" s="151"/>
      <c r="R90" s="151"/>
      <c r="S90" s="151"/>
      <c r="T90" s="151"/>
      <c r="U90" s="151"/>
      <c r="V90" s="151"/>
      <c r="W90" s="151"/>
      <c r="X90" s="151"/>
      <c r="Y90" s="151"/>
      <c r="Z90" s="151"/>
      <c r="AA90" s="151"/>
      <c r="AB90" s="151"/>
      <c r="AC90" s="151"/>
      <c r="AD90" s="151"/>
      <c r="AE90" s="151"/>
      <c r="AF90" s="151"/>
      <c r="AG90" s="151"/>
      <c r="AH90" s="151"/>
      <c r="AI90" s="151"/>
      <c r="AJ90" s="151"/>
      <c r="AK90" s="151"/>
      <c r="AL90" s="171"/>
      <c r="AM90" s="172"/>
    </row>
    <row r="91" spans="2:39" ht="14.4" hidden="1" thickBot="1">
      <c r="B91" s="2811"/>
      <c r="C91" s="2813"/>
      <c r="D91" s="2828" t="s">
        <v>68</v>
      </c>
      <c r="E91" s="1147" t="s">
        <v>296</v>
      </c>
      <c r="F91" s="1148">
        <f t="shared" ref="F91:F92" si="76">IFERROR(F93*1000/F88,0)</f>
        <v>0</v>
      </c>
      <c r="G91" s="1149"/>
      <c r="H91" s="1150">
        <f>Breaking.!D66</f>
        <v>0</v>
      </c>
      <c r="I91" s="1150">
        <f>Breaking.!E66</f>
        <v>0</v>
      </c>
      <c r="J91" s="1150">
        <f>Breaking.!F66</f>
        <v>0</v>
      </c>
      <c r="K91" s="1150">
        <f>Breaking.!G66</f>
        <v>0</v>
      </c>
      <c r="L91" s="1150">
        <f>Breaking.!H66</f>
        <v>0</v>
      </c>
      <c r="M91" s="1150">
        <f>Breaking.!I66</f>
        <v>0</v>
      </c>
      <c r="N91" s="1150">
        <f>Breaking.!J66</f>
        <v>0</v>
      </c>
      <c r="O91" s="1150">
        <f>Breaking.!K66</f>
        <v>0</v>
      </c>
      <c r="P91" s="1150">
        <f>Breaking.!L66</f>
        <v>0</v>
      </c>
      <c r="Q91" s="1150">
        <f>Breaking.!M66</f>
        <v>0</v>
      </c>
      <c r="R91" s="1150">
        <f>Breaking.!N66</f>
        <v>0</v>
      </c>
      <c r="S91" s="1150">
        <f>Breaking.!O66</f>
        <v>0</v>
      </c>
      <c r="T91" s="1150">
        <f>Breaking.!P66</f>
        <v>0</v>
      </c>
      <c r="U91" s="1150">
        <f>Breaking.!Q66</f>
        <v>0</v>
      </c>
      <c r="V91" s="1150">
        <f>Breaking.!R66</f>
        <v>0</v>
      </c>
      <c r="W91" s="1150">
        <f>Breaking.!S66</f>
        <v>0</v>
      </c>
      <c r="X91" s="1150">
        <f>Breaking.!T66</f>
        <v>0</v>
      </c>
      <c r="Y91" s="1150">
        <f>Breaking.!U66</f>
        <v>0</v>
      </c>
      <c r="Z91" s="1150">
        <f>Breaking.!V66</f>
        <v>0</v>
      </c>
      <c r="AA91" s="1150">
        <f>Breaking.!W66</f>
        <v>0</v>
      </c>
      <c r="AB91" s="1150">
        <f>Breaking.!X66</f>
        <v>0</v>
      </c>
      <c r="AC91" s="1150">
        <f>Breaking.!Y66</f>
        <v>0</v>
      </c>
      <c r="AD91" s="1150">
        <f>Breaking.!Z66</f>
        <v>0</v>
      </c>
      <c r="AE91" s="1150">
        <f>Breaking.!AA66</f>
        <v>0</v>
      </c>
      <c r="AF91" s="1150">
        <f>Breaking.!AB66</f>
        <v>0</v>
      </c>
      <c r="AG91" s="1150">
        <f>Breaking.!AC66</f>
        <v>0</v>
      </c>
      <c r="AH91" s="1150">
        <f>Breaking.!AD66</f>
        <v>0</v>
      </c>
      <c r="AI91" s="1150">
        <f>Breaking.!AE66</f>
        <v>0</v>
      </c>
      <c r="AJ91" s="1150">
        <f>Breaking.!AF66</f>
        <v>0</v>
      </c>
      <c r="AK91" s="1150">
        <f>Breaking.!AG66</f>
        <v>0</v>
      </c>
      <c r="AL91" s="1150">
        <f>Breaking.!AH66</f>
        <v>0</v>
      </c>
      <c r="AM91" s="95"/>
    </row>
    <row r="92" spans="2:39" ht="14.4" hidden="1" thickBot="1">
      <c r="B92" s="2811"/>
      <c r="C92" s="2813"/>
      <c r="D92" s="2828"/>
      <c r="E92" s="1151" t="s">
        <v>297</v>
      </c>
      <c r="F92" s="1152">
        <f t="shared" si="76"/>
        <v>0</v>
      </c>
      <c r="G92" s="1142">
        <f t="shared" ref="G92" si="77">IFERROR((F92-F91)/F91,0)</f>
        <v>0</v>
      </c>
      <c r="H92" s="1153"/>
      <c r="I92" s="1152"/>
      <c r="J92" s="1152"/>
      <c r="K92" s="1152"/>
      <c r="L92" s="1152"/>
      <c r="M92" s="1152"/>
      <c r="N92" s="1152"/>
      <c r="O92" s="1152"/>
      <c r="P92" s="1152"/>
      <c r="Q92" s="1152"/>
      <c r="R92" s="1152"/>
      <c r="S92" s="1152"/>
      <c r="T92" s="1152"/>
      <c r="U92" s="1152"/>
      <c r="V92" s="1152"/>
      <c r="W92" s="1152"/>
      <c r="X92" s="1152"/>
      <c r="Y92" s="1152"/>
      <c r="Z92" s="1152"/>
      <c r="AA92" s="1152"/>
      <c r="AB92" s="1152"/>
      <c r="AC92" s="1152"/>
      <c r="AD92" s="1152"/>
      <c r="AE92" s="1152"/>
      <c r="AF92" s="1152"/>
      <c r="AG92" s="1152"/>
      <c r="AH92" s="1152"/>
      <c r="AI92" s="1152"/>
      <c r="AJ92" s="1152"/>
      <c r="AK92" s="1152"/>
      <c r="AL92" s="1152"/>
      <c r="AM92" s="95"/>
    </row>
    <row r="93" spans="2:39" ht="14.4" hidden="1" thickBot="1">
      <c r="B93" s="2811"/>
      <c r="C93" s="2813"/>
      <c r="D93" s="2828" t="s">
        <v>70</v>
      </c>
      <c r="E93" s="1147" t="s">
        <v>298</v>
      </c>
      <c r="F93" s="96">
        <f>SUMIF($H$9:$AL$9,"&lt;="&amp;$C$7,H93:AL93)</f>
        <v>0</v>
      </c>
      <c r="G93" s="1149"/>
      <c r="H93" s="1154">
        <f t="shared" ref="H93:H94" si="78">+H91*H88/1000</f>
        <v>0</v>
      </c>
      <c r="I93" s="1154">
        <f t="shared" ref="I93:AL93" si="79">+I91*I88/1000</f>
        <v>0</v>
      </c>
      <c r="J93" s="1154">
        <f t="shared" si="79"/>
        <v>0</v>
      </c>
      <c r="K93" s="1155">
        <f t="shared" si="79"/>
        <v>0</v>
      </c>
      <c r="L93" s="1155">
        <f t="shared" si="79"/>
        <v>0</v>
      </c>
      <c r="M93" s="1155">
        <f t="shared" ref="M93:Q94" si="80">+M91*M88/1000</f>
        <v>0</v>
      </c>
      <c r="N93" s="1155">
        <f t="shared" si="80"/>
        <v>0</v>
      </c>
      <c r="O93" s="1155">
        <f t="shared" si="80"/>
        <v>0</v>
      </c>
      <c r="P93" s="1156">
        <f t="shared" si="80"/>
        <v>0</v>
      </c>
      <c r="Q93" s="1155">
        <f t="shared" si="80"/>
        <v>0</v>
      </c>
      <c r="R93" s="1155">
        <f t="shared" si="79"/>
        <v>0</v>
      </c>
      <c r="S93" s="1155">
        <f t="shared" si="79"/>
        <v>0</v>
      </c>
      <c r="T93" s="1155">
        <f t="shared" si="79"/>
        <v>0</v>
      </c>
      <c r="U93" s="1155">
        <f t="shared" si="79"/>
        <v>0</v>
      </c>
      <c r="V93" s="1155">
        <f t="shared" si="79"/>
        <v>0</v>
      </c>
      <c r="W93" s="1155">
        <f>+W91*W88/1000</f>
        <v>0</v>
      </c>
      <c r="X93" s="1155">
        <f t="shared" si="79"/>
        <v>0</v>
      </c>
      <c r="Y93" s="1155">
        <f>+Y91*Y88/1000</f>
        <v>0</v>
      </c>
      <c r="Z93" s="1155">
        <f t="shared" si="79"/>
        <v>0</v>
      </c>
      <c r="AA93" s="1155">
        <f t="shared" si="79"/>
        <v>0</v>
      </c>
      <c r="AB93" s="1155">
        <f t="shared" si="79"/>
        <v>0</v>
      </c>
      <c r="AC93" s="1155">
        <f t="shared" si="79"/>
        <v>0</v>
      </c>
      <c r="AD93" s="1155">
        <f t="shared" si="79"/>
        <v>0</v>
      </c>
      <c r="AE93" s="1155">
        <f t="shared" si="79"/>
        <v>0</v>
      </c>
      <c r="AF93" s="1155">
        <f t="shared" si="79"/>
        <v>0</v>
      </c>
      <c r="AG93" s="1155">
        <f t="shared" si="79"/>
        <v>0</v>
      </c>
      <c r="AH93" s="1155">
        <f>+AH91*AH88/1000</f>
        <v>0</v>
      </c>
      <c r="AI93" s="1155">
        <f t="shared" si="79"/>
        <v>0</v>
      </c>
      <c r="AJ93" s="1155">
        <f t="shared" si="79"/>
        <v>0</v>
      </c>
      <c r="AK93" s="1155">
        <f t="shared" si="79"/>
        <v>0</v>
      </c>
      <c r="AL93" s="1157">
        <f t="shared" si="79"/>
        <v>0</v>
      </c>
      <c r="AM93" s="97"/>
    </row>
    <row r="94" spans="2:39" ht="14.4" hidden="1" thickBot="1">
      <c r="B94" s="2812"/>
      <c r="C94" s="2814"/>
      <c r="D94" s="2829"/>
      <c r="E94" s="1049" t="s">
        <v>299</v>
      </c>
      <c r="F94" s="1004">
        <f>SUMIF($H$9:$AL$9,"&lt;="&amp;$C$7,H94:AL94)</f>
        <v>0</v>
      </c>
      <c r="G94" s="1105">
        <f t="shared" ref="G94" si="81">IFERROR((F94-F93)/F93,0)</f>
        <v>0</v>
      </c>
      <c r="H94" s="1158">
        <f t="shared" si="78"/>
        <v>0</v>
      </c>
      <c r="I94" s="1004">
        <f t="shared" ref="I94:AL94" si="82">+I92*I89/1000</f>
        <v>0</v>
      </c>
      <c r="J94" s="1004">
        <f t="shared" si="82"/>
        <v>0</v>
      </c>
      <c r="K94" s="1004">
        <f t="shared" si="82"/>
        <v>0</v>
      </c>
      <c r="L94" s="1004">
        <f t="shared" si="82"/>
        <v>0</v>
      </c>
      <c r="M94" s="1004">
        <f t="shared" si="80"/>
        <v>0</v>
      </c>
      <c r="N94" s="1004">
        <f t="shared" si="80"/>
        <v>0</v>
      </c>
      <c r="O94" s="1004">
        <f t="shared" si="80"/>
        <v>0</v>
      </c>
      <c r="P94" s="1004">
        <f t="shared" si="80"/>
        <v>0</v>
      </c>
      <c r="Q94" s="1004">
        <f t="shared" si="80"/>
        <v>0</v>
      </c>
      <c r="R94" s="1004">
        <f t="shared" si="82"/>
        <v>0</v>
      </c>
      <c r="S94" s="1004">
        <f t="shared" si="82"/>
        <v>0</v>
      </c>
      <c r="T94" s="1004">
        <f t="shared" si="82"/>
        <v>0</v>
      </c>
      <c r="U94" s="1004">
        <f t="shared" si="82"/>
        <v>0</v>
      </c>
      <c r="V94" s="1004">
        <f t="shared" si="82"/>
        <v>0</v>
      </c>
      <c r="W94" s="1004">
        <f>+W92*W89/1000</f>
        <v>0</v>
      </c>
      <c r="X94" s="1004">
        <f t="shared" si="82"/>
        <v>0</v>
      </c>
      <c r="Y94" s="1004">
        <f t="shared" si="82"/>
        <v>0</v>
      </c>
      <c r="Z94" s="1004">
        <f t="shared" si="82"/>
        <v>0</v>
      </c>
      <c r="AA94" s="1004">
        <f t="shared" si="82"/>
        <v>0</v>
      </c>
      <c r="AB94" s="1004">
        <f t="shared" si="82"/>
        <v>0</v>
      </c>
      <c r="AC94" s="1004">
        <f t="shared" si="82"/>
        <v>0</v>
      </c>
      <c r="AD94" s="1004">
        <f t="shared" si="82"/>
        <v>0</v>
      </c>
      <c r="AE94" s="1004">
        <f>+AE92*AE89/1000</f>
        <v>0</v>
      </c>
      <c r="AF94" s="1004">
        <f t="shared" si="82"/>
        <v>0</v>
      </c>
      <c r="AG94" s="1004">
        <f t="shared" si="82"/>
        <v>0</v>
      </c>
      <c r="AH94" s="1004">
        <f t="shared" si="82"/>
        <v>0</v>
      </c>
      <c r="AI94" s="1004">
        <f t="shared" si="82"/>
        <v>0</v>
      </c>
      <c r="AJ94" s="1004">
        <f t="shared" si="82"/>
        <v>0</v>
      </c>
      <c r="AK94" s="1004">
        <f t="shared" si="82"/>
        <v>0</v>
      </c>
      <c r="AL94" s="1004">
        <f t="shared" si="82"/>
        <v>0</v>
      </c>
      <c r="AM94" s="98"/>
    </row>
    <row r="95" spans="2:39" ht="14.4" thickBot="1">
      <c r="B95" s="2810">
        <v>1</v>
      </c>
      <c r="C95" s="2736" t="str">
        <f>Breaking.!A67</f>
        <v xml:space="preserve">6L_W2 STOPE </v>
      </c>
      <c r="D95" s="2827" t="s">
        <v>66</v>
      </c>
      <c r="E95" s="145" t="s">
        <v>294</v>
      </c>
      <c r="F95" s="146">
        <f>SUMIF($H$9:$AL$9,"&lt;="&amp;$C$7,H95:AL95)</f>
        <v>840</v>
      </c>
      <c r="G95" s="81"/>
      <c r="H95" s="1398">
        <f>Breaking.!D67</f>
        <v>140</v>
      </c>
      <c r="I95" s="1398">
        <f>Breaking.!E67</f>
        <v>140</v>
      </c>
      <c r="J95" s="1398">
        <f>Breaking.!F67</f>
        <v>140</v>
      </c>
      <c r="K95" s="1398">
        <f>Breaking.!G67</f>
        <v>140</v>
      </c>
      <c r="L95" s="1398">
        <f>Breaking.!H67</f>
        <v>140</v>
      </c>
      <c r="M95" s="1398">
        <f>Breaking.!I67</f>
        <v>140</v>
      </c>
      <c r="N95" s="1398">
        <f>Breaking.!J67</f>
        <v>140</v>
      </c>
      <c r="O95" s="1398">
        <f>Breaking.!K67</f>
        <v>140</v>
      </c>
      <c r="P95" s="1398">
        <f>Breaking.!L67</f>
        <v>140</v>
      </c>
      <c r="Q95" s="1398">
        <f>Breaking.!M67</f>
        <v>140</v>
      </c>
      <c r="R95" s="1398">
        <f>Breaking.!N67</f>
        <v>0</v>
      </c>
      <c r="S95" s="1398">
        <f>Breaking.!O67</f>
        <v>0</v>
      </c>
      <c r="T95" s="1398">
        <f>Breaking.!P67</f>
        <v>140</v>
      </c>
      <c r="U95" s="1398">
        <f>Breaking.!Q67</f>
        <v>140</v>
      </c>
      <c r="V95" s="1398">
        <f>Breaking.!R67</f>
        <v>140</v>
      </c>
      <c r="W95" s="1398">
        <f>Breaking.!S67</f>
        <v>140</v>
      </c>
      <c r="X95" s="1398">
        <f>Breaking.!T67</f>
        <v>140</v>
      </c>
      <c r="Y95" s="1398">
        <f>Breaking.!U67</f>
        <v>140</v>
      </c>
      <c r="Z95" s="1398">
        <f>Breaking.!V67</f>
        <v>140</v>
      </c>
      <c r="AA95" s="1398">
        <f>Breaking.!W67</f>
        <v>140</v>
      </c>
      <c r="AB95" s="1398">
        <f>Breaking.!X67</f>
        <v>140</v>
      </c>
      <c r="AC95" s="1398">
        <f>Breaking.!Y67</f>
        <v>140</v>
      </c>
      <c r="AD95" s="1398">
        <f>Breaking.!Z67</f>
        <v>140</v>
      </c>
      <c r="AE95" s="1398">
        <f>Breaking.!AA67</f>
        <v>140</v>
      </c>
      <c r="AF95" s="1398">
        <f>Breaking.!AB67</f>
        <v>140</v>
      </c>
      <c r="AG95" s="1398">
        <f>Breaking.!AC67</f>
        <v>140</v>
      </c>
      <c r="AH95" s="1398">
        <f>Breaking.!AD67</f>
        <v>140</v>
      </c>
      <c r="AI95" s="1398">
        <f>Breaking.!AE67</f>
        <v>140</v>
      </c>
      <c r="AJ95" s="1398">
        <f>Breaking.!AF67</f>
        <v>140</v>
      </c>
      <c r="AK95" s="1398">
        <f>Breaking.!AG67</f>
        <v>140</v>
      </c>
      <c r="AL95" s="1398">
        <f>Breaking.!AH67</f>
        <v>140</v>
      </c>
      <c r="AM95" s="150"/>
    </row>
    <row r="96" spans="2:39" ht="14.4" thickBot="1">
      <c r="B96" s="2811"/>
      <c r="C96" s="2813"/>
      <c r="D96" s="2827"/>
      <c r="E96" s="1141" t="s">
        <v>295</v>
      </c>
      <c r="F96" s="1095">
        <f>SUMIF($H$9:$AL$9,"&lt;="&amp;$C$7,H96:AL96)</f>
        <v>1049</v>
      </c>
      <c r="G96" s="1142">
        <f t="shared" ref="G96" si="83">IFERROR((F96-F95)/F95,0)</f>
        <v>0.24880952380952381</v>
      </c>
      <c r="H96" s="1143">
        <v>204</v>
      </c>
      <c r="I96" s="649">
        <v>155</v>
      </c>
      <c r="J96" s="1095">
        <v>165</v>
      </c>
      <c r="K96" s="1095">
        <v>190</v>
      </c>
      <c r="L96" s="1095">
        <v>165</v>
      </c>
      <c r="M96" s="1095">
        <v>170</v>
      </c>
      <c r="N96" s="1095"/>
      <c r="O96" s="1095"/>
      <c r="P96" s="1095"/>
      <c r="Q96" s="1095"/>
      <c r="R96" s="1095"/>
      <c r="S96" s="1095"/>
      <c r="T96" s="1095"/>
      <c r="U96" s="1095"/>
      <c r="V96" s="1095"/>
      <c r="W96" s="1095"/>
      <c r="X96" s="1095"/>
      <c r="Y96" s="1095"/>
      <c r="Z96" s="1095"/>
      <c r="AA96" s="1095"/>
      <c r="AB96" s="1095"/>
      <c r="AC96" s="1095"/>
      <c r="AD96" s="1095"/>
      <c r="AE96" s="1095"/>
      <c r="AF96" s="1095"/>
      <c r="AG96" s="1095"/>
      <c r="AH96" s="1095"/>
      <c r="AI96" s="1095"/>
      <c r="AJ96" s="1095"/>
      <c r="AK96" s="1095"/>
      <c r="AL96" s="1095"/>
      <c r="AM96" s="95"/>
    </row>
    <row r="97" spans="2:39" ht="14.4" thickBot="1">
      <c r="B97" s="2811"/>
      <c r="C97" s="2813"/>
      <c r="D97" s="2827"/>
      <c r="E97" s="1159" t="s">
        <v>199</v>
      </c>
      <c r="F97" s="1160"/>
      <c r="G97" s="1161"/>
      <c r="H97" s="151"/>
      <c r="I97" s="1529"/>
      <c r="J97" s="151"/>
      <c r="K97" s="151"/>
      <c r="L97" s="151"/>
      <c r="M97" s="151"/>
      <c r="N97" s="151"/>
      <c r="O97" s="151"/>
      <c r="P97" s="170"/>
      <c r="Q97" s="151"/>
      <c r="R97" s="151"/>
      <c r="S97" s="151"/>
      <c r="T97" s="151"/>
      <c r="U97" s="151"/>
      <c r="V97" s="151"/>
      <c r="W97" s="151"/>
      <c r="X97" s="151"/>
      <c r="Y97" s="151"/>
      <c r="Z97" s="151"/>
      <c r="AA97" s="151"/>
      <c r="AB97" s="151"/>
      <c r="AC97" s="151"/>
      <c r="AD97" s="151"/>
      <c r="AE97" s="151"/>
      <c r="AF97" s="151"/>
      <c r="AG97" s="151"/>
      <c r="AH97" s="151"/>
      <c r="AI97" s="151"/>
      <c r="AJ97" s="151"/>
      <c r="AK97" s="151"/>
      <c r="AL97" s="171"/>
      <c r="AM97" s="172"/>
    </row>
    <row r="98" spans="2:39" ht="14.4" thickBot="1">
      <c r="B98" s="2811"/>
      <c r="C98" s="2813"/>
      <c r="D98" s="2828" t="s">
        <v>195</v>
      </c>
      <c r="E98" s="1147" t="s">
        <v>296</v>
      </c>
      <c r="F98" s="1148">
        <f>IFERROR(F100*1000/F95,0)</f>
        <v>2.5420560747663545</v>
      </c>
      <c r="G98" s="1149"/>
      <c r="H98" s="1150">
        <f>Breaking.!D68</f>
        <v>2.542056074766355</v>
      </c>
      <c r="I98" s="1150">
        <f>Breaking.!E68</f>
        <v>2.542056074766355</v>
      </c>
      <c r="J98" s="1150">
        <f>Breaking.!F68</f>
        <v>2.542056074766355</v>
      </c>
      <c r="K98" s="1150">
        <f>Breaking.!G68</f>
        <v>2.542056074766355</v>
      </c>
      <c r="L98" s="1150">
        <f>Breaking.!H68</f>
        <v>2.542056074766355</v>
      </c>
      <c r="M98" s="1150">
        <f>Breaking.!I68</f>
        <v>2.542056074766355</v>
      </c>
      <c r="N98" s="1150">
        <f>Breaking.!J68</f>
        <v>2.542056074766355</v>
      </c>
      <c r="O98" s="1150">
        <f>Breaking.!K68</f>
        <v>2.542056074766355</v>
      </c>
      <c r="P98" s="1150">
        <f>Breaking.!L68</f>
        <v>2.542056074766355</v>
      </c>
      <c r="Q98" s="1150">
        <f>Breaking.!M68</f>
        <v>2.542056074766355</v>
      </c>
      <c r="R98" s="1150">
        <f>Breaking.!N68</f>
        <v>0</v>
      </c>
      <c r="S98" s="1150">
        <f>Breaking.!O68</f>
        <v>0</v>
      </c>
      <c r="T98" s="1150">
        <f>Breaking.!P68</f>
        <v>2.542056074766355</v>
      </c>
      <c r="U98" s="1150">
        <f>Breaking.!Q68</f>
        <v>2.542056074766355</v>
      </c>
      <c r="V98" s="1150">
        <f>Breaking.!R68</f>
        <v>2.542056074766355</v>
      </c>
      <c r="W98" s="1150">
        <f>Breaking.!S68</f>
        <v>2.542056074766355</v>
      </c>
      <c r="X98" s="1150">
        <f>Breaking.!T68</f>
        <v>2.542056074766355</v>
      </c>
      <c r="Y98" s="1150">
        <f>Breaking.!U68</f>
        <v>2.542056074766355</v>
      </c>
      <c r="Z98" s="1150">
        <f>Breaking.!V68</f>
        <v>2.542056074766355</v>
      </c>
      <c r="AA98" s="1150">
        <f>Breaking.!W68</f>
        <v>2.542056074766355</v>
      </c>
      <c r="AB98" s="1150">
        <f>Breaking.!X68</f>
        <v>2.542056074766355</v>
      </c>
      <c r="AC98" s="1150">
        <f>Breaking.!Y68</f>
        <v>2.542056074766355</v>
      </c>
      <c r="AD98" s="1150">
        <f>Breaking.!Z68</f>
        <v>2.542056074766355</v>
      </c>
      <c r="AE98" s="1150">
        <f>Breaking.!AA68</f>
        <v>2.542056074766355</v>
      </c>
      <c r="AF98" s="1150">
        <f>Breaking.!AB68</f>
        <v>2.542056074766355</v>
      </c>
      <c r="AG98" s="1150">
        <f>Breaking.!AC68</f>
        <v>2.542056074766355</v>
      </c>
      <c r="AH98" s="1150">
        <f>Breaking.!AD68</f>
        <v>2.542056074766355</v>
      </c>
      <c r="AI98" s="1150">
        <f>Breaking.!AE68</f>
        <v>2.542056074766355</v>
      </c>
      <c r="AJ98" s="1150">
        <f>Breaking.!AF68</f>
        <v>2.542056074766355</v>
      </c>
      <c r="AK98" s="1150">
        <f>Breaking.!AG68</f>
        <v>2.542056074766355</v>
      </c>
      <c r="AL98" s="1150">
        <f>Breaking.!AH68</f>
        <v>2.542056074766355</v>
      </c>
      <c r="AM98" s="95"/>
    </row>
    <row r="99" spans="2:39" ht="14.4" thickBot="1">
      <c r="B99" s="2811"/>
      <c r="C99" s="2813"/>
      <c r="D99" s="2828"/>
      <c r="E99" s="1151" t="s">
        <v>297</v>
      </c>
      <c r="F99" s="1152">
        <f t="shared" ref="F99" si="84">IFERROR(F101*1000/F96,0)</f>
        <v>4.6257387988560543</v>
      </c>
      <c r="G99" s="1142">
        <f t="shared" ref="G99" si="85">IFERROR((F99-F98)/F98,0)</f>
        <v>0.81968401278528646</v>
      </c>
      <c r="H99" s="1153">
        <v>6.9</v>
      </c>
      <c r="I99" s="1152">
        <v>5.96</v>
      </c>
      <c r="J99" s="1152">
        <v>5.96</v>
      </c>
      <c r="K99" s="1152">
        <v>3.86</v>
      </c>
      <c r="L99" s="1152">
        <v>1.34</v>
      </c>
      <c r="M99" s="1152">
        <v>3.43</v>
      </c>
      <c r="N99" s="1152"/>
      <c r="O99" s="1152"/>
      <c r="P99" s="1152"/>
      <c r="Q99" s="1152"/>
      <c r="R99" s="1152"/>
      <c r="S99" s="1152"/>
      <c r="T99" s="1152"/>
      <c r="U99" s="1152"/>
      <c r="V99" s="1152"/>
      <c r="W99" s="1152"/>
      <c r="X99" s="1152"/>
      <c r="Y99" s="1152"/>
      <c r="Z99" s="1152"/>
      <c r="AA99" s="1152"/>
      <c r="AB99" s="1152"/>
      <c r="AC99" s="1152"/>
      <c r="AD99" s="1152"/>
      <c r="AE99" s="1152"/>
      <c r="AF99" s="1152"/>
      <c r="AG99" s="1152"/>
      <c r="AH99" s="1152"/>
      <c r="AI99" s="1152"/>
      <c r="AJ99" s="1152"/>
      <c r="AK99" s="1152"/>
      <c r="AL99" s="1152"/>
      <c r="AM99" s="95"/>
    </row>
    <row r="100" spans="2:39" ht="14.4" thickBot="1">
      <c r="B100" s="2811"/>
      <c r="C100" s="2813"/>
      <c r="D100" s="2828" t="s">
        <v>70</v>
      </c>
      <c r="E100" s="1147" t="s">
        <v>298</v>
      </c>
      <c r="F100" s="96">
        <f>SUMIF($H$9:$AL$9,"&lt;="&amp;$C$7,H100:AL100)</f>
        <v>2.1353271028037382</v>
      </c>
      <c r="G100" s="1149"/>
      <c r="H100" s="1154">
        <f>+H98*H95/1000</f>
        <v>0.35588785046728971</v>
      </c>
      <c r="I100" s="1154">
        <f t="shared" ref="I100:AK100" si="86">+I98*I95/1000</f>
        <v>0.35588785046728971</v>
      </c>
      <c r="J100" s="1154">
        <f t="shared" si="86"/>
        <v>0.35588785046728971</v>
      </c>
      <c r="K100" s="1154">
        <f t="shared" si="86"/>
        <v>0.35588785046728971</v>
      </c>
      <c r="L100" s="1154">
        <f t="shared" si="86"/>
        <v>0.35588785046728971</v>
      </c>
      <c r="M100" s="1154">
        <f t="shared" si="86"/>
        <v>0.35588785046728971</v>
      </c>
      <c r="N100" s="1154">
        <f t="shared" si="86"/>
        <v>0.35588785046728971</v>
      </c>
      <c r="O100" s="1154">
        <f t="shared" si="86"/>
        <v>0.35588785046728971</v>
      </c>
      <c r="P100" s="1154">
        <f t="shared" si="86"/>
        <v>0.35588785046728971</v>
      </c>
      <c r="Q100" s="1154">
        <f t="shared" si="86"/>
        <v>0.35588785046728971</v>
      </c>
      <c r="R100" s="1154">
        <f t="shared" si="86"/>
        <v>0</v>
      </c>
      <c r="S100" s="1154">
        <f t="shared" si="86"/>
        <v>0</v>
      </c>
      <c r="T100" s="1154">
        <f t="shared" si="86"/>
        <v>0.35588785046728971</v>
      </c>
      <c r="U100" s="1154">
        <f t="shared" si="86"/>
        <v>0.35588785046728971</v>
      </c>
      <c r="V100" s="1154">
        <f t="shared" si="86"/>
        <v>0.35588785046728971</v>
      </c>
      <c r="W100" s="1154">
        <f t="shared" si="86"/>
        <v>0.35588785046728971</v>
      </c>
      <c r="X100" s="1154">
        <f t="shared" si="86"/>
        <v>0.35588785046728971</v>
      </c>
      <c r="Y100" s="1154">
        <f t="shared" si="86"/>
        <v>0.35588785046728971</v>
      </c>
      <c r="Z100" s="1154">
        <f t="shared" si="86"/>
        <v>0.35588785046728971</v>
      </c>
      <c r="AA100" s="1154">
        <f t="shared" si="86"/>
        <v>0.35588785046728971</v>
      </c>
      <c r="AB100" s="1154">
        <f t="shared" si="86"/>
        <v>0.35588785046728971</v>
      </c>
      <c r="AC100" s="1154">
        <f t="shared" si="86"/>
        <v>0.35588785046728971</v>
      </c>
      <c r="AD100" s="1154">
        <f t="shared" si="86"/>
        <v>0.35588785046728971</v>
      </c>
      <c r="AE100" s="1154">
        <f t="shared" si="86"/>
        <v>0.35588785046728971</v>
      </c>
      <c r="AF100" s="1154">
        <f t="shared" si="86"/>
        <v>0.35588785046728971</v>
      </c>
      <c r="AG100" s="1154">
        <f t="shared" si="86"/>
        <v>0.35588785046728971</v>
      </c>
      <c r="AH100" s="1154">
        <f>+AH98*AH95/1000</f>
        <v>0.35588785046728971</v>
      </c>
      <c r="AI100" s="1154">
        <f t="shared" si="86"/>
        <v>0.35588785046728971</v>
      </c>
      <c r="AJ100" s="1154">
        <f t="shared" si="86"/>
        <v>0.35588785046728971</v>
      </c>
      <c r="AK100" s="1154">
        <f t="shared" si="86"/>
        <v>0.35588785046728971</v>
      </c>
      <c r="AL100" s="1157">
        <f t="shared" ref="AL100" si="87">+AL98*AL95/1000</f>
        <v>0.35588785046728971</v>
      </c>
      <c r="AM100" s="97"/>
    </row>
    <row r="101" spans="2:39" ht="14.4" thickBot="1">
      <c r="B101" s="2832"/>
      <c r="C101" s="2814"/>
      <c r="D101" s="2829"/>
      <c r="E101" s="1049" t="s">
        <v>299</v>
      </c>
      <c r="F101" s="1004">
        <f>SUMIF($H$9:$AL$9,"&lt;="&amp;$C$7,H101:AL101)</f>
        <v>4.8524000000000003</v>
      </c>
      <c r="G101" s="1105">
        <f t="shared" ref="G101" si="88">IFERROR((F101-F100)/F100,0)</f>
        <v>1.2724387254901963</v>
      </c>
      <c r="H101" s="1158">
        <f t="shared" ref="H101" si="89">+H99*H96/1000</f>
        <v>1.4076000000000002</v>
      </c>
      <c r="I101" s="1158">
        <f>+I99*I96/1000</f>
        <v>0.92379999999999995</v>
      </c>
      <c r="J101" s="1004">
        <f t="shared" ref="J101:AL101" si="90">+J99*J96/1000</f>
        <v>0.98339999999999994</v>
      </c>
      <c r="K101" s="1004">
        <f t="shared" si="90"/>
        <v>0.73339999999999994</v>
      </c>
      <c r="L101" s="1004">
        <f t="shared" si="90"/>
        <v>0.22110000000000002</v>
      </c>
      <c r="M101" s="1004">
        <f t="shared" ref="M101:Q101" si="91">+M99*M96/1000</f>
        <v>0.58310000000000006</v>
      </c>
      <c r="N101" s="1004">
        <f t="shared" si="91"/>
        <v>0</v>
      </c>
      <c r="O101" s="1004">
        <f t="shared" si="91"/>
        <v>0</v>
      </c>
      <c r="P101" s="1004">
        <f t="shared" si="91"/>
        <v>0</v>
      </c>
      <c r="Q101" s="1004">
        <f t="shared" si="91"/>
        <v>0</v>
      </c>
      <c r="R101" s="1004">
        <f t="shared" si="90"/>
        <v>0</v>
      </c>
      <c r="S101" s="1004">
        <f t="shared" si="90"/>
        <v>0</v>
      </c>
      <c r="T101" s="1004">
        <f t="shared" si="90"/>
        <v>0</v>
      </c>
      <c r="U101" s="1004">
        <f t="shared" si="90"/>
        <v>0</v>
      </c>
      <c r="V101" s="1004">
        <f t="shared" si="90"/>
        <v>0</v>
      </c>
      <c r="W101" s="1004">
        <f>+W99*W96/1000</f>
        <v>0</v>
      </c>
      <c r="X101" s="1004">
        <f t="shared" si="90"/>
        <v>0</v>
      </c>
      <c r="Y101" s="1004">
        <f t="shared" si="90"/>
        <v>0</v>
      </c>
      <c r="Z101" s="1004">
        <f t="shared" si="90"/>
        <v>0</v>
      </c>
      <c r="AA101" s="1004">
        <f t="shared" si="90"/>
        <v>0</v>
      </c>
      <c r="AB101" s="1004">
        <f t="shared" si="90"/>
        <v>0</v>
      </c>
      <c r="AC101" s="1004">
        <f t="shared" si="90"/>
        <v>0</v>
      </c>
      <c r="AD101" s="1004">
        <f t="shared" si="90"/>
        <v>0</v>
      </c>
      <c r="AE101" s="1004">
        <f t="shared" si="90"/>
        <v>0</v>
      </c>
      <c r="AF101" s="1004">
        <f t="shared" si="90"/>
        <v>0</v>
      </c>
      <c r="AG101" s="1004">
        <f t="shared" si="90"/>
        <v>0</v>
      </c>
      <c r="AH101" s="1004">
        <f t="shared" si="90"/>
        <v>0</v>
      </c>
      <c r="AI101" s="1004">
        <f t="shared" si="90"/>
        <v>0</v>
      </c>
      <c r="AJ101" s="1004">
        <f t="shared" si="90"/>
        <v>0</v>
      </c>
      <c r="AK101" s="1004">
        <f t="shared" si="90"/>
        <v>0</v>
      </c>
      <c r="AL101" s="1004">
        <f t="shared" si="90"/>
        <v>0</v>
      </c>
      <c r="AM101" s="98"/>
    </row>
    <row r="102" spans="2:39" ht="13.5" customHeight="1" thickBot="1">
      <c r="B102" s="2811">
        <v>1</v>
      </c>
      <c r="C102" s="2736" t="str">
        <f>Breaking.!A69</f>
        <v>6L_W3 STOPE</v>
      </c>
      <c r="D102" s="2836" t="s">
        <v>66</v>
      </c>
      <c r="E102" s="145" t="s">
        <v>294</v>
      </c>
      <c r="F102" s="146">
        <f>SUMIF($H$9:$AL$9,"&lt;="&amp;$C$7,H102:AL102)</f>
        <v>630</v>
      </c>
      <c r="G102" s="81"/>
      <c r="H102" s="1398">
        <f>Breaking.!D69</f>
        <v>105</v>
      </c>
      <c r="I102" s="1398">
        <f>Breaking.!E69</f>
        <v>105</v>
      </c>
      <c r="J102" s="1398">
        <f>Breaking.!F69</f>
        <v>105</v>
      </c>
      <c r="K102" s="1398">
        <f>Breaking.!G69</f>
        <v>105</v>
      </c>
      <c r="L102" s="1398">
        <f>Breaking.!H69</f>
        <v>105</v>
      </c>
      <c r="M102" s="1398">
        <f>Breaking.!I69</f>
        <v>105</v>
      </c>
      <c r="N102" s="1398">
        <f>Breaking.!J69</f>
        <v>105</v>
      </c>
      <c r="O102" s="1398">
        <f>Breaking.!K69</f>
        <v>105</v>
      </c>
      <c r="P102" s="1398">
        <f>Breaking.!L69</f>
        <v>105</v>
      </c>
      <c r="Q102" s="1398">
        <f>Breaking.!M69</f>
        <v>105</v>
      </c>
      <c r="R102" s="1398">
        <f>Breaking.!N69</f>
        <v>0</v>
      </c>
      <c r="S102" s="1398">
        <f>Breaking.!O69</f>
        <v>0</v>
      </c>
      <c r="T102" s="1398">
        <f>Breaking.!P69</f>
        <v>105</v>
      </c>
      <c r="U102" s="1398">
        <f>Breaking.!Q69</f>
        <v>105</v>
      </c>
      <c r="V102" s="1398">
        <f>Breaking.!R69</f>
        <v>105</v>
      </c>
      <c r="W102" s="1398">
        <f>Breaking.!S69</f>
        <v>105</v>
      </c>
      <c r="X102" s="1398">
        <f>Breaking.!T69</f>
        <v>105</v>
      </c>
      <c r="Y102" s="1398">
        <f>Breaking.!U69</f>
        <v>105</v>
      </c>
      <c r="Z102" s="1398">
        <f>Breaking.!V69</f>
        <v>105</v>
      </c>
      <c r="AA102" s="1398">
        <f>Breaking.!W69</f>
        <v>105</v>
      </c>
      <c r="AB102" s="1398">
        <f>Breaking.!X69</f>
        <v>105</v>
      </c>
      <c r="AC102" s="1398">
        <f>Breaking.!Y69</f>
        <v>105</v>
      </c>
      <c r="AD102" s="1398">
        <f>Breaking.!Z69</f>
        <v>105</v>
      </c>
      <c r="AE102" s="1398">
        <f>Breaking.!AA69</f>
        <v>105</v>
      </c>
      <c r="AF102" s="1398">
        <f>Breaking.!AB69</f>
        <v>105</v>
      </c>
      <c r="AG102" s="1398">
        <f>Breaking.!AC69</f>
        <v>105</v>
      </c>
      <c r="AH102" s="1398">
        <f>Breaking.!AD69</f>
        <v>105</v>
      </c>
      <c r="AI102" s="1398">
        <f>Breaking.!AE69</f>
        <v>105</v>
      </c>
      <c r="AJ102" s="1398">
        <f>Breaking.!AF69</f>
        <v>105</v>
      </c>
      <c r="AK102" s="1398">
        <f>Breaking.!AG69</f>
        <v>105</v>
      </c>
      <c r="AL102" s="1398">
        <f>Breaking.!AH69</f>
        <v>105</v>
      </c>
      <c r="AM102" s="150"/>
    </row>
    <row r="103" spans="2:39" ht="13.5" customHeight="1" thickBot="1">
      <c r="B103" s="2811"/>
      <c r="C103" s="2813"/>
      <c r="D103" s="2836"/>
      <c r="E103" s="1141" t="s">
        <v>295</v>
      </c>
      <c r="F103" s="1095">
        <f>SUMIF($H$9:$AL$9,"&lt;="&amp;$C$7,H103:AL103)</f>
        <v>523</v>
      </c>
      <c r="G103" s="1142">
        <f t="shared" ref="G103" si="92">IFERROR((F103-F102)/F102,0)</f>
        <v>-0.16984126984126985</v>
      </c>
      <c r="H103" s="1143">
        <v>92</v>
      </c>
      <c r="I103" s="1095">
        <v>87</v>
      </c>
      <c r="J103" s="1095">
        <v>60</v>
      </c>
      <c r="K103" s="1095">
        <v>96</v>
      </c>
      <c r="L103" s="1095">
        <v>90</v>
      </c>
      <c r="M103" s="1095">
        <v>98</v>
      </c>
      <c r="N103" s="1095"/>
      <c r="O103" s="1095"/>
      <c r="P103" s="1095"/>
      <c r="Q103" s="1095"/>
      <c r="R103" s="1095"/>
      <c r="S103" s="1095"/>
      <c r="T103" s="1095"/>
      <c r="U103" s="1095"/>
      <c r="V103" s="1095"/>
      <c r="W103" s="1095"/>
      <c r="X103" s="1095"/>
      <c r="Y103" s="1095"/>
      <c r="Z103" s="1095"/>
      <c r="AA103" s="1095"/>
      <c r="AB103" s="1095"/>
      <c r="AC103" s="1095"/>
      <c r="AD103" s="1095"/>
      <c r="AE103" s="1095"/>
      <c r="AF103" s="1095"/>
      <c r="AG103" s="1095"/>
      <c r="AH103" s="1095"/>
      <c r="AI103" s="1095"/>
      <c r="AJ103" s="1095"/>
      <c r="AK103" s="1095"/>
      <c r="AL103" s="1095"/>
      <c r="AM103" s="95"/>
    </row>
    <row r="104" spans="2:39" ht="13.5" customHeight="1" thickBot="1">
      <c r="B104" s="2811"/>
      <c r="C104" s="2813"/>
      <c r="D104" s="2836"/>
      <c r="E104" s="1159" t="s">
        <v>199</v>
      </c>
      <c r="F104" s="1160"/>
      <c r="G104" s="1161"/>
      <c r="H104" s="151"/>
      <c r="I104" s="151"/>
      <c r="J104" s="151"/>
      <c r="K104" s="151"/>
      <c r="L104" s="151"/>
      <c r="M104" s="151"/>
      <c r="N104" s="151"/>
      <c r="O104" s="151"/>
      <c r="P104" s="170"/>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71"/>
      <c r="AM104" s="172"/>
    </row>
    <row r="105" spans="2:39" ht="13.5" customHeight="1" thickBot="1">
      <c r="B105" s="2811"/>
      <c r="C105" s="2813"/>
      <c r="D105" s="2825" t="s">
        <v>68</v>
      </c>
      <c r="E105" s="1147" t="s">
        <v>296</v>
      </c>
      <c r="F105" s="1148">
        <f t="shared" ref="F105:F106" si="93">IFERROR(F107*1000/F102,0)</f>
        <v>2.3831775700934577</v>
      </c>
      <c r="G105" s="1149"/>
      <c r="H105" s="1150">
        <f>Breaking.!D70</f>
        <v>2.3831775700934577</v>
      </c>
      <c r="I105" s="1150">
        <f>Breaking.!E70</f>
        <v>2.3831775700934577</v>
      </c>
      <c r="J105" s="1150">
        <f>Breaking.!F70</f>
        <v>2.3831775700934577</v>
      </c>
      <c r="K105" s="1150">
        <f>Breaking.!G70</f>
        <v>2.3831775700934577</v>
      </c>
      <c r="L105" s="1150">
        <f>Breaking.!H70</f>
        <v>2.3831775700934577</v>
      </c>
      <c r="M105" s="1150">
        <f>Breaking.!I70</f>
        <v>2.3831775700934577</v>
      </c>
      <c r="N105" s="1150">
        <f>Breaking.!J70</f>
        <v>2.3831775700934577</v>
      </c>
      <c r="O105" s="1150">
        <f>Breaking.!K70</f>
        <v>2.3831775700934577</v>
      </c>
      <c r="P105" s="1150">
        <f>Breaking.!L70</f>
        <v>2.3831775700934577</v>
      </c>
      <c r="Q105" s="1150">
        <f>Breaking.!M70</f>
        <v>2.3831775700934577</v>
      </c>
      <c r="R105" s="1150">
        <f>Breaking.!N70</f>
        <v>0</v>
      </c>
      <c r="S105" s="1150">
        <f>Breaking.!O70</f>
        <v>0</v>
      </c>
      <c r="T105" s="1150">
        <f>Breaking.!P70</f>
        <v>2.3831775700934577</v>
      </c>
      <c r="U105" s="1150">
        <f>Breaking.!Q70</f>
        <v>2.3831775700934577</v>
      </c>
      <c r="V105" s="1150">
        <f>Breaking.!R70</f>
        <v>2.3831775700934577</v>
      </c>
      <c r="W105" s="1150">
        <f>Breaking.!S70</f>
        <v>2.3831775700934577</v>
      </c>
      <c r="X105" s="1150">
        <f>Breaking.!T70</f>
        <v>2.3831775700934577</v>
      </c>
      <c r="Y105" s="1150">
        <f>Breaking.!U70</f>
        <v>2.3831775700934577</v>
      </c>
      <c r="Z105" s="1150">
        <f>Breaking.!V70</f>
        <v>2.3831775700934577</v>
      </c>
      <c r="AA105" s="1150">
        <f>Breaking.!W70</f>
        <v>2.3831775700934577</v>
      </c>
      <c r="AB105" s="1150">
        <f>Breaking.!X70</f>
        <v>2.3831775700934577</v>
      </c>
      <c r="AC105" s="1150">
        <f>Breaking.!Y70</f>
        <v>2.3831775700934577</v>
      </c>
      <c r="AD105" s="1150">
        <f>Breaking.!Z70</f>
        <v>2.3831775700934577</v>
      </c>
      <c r="AE105" s="1150">
        <f>Breaking.!AA70</f>
        <v>2.3831775700934577</v>
      </c>
      <c r="AF105" s="1150">
        <f>Breaking.!AB70</f>
        <v>2.3831775700934577</v>
      </c>
      <c r="AG105" s="1150">
        <f>Breaking.!AC70</f>
        <v>2.3831775700934577</v>
      </c>
      <c r="AH105" s="1150">
        <f>Breaking.!AD70</f>
        <v>2.3831775700934577</v>
      </c>
      <c r="AI105" s="1150">
        <f>Breaking.!AE70</f>
        <v>2.3831775700934577</v>
      </c>
      <c r="AJ105" s="1150">
        <f>Breaking.!AF70</f>
        <v>2.3831775700934577</v>
      </c>
      <c r="AK105" s="1150">
        <f>Breaking.!AG70</f>
        <v>2.3831775700934577</v>
      </c>
      <c r="AL105" s="1150">
        <f>Breaking.!AH70</f>
        <v>2.3831775700934577</v>
      </c>
      <c r="AM105" s="95"/>
    </row>
    <row r="106" spans="2:39" ht="13.5" customHeight="1" thickBot="1">
      <c r="B106" s="2811"/>
      <c r="C106" s="2813"/>
      <c r="D106" s="2825"/>
      <c r="E106" s="1151" t="s">
        <v>297</v>
      </c>
      <c r="F106" s="1152">
        <f t="shared" si="93"/>
        <v>3.4429254302103254</v>
      </c>
      <c r="G106" s="1142">
        <f t="shared" ref="G106" si="94">IFERROR((F106-F105)/F105,0)</f>
        <v>0.44467851385296026</v>
      </c>
      <c r="H106" s="1153">
        <v>4.58</v>
      </c>
      <c r="I106" s="1152">
        <v>3.33</v>
      </c>
      <c r="J106" s="1152">
        <v>3.33</v>
      </c>
      <c r="K106" s="1152">
        <v>2.02</v>
      </c>
      <c r="L106" s="1152">
        <v>2.3199999999999998</v>
      </c>
      <c r="M106" s="1152">
        <v>4.97</v>
      </c>
      <c r="N106" s="1152"/>
      <c r="O106" s="1152"/>
      <c r="P106" s="1152"/>
      <c r="Q106" s="1152"/>
      <c r="R106" s="1152"/>
      <c r="S106" s="1152"/>
      <c r="T106" s="1152"/>
      <c r="U106" s="1152"/>
      <c r="V106" s="1152"/>
      <c r="W106" s="1152"/>
      <c r="X106" s="1152"/>
      <c r="Y106" s="1152"/>
      <c r="Z106" s="1152"/>
      <c r="AA106" s="1152"/>
      <c r="AB106" s="1152"/>
      <c r="AC106" s="1152"/>
      <c r="AD106" s="1152"/>
      <c r="AE106" s="1152"/>
      <c r="AF106" s="1152"/>
      <c r="AG106" s="1152"/>
      <c r="AH106" s="1152"/>
      <c r="AI106" s="1152"/>
      <c r="AJ106" s="1152"/>
      <c r="AK106" s="1152"/>
      <c r="AL106" s="1152"/>
      <c r="AM106" s="95"/>
    </row>
    <row r="107" spans="2:39" ht="13.5" customHeight="1" thickBot="1">
      <c r="B107" s="2811"/>
      <c r="C107" s="2813"/>
      <c r="D107" s="2825" t="s">
        <v>70</v>
      </c>
      <c r="E107" s="1147" t="s">
        <v>298</v>
      </c>
      <c r="F107" s="96">
        <f>SUMIF($H$9:$AL$9,"&lt;="&amp;$C$7,H107:AL107)</f>
        <v>1.5014018691588782</v>
      </c>
      <c r="G107" s="1149"/>
      <c r="H107" s="1154">
        <f t="shared" ref="H107:AK107" si="95">+H105*H102/1000</f>
        <v>0.25023364485981303</v>
      </c>
      <c r="I107" s="1154">
        <f t="shared" si="95"/>
        <v>0.25023364485981303</v>
      </c>
      <c r="J107" s="1154">
        <f t="shared" si="95"/>
        <v>0.25023364485981303</v>
      </c>
      <c r="K107" s="1154">
        <f t="shared" si="95"/>
        <v>0.25023364485981303</v>
      </c>
      <c r="L107" s="1154">
        <f t="shared" si="95"/>
        <v>0.25023364485981303</v>
      </c>
      <c r="M107" s="1154">
        <f t="shared" si="95"/>
        <v>0.25023364485981303</v>
      </c>
      <c r="N107" s="1154">
        <f t="shared" si="95"/>
        <v>0.25023364485981303</v>
      </c>
      <c r="O107" s="1154">
        <f t="shared" si="95"/>
        <v>0.25023364485981303</v>
      </c>
      <c r="P107" s="1154">
        <f t="shared" si="95"/>
        <v>0.25023364485981303</v>
      </c>
      <c r="Q107" s="1154">
        <f t="shared" si="95"/>
        <v>0.25023364485981303</v>
      </c>
      <c r="R107" s="1154">
        <f t="shared" si="95"/>
        <v>0</v>
      </c>
      <c r="S107" s="1154">
        <f t="shared" si="95"/>
        <v>0</v>
      </c>
      <c r="T107" s="1154">
        <f t="shared" si="95"/>
        <v>0.25023364485981303</v>
      </c>
      <c r="U107" s="1154">
        <f t="shared" si="95"/>
        <v>0.25023364485981303</v>
      </c>
      <c r="V107" s="1154">
        <f t="shared" si="95"/>
        <v>0.25023364485981303</v>
      </c>
      <c r="W107" s="1154">
        <f t="shared" si="95"/>
        <v>0.25023364485981303</v>
      </c>
      <c r="X107" s="1154">
        <f t="shared" si="95"/>
        <v>0.25023364485981303</v>
      </c>
      <c r="Y107" s="1154">
        <f t="shared" si="95"/>
        <v>0.25023364485981303</v>
      </c>
      <c r="Z107" s="1154">
        <f t="shared" si="95"/>
        <v>0.25023364485981303</v>
      </c>
      <c r="AA107" s="1154">
        <f t="shared" si="95"/>
        <v>0.25023364485981303</v>
      </c>
      <c r="AB107" s="1154">
        <f>+AB105*AB102/1000</f>
        <v>0.25023364485981303</v>
      </c>
      <c r="AC107" s="1154">
        <f t="shared" si="95"/>
        <v>0.25023364485981303</v>
      </c>
      <c r="AD107" s="1154">
        <f t="shared" si="95"/>
        <v>0.25023364485981303</v>
      </c>
      <c r="AE107" s="1154">
        <f t="shared" si="95"/>
        <v>0.25023364485981303</v>
      </c>
      <c r="AF107" s="1154">
        <f t="shared" si="95"/>
        <v>0.25023364485981303</v>
      </c>
      <c r="AG107" s="1154">
        <f t="shared" si="95"/>
        <v>0.25023364485981303</v>
      </c>
      <c r="AH107" s="1154">
        <f t="shared" si="95"/>
        <v>0.25023364485981303</v>
      </c>
      <c r="AI107" s="1154">
        <f t="shared" si="95"/>
        <v>0.25023364485981303</v>
      </c>
      <c r="AJ107" s="1154">
        <f t="shared" si="95"/>
        <v>0.25023364485981303</v>
      </c>
      <c r="AK107" s="1154">
        <f t="shared" si="95"/>
        <v>0.25023364485981303</v>
      </c>
      <c r="AL107" s="1157">
        <f t="shared" ref="AL107" si="96">+AL105*AL102/1000</f>
        <v>0.25023364485981303</v>
      </c>
      <c r="AM107" s="97"/>
    </row>
    <row r="108" spans="2:39" ht="13.5" customHeight="1" thickBot="1">
      <c r="B108" s="2812"/>
      <c r="C108" s="2814"/>
      <c r="D108" s="2826"/>
      <c r="E108" s="1049" t="s">
        <v>299</v>
      </c>
      <c r="F108" s="1004">
        <f>SUMIF($H$9:$AL$9,"&lt;="&amp;$C$7,H108:AL108)</f>
        <v>1.8006500000000001</v>
      </c>
      <c r="G108" s="1105">
        <f t="shared" ref="G108" si="97">IFERROR((F108-F107)/F107,0)</f>
        <v>0.19931248054777498</v>
      </c>
      <c r="H108" s="1158">
        <f t="shared" ref="H108" si="98">+H106*H103/1000</f>
        <v>0.42136000000000001</v>
      </c>
      <c r="I108" s="1004">
        <f t="shared" ref="I108:AL108" si="99">+I106*I103/1000</f>
        <v>0.28970999999999997</v>
      </c>
      <c r="J108" s="1004">
        <f t="shared" si="99"/>
        <v>0.19980000000000001</v>
      </c>
      <c r="K108" s="1004">
        <f t="shared" si="99"/>
        <v>0.19392000000000001</v>
      </c>
      <c r="L108" s="1004">
        <f t="shared" si="99"/>
        <v>0.20879999999999999</v>
      </c>
      <c r="M108" s="1004">
        <f t="shared" ref="M108:Q108" si="100">+M106*M103/1000</f>
        <v>0.48705999999999999</v>
      </c>
      <c r="N108" s="1004">
        <f t="shared" si="100"/>
        <v>0</v>
      </c>
      <c r="O108" s="1004">
        <f t="shared" si="100"/>
        <v>0</v>
      </c>
      <c r="P108" s="1004">
        <f t="shared" si="100"/>
        <v>0</v>
      </c>
      <c r="Q108" s="1004">
        <f t="shared" si="100"/>
        <v>0</v>
      </c>
      <c r="R108" s="1004">
        <f t="shared" si="99"/>
        <v>0</v>
      </c>
      <c r="S108" s="1004">
        <f t="shared" si="99"/>
        <v>0</v>
      </c>
      <c r="T108" s="1004">
        <f t="shared" si="99"/>
        <v>0</v>
      </c>
      <c r="U108" s="1004">
        <f t="shared" si="99"/>
        <v>0</v>
      </c>
      <c r="V108" s="1004">
        <f t="shared" si="99"/>
        <v>0</v>
      </c>
      <c r="W108" s="1004">
        <f>+W106*W103/1000</f>
        <v>0</v>
      </c>
      <c r="X108" s="1004">
        <f t="shared" si="99"/>
        <v>0</v>
      </c>
      <c r="Y108" s="1004">
        <f t="shared" si="99"/>
        <v>0</v>
      </c>
      <c r="Z108" s="1004">
        <f t="shared" si="99"/>
        <v>0</v>
      </c>
      <c r="AA108" s="1004">
        <f t="shared" si="99"/>
        <v>0</v>
      </c>
      <c r="AB108" s="1004">
        <f t="shared" si="99"/>
        <v>0</v>
      </c>
      <c r="AC108" s="1004">
        <f t="shared" si="99"/>
        <v>0</v>
      </c>
      <c r="AD108" s="1004">
        <f>+AD106*AD103/1000</f>
        <v>0</v>
      </c>
      <c r="AE108" s="1004">
        <f t="shared" si="99"/>
        <v>0</v>
      </c>
      <c r="AF108" s="1004">
        <f t="shared" si="99"/>
        <v>0</v>
      </c>
      <c r="AG108" s="1004">
        <f t="shared" si="99"/>
        <v>0</v>
      </c>
      <c r="AH108" s="1004">
        <f t="shared" si="99"/>
        <v>0</v>
      </c>
      <c r="AI108" s="1004">
        <f t="shared" si="99"/>
        <v>0</v>
      </c>
      <c r="AJ108" s="1004">
        <f t="shared" si="99"/>
        <v>0</v>
      </c>
      <c r="AK108" s="1004">
        <f t="shared" si="99"/>
        <v>0</v>
      </c>
      <c r="AL108" s="1004">
        <f t="shared" si="99"/>
        <v>0</v>
      </c>
      <c r="AM108" s="98"/>
    </row>
    <row r="109" spans="2:39" ht="13.5" customHeight="1" thickBot="1">
      <c r="B109" s="2810">
        <v>1</v>
      </c>
      <c r="C109" s="2837" t="str">
        <f>Breaking.!A71</f>
        <v>6L_W4 STOPE</v>
      </c>
      <c r="D109" s="2836" t="s">
        <v>66</v>
      </c>
      <c r="E109" s="145" t="s">
        <v>294</v>
      </c>
      <c r="F109" s="146">
        <f>SUMIF($H$9:$AL$9,"&lt;="&amp;$C$7,H109:AL109)</f>
        <v>0</v>
      </c>
      <c r="G109" s="81"/>
      <c r="H109" s="1398">
        <f>Breaking.!D71</f>
        <v>0</v>
      </c>
      <c r="I109" s="1398">
        <f>Breaking.!E71</f>
        <v>0</v>
      </c>
      <c r="J109" s="1398">
        <f>Breaking.!F71</f>
        <v>0</v>
      </c>
      <c r="K109" s="1398">
        <f>Breaking.!G71</f>
        <v>0</v>
      </c>
      <c r="L109" s="1398">
        <f>Breaking.!H71</f>
        <v>0</v>
      </c>
      <c r="M109" s="1398">
        <f>Breaking.!I71</f>
        <v>0</v>
      </c>
      <c r="N109" s="1398">
        <f>Breaking.!J71</f>
        <v>0</v>
      </c>
      <c r="O109" s="1398">
        <f>Breaking.!K71</f>
        <v>0</v>
      </c>
      <c r="P109" s="1398">
        <f>Breaking.!L71</f>
        <v>0</v>
      </c>
      <c r="Q109" s="1398">
        <f>Breaking.!M71</f>
        <v>0</v>
      </c>
      <c r="R109" s="1398">
        <f>Breaking.!N71</f>
        <v>0</v>
      </c>
      <c r="S109" s="1398">
        <f>Breaking.!O71</f>
        <v>0</v>
      </c>
      <c r="T109" s="1398">
        <f>Breaking.!P71</f>
        <v>0</v>
      </c>
      <c r="U109" s="1398">
        <f>Breaking.!Q71</f>
        <v>0</v>
      </c>
      <c r="V109" s="1398">
        <f>Breaking.!R71</f>
        <v>0</v>
      </c>
      <c r="W109" s="1398">
        <f>Breaking.!S71</f>
        <v>0</v>
      </c>
      <c r="X109" s="1398">
        <f>Breaking.!T71</f>
        <v>0</v>
      </c>
      <c r="Y109" s="1398">
        <f>Breaking.!U71</f>
        <v>0</v>
      </c>
      <c r="Z109" s="1398">
        <f>Breaking.!V71</f>
        <v>0</v>
      </c>
      <c r="AA109" s="1398">
        <f>Breaking.!W71</f>
        <v>0</v>
      </c>
      <c r="AB109" s="1398">
        <f>Breaking.!X71</f>
        <v>0</v>
      </c>
      <c r="AC109" s="1398">
        <f>Breaking.!Y71</f>
        <v>0</v>
      </c>
      <c r="AD109" s="1398">
        <f>Breaking.!Z71</f>
        <v>0</v>
      </c>
      <c r="AE109" s="1398">
        <f>Breaking.!AA71</f>
        <v>0</v>
      </c>
      <c r="AF109" s="1398">
        <f>Breaking.!AB71</f>
        <v>0</v>
      </c>
      <c r="AG109" s="1398">
        <f>Breaking.!AC71</f>
        <v>0</v>
      </c>
      <c r="AH109" s="1398">
        <f>Breaking.!AD71</f>
        <v>0</v>
      </c>
      <c r="AI109" s="1398">
        <f>Breaking.!AE71</f>
        <v>0</v>
      </c>
      <c r="AJ109" s="1398">
        <f>Breaking.!AF71</f>
        <v>0</v>
      </c>
      <c r="AK109" s="1398">
        <f>Breaking.!AG71</f>
        <v>0</v>
      </c>
      <c r="AL109" s="1398">
        <f>Breaking.!AH71</f>
        <v>0</v>
      </c>
      <c r="AM109" s="150"/>
    </row>
    <row r="110" spans="2:39" ht="13.5" customHeight="1" thickBot="1">
      <c r="B110" s="2811"/>
      <c r="C110" s="2838"/>
      <c r="D110" s="2836"/>
      <c r="E110" s="1141" t="s">
        <v>295</v>
      </c>
      <c r="F110" s="1095">
        <f>SUMIF($H$9:$AL$9,"&lt;="&amp;$C$7,H110:AL110)</f>
        <v>0</v>
      </c>
      <c r="G110" s="1142">
        <f t="shared" ref="G110" si="101">IFERROR((F110-F109)/F109,0)</f>
        <v>0</v>
      </c>
      <c r="H110" s="1143"/>
      <c r="I110" s="1095"/>
      <c r="J110" s="1095"/>
      <c r="K110" s="1095"/>
      <c r="L110" s="1095"/>
      <c r="M110" s="1095"/>
      <c r="N110" s="1095"/>
      <c r="O110" s="1095"/>
      <c r="P110" s="1095"/>
      <c r="Q110" s="1095"/>
      <c r="R110" s="1095"/>
      <c r="S110" s="1095"/>
      <c r="T110" s="1095"/>
      <c r="U110" s="1095"/>
      <c r="V110" s="1095"/>
      <c r="W110" s="1095"/>
      <c r="X110" s="1095"/>
      <c r="Y110" s="1095"/>
      <c r="Z110" s="1095"/>
      <c r="AA110" s="1095"/>
      <c r="AB110" s="1095"/>
      <c r="AC110" s="1095"/>
      <c r="AD110" s="1095"/>
      <c r="AE110" s="1095"/>
      <c r="AF110" s="1095"/>
      <c r="AG110" s="1095"/>
      <c r="AH110" s="1095"/>
      <c r="AI110" s="1095"/>
      <c r="AJ110" s="1095"/>
      <c r="AK110" s="1095"/>
      <c r="AL110" s="1095"/>
      <c r="AM110" s="95"/>
    </row>
    <row r="111" spans="2:39" ht="13.5" customHeight="1" thickBot="1">
      <c r="B111" s="2811"/>
      <c r="C111" s="2838"/>
      <c r="D111" s="2836"/>
      <c r="E111" s="1159" t="s">
        <v>199</v>
      </c>
      <c r="F111" s="1160"/>
      <c r="G111" s="1161"/>
      <c r="H111" s="151"/>
      <c r="I111" s="151"/>
      <c r="J111" s="151"/>
      <c r="K111" s="151"/>
      <c r="L111" s="151"/>
      <c r="M111" s="151"/>
      <c r="N111" s="151"/>
      <c r="O111" s="151"/>
      <c r="P111" s="170"/>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71"/>
      <c r="AM111" s="172"/>
    </row>
    <row r="112" spans="2:39" ht="13.5" customHeight="1" thickBot="1">
      <c r="B112" s="2811"/>
      <c r="C112" s="2838"/>
      <c r="D112" s="2825" t="s">
        <v>68</v>
      </c>
      <c r="E112" s="1147" t="s">
        <v>296</v>
      </c>
      <c r="F112" s="1148">
        <f t="shared" ref="F112" si="102">IFERROR(F114*1000/F109,0)</f>
        <v>0</v>
      </c>
      <c r="G112" s="1149"/>
      <c r="H112" s="1150">
        <f>Breaking.!D72</f>
        <v>0</v>
      </c>
      <c r="I112" s="1150">
        <f>Breaking.!E72</f>
        <v>0</v>
      </c>
      <c r="J112" s="1150">
        <f>Breaking.!F72</f>
        <v>0</v>
      </c>
      <c r="K112" s="1150">
        <f>Breaking.!G72</f>
        <v>0</v>
      </c>
      <c r="L112" s="1150">
        <f>Breaking.!H72</f>
        <v>0</v>
      </c>
      <c r="M112" s="1150">
        <f>Breaking.!I72</f>
        <v>0</v>
      </c>
      <c r="N112" s="1150">
        <f>Breaking.!J72</f>
        <v>0</v>
      </c>
      <c r="O112" s="1150">
        <f>Breaking.!K72</f>
        <v>0</v>
      </c>
      <c r="P112" s="1150">
        <f>Breaking.!L72</f>
        <v>0</v>
      </c>
      <c r="Q112" s="1150">
        <f>Breaking.!M72</f>
        <v>0</v>
      </c>
      <c r="R112" s="1150">
        <f>Breaking.!N72</f>
        <v>0</v>
      </c>
      <c r="S112" s="1150">
        <f>Breaking.!O72</f>
        <v>0</v>
      </c>
      <c r="T112" s="1150">
        <f>Breaking.!P72</f>
        <v>0</v>
      </c>
      <c r="U112" s="1150">
        <f>Breaking.!Q72</f>
        <v>0</v>
      </c>
      <c r="V112" s="1150">
        <f>Breaking.!R72</f>
        <v>0</v>
      </c>
      <c r="W112" s="1150">
        <f>Breaking.!S72</f>
        <v>0</v>
      </c>
      <c r="X112" s="1150">
        <f>Breaking.!T72</f>
        <v>0</v>
      </c>
      <c r="Y112" s="1150">
        <f>Breaking.!U72</f>
        <v>0</v>
      </c>
      <c r="Z112" s="1150">
        <f>Breaking.!V72</f>
        <v>0</v>
      </c>
      <c r="AA112" s="1150">
        <f>Breaking.!W72</f>
        <v>0</v>
      </c>
      <c r="AB112" s="1150">
        <f>Breaking.!X72</f>
        <v>0</v>
      </c>
      <c r="AC112" s="1150">
        <f>Breaking.!Y72</f>
        <v>0</v>
      </c>
      <c r="AD112" s="1150">
        <f>Breaking.!Z72</f>
        <v>0</v>
      </c>
      <c r="AE112" s="1150">
        <f>Breaking.!AA72</f>
        <v>0</v>
      </c>
      <c r="AF112" s="1150">
        <f>Breaking.!AB72</f>
        <v>0</v>
      </c>
      <c r="AG112" s="1150">
        <f>Breaking.!AC72</f>
        <v>0</v>
      </c>
      <c r="AH112" s="1150">
        <f>Breaking.!AD72</f>
        <v>0</v>
      </c>
      <c r="AI112" s="1150">
        <f>Breaking.!AE72</f>
        <v>0</v>
      </c>
      <c r="AJ112" s="1150">
        <f>Breaking.!AF72</f>
        <v>0</v>
      </c>
      <c r="AK112" s="1150">
        <f>Breaking.!AG72</f>
        <v>0</v>
      </c>
      <c r="AL112" s="1150">
        <f>Breaking.!AH72</f>
        <v>0</v>
      </c>
      <c r="AM112" s="95"/>
    </row>
    <row r="113" spans="2:39" ht="13.5" customHeight="1" thickBot="1">
      <c r="B113" s="2811"/>
      <c r="C113" s="2838"/>
      <c r="D113" s="2825"/>
      <c r="E113" s="1151" t="s">
        <v>297</v>
      </c>
      <c r="F113" s="1152">
        <f>IFERROR(F115*1000/F110,0)</f>
        <v>0</v>
      </c>
      <c r="G113" s="1142">
        <f t="shared" ref="G113" si="103">IFERROR((F113-F112)/F112,0)</f>
        <v>0</v>
      </c>
      <c r="H113" s="1153"/>
      <c r="I113" s="1152"/>
      <c r="J113" s="1152"/>
      <c r="K113" s="1152"/>
      <c r="L113" s="1152"/>
      <c r="M113" s="1152"/>
      <c r="N113" s="1152"/>
      <c r="O113" s="1152"/>
      <c r="P113" s="1152"/>
      <c r="Q113" s="1152"/>
      <c r="R113" s="1152"/>
      <c r="S113" s="1152"/>
      <c r="T113" s="1152"/>
      <c r="U113" s="1152"/>
      <c r="V113" s="1152"/>
      <c r="W113" s="1152"/>
      <c r="X113" s="1152"/>
      <c r="Y113" s="1152"/>
      <c r="Z113" s="1152"/>
      <c r="AA113" s="1152"/>
      <c r="AB113" s="1152"/>
      <c r="AC113" s="1152"/>
      <c r="AD113" s="1152"/>
      <c r="AE113" s="1152"/>
      <c r="AF113" s="1152"/>
      <c r="AG113" s="1152"/>
      <c r="AH113" s="1152"/>
      <c r="AI113" s="1152"/>
      <c r="AJ113" s="1152"/>
      <c r="AK113" s="1152"/>
      <c r="AL113" s="1152"/>
      <c r="AM113" s="95"/>
    </row>
    <row r="114" spans="2:39" ht="13.5" customHeight="1" thickBot="1">
      <c r="B114" s="2811"/>
      <c r="C114" s="2838"/>
      <c r="D114" s="2828" t="s">
        <v>70</v>
      </c>
      <c r="E114" s="1147" t="s">
        <v>298</v>
      </c>
      <c r="F114" s="96">
        <f>SUMIF($H$9:$AL$9,"&lt;="&amp;$C$7,H114:AL114)</f>
        <v>0</v>
      </c>
      <c r="G114" s="1149"/>
      <c r="H114" s="1154">
        <f t="shared" ref="H114:AL114" si="104">+H112*H109/1000</f>
        <v>0</v>
      </c>
      <c r="I114" s="1154">
        <f t="shared" si="104"/>
        <v>0</v>
      </c>
      <c r="J114" s="1154">
        <f t="shared" si="104"/>
        <v>0</v>
      </c>
      <c r="K114" s="1154">
        <f t="shared" si="104"/>
        <v>0</v>
      </c>
      <c r="L114" s="1154">
        <f t="shared" si="104"/>
        <v>0</v>
      </c>
      <c r="M114" s="1154">
        <f t="shared" si="104"/>
        <v>0</v>
      </c>
      <c r="N114" s="1154">
        <f t="shared" si="104"/>
        <v>0</v>
      </c>
      <c r="O114" s="1154">
        <f t="shared" si="104"/>
        <v>0</v>
      </c>
      <c r="P114" s="1154">
        <f t="shared" si="104"/>
        <v>0</v>
      </c>
      <c r="Q114" s="1154">
        <f t="shared" si="104"/>
        <v>0</v>
      </c>
      <c r="R114" s="1154">
        <f t="shared" si="104"/>
        <v>0</v>
      </c>
      <c r="S114" s="1154">
        <f t="shared" si="104"/>
        <v>0</v>
      </c>
      <c r="T114" s="1154">
        <f t="shared" si="104"/>
        <v>0</v>
      </c>
      <c r="U114" s="1154">
        <f t="shared" si="104"/>
        <v>0</v>
      </c>
      <c r="V114" s="1154">
        <f t="shared" si="104"/>
        <v>0</v>
      </c>
      <c r="W114" s="1154">
        <f t="shared" si="104"/>
        <v>0</v>
      </c>
      <c r="X114" s="1154">
        <f t="shared" si="104"/>
        <v>0</v>
      </c>
      <c r="Y114" s="1154">
        <f t="shared" si="104"/>
        <v>0</v>
      </c>
      <c r="Z114" s="1154">
        <f t="shared" si="104"/>
        <v>0</v>
      </c>
      <c r="AA114" s="1154">
        <f t="shared" si="104"/>
        <v>0</v>
      </c>
      <c r="AB114" s="1154">
        <f t="shared" si="104"/>
        <v>0</v>
      </c>
      <c r="AC114" s="1154">
        <f t="shared" si="104"/>
        <v>0</v>
      </c>
      <c r="AD114" s="1154">
        <f t="shared" si="104"/>
        <v>0</v>
      </c>
      <c r="AE114" s="1154">
        <f t="shared" si="104"/>
        <v>0</v>
      </c>
      <c r="AF114" s="1154">
        <f t="shared" si="104"/>
        <v>0</v>
      </c>
      <c r="AG114" s="1154">
        <f t="shared" si="104"/>
        <v>0</v>
      </c>
      <c r="AH114" s="1154">
        <f t="shared" si="104"/>
        <v>0</v>
      </c>
      <c r="AI114" s="1154">
        <f t="shared" si="104"/>
        <v>0</v>
      </c>
      <c r="AJ114" s="1154">
        <f t="shared" si="104"/>
        <v>0</v>
      </c>
      <c r="AK114" s="1154">
        <f t="shared" si="104"/>
        <v>0</v>
      </c>
      <c r="AL114" s="1157">
        <f t="shared" si="104"/>
        <v>0</v>
      </c>
      <c r="AM114" s="97"/>
    </row>
    <row r="115" spans="2:39" ht="13.5" customHeight="1" thickBot="1">
      <c r="B115" s="2812"/>
      <c r="C115" s="2839"/>
      <c r="D115" s="2829"/>
      <c r="E115" s="1049" t="s">
        <v>299</v>
      </c>
      <c r="F115" s="1004">
        <f>SUMIF($H$9:$AL$9,"&lt;="&amp;$C$7,H115:AL115)</f>
        <v>0</v>
      </c>
      <c r="G115" s="1105">
        <f>IFERROR((F115-F114)/F114,0)</f>
        <v>0</v>
      </c>
      <c r="H115" s="1158">
        <f t="shared" ref="H115:AL115" si="105">+H113*H110/1000</f>
        <v>0</v>
      </c>
      <c r="I115" s="1004">
        <f t="shared" si="105"/>
        <v>0</v>
      </c>
      <c r="J115" s="1004">
        <f t="shared" si="105"/>
        <v>0</v>
      </c>
      <c r="K115" s="1004">
        <f t="shared" si="105"/>
        <v>0</v>
      </c>
      <c r="L115" s="1004">
        <f t="shared" si="105"/>
        <v>0</v>
      </c>
      <c r="M115" s="1004">
        <f t="shared" ref="M115:Q115" si="106">+M113*M110/1000</f>
        <v>0</v>
      </c>
      <c r="N115" s="1004">
        <f t="shared" si="106"/>
        <v>0</v>
      </c>
      <c r="O115" s="1004">
        <f t="shared" si="106"/>
        <v>0</v>
      </c>
      <c r="P115" s="1004">
        <f t="shared" si="106"/>
        <v>0</v>
      </c>
      <c r="Q115" s="1004">
        <f t="shared" si="106"/>
        <v>0</v>
      </c>
      <c r="R115" s="1004">
        <f t="shared" si="105"/>
        <v>0</v>
      </c>
      <c r="S115" s="1004">
        <f t="shared" si="105"/>
        <v>0</v>
      </c>
      <c r="T115" s="1004">
        <f t="shared" si="105"/>
        <v>0</v>
      </c>
      <c r="U115" s="1004">
        <f t="shared" si="105"/>
        <v>0</v>
      </c>
      <c r="V115" s="1004">
        <f t="shared" si="105"/>
        <v>0</v>
      </c>
      <c r="W115" s="1004">
        <f>+W113*W110/1000</f>
        <v>0</v>
      </c>
      <c r="X115" s="1004">
        <f>+X113*X110/1000</f>
        <v>0</v>
      </c>
      <c r="Y115" s="1004">
        <f t="shared" si="105"/>
        <v>0</v>
      </c>
      <c r="Z115" s="1004">
        <f t="shared" si="105"/>
        <v>0</v>
      </c>
      <c r="AA115" s="1004">
        <f t="shared" si="105"/>
        <v>0</v>
      </c>
      <c r="AB115" s="1004">
        <f t="shared" si="105"/>
        <v>0</v>
      </c>
      <c r="AC115" s="1004">
        <f t="shared" si="105"/>
        <v>0</v>
      </c>
      <c r="AD115" s="1004">
        <f t="shared" si="105"/>
        <v>0</v>
      </c>
      <c r="AE115" s="1004">
        <f t="shared" si="105"/>
        <v>0</v>
      </c>
      <c r="AF115" s="1004">
        <f t="shared" si="105"/>
        <v>0</v>
      </c>
      <c r="AG115" s="1004">
        <f t="shared" si="105"/>
        <v>0</v>
      </c>
      <c r="AH115" s="1004">
        <f t="shared" si="105"/>
        <v>0</v>
      </c>
      <c r="AI115" s="1004">
        <f t="shared" si="105"/>
        <v>0</v>
      </c>
      <c r="AJ115" s="1004">
        <f t="shared" si="105"/>
        <v>0</v>
      </c>
      <c r="AK115" s="1004">
        <f t="shared" si="105"/>
        <v>0</v>
      </c>
      <c r="AL115" s="1004">
        <f t="shared" si="105"/>
        <v>0</v>
      </c>
      <c r="AM115" s="98"/>
    </row>
    <row r="116" spans="2:39" ht="13.5" customHeight="1" thickBot="1">
      <c r="B116" s="2810">
        <v>1</v>
      </c>
      <c r="C116" s="2837" t="str">
        <f>Breaking.!A73</f>
        <v>6L_W8 STOPE</v>
      </c>
      <c r="D116" s="2835" t="s">
        <v>66</v>
      </c>
      <c r="E116" s="91" t="s">
        <v>294</v>
      </c>
      <c r="F116" s="146">
        <f>SUMIF($H$9:$AL$9,"&lt;="&amp;$C$7,H116:AL116)</f>
        <v>630</v>
      </c>
      <c r="G116" s="81"/>
      <c r="H116" s="1398">
        <f>Breaking.!D73</f>
        <v>105</v>
      </c>
      <c r="I116" s="1398">
        <f>Breaking.!E73</f>
        <v>105</v>
      </c>
      <c r="J116" s="1398">
        <f>Breaking.!F73</f>
        <v>105</v>
      </c>
      <c r="K116" s="1398">
        <f>Breaking.!G73</f>
        <v>105</v>
      </c>
      <c r="L116" s="1398">
        <f>Breaking.!H73</f>
        <v>105</v>
      </c>
      <c r="M116" s="1398">
        <f>Breaking.!I73</f>
        <v>105</v>
      </c>
      <c r="N116" s="1398">
        <f>Breaking.!J73</f>
        <v>105</v>
      </c>
      <c r="O116" s="1398">
        <f>Breaking.!K73</f>
        <v>105</v>
      </c>
      <c r="P116" s="1398">
        <f>Breaking.!L73</f>
        <v>105</v>
      </c>
      <c r="Q116" s="1398">
        <f>Breaking.!M73</f>
        <v>105</v>
      </c>
      <c r="R116" s="1398">
        <f>Breaking.!N73</f>
        <v>0</v>
      </c>
      <c r="S116" s="1398">
        <f>Breaking.!O73</f>
        <v>0</v>
      </c>
      <c r="T116" s="1398">
        <f>Breaking.!P73</f>
        <v>105</v>
      </c>
      <c r="U116" s="1398">
        <f>Breaking.!Q73</f>
        <v>105</v>
      </c>
      <c r="V116" s="1398">
        <f>Breaking.!R73</f>
        <v>105</v>
      </c>
      <c r="W116" s="1398">
        <f>Breaking.!S73</f>
        <v>105</v>
      </c>
      <c r="X116" s="1398">
        <f>Breaking.!T73</f>
        <v>105</v>
      </c>
      <c r="Y116" s="1398">
        <f>Breaking.!U73</f>
        <v>105</v>
      </c>
      <c r="Z116" s="1398">
        <f>Breaking.!V73</f>
        <v>105</v>
      </c>
      <c r="AA116" s="1398">
        <f>Breaking.!W73</f>
        <v>105</v>
      </c>
      <c r="AB116" s="1398">
        <f>Breaking.!X73</f>
        <v>105</v>
      </c>
      <c r="AC116" s="1398">
        <f>Breaking.!Y73</f>
        <v>105</v>
      </c>
      <c r="AD116" s="1398">
        <f>Breaking.!Z73</f>
        <v>105</v>
      </c>
      <c r="AE116" s="1398">
        <f>Breaking.!AA73</f>
        <v>105</v>
      </c>
      <c r="AF116" s="1398">
        <f>Breaking.!AB73</f>
        <v>105</v>
      </c>
      <c r="AG116" s="1398">
        <f>Breaking.!AC73</f>
        <v>105</v>
      </c>
      <c r="AH116" s="1398">
        <f>Breaking.!AD73</f>
        <v>105</v>
      </c>
      <c r="AI116" s="1398">
        <f>Breaking.!AE73</f>
        <v>105</v>
      </c>
      <c r="AJ116" s="1398">
        <f>Breaking.!AF73</f>
        <v>105</v>
      </c>
      <c r="AK116" s="1398">
        <f>Breaking.!AG73</f>
        <v>105</v>
      </c>
      <c r="AL116" s="1398">
        <f>Breaking.!AH73</f>
        <v>105</v>
      </c>
      <c r="AM116" s="150"/>
    </row>
    <row r="117" spans="2:39" ht="13.5" customHeight="1" thickBot="1">
      <c r="B117" s="2811"/>
      <c r="C117" s="2838"/>
      <c r="D117" s="2836"/>
      <c r="E117" s="1141" t="s">
        <v>295</v>
      </c>
      <c r="F117" s="1095">
        <f>SUMIF($H$9:$AL$9,"&lt;="&amp;$C$7,H117:AL117)</f>
        <v>527</v>
      </c>
      <c r="G117" s="1142">
        <f t="shared" ref="G117" si="107">IFERROR((F117-F116)/F116,0)</f>
        <v>-0.16349206349206349</v>
      </c>
      <c r="H117" s="1143">
        <v>83</v>
      </c>
      <c r="I117" s="1095"/>
      <c r="J117" s="1095">
        <v>195</v>
      </c>
      <c r="K117" s="1095">
        <v>33</v>
      </c>
      <c r="L117" s="1095">
        <v>81</v>
      </c>
      <c r="M117" s="1095">
        <v>135</v>
      </c>
      <c r="N117" s="1095"/>
      <c r="O117" s="1095"/>
      <c r="P117" s="1095"/>
      <c r="Q117" s="1095"/>
      <c r="R117" s="1095"/>
      <c r="S117" s="1095"/>
      <c r="T117" s="1095"/>
      <c r="U117" s="1095"/>
      <c r="V117" s="1095"/>
      <c r="W117" s="1095"/>
      <c r="X117" s="1095"/>
      <c r="Y117" s="1095"/>
      <c r="Z117" s="1095"/>
      <c r="AA117" s="1095"/>
      <c r="AB117" s="1095"/>
      <c r="AC117" s="1095"/>
      <c r="AD117" s="1095"/>
      <c r="AE117" s="1095"/>
      <c r="AF117" s="1095"/>
      <c r="AG117" s="1095"/>
      <c r="AH117" s="1095"/>
      <c r="AI117" s="1095"/>
      <c r="AJ117" s="1095"/>
      <c r="AK117" s="1095"/>
      <c r="AL117" s="1095"/>
      <c r="AM117" s="95"/>
    </row>
    <row r="118" spans="2:39" ht="13.5" customHeight="1" thickBot="1">
      <c r="B118" s="2811"/>
      <c r="C118" s="2838"/>
      <c r="D118" s="2836"/>
      <c r="E118" s="1159" t="s">
        <v>199</v>
      </c>
      <c r="F118" s="1160"/>
      <c r="G118" s="1161"/>
      <c r="H118" s="151"/>
      <c r="I118" s="151"/>
      <c r="J118" s="151"/>
      <c r="K118" s="151"/>
      <c r="L118" s="151"/>
      <c r="M118" s="151"/>
      <c r="N118" s="151"/>
      <c r="O118" s="151"/>
      <c r="P118" s="170"/>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151"/>
      <c r="AL118" s="171"/>
      <c r="AM118" s="172"/>
    </row>
    <row r="119" spans="2:39" ht="13.5" customHeight="1" thickBot="1">
      <c r="B119" s="2811"/>
      <c r="C119" s="2838"/>
      <c r="D119" s="2825" t="s">
        <v>68</v>
      </c>
      <c r="E119" s="1147" t="s">
        <v>296</v>
      </c>
      <c r="F119" s="1148">
        <f>IFERROR(F121*1000/F116,0)</f>
        <v>2.7803738317757007</v>
      </c>
      <c r="G119" s="1149"/>
      <c r="H119" s="1150">
        <f>Breaking.!D74</f>
        <v>2.7803738317757007</v>
      </c>
      <c r="I119" s="1150">
        <f>Breaking.!E74</f>
        <v>2.7803738317757007</v>
      </c>
      <c r="J119" s="1150">
        <f>Breaking.!F74</f>
        <v>2.7803738317757007</v>
      </c>
      <c r="K119" s="1150">
        <f>Breaking.!G74</f>
        <v>2.7803738317757007</v>
      </c>
      <c r="L119" s="1150">
        <f>Breaking.!H74</f>
        <v>2.7803738317757007</v>
      </c>
      <c r="M119" s="1150">
        <f>Breaking.!I74</f>
        <v>2.7803738317757007</v>
      </c>
      <c r="N119" s="1150">
        <f>Breaking.!J74</f>
        <v>2.7803738317757007</v>
      </c>
      <c r="O119" s="1150">
        <f>Breaking.!K74</f>
        <v>2.7803738317757007</v>
      </c>
      <c r="P119" s="1150">
        <f>Breaking.!L74</f>
        <v>2.7803738317757007</v>
      </c>
      <c r="Q119" s="1150">
        <f>Breaking.!M74</f>
        <v>2.7803738317757007</v>
      </c>
      <c r="R119" s="1150">
        <f>Breaking.!N74</f>
        <v>0</v>
      </c>
      <c r="S119" s="1150">
        <f>Breaking.!O74</f>
        <v>0</v>
      </c>
      <c r="T119" s="1150">
        <f>Breaking.!P74</f>
        <v>2.7803738317757007</v>
      </c>
      <c r="U119" s="1150">
        <f>Breaking.!Q74</f>
        <v>2.7803738317757007</v>
      </c>
      <c r="V119" s="1150">
        <f>Breaking.!R74</f>
        <v>2.7803738317757007</v>
      </c>
      <c r="W119" s="1150">
        <f>Breaking.!S74</f>
        <v>2.7803738317757007</v>
      </c>
      <c r="X119" s="1150">
        <f>Breaking.!T74</f>
        <v>2.7803738317757007</v>
      </c>
      <c r="Y119" s="1150">
        <f>Breaking.!U74</f>
        <v>2.7803738317757007</v>
      </c>
      <c r="Z119" s="1150">
        <f>Breaking.!V74</f>
        <v>2.7803738317757007</v>
      </c>
      <c r="AA119" s="1150">
        <f>Breaking.!W74</f>
        <v>2.7803738317757007</v>
      </c>
      <c r="AB119" s="1150">
        <f>Breaking.!X74</f>
        <v>2.7803738317757007</v>
      </c>
      <c r="AC119" s="1150">
        <f>Breaking.!Y74</f>
        <v>2.7803738317757007</v>
      </c>
      <c r="AD119" s="1150">
        <f>Breaking.!Z74</f>
        <v>2.7803738317757007</v>
      </c>
      <c r="AE119" s="1150">
        <f>Breaking.!AA74</f>
        <v>2.7803738317757007</v>
      </c>
      <c r="AF119" s="1150">
        <f>Breaking.!AB74</f>
        <v>2.7803738317757007</v>
      </c>
      <c r="AG119" s="1150">
        <f>Breaking.!AC74</f>
        <v>2.7803738317757007</v>
      </c>
      <c r="AH119" s="1150">
        <f>Breaking.!AD74</f>
        <v>2.7803738317757007</v>
      </c>
      <c r="AI119" s="1150">
        <f>Breaking.!AE74</f>
        <v>2.7803738317757007</v>
      </c>
      <c r="AJ119" s="1150">
        <f>Breaking.!AF74</f>
        <v>2.7803738317757007</v>
      </c>
      <c r="AK119" s="1150">
        <f>Breaking.!AG74</f>
        <v>2.7803738317757007</v>
      </c>
      <c r="AL119" s="1150">
        <f>Breaking.!AH74</f>
        <v>2.7803738317757007</v>
      </c>
      <c r="AM119" s="95"/>
    </row>
    <row r="120" spans="2:39" ht="13.5" customHeight="1" thickBot="1">
      <c r="B120" s="2811"/>
      <c r="C120" s="2838"/>
      <c r="D120" s="2825"/>
      <c r="E120" s="1151" t="s">
        <v>297</v>
      </c>
      <c r="F120" s="1152">
        <f t="shared" ref="F120" si="108">IFERROR(F122*1000/F117,0)</f>
        <v>1.6287286527514231</v>
      </c>
      <c r="G120" s="1142">
        <f t="shared" ref="G120" si="109">IFERROR((F120-F119)/F119,0)</f>
        <v>-0.41420515682553855</v>
      </c>
      <c r="H120" s="1153">
        <v>2.39</v>
      </c>
      <c r="I120" s="1152">
        <v>1.27</v>
      </c>
      <c r="J120" s="1152">
        <v>1.27</v>
      </c>
      <c r="K120" s="1152">
        <v>1.67</v>
      </c>
      <c r="L120" s="1152">
        <v>0.86</v>
      </c>
      <c r="M120" s="1152">
        <v>2.13</v>
      </c>
      <c r="N120" s="1152"/>
      <c r="O120" s="1152"/>
      <c r="P120" s="1152"/>
      <c r="Q120" s="1152"/>
      <c r="R120" s="1152"/>
      <c r="S120" s="1152"/>
      <c r="T120" s="1152"/>
      <c r="U120" s="1152"/>
      <c r="V120" s="1152"/>
      <c r="W120" s="1152"/>
      <c r="X120" s="1152"/>
      <c r="Y120" s="1152"/>
      <c r="Z120" s="1152"/>
      <c r="AA120" s="1152"/>
      <c r="AB120" s="1152"/>
      <c r="AC120" s="1152"/>
      <c r="AD120" s="1152"/>
      <c r="AE120" s="1152"/>
      <c r="AF120" s="1152"/>
      <c r="AG120" s="1152"/>
      <c r="AH120" s="1152"/>
      <c r="AI120" s="1152"/>
      <c r="AJ120" s="1152"/>
      <c r="AK120" s="1152"/>
      <c r="AL120" s="1152"/>
      <c r="AM120" s="95"/>
    </row>
    <row r="121" spans="2:39" ht="13.5" customHeight="1" thickBot="1">
      <c r="B121" s="2811"/>
      <c r="C121" s="2838"/>
      <c r="D121" s="2828" t="s">
        <v>70</v>
      </c>
      <c r="E121" s="1147" t="s">
        <v>298</v>
      </c>
      <c r="F121" s="96">
        <f>SUMIF($H$9:$AL$9,"&lt;="&amp;$C$7,H121:AL121)</f>
        <v>1.7516355140186914</v>
      </c>
      <c r="G121" s="1149"/>
      <c r="H121" s="1154">
        <f>+H119*H116/1000</f>
        <v>0.29193925233644857</v>
      </c>
      <c r="I121" s="1154">
        <f t="shared" ref="I121:AK121" si="110">+I119*I116/1000</f>
        <v>0.29193925233644857</v>
      </c>
      <c r="J121" s="1154">
        <f t="shared" si="110"/>
        <v>0.29193925233644857</v>
      </c>
      <c r="K121" s="1154">
        <f t="shared" si="110"/>
        <v>0.29193925233644857</v>
      </c>
      <c r="L121" s="1154">
        <f t="shared" si="110"/>
        <v>0.29193925233644857</v>
      </c>
      <c r="M121" s="1154">
        <f t="shared" si="110"/>
        <v>0.29193925233644857</v>
      </c>
      <c r="N121" s="1154">
        <f t="shared" si="110"/>
        <v>0.29193925233644857</v>
      </c>
      <c r="O121" s="1154">
        <f t="shared" si="110"/>
        <v>0.29193925233644857</v>
      </c>
      <c r="P121" s="1154">
        <f t="shared" si="110"/>
        <v>0.29193925233644857</v>
      </c>
      <c r="Q121" s="1154">
        <f t="shared" si="110"/>
        <v>0.29193925233644857</v>
      </c>
      <c r="R121" s="1154">
        <f t="shared" si="110"/>
        <v>0</v>
      </c>
      <c r="S121" s="1154">
        <f t="shared" si="110"/>
        <v>0</v>
      </c>
      <c r="T121" s="1154">
        <f t="shared" si="110"/>
        <v>0.29193925233644857</v>
      </c>
      <c r="U121" s="1154">
        <f t="shared" si="110"/>
        <v>0.29193925233644857</v>
      </c>
      <c r="V121" s="1154">
        <f t="shared" si="110"/>
        <v>0.29193925233644857</v>
      </c>
      <c r="W121" s="1154">
        <f t="shared" si="110"/>
        <v>0.29193925233644857</v>
      </c>
      <c r="X121" s="1154">
        <f t="shared" si="110"/>
        <v>0.29193925233644857</v>
      </c>
      <c r="Y121" s="1154">
        <f t="shared" si="110"/>
        <v>0.29193925233644857</v>
      </c>
      <c r="Z121" s="1154">
        <f t="shared" si="110"/>
        <v>0.29193925233644857</v>
      </c>
      <c r="AA121" s="1154">
        <f t="shared" si="110"/>
        <v>0.29193925233644857</v>
      </c>
      <c r="AB121" s="1154">
        <f t="shared" si="110"/>
        <v>0.29193925233644857</v>
      </c>
      <c r="AC121" s="1154">
        <f t="shared" si="110"/>
        <v>0.29193925233644857</v>
      </c>
      <c r="AD121" s="1154">
        <f t="shared" si="110"/>
        <v>0.29193925233644857</v>
      </c>
      <c r="AE121" s="1154">
        <f t="shared" si="110"/>
        <v>0.29193925233644857</v>
      </c>
      <c r="AF121" s="1154">
        <f t="shared" si="110"/>
        <v>0.29193925233644857</v>
      </c>
      <c r="AG121" s="1154">
        <f t="shared" si="110"/>
        <v>0.29193925233644857</v>
      </c>
      <c r="AH121" s="1154">
        <f t="shared" si="110"/>
        <v>0.29193925233644857</v>
      </c>
      <c r="AI121" s="1154">
        <f t="shared" si="110"/>
        <v>0.29193925233644857</v>
      </c>
      <c r="AJ121" s="1154">
        <f t="shared" si="110"/>
        <v>0.29193925233644857</v>
      </c>
      <c r="AK121" s="1154">
        <f t="shared" si="110"/>
        <v>0.29193925233644857</v>
      </c>
      <c r="AL121" s="1157">
        <f t="shared" ref="AL121" si="111">+AL119*AL116/1000</f>
        <v>0.29193925233644857</v>
      </c>
      <c r="AM121" s="97"/>
    </row>
    <row r="122" spans="2:39" ht="13.5" customHeight="1" thickBot="1">
      <c r="B122" s="2812"/>
      <c r="C122" s="2839"/>
      <c r="D122" s="2828"/>
      <c r="E122" s="1474" t="s">
        <v>299</v>
      </c>
      <c r="F122" s="1004">
        <f>SUMIF($H$9:$AL$9,"&lt;="&amp;$C$7,H122:AL122)</f>
        <v>0.85833999999999988</v>
      </c>
      <c r="G122" s="1105">
        <f t="shared" ref="G122" si="112">IFERROR((F122-F121)/F121,0)</f>
        <v>-0.50997796451914101</v>
      </c>
      <c r="H122" s="1158">
        <f t="shared" ref="H122:AL122" si="113">+H120*H117/1000</f>
        <v>0.19836999999999999</v>
      </c>
      <c r="I122" s="1004">
        <f t="shared" si="113"/>
        <v>0</v>
      </c>
      <c r="J122" s="1004">
        <f t="shared" si="113"/>
        <v>0.24765000000000001</v>
      </c>
      <c r="K122" s="1004">
        <f t="shared" si="113"/>
        <v>5.5109999999999999E-2</v>
      </c>
      <c r="L122" s="1004">
        <f t="shared" si="113"/>
        <v>6.966E-2</v>
      </c>
      <c r="M122" s="1004">
        <f>+M120*M117/1000</f>
        <v>0.28755000000000003</v>
      </c>
      <c r="N122" s="1004">
        <f>+N120*N117/1000</f>
        <v>0</v>
      </c>
      <c r="O122" s="1004">
        <f>+O120*O117/1000</f>
        <v>0</v>
      </c>
      <c r="P122" s="1004">
        <f>+P120*P117/1000</f>
        <v>0</v>
      </c>
      <c r="Q122" s="1004">
        <f>+Q120*Q117/1000</f>
        <v>0</v>
      </c>
      <c r="R122" s="1004">
        <f t="shared" si="113"/>
        <v>0</v>
      </c>
      <c r="S122" s="1004">
        <f t="shared" si="113"/>
        <v>0</v>
      </c>
      <c r="T122" s="1004">
        <f t="shared" si="113"/>
        <v>0</v>
      </c>
      <c r="U122" s="1004">
        <f t="shared" si="113"/>
        <v>0</v>
      </c>
      <c r="V122" s="1004">
        <f t="shared" si="113"/>
        <v>0</v>
      </c>
      <c r="W122" s="1004">
        <f t="shared" si="113"/>
        <v>0</v>
      </c>
      <c r="X122" s="1004">
        <f t="shared" si="113"/>
        <v>0</v>
      </c>
      <c r="Y122" s="1004">
        <f t="shared" si="113"/>
        <v>0</v>
      </c>
      <c r="Z122" s="1004">
        <f t="shared" si="113"/>
        <v>0</v>
      </c>
      <c r="AA122" s="1004">
        <f t="shared" si="113"/>
        <v>0</v>
      </c>
      <c r="AB122" s="1004">
        <f t="shared" si="113"/>
        <v>0</v>
      </c>
      <c r="AC122" s="1004">
        <f t="shared" si="113"/>
        <v>0</v>
      </c>
      <c r="AD122" s="1004">
        <f t="shared" si="113"/>
        <v>0</v>
      </c>
      <c r="AE122" s="1004">
        <f t="shared" si="113"/>
        <v>0</v>
      </c>
      <c r="AF122" s="1004">
        <f t="shared" si="113"/>
        <v>0</v>
      </c>
      <c r="AG122" s="1004">
        <f t="shared" si="113"/>
        <v>0</v>
      </c>
      <c r="AH122" s="1004">
        <f t="shared" si="113"/>
        <v>0</v>
      </c>
      <c r="AI122" s="1004">
        <f t="shared" si="113"/>
        <v>0</v>
      </c>
      <c r="AJ122" s="1004">
        <f t="shared" si="113"/>
        <v>0</v>
      </c>
      <c r="AK122" s="1004">
        <f t="shared" si="113"/>
        <v>0</v>
      </c>
      <c r="AL122" s="1004">
        <f t="shared" si="113"/>
        <v>0</v>
      </c>
      <c r="AM122" s="98"/>
    </row>
    <row r="123" spans="2:39" ht="13.5" customHeight="1" thickBot="1">
      <c r="B123" s="2719">
        <v>1</v>
      </c>
      <c r="C123" s="2840" t="str">
        <f>Breaking.!A75</f>
        <v>6L_W13 STOPE</v>
      </c>
      <c r="D123" s="2836" t="s">
        <v>66</v>
      </c>
      <c r="E123" s="145" t="s">
        <v>294</v>
      </c>
      <c r="F123" s="146">
        <f>SUMIF($H$9:$AL$9,"&lt;="&amp;$C$7,H123:AL123)</f>
        <v>210</v>
      </c>
      <c r="G123" s="81"/>
      <c r="H123" s="1398">
        <f>Breaking.!D75</f>
        <v>35</v>
      </c>
      <c r="I123" s="1398">
        <f>Breaking.!E75</f>
        <v>35</v>
      </c>
      <c r="J123" s="1398">
        <f>Breaking.!F75</f>
        <v>35</v>
      </c>
      <c r="K123" s="1398">
        <f>Breaking.!G75</f>
        <v>35</v>
      </c>
      <c r="L123" s="1398">
        <f>Breaking.!H75</f>
        <v>35</v>
      </c>
      <c r="M123" s="1398">
        <f>Breaking.!I75</f>
        <v>35</v>
      </c>
      <c r="N123" s="1398">
        <f>Breaking.!J75</f>
        <v>35</v>
      </c>
      <c r="O123" s="1398">
        <f>Breaking.!K75</f>
        <v>35</v>
      </c>
      <c r="P123" s="1398">
        <f>Breaking.!L75</f>
        <v>35</v>
      </c>
      <c r="Q123" s="1398">
        <f>Breaking.!M75</f>
        <v>35</v>
      </c>
      <c r="R123" s="1398">
        <f>Breaking.!N75</f>
        <v>0</v>
      </c>
      <c r="S123" s="1398">
        <f>Breaking.!O75</f>
        <v>0</v>
      </c>
      <c r="T123" s="1398">
        <f>Breaking.!P75</f>
        <v>35</v>
      </c>
      <c r="U123" s="1398">
        <f>Breaking.!Q75</f>
        <v>35</v>
      </c>
      <c r="V123" s="1398">
        <f>Breaking.!R75</f>
        <v>35</v>
      </c>
      <c r="W123" s="1398">
        <f>Breaking.!S75</f>
        <v>35</v>
      </c>
      <c r="X123" s="1398">
        <f>Breaking.!T75</f>
        <v>35</v>
      </c>
      <c r="Y123" s="1398">
        <f>Breaking.!U75</f>
        <v>35</v>
      </c>
      <c r="Z123" s="1398">
        <f>Breaking.!V75</f>
        <v>35</v>
      </c>
      <c r="AA123" s="1398">
        <f>Breaking.!W75</f>
        <v>35</v>
      </c>
      <c r="AB123" s="1398">
        <f>Breaking.!X75</f>
        <v>35</v>
      </c>
      <c r="AC123" s="1398">
        <f>Breaking.!Y75</f>
        <v>35</v>
      </c>
      <c r="AD123" s="1398">
        <f>Breaking.!Z75</f>
        <v>35</v>
      </c>
      <c r="AE123" s="1398">
        <f>Breaking.!AA75</f>
        <v>35</v>
      </c>
      <c r="AF123" s="1398">
        <f>Breaking.!AB75</f>
        <v>35</v>
      </c>
      <c r="AG123" s="1398">
        <f>Breaking.!AC75</f>
        <v>35</v>
      </c>
      <c r="AH123" s="1398">
        <f>Breaking.!AD75</f>
        <v>35</v>
      </c>
      <c r="AI123" s="1398">
        <f>Breaking.!AE75</f>
        <v>35</v>
      </c>
      <c r="AJ123" s="1398">
        <f>Breaking.!AF75</f>
        <v>35</v>
      </c>
      <c r="AK123" s="1398">
        <f>Breaking.!AG75</f>
        <v>35</v>
      </c>
      <c r="AL123" s="1398">
        <f>Breaking.!AH75</f>
        <v>35</v>
      </c>
      <c r="AM123" s="150"/>
    </row>
    <row r="124" spans="2:39" ht="13.5" customHeight="1" thickBot="1">
      <c r="B124" s="2718"/>
      <c r="C124" s="2841"/>
      <c r="D124" s="2836"/>
      <c r="E124" s="1141" t="s">
        <v>295</v>
      </c>
      <c r="F124" s="1095">
        <f>SUMIF($H$9:$AL$9,"&lt;="&amp;$C$7,H124:AL124)</f>
        <v>88</v>
      </c>
      <c r="G124" s="1142">
        <f t="shared" ref="G124" si="114">IFERROR((F124-F123)/F123,0)</f>
        <v>-0.580952380952381</v>
      </c>
      <c r="H124" s="1143"/>
      <c r="I124" s="1095"/>
      <c r="J124" s="1095"/>
      <c r="K124" s="1095">
        <v>51</v>
      </c>
      <c r="L124" s="1095">
        <v>37</v>
      </c>
      <c r="M124" s="1095"/>
      <c r="N124" s="1095"/>
      <c r="O124" s="1095"/>
      <c r="P124" s="1095"/>
      <c r="Q124" s="1095"/>
      <c r="R124" s="1095"/>
      <c r="S124" s="1095"/>
      <c r="T124" s="1095"/>
      <c r="U124" s="1095"/>
      <c r="V124" s="1095"/>
      <c r="W124" s="1095"/>
      <c r="X124" s="1095"/>
      <c r="Y124" s="1095"/>
      <c r="Z124" s="1095"/>
      <c r="AA124" s="1095"/>
      <c r="AB124" s="1095"/>
      <c r="AC124" s="1095"/>
      <c r="AD124" s="1095"/>
      <c r="AE124" s="1095"/>
      <c r="AF124" s="1095"/>
      <c r="AG124" s="1095"/>
      <c r="AH124" s="1095"/>
      <c r="AI124" s="1095"/>
      <c r="AJ124" s="1095"/>
      <c r="AK124" s="1095"/>
      <c r="AL124" s="1095"/>
      <c r="AM124" s="95"/>
    </row>
    <row r="125" spans="2:39" ht="13.5" customHeight="1" thickBot="1">
      <c r="B125" s="2718"/>
      <c r="C125" s="2841"/>
      <c r="D125" s="2836"/>
      <c r="E125" s="1159" t="s">
        <v>199</v>
      </c>
      <c r="F125" s="1160"/>
      <c r="G125" s="1161"/>
      <c r="H125" s="151"/>
      <c r="I125" s="151"/>
      <c r="J125" s="151"/>
      <c r="K125" s="151"/>
      <c r="L125" s="151"/>
      <c r="M125" s="151"/>
      <c r="N125" s="151"/>
      <c r="O125" s="151"/>
      <c r="P125" s="170"/>
      <c r="Q125" s="151"/>
      <c r="R125" s="151"/>
      <c r="S125" s="151"/>
      <c r="T125" s="151"/>
      <c r="U125" s="151" t="s">
        <v>195</v>
      </c>
      <c r="V125" s="151"/>
      <c r="W125" s="151"/>
      <c r="X125" s="151"/>
      <c r="Y125" s="151"/>
      <c r="Z125" s="151"/>
      <c r="AA125" s="151"/>
      <c r="AB125" s="151"/>
      <c r="AC125" s="151"/>
      <c r="AD125" s="151"/>
      <c r="AE125" s="151"/>
      <c r="AF125" s="151"/>
      <c r="AG125" s="151"/>
      <c r="AH125" s="151"/>
      <c r="AI125" s="151"/>
      <c r="AJ125" s="151"/>
      <c r="AK125" s="151"/>
      <c r="AL125" s="171"/>
      <c r="AM125" s="172"/>
    </row>
    <row r="126" spans="2:39" ht="13.5" customHeight="1" thickBot="1">
      <c r="B126" s="2718"/>
      <c r="C126" s="2841"/>
      <c r="D126" s="2825" t="s">
        <v>68</v>
      </c>
      <c r="E126" s="1147" t="s">
        <v>296</v>
      </c>
      <c r="F126" s="1148">
        <f>IFERROR(F128*1000/F123,0)</f>
        <v>1.9859813084112146</v>
      </c>
      <c r="G126" s="1149"/>
      <c r="H126" s="1150">
        <f>Breaking.!D76</f>
        <v>1.9859813084112148</v>
      </c>
      <c r="I126" s="1150">
        <f>Breaking.!E76</f>
        <v>1.9859813084112148</v>
      </c>
      <c r="J126" s="1150">
        <f>Breaking.!F76</f>
        <v>1.9859813084112148</v>
      </c>
      <c r="K126" s="1150">
        <f>Breaking.!G76</f>
        <v>1.9859813084112148</v>
      </c>
      <c r="L126" s="1150">
        <f>Breaking.!H76</f>
        <v>1.9859813084112148</v>
      </c>
      <c r="M126" s="1150">
        <f>Breaking.!I76</f>
        <v>1.9859813084112148</v>
      </c>
      <c r="N126" s="1150">
        <f>Breaking.!J76</f>
        <v>1.9859813084112148</v>
      </c>
      <c r="O126" s="1150">
        <f>Breaking.!K76</f>
        <v>1.9859813084112148</v>
      </c>
      <c r="P126" s="1150">
        <f>Breaking.!L76</f>
        <v>1.9859813084112148</v>
      </c>
      <c r="Q126" s="1150">
        <f>Breaking.!M76</f>
        <v>1.9859813084112148</v>
      </c>
      <c r="R126" s="1150">
        <f>Breaking.!N76</f>
        <v>0</v>
      </c>
      <c r="S126" s="1150">
        <f>Breaking.!O76</f>
        <v>0</v>
      </c>
      <c r="T126" s="1150">
        <f>Breaking.!P76</f>
        <v>1.9859813084112148</v>
      </c>
      <c r="U126" s="1150">
        <f>Breaking.!Q76</f>
        <v>1.9859813084112148</v>
      </c>
      <c r="V126" s="1150">
        <f>Breaking.!R76</f>
        <v>1.9859813084112148</v>
      </c>
      <c r="W126" s="1150">
        <f>Breaking.!S76</f>
        <v>1.9859813084112148</v>
      </c>
      <c r="X126" s="1150">
        <f>Breaking.!T76</f>
        <v>1.9859813084112148</v>
      </c>
      <c r="Y126" s="1150">
        <f>Breaking.!U76</f>
        <v>1.9859813084112148</v>
      </c>
      <c r="Z126" s="1150">
        <f>Breaking.!V76</f>
        <v>1.9859813084112148</v>
      </c>
      <c r="AA126" s="1150">
        <f>Breaking.!W76</f>
        <v>1.9859813084112148</v>
      </c>
      <c r="AB126" s="1150">
        <f>Breaking.!X76</f>
        <v>1.9859813084112148</v>
      </c>
      <c r="AC126" s="1150">
        <f>Breaking.!Y76</f>
        <v>1.9859813084112148</v>
      </c>
      <c r="AD126" s="1150">
        <f>Breaking.!Z76</f>
        <v>1.9859813084112148</v>
      </c>
      <c r="AE126" s="1150">
        <f>Breaking.!AA76</f>
        <v>1.9859813084112148</v>
      </c>
      <c r="AF126" s="1150">
        <f>Breaking.!AB76</f>
        <v>1.9859813084112148</v>
      </c>
      <c r="AG126" s="1150">
        <f>Breaking.!AC76</f>
        <v>1.9859813084112148</v>
      </c>
      <c r="AH126" s="1150">
        <f>Breaking.!AD76</f>
        <v>1.9859813084112148</v>
      </c>
      <c r="AI126" s="1150">
        <f>Breaking.!AE76</f>
        <v>1.9859813084112148</v>
      </c>
      <c r="AJ126" s="1150">
        <f>Breaking.!AF76</f>
        <v>1.9859813084112148</v>
      </c>
      <c r="AK126" s="1150">
        <f>Breaking.!AG76</f>
        <v>1.9859813084112148</v>
      </c>
      <c r="AL126" s="1150">
        <f>Breaking.!AH76</f>
        <v>1.9859813084112148</v>
      </c>
      <c r="AM126" s="95"/>
    </row>
    <row r="127" spans="2:39" ht="13.5" customHeight="1" thickBot="1">
      <c r="B127" s="2718"/>
      <c r="C127" s="2841"/>
      <c r="D127" s="2825"/>
      <c r="E127" s="1151" t="s">
        <v>297</v>
      </c>
      <c r="F127" s="1152">
        <f t="shared" ref="F127" si="115">IFERROR(F129*1000/F124,0)</f>
        <v>4.2880681818181818</v>
      </c>
      <c r="G127" s="1142">
        <f t="shared" ref="G127" si="116">IFERROR((F127-F126)/F126,0)</f>
        <v>1.1591684491978613</v>
      </c>
      <c r="H127" s="1153"/>
      <c r="I127" s="1152"/>
      <c r="J127" s="1152"/>
      <c r="K127" s="1152">
        <v>7</v>
      </c>
      <c r="L127" s="1152">
        <v>0.55000000000000004</v>
      </c>
      <c r="M127" s="1152"/>
      <c r="N127" s="1152"/>
      <c r="O127" s="1152"/>
      <c r="P127" s="1152"/>
      <c r="Q127" s="1152"/>
      <c r="R127" s="1152"/>
      <c r="S127" s="1152"/>
      <c r="T127" s="1152"/>
      <c r="U127" s="1152"/>
      <c r="V127" s="1152"/>
      <c r="W127" s="1152"/>
      <c r="X127" s="1152"/>
      <c r="Y127" s="1152"/>
      <c r="Z127" s="1152"/>
      <c r="AA127" s="1152"/>
      <c r="AB127" s="1152"/>
      <c r="AC127" s="1152"/>
      <c r="AD127" s="1152"/>
      <c r="AE127" s="1152"/>
      <c r="AF127" s="1152"/>
      <c r="AG127" s="1152"/>
      <c r="AH127" s="1152"/>
      <c r="AI127" s="1152"/>
      <c r="AJ127" s="1152"/>
      <c r="AK127" s="1152"/>
      <c r="AL127" s="1152"/>
      <c r="AM127" s="95"/>
    </row>
    <row r="128" spans="2:39" ht="13.5" customHeight="1" thickBot="1">
      <c r="B128" s="2718"/>
      <c r="C128" s="2841"/>
      <c r="D128" s="2828" t="s">
        <v>70</v>
      </c>
      <c r="E128" s="1147" t="s">
        <v>298</v>
      </c>
      <c r="F128" s="96">
        <f>SUMIF($H$9:$AL$9,"&lt;="&amp;$C$7,H128:AL128)</f>
        <v>0.41705607476635503</v>
      </c>
      <c r="G128" s="1149"/>
      <c r="H128" s="1154">
        <f>+H126*H123/1000</f>
        <v>6.950934579439251E-2</v>
      </c>
      <c r="I128" s="1154">
        <f t="shared" ref="I128:AL128" si="117">+I126*I123/1000</f>
        <v>6.950934579439251E-2</v>
      </c>
      <c r="J128" s="1154">
        <f t="shared" si="117"/>
        <v>6.950934579439251E-2</v>
      </c>
      <c r="K128" s="1154">
        <f t="shared" si="117"/>
        <v>6.950934579439251E-2</v>
      </c>
      <c r="L128" s="1154">
        <f t="shared" si="117"/>
        <v>6.950934579439251E-2</v>
      </c>
      <c r="M128" s="1154">
        <f t="shared" si="117"/>
        <v>6.950934579439251E-2</v>
      </c>
      <c r="N128" s="1154">
        <f t="shared" si="117"/>
        <v>6.950934579439251E-2</v>
      </c>
      <c r="O128" s="1154">
        <f t="shared" si="117"/>
        <v>6.950934579439251E-2</v>
      </c>
      <c r="P128" s="1154">
        <f t="shared" si="117"/>
        <v>6.950934579439251E-2</v>
      </c>
      <c r="Q128" s="1154">
        <f t="shared" si="117"/>
        <v>6.950934579439251E-2</v>
      </c>
      <c r="R128" s="1154">
        <f t="shared" si="117"/>
        <v>0</v>
      </c>
      <c r="S128" s="1154">
        <f t="shared" si="117"/>
        <v>0</v>
      </c>
      <c r="T128" s="1154">
        <f t="shared" si="117"/>
        <v>6.950934579439251E-2</v>
      </c>
      <c r="U128" s="1154">
        <f t="shared" si="117"/>
        <v>6.950934579439251E-2</v>
      </c>
      <c r="V128" s="1154">
        <f t="shared" si="117"/>
        <v>6.950934579439251E-2</v>
      </c>
      <c r="W128" s="1154">
        <f t="shared" si="117"/>
        <v>6.950934579439251E-2</v>
      </c>
      <c r="X128" s="1154">
        <f t="shared" si="117"/>
        <v>6.950934579439251E-2</v>
      </c>
      <c r="Y128" s="1154">
        <f t="shared" si="117"/>
        <v>6.950934579439251E-2</v>
      </c>
      <c r="Z128" s="1154">
        <f t="shared" si="117"/>
        <v>6.950934579439251E-2</v>
      </c>
      <c r="AA128" s="1154">
        <f t="shared" si="117"/>
        <v>6.950934579439251E-2</v>
      </c>
      <c r="AB128" s="1154">
        <f t="shared" si="117"/>
        <v>6.950934579439251E-2</v>
      </c>
      <c r="AC128" s="1154">
        <f t="shared" si="117"/>
        <v>6.950934579439251E-2</v>
      </c>
      <c r="AD128" s="1154">
        <f t="shared" si="117"/>
        <v>6.950934579439251E-2</v>
      </c>
      <c r="AE128" s="1154">
        <f t="shared" si="117"/>
        <v>6.950934579439251E-2</v>
      </c>
      <c r="AF128" s="1154">
        <f t="shared" si="117"/>
        <v>6.950934579439251E-2</v>
      </c>
      <c r="AG128" s="1154">
        <f t="shared" si="117"/>
        <v>6.950934579439251E-2</v>
      </c>
      <c r="AH128" s="1154">
        <f t="shared" si="117"/>
        <v>6.950934579439251E-2</v>
      </c>
      <c r="AI128" s="1154">
        <f t="shared" si="117"/>
        <v>6.950934579439251E-2</v>
      </c>
      <c r="AJ128" s="1154">
        <f t="shared" si="117"/>
        <v>6.950934579439251E-2</v>
      </c>
      <c r="AK128" s="1154">
        <f t="shared" si="117"/>
        <v>6.950934579439251E-2</v>
      </c>
      <c r="AL128" s="1154">
        <f t="shared" si="117"/>
        <v>6.950934579439251E-2</v>
      </c>
      <c r="AM128" s="97"/>
    </row>
    <row r="129" spans="2:39" ht="13.5" customHeight="1" thickBot="1">
      <c r="B129" s="2831"/>
      <c r="C129" s="2842"/>
      <c r="D129" s="2829"/>
      <c r="E129" s="1049" t="s">
        <v>299</v>
      </c>
      <c r="F129" s="1004">
        <f>SUMIF($H$9:$AL$9,"&lt;="&amp;$C$7,H129:AL129)</f>
        <v>0.37734999999999996</v>
      </c>
      <c r="G129" s="1105">
        <f>IFERROR((F129-F128)/F128,0)</f>
        <v>-9.520560224089622E-2</v>
      </c>
      <c r="H129" s="1158">
        <f t="shared" ref="H129:AL129" si="118">+H127*H124/1000</f>
        <v>0</v>
      </c>
      <c r="I129" s="1004">
        <f t="shared" si="118"/>
        <v>0</v>
      </c>
      <c r="J129" s="1004">
        <f t="shared" si="118"/>
        <v>0</v>
      </c>
      <c r="K129" s="1004">
        <f t="shared" si="118"/>
        <v>0.35699999999999998</v>
      </c>
      <c r="L129" s="1004">
        <f t="shared" si="118"/>
        <v>2.035E-2</v>
      </c>
      <c r="M129" s="1004">
        <f t="shared" si="118"/>
        <v>0</v>
      </c>
      <c r="N129" s="1004">
        <f t="shared" si="118"/>
        <v>0</v>
      </c>
      <c r="O129" s="1004">
        <f t="shared" si="118"/>
        <v>0</v>
      </c>
      <c r="P129" s="1004">
        <f t="shared" si="118"/>
        <v>0</v>
      </c>
      <c r="Q129" s="1004">
        <f t="shared" si="118"/>
        <v>0</v>
      </c>
      <c r="R129" s="1004">
        <f t="shared" si="118"/>
        <v>0</v>
      </c>
      <c r="S129" s="1004">
        <f t="shared" si="118"/>
        <v>0</v>
      </c>
      <c r="T129" s="1004">
        <f t="shared" si="118"/>
        <v>0</v>
      </c>
      <c r="U129" s="1004">
        <f t="shared" si="118"/>
        <v>0</v>
      </c>
      <c r="V129" s="1004">
        <f t="shared" si="118"/>
        <v>0</v>
      </c>
      <c r="W129" s="1004">
        <f t="shared" si="118"/>
        <v>0</v>
      </c>
      <c r="X129" s="1004">
        <f t="shared" si="118"/>
        <v>0</v>
      </c>
      <c r="Y129" s="1004">
        <f t="shared" si="118"/>
        <v>0</v>
      </c>
      <c r="Z129" s="1004">
        <f t="shared" si="118"/>
        <v>0</v>
      </c>
      <c r="AA129" s="1004">
        <f t="shared" si="118"/>
        <v>0</v>
      </c>
      <c r="AB129" s="1004">
        <f t="shared" si="118"/>
        <v>0</v>
      </c>
      <c r="AC129" s="1004">
        <f t="shared" si="118"/>
        <v>0</v>
      </c>
      <c r="AD129" s="1004">
        <f>+AD127*AD124/1000</f>
        <v>0</v>
      </c>
      <c r="AE129" s="1004">
        <f t="shared" si="118"/>
        <v>0</v>
      </c>
      <c r="AF129" s="1004">
        <f t="shared" si="118"/>
        <v>0</v>
      </c>
      <c r="AG129" s="1004">
        <f t="shared" si="118"/>
        <v>0</v>
      </c>
      <c r="AH129" s="1004">
        <f t="shared" si="118"/>
        <v>0</v>
      </c>
      <c r="AI129" s="1004">
        <f t="shared" si="118"/>
        <v>0</v>
      </c>
      <c r="AJ129" s="1004">
        <f t="shared" si="118"/>
        <v>0</v>
      </c>
      <c r="AK129" s="1004">
        <f t="shared" si="118"/>
        <v>0</v>
      </c>
      <c r="AL129" s="1004">
        <f t="shared" si="118"/>
        <v>0</v>
      </c>
      <c r="AM129" s="98"/>
    </row>
    <row r="130" spans="2:39" ht="13.5" customHeight="1" thickBot="1">
      <c r="B130" s="2718">
        <v>1</v>
      </c>
      <c r="C130" s="2840" t="str">
        <f>Breaking.!A79</f>
        <v>6L_W15_STOPE</v>
      </c>
      <c r="D130" s="2836" t="s">
        <v>66</v>
      </c>
      <c r="E130" s="145" t="s">
        <v>294</v>
      </c>
      <c r="F130" s="146">
        <f>SUMIF($H$9:$AL$9,"&lt;="&amp;$C$7,H130:AL130)</f>
        <v>420</v>
      </c>
      <c r="G130" s="81"/>
      <c r="H130" s="147">
        <f>Breaking.!D79</f>
        <v>70</v>
      </c>
      <c r="I130" s="147">
        <f>Breaking.!E79</f>
        <v>70</v>
      </c>
      <c r="J130" s="147">
        <f>Breaking.!F79</f>
        <v>70</v>
      </c>
      <c r="K130" s="147">
        <f>Breaking.!G79</f>
        <v>70</v>
      </c>
      <c r="L130" s="147">
        <f>Breaking.!H79</f>
        <v>70</v>
      </c>
      <c r="M130" s="147">
        <f>Breaking.!I79</f>
        <v>70</v>
      </c>
      <c r="N130" s="147">
        <f>Breaking.!J79</f>
        <v>70</v>
      </c>
      <c r="O130" s="147">
        <f>Breaking.!K79</f>
        <v>70</v>
      </c>
      <c r="P130" s="147">
        <f>Breaking.!L79</f>
        <v>70</v>
      </c>
      <c r="Q130" s="147">
        <f>Breaking.!M79</f>
        <v>70</v>
      </c>
      <c r="R130" s="147">
        <f>Breaking.!N79</f>
        <v>0</v>
      </c>
      <c r="S130" s="147">
        <f>Breaking.!O79</f>
        <v>0</v>
      </c>
      <c r="T130" s="147">
        <f>Breaking.!P79</f>
        <v>70</v>
      </c>
      <c r="U130" s="147">
        <f>Breaking.!Q79</f>
        <v>70</v>
      </c>
      <c r="V130" s="147">
        <f>Breaking.!R79</f>
        <v>70</v>
      </c>
      <c r="W130" s="147">
        <f>Breaking.!S79</f>
        <v>70</v>
      </c>
      <c r="X130" s="147">
        <f>Breaking.!T79</f>
        <v>70</v>
      </c>
      <c r="Y130" s="147">
        <f>Breaking.!U79</f>
        <v>70</v>
      </c>
      <c r="Z130" s="147">
        <f>Breaking.!V79</f>
        <v>70</v>
      </c>
      <c r="AA130" s="147">
        <f>Breaking.!W79</f>
        <v>70</v>
      </c>
      <c r="AB130" s="147">
        <f>Breaking.!X79</f>
        <v>70</v>
      </c>
      <c r="AC130" s="147">
        <f>Breaking.!Y79</f>
        <v>70</v>
      </c>
      <c r="AD130" s="147">
        <f>Breaking.!Z79</f>
        <v>70</v>
      </c>
      <c r="AE130" s="147">
        <f>Breaking.!AA79</f>
        <v>70</v>
      </c>
      <c r="AF130" s="147">
        <f>Breaking.!AB79</f>
        <v>70</v>
      </c>
      <c r="AG130" s="147">
        <f>Breaking.!AC79</f>
        <v>70</v>
      </c>
      <c r="AH130" s="147">
        <f>Breaking.!AD79</f>
        <v>70</v>
      </c>
      <c r="AI130" s="147">
        <f>Breaking.!AE79</f>
        <v>70</v>
      </c>
      <c r="AJ130" s="147">
        <f>Breaking.!AF79</f>
        <v>70</v>
      </c>
      <c r="AK130" s="147">
        <f>Breaking.!AG79</f>
        <v>70</v>
      </c>
      <c r="AL130" s="147">
        <f>Breaking.!AH79</f>
        <v>70</v>
      </c>
      <c r="AM130" s="150"/>
    </row>
    <row r="131" spans="2:39" ht="13.5" customHeight="1" thickBot="1">
      <c r="B131" s="2718"/>
      <c r="C131" s="2841"/>
      <c r="D131" s="2836"/>
      <c r="E131" s="1141" t="s">
        <v>295</v>
      </c>
      <c r="F131" s="1095">
        <f>SUMIF($H$9:$AL$9,"&lt;="&amp;$C$7,H131:AL131)</f>
        <v>457</v>
      </c>
      <c r="G131" s="1142">
        <f t="shared" ref="G131" si="119">IFERROR((F131-F130)/F130,0)</f>
        <v>8.8095238095238101E-2</v>
      </c>
      <c r="H131" s="1143">
        <f>42+36</f>
        <v>78</v>
      </c>
      <c r="I131" s="1143">
        <f>49+39</f>
        <v>88</v>
      </c>
      <c r="J131" s="1095">
        <f>41+41</f>
        <v>82</v>
      </c>
      <c r="K131" s="1095">
        <v>53</v>
      </c>
      <c r="L131" s="1095">
        <v>96</v>
      </c>
      <c r="M131" s="1095">
        <v>60</v>
      </c>
      <c r="N131" s="1095"/>
      <c r="O131" s="1095"/>
      <c r="P131" s="1095"/>
      <c r="Q131" s="1095"/>
      <c r="R131" s="1095"/>
      <c r="S131" s="1095"/>
      <c r="T131" s="1095"/>
      <c r="U131" s="1095"/>
      <c r="V131" s="1095"/>
      <c r="W131" s="1095"/>
      <c r="X131" s="1095"/>
      <c r="Y131" s="1095"/>
      <c r="Z131" s="1095"/>
      <c r="AA131" s="1095"/>
      <c r="AB131" s="1095"/>
      <c r="AC131" s="1095"/>
      <c r="AD131" s="1095"/>
      <c r="AE131" s="1095"/>
      <c r="AF131" s="1095"/>
      <c r="AG131" s="1095"/>
      <c r="AH131" s="1095"/>
      <c r="AI131" s="1095"/>
      <c r="AJ131" s="1095"/>
      <c r="AK131" s="1095"/>
      <c r="AL131" s="1095"/>
      <c r="AM131" s="95"/>
    </row>
    <row r="132" spans="2:39" ht="13.5" customHeight="1" thickBot="1">
      <c r="B132" s="2718"/>
      <c r="C132" s="2841"/>
      <c r="D132" s="2836"/>
      <c r="E132" s="1159" t="s">
        <v>199</v>
      </c>
      <c r="F132" s="1160"/>
      <c r="G132" s="1161"/>
      <c r="H132" s="151"/>
      <c r="I132" s="151"/>
      <c r="J132" s="151"/>
      <c r="K132" s="151"/>
      <c r="L132" s="151"/>
      <c r="M132" s="151"/>
      <c r="N132" s="151"/>
      <c r="O132" s="151"/>
      <c r="P132" s="170"/>
      <c r="Q132" s="151"/>
      <c r="R132" s="151"/>
      <c r="S132" s="151"/>
      <c r="T132" s="151"/>
      <c r="U132" s="151"/>
      <c r="V132" s="151"/>
      <c r="W132" s="151"/>
      <c r="X132" s="151"/>
      <c r="Y132" s="151"/>
      <c r="Z132" s="151"/>
      <c r="AA132" s="151"/>
      <c r="AB132" s="151"/>
      <c r="AC132" s="151"/>
      <c r="AD132" s="151"/>
      <c r="AE132" s="151"/>
      <c r="AF132" s="151"/>
      <c r="AG132" s="151"/>
      <c r="AH132" s="151"/>
      <c r="AI132" s="151"/>
      <c r="AJ132" s="151"/>
      <c r="AK132" s="151"/>
      <c r="AL132" s="171"/>
      <c r="AM132" s="172"/>
    </row>
    <row r="133" spans="2:39" ht="13.5" customHeight="1" thickBot="1">
      <c r="B133" s="2718"/>
      <c r="C133" s="2841"/>
      <c r="D133" s="2825" t="s">
        <v>68</v>
      </c>
      <c r="E133" s="1147" t="s">
        <v>296</v>
      </c>
      <c r="F133" s="1148">
        <f t="shared" ref="F133:F134" si="120">IFERROR(F135*1000/F130,0)</f>
        <v>1.747663551401869</v>
      </c>
      <c r="G133" s="1149"/>
      <c r="H133" s="1150">
        <f>Breaking.!D80</f>
        <v>1.7476635514018692</v>
      </c>
      <c r="I133" s="1150">
        <f>Breaking.!E80</f>
        <v>1.7476635514018692</v>
      </c>
      <c r="J133" s="1150">
        <f>Breaking.!F80</f>
        <v>1.7476635514018692</v>
      </c>
      <c r="K133" s="1150">
        <f>Breaking.!G80</f>
        <v>1.7476635514018692</v>
      </c>
      <c r="L133" s="1150">
        <f>Breaking.!H80</f>
        <v>1.7476635514018692</v>
      </c>
      <c r="M133" s="1150">
        <f>Breaking.!I80</f>
        <v>1.7476635514018692</v>
      </c>
      <c r="N133" s="1150">
        <f>Breaking.!J80</f>
        <v>1.7476635514018692</v>
      </c>
      <c r="O133" s="1150">
        <f>Breaking.!K80</f>
        <v>1.7476635514018692</v>
      </c>
      <c r="P133" s="1150">
        <f>Breaking.!L80</f>
        <v>1.7476635514018692</v>
      </c>
      <c r="Q133" s="1150">
        <f>Breaking.!M80</f>
        <v>1.7476635514018692</v>
      </c>
      <c r="R133" s="1150">
        <f>Breaking.!N80</f>
        <v>0</v>
      </c>
      <c r="S133" s="1150">
        <f>Breaking.!O80</f>
        <v>0</v>
      </c>
      <c r="T133" s="1150">
        <f>Breaking.!P80</f>
        <v>1.7476635514018692</v>
      </c>
      <c r="U133" s="1150">
        <f>Breaking.!Q80</f>
        <v>1.7476635514018692</v>
      </c>
      <c r="V133" s="1150">
        <f>Breaking.!R80</f>
        <v>1.7476635514018692</v>
      </c>
      <c r="W133" s="1150">
        <f>Breaking.!S80</f>
        <v>1.7476635514018692</v>
      </c>
      <c r="X133" s="1150">
        <f>Breaking.!T80</f>
        <v>1.7476635514018692</v>
      </c>
      <c r="Y133" s="1150">
        <f>Breaking.!U80</f>
        <v>1.7476635514018692</v>
      </c>
      <c r="Z133" s="1150">
        <f>Breaking.!V80</f>
        <v>1.7476635514018692</v>
      </c>
      <c r="AA133" s="1150">
        <f>Breaking.!W80</f>
        <v>1.7476635514018692</v>
      </c>
      <c r="AB133" s="1150">
        <f>Breaking.!X80</f>
        <v>1.7476635514018692</v>
      </c>
      <c r="AC133" s="1150">
        <f>Breaking.!Y80</f>
        <v>1.7476635514018692</v>
      </c>
      <c r="AD133" s="1150">
        <f>Breaking.!Z80</f>
        <v>1.7476635514018692</v>
      </c>
      <c r="AE133" s="1150">
        <f>Breaking.!AA80</f>
        <v>1.7476635514018692</v>
      </c>
      <c r="AF133" s="1150">
        <f>Breaking.!AB80</f>
        <v>1.7476635514018692</v>
      </c>
      <c r="AG133" s="1150">
        <f>Breaking.!AC80</f>
        <v>1.7476635514018692</v>
      </c>
      <c r="AH133" s="1150">
        <f>Breaking.!AD80</f>
        <v>1.7476635514018692</v>
      </c>
      <c r="AI133" s="1150">
        <f>Breaking.!AE80</f>
        <v>1.7476635514018692</v>
      </c>
      <c r="AJ133" s="1150">
        <f>Breaking.!AF80</f>
        <v>1.7476635514018692</v>
      </c>
      <c r="AK133" s="1150">
        <f>Breaking.!AG80</f>
        <v>1.7476635514018692</v>
      </c>
      <c r="AL133" s="1150">
        <f>Breaking.!AH80</f>
        <v>1.7476635514018692</v>
      </c>
      <c r="AM133" s="95"/>
    </row>
    <row r="134" spans="2:39" ht="13.5" customHeight="1" thickBot="1">
      <c r="B134" s="2718"/>
      <c r="C134" s="2841"/>
      <c r="D134" s="2825"/>
      <c r="E134" s="1151" t="s">
        <v>297</v>
      </c>
      <c r="F134" s="1152">
        <f t="shared" si="120"/>
        <v>1.5616630196936545</v>
      </c>
      <c r="G134" s="1142">
        <f t="shared" ref="G134" si="121">IFERROR((F134-F133)/F133,0)</f>
        <v>-0.10642811172609067</v>
      </c>
      <c r="H134" s="1153">
        <v>1.48</v>
      </c>
      <c r="I134" s="1153">
        <v>1.58</v>
      </c>
      <c r="J134" s="1152">
        <v>1.58</v>
      </c>
      <c r="K134" s="1152">
        <v>3.12</v>
      </c>
      <c r="L134" s="1152">
        <v>0.23</v>
      </c>
      <c r="M134" s="1152">
        <v>2.37</v>
      </c>
      <c r="N134" s="1152"/>
      <c r="O134" s="1152"/>
      <c r="P134" s="1152"/>
      <c r="Q134" s="1152"/>
      <c r="R134" s="1152"/>
      <c r="S134" s="1152"/>
      <c r="T134" s="1152"/>
      <c r="U134" s="1152"/>
      <c r="V134" s="1152"/>
      <c r="W134" s="1152"/>
      <c r="X134" s="1152"/>
      <c r="Y134" s="1152"/>
      <c r="Z134" s="1152"/>
      <c r="AA134" s="1152"/>
      <c r="AB134" s="1152"/>
      <c r="AC134" s="1152"/>
      <c r="AD134" s="1152"/>
      <c r="AE134" s="1152"/>
      <c r="AF134" s="1152"/>
      <c r="AG134" s="1152"/>
      <c r="AH134" s="1152"/>
      <c r="AI134" s="1152"/>
      <c r="AJ134" s="1152"/>
      <c r="AK134" s="1152"/>
      <c r="AL134" s="1152"/>
      <c r="AM134" s="95"/>
    </row>
    <row r="135" spans="2:39" ht="13.5" customHeight="1" thickBot="1">
      <c r="B135" s="2718"/>
      <c r="C135" s="2841"/>
      <c r="D135" s="2828" t="s">
        <v>70</v>
      </c>
      <c r="E135" s="1147" t="s">
        <v>298</v>
      </c>
      <c r="F135" s="96">
        <f>SUMIF($H$9:$AL$9,"&lt;="&amp;$C$7,H135:AL135)</f>
        <v>0.73401869158878508</v>
      </c>
      <c r="G135" s="1149"/>
      <c r="H135" s="1154">
        <f>+H133*H130/1000</f>
        <v>0.12233644859813084</v>
      </c>
      <c r="I135" s="1154">
        <f t="shared" ref="I135:AK135" si="122">+I133*I130/1000</f>
        <v>0.12233644859813084</v>
      </c>
      <c r="J135" s="1154">
        <f t="shared" si="122"/>
        <v>0.12233644859813084</v>
      </c>
      <c r="K135" s="1154">
        <f t="shared" si="122"/>
        <v>0.12233644859813084</v>
      </c>
      <c r="L135" s="1154">
        <f t="shared" si="122"/>
        <v>0.12233644859813084</v>
      </c>
      <c r="M135" s="1154">
        <f t="shared" si="122"/>
        <v>0.12233644859813084</v>
      </c>
      <c r="N135" s="1154">
        <f t="shared" si="122"/>
        <v>0.12233644859813084</v>
      </c>
      <c r="O135" s="1154">
        <f t="shared" si="122"/>
        <v>0.12233644859813084</v>
      </c>
      <c r="P135" s="1154">
        <f t="shared" si="122"/>
        <v>0.12233644859813084</v>
      </c>
      <c r="Q135" s="1154">
        <f t="shared" si="122"/>
        <v>0.12233644859813084</v>
      </c>
      <c r="R135" s="1154">
        <f t="shared" si="122"/>
        <v>0</v>
      </c>
      <c r="S135" s="1154">
        <f t="shared" si="122"/>
        <v>0</v>
      </c>
      <c r="T135" s="1154">
        <f t="shared" si="122"/>
        <v>0.12233644859813084</v>
      </c>
      <c r="U135" s="1154">
        <f t="shared" si="122"/>
        <v>0.12233644859813084</v>
      </c>
      <c r="V135" s="1154">
        <f t="shared" si="122"/>
        <v>0.12233644859813084</v>
      </c>
      <c r="W135" s="1154">
        <f t="shared" si="122"/>
        <v>0.12233644859813084</v>
      </c>
      <c r="X135" s="1154">
        <f t="shared" si="122"/>
        <v>0.12233644859813084</v>
      </c>
      <c r="Y135" s="1154">
        <f t="shared" si="122"/>
        <v>0.12233644859813084</v>
      </c>
      <c r="Z135" s="1154">
        <f t="shared" si="122"/>
        <v>0.12233644859813084</v>
      </c>
      <c r="AA135" s="1154">
        <f t="shared" si="122"/>
        <v>0.12233644859813084</v>
      </c>
      <c r="AB135" s="1154">
        <f t="shared" si="122"/>
        <v>0.12233644859813084</v>
      </c>
      <c r="AC135" s="1154">
        <f t="shared" si="122"/>
        <v>0.12233644859813084</v>
      </c>
      <c r="AD135" s="1154">
        <f t="shared" si="122"/>
        <v>0.12233644859813084</v>
      </c>
      <c r="AE135" s="1154">
        <f t="shared" si="122"/>
        <v>0.12233644859813084</v>
      </c>
      <c r="AF135" s="1154">
        <f t="shared" si="122"/>
        <v>0.12233644859813084</v>
      </c>
      <c r="AG135" s="1154">
        <f t="shared" si="122"/>
        <v>0.12233644859813084</v>
      </c>
      <c r="AH135" s="1154">
        <f t="shared" si="122"/>
        <v>0.12233644859813084</v>
      </c>
      <c r="AI135" s="1154">
        <f t="shared" si="122"/>
        <v>0.12233644859813084</v>
      </c>
      <c r="AJ135" s="1154">
        <f t="shared" si="122"/>
        <v>0.12233644859813084</v>
      </c>
      <c r="AK135" s="1154">
        <f t="shared" si="122"/>
        <v>0.12233644859813084</v>
      </c>
      <c r="AL135" s="1157">
        <f t="shared" ref="AL135" si="123">+AL133*AL130/1000</f>
        <v>0.12233644859813084</v>
      </c>
      <c r="AM135" s="97"/>
    </row>
    <row r="136" spans="2:39" ht="13.5" customHeight="1" thickBot="1">
      <c r="B136" s="2831"/>
      <c r="C136" s="2842"/>
      <c r="D136" s="2829"/>
      <c r="E136" s="1049" t="s">
        <v>299</v>
      </c>
      <c r="F136" s="1004">
        <f>SUMIF($H$9:$AL$9,"&lt;="&amp;$C$7,H136:AL136)</f>
        <v>0.71368000000000009</v>
      </c>
      <c r="G136" s="1105">
        <f t="shared" ref="G136" si="124">IFERROR((F136-F135)/F135,0)</f>
        <v>-2.770868347338927E-2</v>
      </c>
      <c r="H136" s="1158">
        <f t="shared" ref="H136:AL136" si="125">+H134*H131/1000</f>
        <v>0.11544</v>
      </c>
      <c r="I136" s="1158">
        <f t="shared" si="125"/>
        <v>0.13904000000000002</v>
      </c>
      <c r="J136" s="1004">
        <f t="shared" si="125"/>
        <v>0.12956000000000001</v>
      </c>
      <c r="K136" s="1004">
        <f t="shared" si="125"/>
        <v>0.16536000000000001</v>
      </c>
      <c r="L136" s="1004">
        <f t="shared" si="125"/>
        <v>2.2080000000000002E-2</v>
      </c>
      <c r="M136" s="1004">
        <f t="shared" si="125"/>
        <v>0.14220000000000002</v>
      </c>
      <c r="N136" s="1004">
        <f t="shared" si="125"/>
        <v>0</v>
      </c>
      <c r="O136" s="1004">
        <f t="shared" si="125"/>
        <v>0</v>
      </c>
      <c r="P136" s="1004">
        <f t="shared" si="125"/>
        <v>0</v>
      </c>
      <c r="Q136" s="1004">
        <f t="shared" si="125"/>
        <v>0</v>
      </c>
      <c r="R136" s="1004">
        <f t="shared" si="125"/>
        <v>0</v>
      </c>
      <c r="S136" s="1004">
        <f t="shared" si="125"/>
        <v>0</v>
      </c>
      <c r="T136" s="1004">
        <f t="shared" si="125"/>
        <v>0</v>
      </c>
      <c r="U136" s="1004">
        <f t="shared" si="125"/>
        <v>0</v>
      </c>
      <c r="V136" s="1004">
        <f t="shared" si="125"/>
        <v>0</v>
      </c>
      <c r="W136" s="1004">
        <f t="shared" si="125"/>
        <v>0</v>
      </c>
      <c r="X136" s="1004">
        <f t="shared" si="125"/>
        <v>0</v>
      </c>
      <c r="Y136" s="1004">
        <f t="shared" si="125"/>
        <v>0</v>
      </c>
      <c r="Z136" s="1004">
        <f t="shared" si="125"/>
        <v>0</v>
      </c>
      <c r="AA136" s="1004">
        <f t="shared" si="125"/>
        <v>0</v>
      </c>
      <c r="AB136" s="1004">
        <f>+AB134*AB131/1000</f>
        <v>0</v>
      </c>
      <c r="AC136" s="1004">
        <f t="shared" si="125"/>
        <v>0</v>
      </c>
      <c r="AD136" s="1004">
        <f t="shared" si="125"/>
        <v>0</v>
      </c>
      <c r="AE136" s="1004">
        <f t="shared" si="125"/>
        <v>0</v>
      </c>
      <c r="AF136" s="1004">
        <f t="shared" si="125"/>
        <v>0</v>
      </c>
      <c r="AG136" s="1004">
        <f t="shared" si="125"/>
        <v>0</v>
      </c>
      <c r="AH136" s="1004">
        <f t="shared" si="125"/>
        <v>0</v>
      </c>
      <c r="AI136" s="1004">
        <f t="shared" si="125"/>
        <v>0</v>
      </c>
      <c r="AJ136" s="1004">
        <f t="shared" si="125"/>
        <v>0</v>
      </c>
      <c r="AK136" s="1004">
        <f t="shared" si="125"/>
        <v>0</v>
      </c>
      <c r="AL136" s="1004">
        <f t="shared" si="125"/>
        <v>0</v>
      </c>
      <c r="AM136" s="98"/>
    </row>
    <row r="137" spans="2:39" ht="13.5" customHeight="1" thickBot="1">
      <c r="B137" s="2719">
        <v>1</v>
      </c>
      <c r="C137" s="273"/>
      <c r="D137" s="2835" t="s">
        <v>66</v>
      </c>
      <c r="E137" s="91" t="s">
        <v>294</v>
      </c>
      <c r="F137" s="92">
        <f>SUMIF($H$9:$AL$9,"&lt;="&amp;$C$7,H137:AL137)</f>
        <v>420</v>
      </c>
      <c r="G137" s="93"/>
      <c r="H137" s="492">
        <f>Breaking.!D81</f>
        <v>70</v>
      </c>
      <c r="I137" s="492">
        <f>Breaking.!E81</f>
        <v>70</v>
      </c>
      <c r="J137" s="492">
        <f>Breaking.!F81</f>
        <v>70</v>
      </c>
      <c r="K137" s="492">
        <f>Breaking.!G81</f>
        <v>70</v>
      </c>
      <c r="L137" s="492">
        <f>Breaking.!H81</f>
        <v>70</v>
      </c>
      <c r="M137" s="492">
        <f>Breaking.!I81</f>
        <v>70</v>
      </c>
      <c r="N137" s="492">
        <f>Breaking.!J81</f>
        <v>70</v>
      </c>
      <c r="O137" s="492">
        <f>Breaking.!K81</f>
        <v>70</v>
      </c>
      <c r="P137" s="492">
        <f>Breaking.!L81</f>
        <v>70</v>
      </c>
      <c r="Q137" s="492">
        <f>Breaking.!M81</f>
        <v>70</v>
      </c>
      <c r="R137" s="492">
        <f>Breaking.!N81</f>
        <v>0</v>
      </c>
      <c r="S137" s="492">
        <f>Breaking.!O81</f>
        <v>0</v>
      </c>
      <c r="T137" s="492">
        <f>Breaking.!P81</f>
        <v>70</v>
      </c>
      <c r="U137" s="492">
        <f>Breaking.!Q81</f>
        <v>70</v>
      </c>
      <c r="V137" s="492">
        <f>Breaking.!R81</f>
        <v>70</v>
      </c>
      <c r="W137" s="492">
        <f>Breaking.!S81</f>
        <v>70</v>
      </c>
      <c r="X137" s="492">
        <f>Breaking.!T81</f>
        <v>70</v>
      </c>
      <c r="Y137" s="492">
        <f>Breaking.!U81</f>
        <v>70</v>
      </c>
      <c r="Z137" s="492">
        <f>Breaking.!V81</f>
        <v>70</v>
      </c>
      <c r="AA137" s="492">
        <f>Breaking.!W81</f>
        <v>70</v>
      </c>
      <c r="AB137" s="492">
        <f>Breaking.!X81</f>
        <v>70</v>
      </c>
      <c r="AC137" s="492">
        <f>Breaking.!Y81</f>
        <v>70</v>
      </c>
      <c r="AD137" s="492">
        <f>Breaking.!Z81</f>
        <v>70</v>
      </c>
      <c r="AE137" s="492">
        <f>Breaking.!AA81</f>
        <v>70</v>
      </c>
      <c r="AF137" s="492">
        <f>Breaking.!AB81</f>
        <v>70</v>
      </c>
      <c r="AG137" s="492">
        <f>Breaking.!AC81</f>
        <v>70</v>
      </c>
      <c r="AH137" s="492">
        <f>Breaking.!AD81</f>
        <v>70</v>
      </c>
      <c r="AI137" s="492">
        <f>Breaking.!AE81</f>
        <v>70</v>
      </c>
      <c r="AJ137" s="492">
        <f>Breaking.!AF81</f>
        <v>70</v>
      </c>
      <c r="AK137" s="492">
        <f>Breaking.!AG81</f>
        <v>70</v>
      </c>
      <c r="AL137" s="492">
        <f>Breaking.!AH81</f>
        <v>70</v>
      </c>
      <c r="AM137" s="150"/>
    </row>
    <row r="138" spans="2:39" ht="13.5" customHeight="1" thickBot="1">
      <c r="B138" s="2718"/>
      <c r="C138" s="273"/>
      <c r="D138" s="2836"/>
      <c r="E138" s="1141" t="s">
        <v>295</v>
      </c>
      <c r="F138" s="1095">
        <f>SUMIF($H$9:$AL$9,"&lt;="&amp;$C$7,H138:AL138)</f>
        <v>331</v>
      </c>
      <c r="G138" s="1142">
        <f t="shared" ref="G138" si="126">IFERROR((F138-F137)/F137,0)</f>
        <v>-0.2119047619047619</v>
      </c>
      <c r="H138" s="1143">
        <v>37</v>
      </c>
      <c r="I138" s="1095">
        <v>70</v>
      </c>
      <c r="J138" s="1095">
        <v>53</v>
      </c>
      <c r="K138" s="1095">
        <v>74</v>
      </c>
      <c r="L138" s="1095">
        <v>53</v>
      </c>
      <c r="M138" s="1095">
        <v>44</v>
      </c>
      <c r="N138" s="1095"/>
      <c r="O138" s="1095"/>
      <c r="P138" s="1095"/>
      <c r="Q138" s="1095"/>
      <c r="R138" s="1095"/>
      <c r="S138" s="1095"/>
      <c r="T138" s="1095"/>
      <c r="U138" s="1095"/>
      <c r="V138" s="1095"/>
      <c r="W138" s="1095"/>
      <c r="X138" s="1095"/>
      <c r="Y138" s="1095"/>
      <c r="Z138" s="1095"/>
      <c r="AA138" s="1095"/>
      <c r="AB138" s="1095"/>
      <c r="AC138" s="1095"/>
      <c r="AD138" s="1095"/>
      <c r="AE138" s="1095"/>
      <c r="AF138" s="1095"/>
      <c r="AG138" s="1095"/>
      <c r="AH138" s="1095"/>
      <c r="AI138" s="1095"/>
      <c r="AJ138" s="1095"/>
      <c r="AK138" s="1095"/>
      <c r="AL138" s="1095"/>
      <c r="AM138" s="95"/>
    </row>
    <row r="139" spans="2:39" ht="13.5" customHeight="1" thickBot="1">
      <c r="B139" s="2718"/>
      <c r="C139" s="273"/>
      <c r="D139" s="2836"/>
      <c r="E139" s="1159" t="s">
        <v>199</v>
      </c>
      <c r="F139" s="1160"/>
      <c r="G139" s="1161"/>
      <c r="H139" s="151"/>
      <c r="I139" s="151"/>
      <c r="J139" s="151"/>
      <c r="K139" s="151"/>
      <c r="L139" s="151"/>
      <c r="M139" s="151"/>
      <c r="N139" s="151"/>
      <c r="O139" s="151"/>
      <c r="P139" s="170"/>
      <c r="Q139" s="151"/>
      <c r="R139" s="151"/>
      <c r="S139" s="151"/>
      <c r="T139" s="151"/>
      <c r="U139" s="151"/>
      <c r="V139" s="151"/>
      <c r="W139" s="151"/>
      <c r="X139" s="151"/>
      <c r="Y139" s="151"/>
      <c r="Z139" s="151"/>
      <c r="AA139" s="151"/>
      <c r="AB139" s="151"/>
      <c r="AC139" s="151"/>
      <c r="AD139" s="151"/>
      <c r="AE139" s="151"/>
      <c r="AF139" s="151"/>
      <c r="AG139" s="151"/>
      <c r="AH139" s="151"/>
      <c r="AI139" s="151"/>
      <c r="AJ139" s="151"/>
      <c r="AK139" s="151"/>
      <c r="AL139" s="171"/>
      <c r="AM139" s="172"/>
    </row>
    <row r="140" spans="2:39" ht="13.5" customHeight="1" thickBot="1">
      <c r="B140" s="2718"/>
      <c r="C140" s="273" t="s">
        <v>143</v>
      </c>
      <c r="D140" s="2825" t="s">
        <v>68</v>
      </c>
      <c r="E140" s="1147" t="s">
        <v>296</v>
      </c>
      <c r="F140" s="1148">
        <f t="shared" ref="F140:F141" si="127">IFERROR(F142*1000/F137,0)</f>
        <v>2.7803738317757007</v>
      </c>
      <c r="G140" s="1149"/>
      <c r="H140" s="1150">
        <f>Breaking.!D82</f>
        <v>2.7803738317757007</v>
      </c>
      <c r="I140" s="1150">
        <f>Breaking.!E82</f>
        <v>2.7803738317757007</v>
      </c>
      <c r="J140" s="1150">
        <f>Breaking.!F82</f>
        <v>2.7803738317757007</v>
      </c>
      <c r="K140" s="1150">
        <f>Breaking.!G82</f>
        <v>2.7803738317757007</v>
      </c>
      <c r="L140" s="1150">
        <f>Breaking.!H82</f>
        <v>2.7803738317757007</v>
      </c>
      <c r="M140" s="1150">
        <f>Breaking.!I82</f>
        <v>2.7803738317757007</v>
      </c>
      <c r="N140" s="1150">
        <f>Breaking.!J82</f>
        <v>2.7803738317757007</v>
      </c>
      <c r="O140" s="1150">
        <f>Breaking.!K82</f>
        <v>2.7803738317757007</v>
      </c>
      <c r="P140" s="1150">
        <f>Breaking.!L82</f>
        <v>2.7803738317757007</v>
      </c>
      <c r="Q140" s="1150">
        <f>Breaking.!M82</f>
        <v>2.7803738317757007</v>
      </c>
      <c r="R140" s="1150">
        <f>Breaking.!N82</f>
        <v>0</v>
      </c>
      <c r="S140" s="1150">
        <f>Breaking.!O82</f>
        <v>0</v>
      </c>
      <c r="T140" s="1150">
        <f>Breaking.!P82</f>
        <v>2.7803738317757007</v>
      </c>
      <c r="U140" s="1150">
        <f>Breaking.!Q82</f>
        <v>2.7803738317757007</v>
      </c>
      <c r="V140" s="1150">
        <f>Breaking.!R82</f>
        <v>2.7803738317757007</v>
      </c>
      <c r="W140" s="1150">
        <f>Breaking.!S82</f>
        <v>2.7803738317757007</v>
      </c>
      <c r="X140" s="1150">
        <f>Breaking.!T82</f>
        <v>2.7803738317757007</v>
      </c>
      <c r="Y140" s="1150">
        <f>Breaking.!U82</f>
        <v>2.7803738317757007</v>
      </c>
      <c r="Z140" s="1150">
        <f>Breaking.!V82</f>
        <v>2.7803738317757007</v>
      </c>
      <c r="AA140" s="1150">
        <f>Breaking.!W82</f>
        <v>2.7803738317757007</v>
      </c>
      <c r="AB140" s="1150">
        <f>Breaking.!X82</f>
        <v>2.7803738317757007</v>
      </c>
      <c r="AC140" s="1150">
        <f>Breaking.!Y82</f>
        <v>2.7803738317757007</v>
      </c>
      <c r="AD140" s="1150">
        <f>Breaking.!Z82</f>
        <v>2.7803738317757007</v>
      </c>
      <c r="AE140" s="1150">
        <f>Breaking.!AA82</f>
        <v>2.7803738317757007</v>
      </c>
      <c r="AF140" s="1150">
        <f>Breaking.!AB82</f>
        <v>2.7803738317757007</v>
      </c>
      <c r="AG140" s="1150">
        <f>Breaking.!AC82</f>
        <v>2.7803738317757007</v>
      </c>
      <c r="AH140" s="1150">
        <f>Breaking.!AD82</f>
        <v>2.7803738317757007</v>
      </c>
      <c r="AI140" s="1150">
        <f>Breaking.!AE82</f>
        <v>2.7803738317757007</v>
      </c>
      <c r="AJ140" s="1150">
        <f>Breaking.!AF82</f>
        <v>2.7803738317757007</v>
      </c>
      <c r="AK140" s="1150">
        <f>Breaking.!AG82</f>
        <v>2.7803738317757007</v>
      </c>
      <c r="AL140" s="1150">
        <f>Breaking.!AH82</f>
        <v>2.7803738317757007</v>
      </c>
      <c r="AM140" s="95"/>
    </row>
    <row r="141" spans="2:39" ht="13.5" customHeight="1" thickBot="1">
      <c r="B141" s="2718"/>
      <c r="C141" s="273"/>
      <c r="D141" s="2825"/>
      <c r="E141" s="1151" t="s">
        <v>297</v>
      </c>
      <c r="F141" s="1152">
        <f t="shared" si="127"/>
        <v>2.1303021148036252</v>
      </c>
      <c r="G141" s="1142">
        <f t="shared" ref="G141" si="128">IFERROR((F141-F140)/F140,0)</f>
        <v>-0.23380730660844401</v>
      </c>
      <c r="H141" s="1153">
        <v>1.1599999999999999</v>
      </c>
      <c r="I141" s="1152">
        <v>1.53</v>
      </c>
      <c r="J141" s="1152">
        <v>1.53</v>
      </c>
      <c r="K141" s="1152">
        <v>5.05</v>
      </c>
      <c r="L141" s="1152">
        <v>0.44</v>
      </c>
      <c r="M141" s="1152">
        <v>1.75</v>
      </c>
      <c r="N141" s="1152"/>
      <c r="O141" s="1152"/>
      <c r="P141" s="1152"/>
      <c r="Q141" s="1152"/>
      <c r="R141" s="1152"/>
      <c r="S141" s="1152"/>
      <c r="T141" s="1152"/>
      <c r="U141" s="1152"/>
      <c r="V141" s="1152"/>
      <c r="W141" s="1152"/>
      <c r="X141" s="1152"/>
      <c r="Y141" s="1152"/>
      <c r="Z141" s="1152"/>
      <c r="AA141" s="1152"/>
      <c r="AB141" s="1152"/>
      <c r="AC141" s="1152"/>
      <c r="AD141" s="1152"/>
      <c r="AE141" s="1152"/>
      <c r="AF141" s="1152"/>
      <c r="AG141" s="1152"/>
      <c r="AH141" s="1152"/>
      <c r="AI141" s="1152"/>
      <c r="AJ141" s="1152"/>
      <c r="AK141" s="1152"/>
      <c r="AL141" s="1152"/>
      <c r="AM141" s="95"/>
    </row>
    <row r="142" spans="2:39" ht="13.5" customHeight="1" thickBot="1">
      <c r="B142" s="2718"/>
      <c r="C142" s="273"/>
      <c r="D142" s="2828" t="s">
        <v>70</v>
      </c>
      <c r="E142" s="1147" t="s">
        <v>298</v>
      </c>
      <c r="F142" s="96">
        <f>SUMIF($H$9:$AL$9,"&lt;="&amp;$C$7,H142:AL142)</f>
        <v>1.1677570093457943</v>
      </c>
      <c r="G142" s="1149"/>
      <c r="H142" s="1154">
        <f t="shared" ref="H142:AL142" si="129">+H140*H137/1000</f>
        <v>0.19462616822429904</v>
      </c>
      <c r="I142" s="1154">
        <f t="shared" si="129"/>
        <v>0.19462616822429904</v>
      </c>
      <c r="J142" s="1154">
        <f t="shared" si="129"/>
        <v>0.19462616822429904</v>
      </c>
      <c r="K142" s="1155">
        <f t="shared" si="129"/>
        <v>0.19462616822429904</v>
      </c>
      <c r="L142" s="1155">
        <f t="shared" si="129"/>
        <v>0.19462616822429904</v>
      </c>
      <c r="M142" s="1155">
        <f t="shared" si="129"/>
        <v>0.19462616822429904</v>
      </c>
      <c r="N142" s="1155">
        <f t="shared" si="129"/>
        <v>0.19462616822429904</v>
      </c>
      <c r="O142" s="1155">
        <f t="shared" si="129"/>
        <v>0.19462616822429904</v>
      </c>
      <c r="P142" s="1156">
        <f t="shared" si="129"/>
        <v>0.19462616822429904</v>
      </c>
      <c r="Q142" s="1155">
        <f t="shared" si="129"/>
        <v>0.19462616822429904</v>
      </c>
      <c r="R142" s="1155">
        <f t="shared" si="129"/>
        <v>0</v>
      </c>
      <c r="S142" s="1155">
        <f t="shared" si="129"/>
        <v>0</v>
      </c>
      <c r="T142" s="1155">
        <f t="shared" si="129"/>
        <v>0.19462616822429904</v>
      </c>
      <c r="U142" s="1155">
        <f t="shared" si="129"/>
        <v>0.19462616822429904</v>
      </c>
      <c r="V142" s="1155">
        <f t="shared" si="129"/>
        <v>0.19462616822429904</v>
      </c>
      <c r="W142" s="1155">
        <f t="shared" si="129"/>
        <v>0.19462616822429904</v>
      </c>
      <c r="X142" s="1155">
        <f t="shared" si="129"/>
        <v>0.19462616822429904</v>
      </c>
      <c r="Y142" s="1155">
        <f t="shared" si="129"/>
        <v>0.19462616822429904</v>
      </c>
      <c r="Z142" s="1155">
        <f t="shared" si="129"/>
        <v>0.19462616822429904</v>
      </c>
      <c r="AA142" s="1155">
        <f t="shared" si="129"/>
        <v>0.19462616822429904</v>
      </c>
      <c r="AB142" s="1155">
        <f t="shared" si="129"/>
        <v>0.19462616822429904</v>
      </c>
      <c r="AC142" s="1155">
        <f t="shared" si="129"/>
        <v>0.19462616822429904</v>
      </c>
      <c r="AD142" s="1155">
        <f t="shared" si="129"/>
        <v>0.19462616822429904</v>
      </c>
      <c r="AE142" s="1155">
        <f t="shared" si="129"/>
        <v>0.19462616822429904</v>
      </c>
      <c r="AF142" s="1155">
        <f t="shared" si="129"/>
        <v>0.19462616822429904</v>
      </c>
      <c r="AG142" s="1155">
        <f t="shared" si="129"/>
        <v>0.19462616822429904</v>
      </c>
      <c r="AH142" s="1155">
        <f t="shared" si="129"/>
        <v>0.19462616822429904</v>
      </c>
      <c r="AI142" s="1155">
        <f t="shared" si="129"/>
        <v>0.19462616822429904</v>
      </c>
      <c r="AJ142" s="1155">
        <f t="shared" si="129"/>
        <v>0.19462616822429904</v>
      </c>
      <c r="AK142" s="1155">
        <f t="shared" si="129"/>
        <v>0.19462616822429904</v>
      </c>
      <c r="AL142" s="1157">
        <f t="shared" si="129"/>
        <v>0.19462616822429904</v>
      </c>
      <c r="AM142" s="97"/>
    </row>
    <row r="143" spans="2:39" ht="13.5" customHeight="1" thickBot="1">
      <c r="B143" s="2831"/>
      <c r="C143" s="274"/>
      <c r="D143" s="2829"/>
      <c r="E143" s="1049" t="s">
        <v>299</v>
      </c>
      <c r="F143" s="1004">
        <f>SUMIF($H$9:$AL$9,"&lt;="&amp;$C$7,H143:AL143)</f>
        <v>0.70513000000000003</v>
      </c>
      <c r="G143" s="1105">
        <f t="shared" ref="G143" si="130">IFERROR((F143-F142)/F142,0)</f>
        <v>-0.39616718687474983</v>
      </c>
      <c r="H143" s="1158">
        <f t="shared" ref="H143:AL143" si="131">+H141*H138/1000</f>
        <v>4.2919999999999993E-2</v>
      </c>
      <c r="I143" s="1004">
        <f t="shared" si="131"/>
        <v>0.10710000000000001</v>
      </c>
      <c r="J143" s="1004">
        <f t="shared" si="131"/>
        <v>8.1090000000000009E-2</v>
      </c>
      <c r="K143" s="1004">
        <f t="shared" si="131"/>
        <v>0.37369999999999998</v>
      </c>
      <c r="L143" s="1004">
        <f t="shared" si="131"/>
        <v>2.332E-2</v>
      </c>
      <c r="M143" s="1004">
        <f t="shared" si="131"/>
        <v>7.6999999999999999E-2</v>
      </c>
      <c r="N143" s="1004">
        <f t="shared" si="131"/>
        <v>0</v>
      </c>
      <c r="O143" s="1004">
        <f t="shared" si="131"/>
        <v>0</v>
      </c>
      <c r="P143" s="1004">
        <f t="shared" si="131"/>
        <v>0</v>
      </c>
      <c r="Q143" s="1004">
        <f t="shared" si="131"/>
        <v>0</v>
      </c>
      <c r="R143" s="1004">
        <f t="shared" si="131"/>
        <v>0</v>
      </c>
      <c r="S143" s="1004">
        <f t="shared" si="131"/>
        <v>0</v>
      </c>
      <c r="T143" s="1004">
        <f t="shared" si="131"/>
        <v>0</v>
      </c>
      <c r="U143" s="1004">
        <f t="shared" si="131"/>
        <v>0</v>
      </c>
      <c r="V143" s="1004">
        <f t="shared" si="131"/>
        <v>0</v>
      </c>
      <c r="W143" s="1004">
        <f t="shared" si="131"/>
        <v>0</v>
      </c>
      <c r="X143" s="1004">
        <f t="shared" si="131"/>
        <v>0</v>
      </c>
      <c r="Y143" s="1004">
        <f t="shared" si="131"/>
        <v>0</v>
      </c>
      <c r="Z143" s="1004">
        <f t="shared" si="131"/>
        <v>0</v>
      </c>
      <c r="AA143" s="1004">
        <f t="shared" si="131"/>
        <v>0</v>
      </c>
      <c r="AB143" s="1004">
        <f t="shared" si="131"/>
        <v>0</v>
      </c>
      <c r="AC143" s="1004">
        <f t="shared" si="131"/>
        <v>0</v>
      </c>
      <c r="AD143" s="1004">
        <f t="shared" si="131"/>
        <v>0</v>
      </c>
      <c r="AE143" s="1004">
        <f t="shared" si="131"/>
        <v>0</v>
      </c>
      <c r="AF143" s="1004">
        <f t="shared" si="131"/>
        <v>0</v>
      </c>
      <c r="AG143" s="1004">
        <f t="shared" si="131"/>
        <v>0</v>
      </c>
      <c r="AH143" s="1004">
        <f t="shared" si="131"/>
        <v>0</v>
      </c>
      <c r="AI143" s="1004">
        <f t="shared" si="131"/>
        <v>0</v>
      </c>
      <c r="AJ143" s="1004">
        <f t="shared" si="131"/>
        <v>0</v>
      </c>
      <c r="AK143" s="1004">
        <f t="shared" si="131"/>
        <v>0</v>
      </c>
      <c r="AL143" s="1004">
        <f t="shared" si="131"/>
        <v>0</v>
      </c>
      <c r="AM143" s="98"/>
    </row>
  </sheetData>
  <sheetProtection algorithmName="SHA-512" hashValue="xugXsLYJapxPOUPUcliDKYw4dSKItot0nGYLl4t4lwATMlWykjdPf5mXdNVmWV406IcHvw4INzT1yES0ijQr6Q==" saltValue="aW9Lc2oJMjpnJZjyGa6bfg==" spinCount="100000" sheet="1" objects="1" scenarios="1"/>
  <mergeCells count="98">
    <mergeCell ref="C39:C45"/>
    <mergeCell ref="D79:D80"/>
    <mergeCell ref="C81:C87"/>
    <mergeCell ref="C116:C122"/>
    <mergeCell ref="C46:C52"/>
    <mergeCell ref="D49:D50"/>
    <mergeCell ref="D51:D52"/>
    <mergeCell ref="C53:C59"/>
    <mergeCell ref="D56:D57"/>
    <mergeCell ref="D58:D59"/>
    <mergeCell ref="D53:D55"/>
    <mergeCell ref="D63:D64"/>
    <mergeCell ref="D60:D62"/>
    <mergeCell ref="D84:D85"/>
    <mergeCell ref="D86:D87"/>
    <mergeCell ref="D81:D83"/>
    <mergeCell ref="C74:C80"/>
    <mergeCell ref="D74:D76"/>
    <mergeCell ref="D77:D78"/>
    <mergeCell ref="C18:C24"/>
    <mergeCell ref="D21:D22"/>
    <mergeCell ref="D23:D24"/>
    <mergeCell ref="D18:D20"/>
    <mergeCell ref="D39:D41"/>
    <mergeCell ref="D32:D34"/>
    <mergeCell ref="D42:D43"/>
    <mergeCell ref="D44:D45"/>
    <mergeCell ref="D25:D27"/>
    <mergeCell ref="C32:C38"/>
    <mergeCell ref="D35:D36"/>
    <mergeCell ref="D37:D38"/>
    <mergeCell ref="C25:C31"/>
    <mergeCell ref="D28:D29"/>
    <mergeCell ref="D30:D31"/>
    <mergeCell ref="B123:B129"/>
    <mergeCell ref="B137:B143"/>
    <mergeCell ref="B130:B136"/>
    <mergeCell ref="D140:D141"/>
    <mergeCell ref="D142:D143"/>
    <mergeCell ref="D133:D134"/>
    <mergeCell ref="D135:D136"/>
    <mergeCell ref="D126:D127"/>
    <mergeCell ref="D128:D129"/>
    <mergeCell ref="D130:D132"/>
    <mergeCell ref="D137:D139"/>
    <mergeCell ref="D123:D125"/>
    <mergeCell ref="C123:C129"/>
    <mergeCell ref="C130:C136"/>
    <mergeCell ref="B116:B122"/>
    <mergeCell ref="C88:C94"/>
    <mergeCell ref="D91:D92"/>
    <mergeCell ref="D93:D94"/>
    <mergeCell ref="D119:D120"/>
    <mergeCell ref="D121:D122"/>
    <mergeCell ref="D116:D118"/>
    <mergeCell ref="D102:D104"/>
    <mergeCell ref="D109:D111"/>
    <mergeCell ref="D112:D113"/>
    <mergeCell ref="D114:D115"/>
    <mergeCell ref="C95:C101"/>
    <mergeCell ref="C102:C108"/>
    <mergeCell ref="D98:D99"/>
    <mergeCell ref="C109:C115"/>
    <mergeCell ref="B102:B108"/>
    <mergeCell ref="B25:B31"/>
    <mergeCell ref="B18:B24"/>
    <mergeCell ref="B39:B45"/>
    <mergeCell ref="B60:B66"/>
    <mergeCell ref="B32:B38"/>
    <mergeCell ref="B81:B87"/>
    <mergeCell ref="B46:B52"/>
    <mergeCell ref="B53:B59"/>
    <mergeCell ref="B88:B94"/>
    <mergeCell ref="B95:B101"/>
    <mergeCell ref="B67:B73"/>
    <mergeCell ref="B74:B80"/>
    <mergeCell ref="B109:B115"/>
    <mergeCell ref="C67:C73"/>
    <mergeCell ref="C60:C66"/>
    <mergeCell ref="K5:N5"/>
    <mergeCell ref="K6:N6"/>
    <mergeCell ref="D17:E17"/>
    <mergeCell ref="D105:D106"/>
    <mergeCell ref="D107:D108"/>
    <mergeCell ref="D88:D90"/>
    <mergeCell ref="D95:D97"/>
    <mergeCell ref="D67:D69"/>
    <mergeCell ref="D65:D66"/>
    <mergeCell ref="D100:D101"/>
    <mergeCell ref="D46:D48"/>
    <mergeCell ref="D70:D71"/>
    <mergeCell ref="D72:D73"/>
    <mergeCell ref="H2:I2"/>
    <mergeCell ref="H3:I3"/>
    <mergeCell ref="H4:I4"/>
    <mergeCell ref="K2:N2"/>
    <mergeCell ref="K3:N3"/>
    <mergeCell ref="K4:N4"/>
  </mergeCells>
  <phoneticPr fontId="61" type="noConversion"/>
  <conditionalFormatting sqref="B18">
    <cfRule type="cellIs" dxfId="740" priority="272" operator="equal">
      <formula>2</formula>
    </cfRule>
    <cfRule type="cellIs" dxfId="739" priority="270" operator="equal">
      <formula>3</formula>
    </cfRule>
    <cfRule type="cellIs" dxfId="738" priority="271" operator="equal">
      <formula>1</formula>
    </cfRule>
  </conditionalFormatting>
  <conditionalFormatting sqref="B25">
    <cfRule type="cellIs" dxfId="737" priority="494" operator="equal">
      <formula>2</formula>
    </cfRule>
    <cfRule type="cellIs" dxfId="736" priority="493" operator="equal">
      <formula>1</formula>
    </cfRule>
    <cfRule type="cellIs" dxfId="735" priority="492" operator="equal">
      <formula>3</formula>
    </cfRule>
  </conditionalFormatting>
  <conditionalFormatting sqref="B32 B39 B46 B53 B60 B67 B81 B88 B95 B102 B109 B116 B123 B130 B137">
    <cfRule type="cellIs" dxfId="734" priority="491" operator="equal">
      <formula>2</formula>
    </cfRule>
    <cfRule type="cellIs" dxfId="733" priority="490" operator="equal">
      <formula>1</formula>
    </cfRule>
    <cfRule type="cellIs" dxfId="732" priority="489" operator="equal">
      <formula>3</formula>
    </cfRule>
  </conditionalFormatting>
  <conditionalFormatting sqref="B74">
    <cfRule type="cellIs" dxfId="731" priority="16" operator="equal">
      <formula>3</formula>
    </cfRule>
    <cfRule type="cellIs" dxfId="730" priority="17" operator="equal">
      <formula>1</formula>
    </cfRule>
    <cfRule type="cellIs" dxfId="729" priority="18" operator="equal">
      <formula>2</formula>
    </cfRule>
  </conditionalFormatting>
  <conditionalFormatting sqref="D10:D12">
    <cfRule type="cellIs" dxfId="728" priority="499" stopIfTrue="1" operator="greaterThanOrEqual">
      <formula>C10</formula>
    </cfRule>
    <cfRule type="cellIs" dxfId="727" priority="498" stopIfTrue="1" operator="lessThan">
      <formula>C10</formula>
    </cfRule>
  </conditionalFormatting>
  <conditionalFormatting sqref="E10:E12">
    <cfRule type="cellIs" dxfId="726" priority="496" stopIfTrue="1" operator="greaterThanOrEqual">
      <formula>0</formula>
    </cfRule>
    <cfRule type="cellIs" dxfId="725" priority="495"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724" priority="1637" stopIfTrue="1" operator="greaterThanOrEqual">
      <formula>F18</formula>
    </cfRule>
    <cfRule type="cellIs" dxfId="723" priority="1636" stopIfTrue="1" operator="lessThan">
      <formula>F18</formula>
    </cfRule>
  </conditionalFormatting>
  <conditionalFormatting sqref="G19 G40 G61 G66:G80 G82 G89 G94 G96 G103 G110 G115 G117 G124 G131 G138">
    <cfRule type="cellIs" dxfId="722" priority="562" operator="lessThan">
      <formula>0</formula>
    </cfRule>
    <cfRule type="cellIs" dxfId="721" priority="561" operator="greaterThan">
      <formula>0</formula>
    </cfRule>
  </conditionalFormatting>
  <conditionalFormatting sqref="G22 G43 G64 G85 G92 G99 G106 G113 G120 G127 G134 G141">
    <cfRule type="cellIs" dxfId="720" priority="559" operator="greaterThan">
      <formula>0</formula>
    </cfRule>
    <cfRule type="cellIs" dxfId="719" priority="560" operator="lessThan">
      <formula>0</formula>
    </cfRule>
  </conditionalFormatting>
  <conditionalFormatting sqref="G24:G38 G45:G59 G87 G101 G108 G122 G129 G136 G143">
    <cfRule type="cellIs" dxfId="718" priority="557" operator="greaterThan">
      <formula>0</formula>
    </cfRule>
    <cfRule type="cellIs" dxfId="717" priority="558" operator="lessThan">
      <formula>0</formula>
    </cfRule>
  </conditionalFormatting>
  <conditionalFormatting sqref="H78:O78">
    <cfRule type="cellIs" dxfId="716" priority="2" operator="lessThan">
      <formula>H77</formula>
    </cfRule>
    <cfRule type="cellIs" dxfId="715" priority="3" operator="greaterThanOrEqual">
      <formula>H77</formula>
    </cfRule>
    <cfRule type="cellIs" dxfId="714" priority="4" operator="greaterThanOrEqual">
      <formula>2</formula>
    </cfRule>
    <cfRule type="cellIs" dxfId="713" priority="5" operator="between">
      <formula>1.6</formula>
      <formula>2</formula>
    </cfRule>
    <cfRule type="cellIs" dxfId="712" priority="6" operator="greaterThanOrEqual">
      <formula>0.6</formula>
    </cfRule>
    <cfRule type="expression" dxfId="711" priority="1">
      <formula>H77=""</formula>
    </cfRule>
  </conditionalFormatting>
  <conditionalFormatting sqref="H78:R78 U78:AL78">
    <cfRule type="cellIs" dxfId="710" priority="9" operator="greaterThanOrEqual">
      <formula>H77</formula>
    </cfRule>
    <cfRule type="cellIs" dxfId="709" priority="8" operator="lessThan">
      <formula>H77</formula>
    </cfRule>
    <cfRule type="expression" dxfId="708" priority="7">
      <formula>H77=""</formula>
    </cfRule>
  </conditionalFormatting>
  <conditionalFormatting sqref="H11:AL11 H24:AL24 H52:AL52 H66:AL66 H96 J96:AL96">
    <cfRule type="cellIs" dxfId="707" priority="35" operator="greaterThanOrEqual">
      <formula>H10</formula>
    </cfRule>
    <cfRule type="expression" dxfId="706" priority="27">
      <formula>H10=""</formula>
    </cfRule>
    <cfRule type="cellIs" dxfId="705" priority="28" operator="lessThan">
      <formula>H10</formula>
    </cfRule>
  </conditionalFormatting>
  <conditionalFormatting sqref="H13:AL13 H71:R71 U71:AL71">
    <cfRule type="cellIs" dxfId="704" priority="31" operator="greaterThanOrEqual">
      <formula>H12</formula>
    </cfRule>
    <cfRule type="expression" dxfId="703" priority="29">
      <formula>H12=""</formula>
    </cfRule>
    <cfRule type="cellIs" dxfId="702" priority="30" operator="lessThan">
      <formula>H12</formula>
    </cfRule>
  </conditionalFormatting>
  <conditionalFormatting sqref="H13:AL13 H71:AL71">
    <cfRule type="cellIs" dxfId="701" priority="32" operator="greaterThanOrEqual">
      <formula>2</formula>
    </cfRule>
    <cfRule type="cellIs" dxfId="700" priority="33" operator="between">
      <formula>1.6</formula>
      <formula>2</formula>
    </cfRule>
    <cfRule type="cellIs" dxfId="699"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698" priority="26">
      <formula>H$9&gt;$C$7</formula>
    </cfRule>
  </conditionalFormatting>
  <conditionalFormatting sqref="H15:AL15">
    <cfRule type="expression" dxfId="697" priority="23">
      <formula>H14=""</formula>
    </cfRule>
    <cfRule type="cellIs" dxfId="696" priority="25" operator="greaterThanOrEqual">
      <formula>H14</formula>
    </cfRule>
    <cfRule type="cellIs" dxfId="695" priority="24" operator="lessThan">
      <formula>H14</formula>
    </cfRule>
  </conditionalFormatting>
  <conditionalFormatting sqref="H19:AL19 H26:AL26 H33:AL33 H40:AL40 H47:AL47 H54:AL54 H61:AL61 H68:AL68 H82:AL82 H89:AL89 H103:AL103 H110:AL110 H117:AL117 H124:AL124 H131:AL131 H138:AL138">
    <cfRule type="cellIs" dxfId="694" priority="242" operator="greaterThanOrEqual">
      <formula>H18</formula>
    </cfRule>
    <cfRule type="expression" dxfId="693" priority="240">
      <formula>H18=""</formula>
    </cfRule>
    <cfRule type="cellIs" dxfId="692" priority="241" operator="lessThan">
      <formula>H18</formula>
    </cfRule>
  </conditionalFormatting>
  <conditionalFormatting sqref="H22:AL22 H29:AL29 H36:AL36 H43:AL43 H50:AL50 H57:AL57 H64:AL64 H85:AL85 H92:AL92 H99:AL99 H106:AL106 H113:AL113 H120:AL120 H127:AL127 H134:AL134 H141:AL141">
    <cfRule type="cellIs" dxfId="691" priority="191" operator="greaterThanOrEqual">
      <formula>H21</formula>
    </cfRule>
    <cfRule type="cellIs" dxfId="690" priority="192" operator="greaterThanOrEqual">
      <formula>2</formula>
    </cfRule>
    <cfRule type="cellIs" dxfId="689" priority="193" operator="between">
      <formula>1.6</formula>
      <formula>2</formula>
    </cfRule>
    <cfRule type="cellIs" dxfId="688" priority="239" operator="greaterThanOrEqual">
      <formula>0.6</formula>
    </cfRule>
    <cfRule type="cellIs" dxfId="687" priority="187" operator="lessThan">
      <formula>H21</formula>
    </cfRule>
    <cfRule type="expression" dxfId="686" priority="186">
      <formula>H21=""</formula>
    </cfRule>
  </conditionalFormatting>
  <conditionalFormatting sqref="H31:AL31 H38:AL38 H45:AL45 H59:AL59 H73:AL73 H80:AL80 H87:AL87 H94:AL94 H101:AL101 H108:AL108 H115:AL115 H122:AL122 H129:AL129 H136:AL136 H143:AL143">
    <cfRule type="cellIs" dxfId="685" priority="189" operator="lessThan">
      <formula>H30</formula>
    </cfRule>
    <cfRule type="cellIs" dxfId="684" priority="190" operator="greaterThanOrEqual">
      <formula>H30</formula>
    </cfRule>
    <cfRule type="expression" dxfId="683" priority="188">
      <formula>H30=""</formula>
    </cfRule>
  </conditionalFormatting>
  <conditionalFormatting sqref="H75:AL75">
    <cfRule type="cellIs" dxfId="682" priority="15" operator="greaterThanOrEqual">
      <formula>H74</formula>
    </cfRule>
    <cfRule type="cellIs" dxfId="681" priority="14" operator="lessThan">
      <formula>H74</formula>
    </cfRule>
    <cfRule type="expression" dxfId="680" priority="13">
      <formula>H74=""</formula>
    </cfRule>
  </conditionalFormatting>
  <conditionalFormatting sqref="H78:AL78">
    <cfRule type="cellIs" dxfId="679" priority="12" operator="greaterThanOrEqual">
      <formula>0.6</formula>
    </cfRule>
    <cfRule type="cellIs" dxfId="678" priority="11" operator="between">
      <formula>1.6</formula>
      <formula>2</formula>
    </cfRule>
    <cfRule type="cellIs" dxfId="677" priority="10" operator="greaterThanOrEqual">
      <formula>2</formula>
    </cfRule>
  </conditionalFormatting>
  <conditionalFormatting sqref="I97">
    <cfRule type="expression" dxfId="676" priority="2848">
      <formula>I95=""</formula>
    </cfRule>
    <cfRule type="cellIs" dxfId="675" priority="2849" operator="lessThan">
      <formula>I95</formula>
    </cfRule>
    <cfRule type="cellIs" dxfId="674" priority="2850" operator="greaterThanOrEqual">
      <formula>I95</formula>
    </cfRule>
  </conditionalFormatting>
  <conditionalFormatting sqref="S71:T71">
    <cfRule type="expression" dxfId="673" priority="3087">
      <formula>T$9&gt;$C$7</formula>
    </cfRule>
    <cfRule type="expression" dxfId="672" priority="3094">
      <formula>T70=""</formula>
    </cfRule>
    <cfRule type="cellIs" dxfId="671" priority="3095" operator="lessThan">
      <formula>T70</formula>
    </cfRule>
    <cfRule type="cellIs" dxfId="670" priority="3096" operator="greaterThanOrEqual">
      <formula>T70</formula>
    </cfRule>
  </conditionalFormatting>
  <conditionalFormatting sqref="S78:T78">
    <cfRule type="cellIs" dxfId="669" priority="22" operator="greaterThanOrEqual">
      <formula>T77</formula>
    </cfRule>
    <cfRule type="cellIs" dxfId="668" priority="21" operator="lessThan">
      <formula>T77</formula>
    </cfRule>
    <cfRule type="expression" dxfId="667" priority="20">
      <formula>T77=""</formula>
    </cfRule>
    <cfRule type="expression" dxfId="666" priority="19">
      <formula>T$9&gt;$C$7</formula>
    </cfRule>
  </conditionalFormatting>
  <pageMargins left="0.7" right="0.7" top="0.75" bottom="0.75" header="0.3" footer="0.3"/>
  <pageSetup scale="35" fitToHeight="0" orientation="landscape" r:id="rId1"/>
  <ignoredErrors>
    <ignoredError sqref="C18:C24 C81:C94 C67:C73 C96:C122 C26:C31" unlockedFormula="1"/>
  </ignoredErrors>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AM136"/>
  <sheetViews>
    <sheetView showGridLines="0" topLeftCell="A6" zoomScale="90" zoomScaleNormal="90" workbookViewId="0">
      <pane xSplit="7" ySplit="12" topLeftCell="H25" activePane="bottomRight" state="frozen"/>
      <selection pane="topRight" activeCell="H6" sqref="H6"/>
      <selection pane="bottomLeft" activeCell="A18" sqref="A18"/>
      <selection pane="bottomRight" activeCell="S26" sqref="S26"/>
    </sheetView>
  </sheetViews>
  <sheetFormatPr defaultColWidth="9.21875" defaultRowHeight="13.8"/>
  <cols>
    <col min="1" max="1" width="4" style="69" customWidth="1"/>
    <col min="2" max="2" width="11" style="74" customWidth="1"/>
    <col min="3" max="3" width="14.77734375" style="89" customWidth="1"/>
    <col min="4" max="4" width="11.21875" style="89" customWidth="1"/>
    <col min="5" max="5" width="10.21875" style="69" customWidth="1"/>
    <col min="6" max="7" width="9.109375" style="69" customWidth="1"/>
    <col min="8" max="8" width="7.21875" style="88" customWidth="1"/>
    <col min="9" max="9" width="7.21875" style="69" customWidth="1"/>
    <col min="10" max="12" width="7.21875" style="89" customWidth="1"/>
    <col min="13" max="13" width="7.21875" style="90" customWidth="1"/>
    <col min="14" max="15" width="7.21875" style="99" customWidth="1"/>
    <col min="16" max="38" width="7.21875" style="69" customWidth="1"/>
    <col min="39" max="39" width="30" style="69" customWidth="1"/>
    <col min="40" max="16384" width="9.21875" style="69"/>
  </cols>
  <sheetData>
    <row r="1" spans="2:38" s="302" customFormat="1" ht="14.4" thickBot="1">
      <c r="B1" s="342"/>
      <c r="C1" s="390"/>
      <c r="D1" s="390"/>
      <c r="H1" s="391"/>
      <c r="J1" s="390"/>
      <c r="K1" s="390"/>
      <c r="L1" s="390"/>
      <c r="M1" s="392"/>
      <c r="N1" s="393"/>
      <c r="O1" s="393"/>
    </row>
    <row r="2" spans="2:38" s="302" customFormat="1" ht="15" thickBot="1">
      <c r="B2" s="295" t="s">
        <v>0</v>
      </c>
      <c r="D2" s="342"/>
      <c r="E2" s="355"/>
      <c r="F2" s="355"/>
      <c r="G2" s="342"/>
      <c r="H2" s="2696" t="s">
        <v>6</v>
      </c>
      <c r="I2" s="2697"/>
      <c r="K2" s="2696" t="s">
        <v>5</v>
      </c>
      <c r="L2" s="2803"/>
      <c r="M2" s="2803"/>
      <c r="N2" s="2697"/>
      <c r="O2" s="393"/>
      <c r="P2" s="344" t="s">
        <v>199</v>
      </c>
      <c r="Q2" s="345"/>
      <c r="R2" s="345"/>
      <c r="S2" s="345"/>
      <c r="T2" s="346"/>
    </row>
    <row r="3" spans="2:38" s="302" customFormat="1" ht="14.4">
      <c r="B3" s="64" t="s">
        <v>52</v>
      </c>
      <c r="D3" s="394"/>
      <c r="E3" s="354"/>
      <c r="F3" s="355"/>
      <c r="G3" s="342"/>
      <c r="H3" s="2733" t="s">
        <v>8</v>
      </c>
      <c r="I3" s="2763"/>
      <c r="K3" s="2852" t="s">
        <v>7</v>
      </c>
      <c r="L3" s="2853"/>
      <c r="M3" s="2853"/>
      <c r="N3" s="2854"/>
      <c r="O3" s="393"/>
      <c r="P3" s="347" t="s">
        <v>300</v>
      </c>
      <c r="Q3" s="348"/>
      <c r="R3" s="348"/>
      <c r="S3" s="348"/>
      <c r="T3" s="349"/>
    </row>
    <row r="4" spans="2:38" s="302" customFormat="1" ht="14.4" thickBot="1">
      <c r="B4" s="297" t="s">
        <v>30</v>
      </c>
      <c r="D4" s="321"/>
      <c r="E4" s="354"/>
      <c r="F4" s="355"/>
      <c r="G4" s="342"/>
      <c r="H4" s="2737" t="s">
        <v>10</v>
      </c>
      <c r="I4" s="2764"/>
      <c r="K4" s="2807" t="s">
        <v>9</v>
      </c>
      <c r="L4" s="2808"/>
      <c r="M4" s="2808"/>
      <c r="N4" s="2809"/>
      <c r="O4" s="393"/>
      <c r="P4" s="395" t="s">
        <v>301</v>
      </c>
      <c r="T4" s="351"/>
    </row>
    <row r="5" spans="2:38" s="302" customFormat="1">
      <c r="B5" s="65"/>
      <c r="D5" s="321"/>
      <c r="E5" s="354"/>
      <c r="F5" s="355"/>
      <c r="G5" s="356"/>
      <c r="K5" s="2818" t="s">
        <v>11</v>
      </c>
      <c r="L5" s="2819"/>
      <c r="M5" s="2819"/>
      <c r="N5" s="2820"/>
      <c r="O5" s="393"/>
      <c r="P5" s="395" t="s">
        <v>302</v>
      </c>
      <c r="T5" s="351"/>
    </row>
    <row r="6" spans="2:38" s="302" customFormat="1" ht="14.4" thickBot="1">
      <c r="B6" s="294" t="s">
        <v>3</v>
      </c>
      <c r="C6" s="298">
        <f>SUMMARY!$C$6</f>
        <v>45870</v>
      </c>
      <c r="D6" s="321"/>
      <c r="E6" s="354"/>
      <c r="F6" s="355"/>
      <c r="G6" s="356"/>
      <c r="K6" s="2821" t="s">
        <v>12</v>
      </c>
      <c r="L6" s="2822"/>
      <c r="M6" s="2822"/>
      <c r="N6" s="2823"/>
      <c r="O6" s="393"/>
      <c r="P6" s="350" t="s">
        <v>303</v>
      </c>
      <c r="T6" s="351"/>
    </row>
    <row r="7" spans="2:38" s="302" customFormat="1" ht="14.4" thickBot="1">
      <c r="B7" s="294" t="s">
        <v>4</v>
      </c>
      <c r="C7" s="303">
        <f>SUMMARY!$C$7</f>
        <v>6</v>
      </c>
      <c r="D7" s="321"/>
      <c r="E7" s="354"/>
      <c r="F7" s="355"/>
      <c r="G7" s="356"/>
      <c r="H7" s="342"/>
      <c r="I7" s="342"/>
      <c r="P7" s="396" t="s">
        <v>304</v>
      </c>
      <c r="Q7" s="352"/>
      <c r="R7" s="352"/>
      <c r="S7" s="352"/>
      <c r="T7" s="353"/>
    </row>
    <row r="8" spans="2:38" s="302" customFormat="1" ht="14.4" thickBot="1">
      <c r="B8" s="294"/>
      <c r="C8" s="294"/>
      <c r="D8" s="294"/>
      <c r="E8" s="354"/>
      <c r="F8" s="355"/>
      <c r="G8" s="356"/>
      <c r="H8" s="342"/>
      <c r="I8" s="342"/>
    </row>
    <row r="9" spans="2:38" s="342" customFormat="1" ht="14.4" thickBot="1">
      <c r="B9" s="362" t="s">
        <v>14</v>
      </c>
      <c r="C9" s="363" t="s">
        <v>206</v>
      </c>
      <c r="D9" s="364" t="s">
        <v>16</v>
      </c>
      <c r="E9" s="365" t="s">
        <v>207</v>
      </c>
      <c r="G9" s="196" t="s">
        <v>13</v>
      </c>
      <c r="H9" s="380">
        <v>1</v>
      </c>
      <c r="I9" s="381">
        <v>2</v>
      </c>
      <c r="J9" s="381">
        <v>3</v>
      </c>
      <c r="K9" s="381">
        <v>4</v>
      </c>
      <c r="L9" s="381">
        <v>5</v>
      </c>
      <c r="M9" s="381">
        <v>6</v>
      </c>
      <c r="N9" s="381">
        <v>7</v>
      </c>
      <c r="O9" s="381">
        <v>8</v>
      </c>
      <c r="P9" s="381">
        <v>9</v>
      </c>
      <c r="Q9" s="381">
        <v>10</v>
      </c>
      <c r="R9" s="381">
        <v>11</v>
      </c>
      <c r="S9" s="381">
        <v>12</v>
      </c>
      <c r="T9" s="381">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c r="B10" s="366" t="s">
        <v>305</v>
      </c>
      <c r="C10" s="86">
        <f>SUM(H10:AL10)</f>
        <v>5460</v>
      </c>
      <c r="D10" s="100">
        <f>SUM(H11:AL11)</f>
        <v>4925</v>
      </c>
      <c r="E10" s="101">
        <f>IFERROR((D10-C10)/C10,0)</f>
        <v>-9.7985347985347984E-2</v>
      </c>
      <c r="F10" s="397"/>
      <c r="G10" s="198" t="s">
        <v>287</v>
      </c>
      <c r="H10" s="102">
        <f>IF(H$9&gt;$C$7,"",SUMIF($E$18:$E307,"Budget (t)",H$18:H307))</f>
        <v>910</v>
      </c>
      <c r="I10" s="642">
        <f>IF(I$9&gt;$C$7,"",SUMIF($E$18:$E307,"Budget (t)",I$18:I307))</f>
        <v>910</v>
      </c>
      <c r="J10" s="103">
        <f>IF(J$9&gt;$C$7,"",SUMIF($E$18:$E307,"Budget (t)",J$18:J307))</f>
        <v>910</v>
      </c>
      <c r="K10" s="103">
        <f>IF(K$9&gt;$C$7,"",SUMIF($E$18:$E307,"Budget (t)",K$18:K307))</f>
        <v>910</v>
      </c>
      <c r="L10" s="103">
        <f>IF(L$9&gt;$C$7,"",SUMIF($E$18:$E307,"Budget (t)",L$18:L307))</f>
        <v>910</v>
      </c>
      <c r="M10" s="103">
        <f>IF(M$9&gt;$C$7,"",SUMIF($E$18:$E307,"Budget (t)",M$18:M307))</f>
        <v>910</v>
      </c>
      <c r="N10" s="103" t="str">
        <f>IF(N$9&gt;$C$7,"",SUMIF($E$18:$E307,"Budget (t)",N$18:N307))</f>
        <v/>
      </c>
      <c r="O10" s="103" t="str">
        <f>IF(O$9&gt;$C$7,"",SUMIF($E$18:$E307,"Budget (t)",O$18:O307))</f>
        <v/>
      </c>
      <c r="P10" s="103" t="str">
        <f>IF(P$9&gt;$C$7,"",SUMIF($E$18:$E307,"Budget (t)",P$18:P307))</f>
        <v/>
      </c>
      <c r="Q10" s="642" t="str">
        <f>IF(Q$9&gt;$C$7,"",SUMIF($E$18:$E307,"Budget (t)",Q$18:Q307))</f>
        <v/>
      </c>
      <c r="R10" s="642" t="str">
        <f>IF(R$9&gt;$C$7,"",SUMIF($E$18:$E307,"Budget (t)",R$18:R307))</f>
        <v/>
      </c>
      <c r="S10" s="642" t="str">
        <f>IF(S$9&gt;$C$7,"",SUMIF($E$18:$E307,"Budget (t)",S$18:S307))</f>
        <v/>
      </c>
      <c r="T10" s="642" t="str">
        <f>IF(T$9&gt;$C$7,"",SUMIF($E$18:$E307,"Budget (t)",T$18:T307))</f>
        <v/>
      </c>
      <c r="U10" s="642" t="str">
        <f>IF(U$9&gt;$C$7,"",SUMIF($E$18:$E307,"Budget (t)",U$18:U307))</f>
        <v/>
      </c>
      <c r="V10" s="642" t="str">
        <f>IF(V$9&gt;$C$7,"",SUMIF($E$18:$E307,"Budget (t)",V$18:V307))</f>
        <v/>
      </c>
      <c r="W10" s="642" t="str">
        <f>IF(W$9&gt;$C$7,"",SUMIF($E$18:$E307,"Budget (t)",W$18:W307))</f>
        <v/>
      </c>
      <c r="X10" s="642" t="str">
        <f>IF(X$9&gt;$C$7,"",SUMIF($E$18:$E307,"Budget (t)",X$18:X307))</f>
        <v/>
      </c>
      <c r="Y10" s="642" t="str">
        <f>IF(Y$9&gt;$C$7,"",SUMIF($E$18:$E307,"Budget (t)",Y$18:Y307))</f>
        <v/>
      </c>
      <c r="Z10" s="642" t="str">
        <f>IF(Z$9&gt;$C$7,"",SUMIF($E$18:$E307,"Budget (t)",Z$18:Z307))</f>
        <v/>
      </c>
      <c r="AA10" s="642" t="str">
        <f>IF(AA$9&gt;$C$7,"",SUMIF($E$18:$E307,"Budget (t)",AA$18:AA307))</f>
        <v/>
      </c>
      <c r="AB10" s="642" t="str">
        <f>IF(AB$9&gt;$C$7,"",SUMIF($E$18:$E307,"Budget (t)",AB$18:AB307))</f>
        <v/>
      </c>
      <c r="AC10" s="642" t="str">
        <f>IF(AC$9&gt;$C$7,"",SUMIF($E$18:$E307,"Budget (t)",AC$18:AC307))</f>
        <v/>
      </c>
      <c r="AD10" s="459" t="str">
        <f>IF(AD$9&gt;$C$7,"",SUMIF($E$18:$E307,"Budget (t)",AD$18:AD307))</f>
        <v/>
      </c>
      <c r="AE10" s="459" t="str">
        <f>IF(AE$9&gt;$C$7,"",SUMIF($E$18:$E307,"Budget (t)",AE$18:AE307))</f>
        <v/>
      </c>
      <c r="AF10" s="459" t="str">
        <f>IF(AF$9&gt;$C$7,"",SUMIF($E$18:$E307,"Budget (t)",AF$18:AF307))</f>
        <v/>
      </c>
      <c r="AG10" s="459" t="str">
        <f>IF(AG$9&gt;$C$7,"",SUMIF($E$18:$E307,"Budget (t)",AG$18:AG307))</f>
        <v/>
      </c>
      <c r="AH10" s="459" t="str">
        <f>IF(AH$9&gt;$C$7,"",SUMIF($E$18:$E307,"Budget (t)",AH$18:AH307))</f>
        <v/>
      </c>
      <c r="AI10" s="459" t="str">
        <f>IF(AI$9&gt;$C$7,"",SUMIF($E$18:$E307,"Budget (t)",AI$18:AI307))</f>
        <v/>
      </c>
      <c r="AJ10" s="459" t="str">
        <f>IF(AJ$9&gt;$C$7,"",SUMIF($E$18:$E307,"Budget (t)",AJ$18:AJ307))</f>
        <v/>
      </c>
      <c r="AK10" s="459" t="str">
        <f>IF(AK$9&gt;$C$7,"",SUMIF($E$18:$E307,"Budget (t)",AK$18:AK307))</f>
        <v/>
      </c>
      <c r="AL10" s="458" t="str">
        <f>IF(AL$9&gt;$C$7,"",SUMIF($E$18:$E307,"Budget (t)",AL$18:AL307))</f>
        <v/>
      </c>
    </row>
    <row r="11" spans="2:38" s="343" customFormat="1" ht="14.4" thickBot="1">
      <c r="B11" s="1477" t="s">
        <v>28</v>
      </c>
      <c r="C11" s="1478">
        <f>IFERROR(C12*1000/C10,0)</f>
        <v>2.1988377665947754</v>
      </c>
      <c r="D11" s="1472">
        <f>IFERROR(D12*1000/D10,0)</f>
        <v>2.6411837563451774</v>
      </c>
      <c r="E11" s="1473">
        <f t="shared" ref="E11" si="0">IFERROR((D11-C11)/C11,0)</f>
        <v>0.20117263604919797</v>
      </c>
      <c r="G11" s="196" t="s">
        <v>288</v>
      </c>
      <c r="H11" s="1043">
        <f>IF(H$9&gt;$C$7,"",SUMIF($E$18:$E307,"Actual (t)",H$18:H307))</f>
        <v>758</v>
      </c>
      <c r="I11" s="1005">
        <f>IF(I$9&gt;$C$7,"",SUMIF($E$18:$E307,"Actual (t)",I$18:I307))</f>
        <v>1006</v>
      </c>
      <c r="J11" s="988">
        <f>IF(J$9&gt;$C$7,"",SUMIF($E$18:$E307,"Actual (t)",J$18:J307))</f>
        <v>960</v>
      </c>
      <c r="K11" s="988">
        <f>IF(K$9&gt;$C$7,"",SUMIF($E$18:$E307,"Actual (t)",K$18:K307))</f>
        <v>795.5</v>
      </c>
      <c r="L11" s="988">
        <f>IF(L$9&gt;$C$7,"",SUMIF($E$18:$E307,"Actual (t)",L$18:L307))</f>
        <v>947.5</v>
      </c>
      <c r="M11" s="988">
        <f>IF(M$9&gt;$C$7,"",SUMIF($E$18:$E307,"Actual (t)",M$18:M307))</f>
        <v>458</v>
      </c>
      <c r="N11" s="988" t="str">
        <f>IF(N$9&gt;$C$7,"",SUMIF($E$18:$E307,"Actual (t)",N$18:N307))</f>
        <v/>
      </c>
      <c r="O11" s="988" t="str">
        <f>IF(O$9&gt;$C$7,"",SUMIF($E$18:$E307,"Actual (t)",O$18:O307))</f>
        <v/>
      </c>
      <c r="P11" s="988" t="str">
        <f>IF(P$9&gt;$C$7,"",SUMIF($E$18:$E307,"Actual (t)",P$18:P307))</f>
        <v/>
      </c>
      <c r="Q11" s="988" t="str">
        <f>IF(Q$9&gt;$C$7,"",SUMIF($E$18:$E307,"Actual (t)",Q$18:Q307))</f>
        <v/>
      </c>
      <c r="R11" s="988" t="str">
        <f>IF(R$9&gt;$C$7,"",SUMIF($E$18:$E307,"Actual (t)",R$18:R307))</f>
        <v/>
      </c>
      <c r="S11" s="988" t="str">
        <f>IF(S$9&gt;$C$7,"",SUMIF($E$18:$E307,"Actual (t)",S$18:S307))</f>
        <v/>
      </c>
      <c r="T11" s="988" t="str">
        <f>IF(T$9&gt;$C$7,"",SUMIF($E$18:$E307,"Actual (t)",T$18:T307))</f>
        <v/>
      </c>
      <c r="U11" s="988" t="str">
        <f>IF(U$9&gt;$C$7,"",SUMIF($E$18:$E307,"Actual (t)",U$18:U307))</f>
        <v/>
      </c>
      <c r="V11" s="988" t="str">
        <f>IF(V$9&gt;$C$7,"",SUMIF($E$18:$E307,"Actual (t)",V$18:V307))</f>
        <v/>
      </c>
      <c r="W11" s="988" t="str">
        <f>IF(W$9&gt;$C$7,"",SUMIF($E$18:$E307,"Actual (t)",W$18:W307))</f>
        <v/>
      </c>
      <c r="X11" s="988" t="str">
        <f>IF(X$9&gt;$C$7,"",SUMIF($E$18:$E307,"Actual (t)",X$18:X307))</f>
        <v/>
      </c>
      <c r="Y11" s="988" t="str">
        <f>IF(Y$9&gt;$C$7,"",SUMIF($E$18:$E307,"Actual (t)",Y$18:Y307))</f>
        <v/>
      </c>
      <c r="Z11" s="988" t="str">
        <f>IF(Z$9&gt;$C$7,"",SUMIF($E$18:$E307,"Actual (t)",Z$18:Z307))</f>
        <v/>
      </c>
      <c r="AA11" s="988" t="str">
        <f>IF(AA$9&gt;$C$7,"",SUMIF($E$18:$E307,"Actual (t)",AA$18:AA307))</f>
        <v/>
      </c>
      <c r="AB11" s="988" t="str">
        <f>IF(AB$9&gt;$C$7,"",SUMIF($E$18:$E307,"Actual (t)",AB$18:AB307))</f>
        <v/>
      </c>
      <c r="AC11" s="988" t="str">
        <f>IF(AC$9&gt;$C$7,"",SUMIF($E$18:$E307,"Actual (t)",AC$18:AC307))</f>
        <v/>
      </c>
      <c r="AD11" s="988" t="str">
        <f>IF(AD$9&gt;$C$7,"",SUMIF($E$18:$E307,"Actual (t)",AD$18:AD307))</f>
        <v/>
      </c>
      <c r="AE11" s="988" t="str">
        <f>IF(AE$9&gt;$C$7,"",SUMIF($E$18:$E307,"Actual (t)",AE$18:AE307))</f>
        <v/>
      </c>
      <c r="AF11" s="988" t="str">
        <f>IF(AF$9&gt;$C$7,"",SUMIF($E$18:$E307,"Actual (t)",AF$18:AF307))</f>
        <v/>
      </c>
      <c r="AG11" s="988" t="str">
        <f>IF(AG$9&gt;$C$7,"",SUMIF($E$18:$E307,"Actual (t)",AG$18:AG307))</f>
        <v/>
      </c>
      <c r="AH11" s="988" t="str">
        <f>IF(AH$9&gt;$C$7,"",SUMIF($E$18:$E307,"Actual (t)",AH$18:AH307))</f>
        <v/>
      </c>
      <c r="AI11" s="988" t="str">
        <f>IF(AI$9&gt;$C$7,"",SUMIF($E$18:$E307,"Actual (t)",AI$18:AI307))</f>
        <v/>
      </c>
      <c r="AJ11" s="988" t="str">
        <f>IF(AJ$9&gt;$C$7,"",SUMIF($E$18:$E307,"Actual (t)",AJ$18:AJ307))</f>
        <v/>
      </c>
      <c r="AK11" s="988" t="str">
        <f>IF(AK$9&gt;$C$7,"",SUMIF($E$18:$E307,"Actual (t)",AK$18:AK307))</f>
        <v/>
      </c>
      <c r="AL11" s="1006" t="str">
        <f>IF(AL$9&gt;$C$7,"",SUMIF($E$18:$E307,"Actual (t)",AL$18:AL307))</f>
        <v/>
      </c>
    </row>
    <row r="12" spans="2:38" s="105" customFormat="1" ht="15" customHeight="1" thickBot="1">
      <c r="B12" s="1035" t="s">
        <v>29</v>
      </c>
      <c r="C12" s="1048">
        <f>SUM(H14:AL14)</f>
        <v>12.005654205607474</v>
      </c>
      <c r="D12" s="1100">
        <f>SUM(H15:AL15)</f>
        <v>13.00783</v>
      </c>
      <c r="E12" s="1137">
        <f>IFERROR((D12-C12)/C12,0)</f>
        <v>8.347531731543964E-2</v>
      </c>
      <c r="G12" s="198" t="s">
        <v>289</v>
      </c>
      <c r="H12" s="717">
        <f t="shared" ref="H12:AL12" si="1">IFERROR(H14*1000/H10,"")</f>
        <v>1.9111250898634073</v>
      </c>
      <c r="I12" s="641">
        <f t="shared" si="1"/>
        <v>2.2563803019410491</v>
      </c>
      <c r="J12" s="641">
        <f t="shared" si="1"/>
        <v>2.2563803019410491</v>
      </c>
      <c r="K12" s="641">
        <f t="shared" si="1"/>
        <v>2.2563803019410491</v>
      </c>
      <c r="L12" s="641">
        <f t="shared" si="1"/>
        <v>2.2563803019410491</v>
      </c>
      <c r="M12" s="641">
        <f t="shared" si="1"/>
        <v>2.2563803019410491</v>
      </c>
      <c r="N12" s="141" t="str">
        <f t="shared" si="1"/>
        <v/>
      </c>
      <c r="O12" s="141" t="str">
        <f t="shared" si="1"/>
        <v/>
      </c>
      <c r="P12" s="141" t="str">
        <f t="shared" si="1"/>
        <v/>
      </c>
      <c r="Q12" s="641" t="str">
        <f t="shared" si="1"/>
        <v/>
      </c>
      <c r="R12" s="641" t="str">
        <f t="shared" si="1"/>
        <v/>
      </c>
      <c r="S12" s="641" t="str">
        <f t="shared" si="1"/>
        <v/>
      </c>
      <c r="T12" s="641" t="str">
        <f t="shared" si="1"/>
        <v/>
      </c>
      <c r="U12" s="641" t="str">
        <f t="shared" si="1"/>
        <v/>
      </c>
      <c r="V12" s="641" t="str">
        <f t="shared" si="1"/>
        <v/>
      </c>
      <c r="W12" s="641" t="str">
        <f t="shared" si="1"/>
        <v/>
      </c>
      <c r="X12" s="641" t="str">
        <f>IFERROR(X14*1000/X10,"")</f>
        <v/>
      </c>
      <c r="Y12" s="641" t="str">
        <f t="shared" si="1"/>
        <v/>
      </c>
      <c r="Z12" s="641" t="str">
        <f t="shared" si="1"/>
        <v/>
      </c>
      <c r="AA12" s="641" t="str">
        <f t="shared" si="1"/>
        <v/>
      </c>
      <c r="AB12" s="641" t="str">
        <f t="shared" si="1"/>
        <v/>
      </c>
      <c r="AC12" s="641" t="str">
        <f t="shared" si="1"/>
        <v/>
      </c>
      <c r="AD12" s="457" t="str">
        <f t="shared" si="1"/>
        <v/>
      </c>
      <c r="AE12" s="457" t="str">
        <f t="shared" si="1"/>
        <v/>
      </c>
      <c r="AF12" s="457" t="str">
        <f t="shared" si="1"/>
        <v/>
      </c>
      <c r="AG12" s="457" t="str">
        <f t="shared" si="1"/>
        <v/>
      </c>
      <c r="AH12" s="457" t="str">
        <f t="shared" si="1"/>
        <v/>
      </c>
      <c r="AI12" s="457" t="str">
        <f t="shared" si="1"/>
        <v/>
      </c>
      <c r="AJ12" s="457" t="str">
        <f t="shared" si="1"/>
        <v/>
      </c>
      <c r="AK12" s="457" t="str">
        <f t="shared" si="1"/>
        <v/>
      </c>
      <c r="AL12" s="456" t="str">
        <f t="shared" si="1"/>
        <v/>
      </c>
    </row>
    <row r="13" spans="2:38" s="109" customFormat="1" ht="15" customHeight="1" thickBot="1">
      <c r="G13" s="197" t="s">
        <v>290</v>
      </c>
      <c r="H13" s="1166">
        <f t="shared" ref="H13:AL13" si="2">IFERROR(H15*1000/H11,"")</f>
        <v>2.2936411609498677</v>
      </c>
      <c r="I13" s="1007">
        <f t="shared" si="2"/>
        <v>3.351784294234593</v>
      </c>
      <c r="J13" s="1008">
        <f t="shared" si="2"/>
        <v>3.1195104166666661</v>
      </c>
      <c r="K13" s="1008">
        <f t="shared" si="2"/>
        <v>2.8486549340037706</v>
      </c>
      <c r="L13" s="1008">
        <f t="shared" si="2"/>
        <v>2.7826068601583116</v>
      </c>
      <c r="M13" s="1008">
        <f t="shared" si="2"/>
        <v>0</v>
      </c>
      <c r="N13" s="1008" t="str">
        <f t="shared" si="2"/>
        <v/>
      </c>
      <c r="O13" s="1008" t="str">
        <f t="shared" si="2"/>
        <v/>
      </c>
      <c r="P13" s="1008" t="str">
        <f t="shared" si="2"/>
        <v/>
      </c>
      <c r="Q13" s="1008" t="str">
        <f t="shared" si="2"/>
        <v/>
      </c>
      <c r="R13" s="1008" t="str">
        <f t="shared" si="2"/>
        <v/>
      </c>
      <c r="S13" s="1008" t="str">
        <f t="shared" ref="S13" si="3">IFERROR(S15*1000/S11,"")</f>
        <v/>
      </c>
      <c r="T13" s="1008" t="str">
        <f t="shared" si="2"/>
        <v/>
      </c>
      <c r="U13" s="1008" t="str">
        <f t="shared" si="2"/>
        <v/>
      </c>
      <c r="V13" s="1008" t="str">
        <f t="shared" si="2"/>
        <v/>
      </c>
      <c r="W13" s="1008" t="str">
        <f t="shared" si="2"/>
        <v/>
      </c>
      <c r="X13" s="1008" t="str">
        <f>IFERROR(X15*1000/X11,"")</f>
        <v/>
      </c>
      <c r="Y13" s="1008" t="str">
        <f t="shared" si="2"/>
        <v/>
      </c>
      <c r="Z13" s="1008" t="str">
        <f t="shared" si="2"/>
        <v/>
      </c>
      <c r="AA13" s="1008" t="str">
        <f t="shared" si="2"/>
        <v/>
      </c>
      <c r="AB13" s="1008" t="str">
        <f t="shared" si="2"/>
        <v/>
      </c>
      <c r="AC13" s="1008" t="str">
        <f t="shared" si="2"/>
        <v/>
      </c>
      <c r="AD13" s="1008" t="str">
        <f t="shared" si="2"/>
        <v/>
      </c>
      <c r="AE13" s="1008" t="str">
        <f t="shared" si="2"/>
        <v/>
      </c>
      <c r="AF13" s="1008" t="str">
        <f t="shared" si="2"/>
        <v/>
      </c>
      <c r="AG13" s="1008" t="str">
        <f t="shared" si="2"/>
        <v/>
      </c>
      <c r="AH13" s="1008" t="str">
        <f t="shared" si="2"/>
        <v/>
      </c>
      <c r="AI13" s="1008" t="str">
        <f t="shared" si="2"/>
        <v/>
      </c>
      <c r="AJ13" s="1008" t="str">
        <f t="shared" si="2"/>
        <v/>
      </c>
      <c r="AK13" s="1008" t="str">
        <f t="shared" si="2"/>
        <v/>
      </c>
      <c r="AL13" s="1009" t="str">
        <f t="shared" si="2"/>
        <v/>
      </c>
    </row>
    <row r="14" spans="2:38" s="110" customFormat="1">
      <c r="B14" s="416"/>
      <c r="G14" s="199" t="s">
        <v>291</v>
      </c>
      <c r="H14" s="111">
        <f>IF(H$9&gt;$C$7,"",SUMIF($E$18:$E307,"Budget (kg)",H$18:H307))</f>
        <v>1.7391238317757007</v>
      </c>
      <c r="I14" s="491">
        <f>IF(I$9&gt;$C$7,"",SUMIF($E$18:$E307,"Budget (kg)",I$18:I307))</f>
        <v>2.053306074766355</v>
      </c>
      <c r="J14" s="112">
        <f>IF(J$9&gt;$C$7,"",SUMIF($E$18:$E307,"Budget (kg)",J$18:J307))</f>
        <v>2.053306074766355</v>
      </c>
      <c r="K14" s="112">
        <f>IF(K$9&gt;$C$7,"",SUMIF($E$18:$E307,"Budget (kg)",K$18:K307))</f>
        <v>2.053306074766355</v>
      </c>
      <c r="L14" s="112">
        <f>IF(L$9&gt;$C$7,"",SUMIF($E$18:$E307,"Budget (kg)",L$18:L307))</f>
        <v>2.053306074766355</v>
      </c>
      <c r="M14" s="112">
        <f>IF(M$9&gt;$C$7,"",SUMIF($E$18:$E307,"Budget (kg)",M$18:M307))</f>
        <v>2.053306074766355</v>
      </c>
      <c r="N14" s="112" t="str">
        <f>IF(N$9&gt;$C$7,"",SUMIF($E$18:$E307,"Budget (kg)",N$18:N307))</f>
        <v/>
      </c>
      <c r="O14" s="112" t="str">
        <f>IF(O$9&gt;$C$7,"",SUMIF($E$18:$E307,"Budget (kg)",O$18:O307))</f>
        <v/>
      </c>
      <c r="P14" s="112" t="str">
        <f>IF(P$9&gt;$C$7,"",SUMIF($E$18:$E307,"Budget (kg)",P$18:P307))</f>
        <v/>
      </c>
      <c r="Q14" s="491" t="str">
        <f>IF(Q$9&gt;$C$7,"",SUMIF($E$18:$E307,"Budget (kg)",Q$18:Q307))</f>
        <v/>
      </c>
      <c r="R14" s="491" t="str">
        <f>IF(R$9&gt;$C$7,"",SUMIF($E$18:$E307,"Budget (kg)",R$18:R307))</f>
        <v/>
      </c>
      <c r="S14" s="491" t="str">
        <f>IF(S$9&gt;$C$7,"",SUMIF($E$18:$E307,"Budget (kg)",S$18:S307))</f>
        <v/>
      </c>
      <c r="T14" s="491" t="str">
        <f>IF(T$9&gt;$C$7,"",SUMIF($E$18:$E307,"Budget (kg)",T$18:T307))</f>
        <v/>
      </c>
      <c r="U14" s="491" t="str">
        <f>IF(U$9&gt;$C$7,"",SUMIF($E$18:$E307,"Budget (kg)",U$18:U307))</f>
        <v/>
      </c>
      <c r="V14" s="491" t="str">
        <f>IF(V$9&gt;$C$7,"",SUMIF($E$18:$E307,"Budget (kg)",V$18:V307))</f>
        <v/>
      </c>
      <c r="W14" s="491" t="str">
        <f>IF(W$9&gt;$C$7,"",SUMIF($E$18:$E307,"Budget (kg)",W$18:W307))</f>
        <v/>
      </c>
      <c r="X14" s="491" t="str">
        <f>IF(X$9&gt;$C$7,"",SUMIF($E$18:$E307,"Budget (kg)",X$18:X307))</f>
        <v/>
      </c>
      <c r="Y14" s="491" t="str">
        <f>IF(Y$9&gt;$C$7,"",SUMIF($E$18:$E307,"Budget (kg)",Y$18:Y307))</f>
        <v/>
      </c>
      <c r="Z14" s="491" t="str">
        <f>IF(Z$9&gt;$C$7,"",SUMIF($E$18:$E307,"Budget (kg)",Z$18:Z307))</f>
        <v/>
      </c>
      <c r="AA14" s="491" t="str">
        <f>IF(AA$9&gt;$C$7,"",SUMIF($E$18:$E307,"Budget (kg)",AA$18:AA307))</f>
        <v/>
      </c>
      <c r="AB14" s="491" t="str">
        <f>IF(AB$9&gt;$C$7,"",SUMIF($E$18:$E307,"Budget (kg)",AB$18:AB307))</f>
        <v/>
      </c>
      <c r="AC14" s="491" t="str">
        <f>IF(AC$9&gt;$C$7,"",SUMIF($E$18:$E307,"Budget (kg)",AC$18:AC307))</f>
        <v/>
      </c>
      <c r="AD14" s="455" t="str">
        <f>IF(AD$9&gt;$C$7,"",SUMIF($E$18:$E307,"Budget (kg)",AD$18:AD307))</f>
        <v/>
      </c>
      <c r="AE14" s="455" t="str">
        <f>IF(AE$9&gt;$C$7,"",SUMIF($E$18:$E307,"Budget (kg)",AE$18:AE307))</f>
        <v/>
      </c>
      <c r="AF14" s="455" t="str">
        <f>IF(AF$9&gt;$C$7,"",SUMIF($E$18:$E307,"Budget (kg)",AF$18:AF307))</f>
        <v/>
      </c>
      <c r="AG14" s="455" t="str">
        <f>IF(AG$9&gt;$C$7,"",SUMIF($E$18:$E307,"Budget (kg)",AG$18:AG307))</f>
        <v/>
      </c>
      <c r="AH14" s="455" t="str">
        <f>IF(AH$9&gt;$C$7,"",SUMIF($E$18:$E307,"Budget (kg)",AH$18:AH307))</f>
        <v/>
      </c>
      <c r="AI14" s="455" t="str">
        <f>IF(AI$9&gt;$C$7,"",SUMIF($E$18:$E307,"Budget (kg)",AI$18:AI307))</f>
        <v/>
      </c>
      <c r="AJ14" s="455" t="str">
        <f>IF(AJ$9&gt;$C$7,"",SUMIF($E$18:$E307,"Budget (kg)",AJ$18:AJ307))</f>
        <v/>
      </c>
      <c r="AK14" s="455" t="str">
        <f>IF(AK$9&gt;$C$7,"",SUMIF($E$18:$E307,"Budget (kg)",AK$18:AK307))</f>
        <v/>
      </c>
      <c r="AL14" s="454" t="str">
        <f>IF(AL$9&gt;$C$7,"",SUMIF($E$18:$E307,"Budget (kg)",AL$18:AL307))</f>
        <v/>
      </c>
    </row>
    <row r="15" spans="2:38" s="114" customFormat="1" ht="15" customHeight="1" thickBot="1">
      <c r="G15" s="200" t="s">
        <v>292</v>
      </c>
      <c r="H15" s="1041">
        <f>IF(H$9&gt;$C$7,"",SUMIF($E$18:$E307,"Actual (kg)",H$18:H307))</f>
        <v>1.7385799999999998</v>
      </c>
      <c r="I15" s="995">
        <f>IF(I$9&gt;$C$7,"",SUMIF($E$18:$E307,"Actual (kg)",I$18:I307))</f>
        <v>3.3718950000000003</v>
      </c>
      <c r="J15" s="997">
        <f>IF(J$9&gt;$C$7,"",SUMIF($E$18:$E307,"Actual (kg)",J$18:J307))</f>
        <v>2.9947299999999997</v>
      </c>
      <c r="K15" s="997">
        <f>IF(K$9&gt;$C$7,"",SUMIF($E$18:$E307,"Actual (kg)",K$18:K307))</f>
        <v>2.2661049999999996</v>
      </c>
      <c r="L15" s="997">
        <f>IF(L$9&gt;$C$7,"",SUMIF($E$18:$E307,"Actual (kg)",L$18:L307))</f>
        <v>2.6365200000000004</v>
      </c>
      <c r="M15" s="997">
        <f>IF(M$9&gt;$C$7,"",SUMIF($E$18:$E307,"Actual (kg)",M$18:M307))</f>
        <v>0</v>
      </c>
      <c r="N15" s="997" t="str">
        <f>IF(N$9&gt;$C$7,"",SUMIF($E$18:$E307,"Actual (kg)",N$18:N307))</f>
        <v/>
      </c>
      <c r="O15" s="997" t="str">
        <f>IF(O$9&gt;$C$7,"",SUMIF($E$18:$E307,"Actual (kg)",O$18:O307))</f>
        <v/>
      </c>
      <c r="P15" s="997" t="str">
        <f>IF(P$9&gt;$C$7,"",SUMIF($E$18:$E307,"Actual (kg)",P$18:P307))</f>
        <v/>
      </c>
      <c r="Q15" s="997" t="str">
        <f>IF(Q$9&gt;$C$7,"",SUMIF($E$18:$E307,"Actual (kg)",Q$18:Q307))</f>
        <v/>
      </c>
      <c r="R15" s="997" t="str">
        <f>IF(R$9&gt;$C$7,"",SUMIF($E$18:$E307,"Actual (kg)",R$18:R307))</f>
        <v/>
      </c>
      <c r="S15" s="997" t="str">
        <f>IF(S$9&gt;$C$7,"",SUMIF($E$18:$E307,"Actual (kg)",S$18:S307))</f>
        <v/>
      </c>
      <c r="T15" s="997" t="str">
        <f>IF(T$9&gt;$C$7,"",SUMIF($E$18:$E307,"Actual (kg)",T$18:T307))</f>
        <v/>
      </c>
      <c r="U15" s="997" t="str">
        <f>IF(U$9&gt;$C$7,"",SUMIF($E$18:$E307,"Actual (kg)",U$18:U307))</f>
        <v/>
      </c>
      <c r="V15" s="997" t="str">
        <f>IF(V$9&gt;$C$7,"",SUMIF($E$18:$E307,"Actual (kg)",V$18:V307))</f>
        <v/>
      </c>
      <c r="W15" s="997" t="str">
        <f>IF(W$9&gt;$C$7,"",SUMIF($E$18:$E307,"Actual (kg)",W$18:W307))</f>
        <v/>
      </c>
      <c r="X15" s="997" t="str">
        <f>IF(X$9&gt;$C$7,"",SUMIF($E$18:$E307,"Actual (kg)",X$18:X307))</f>
        <v/>
      </c>
      <c r="Y15" s="997" t="str">
        <f>IF(Y$9&gt;$C$7,"",SUMIF($E$18:$E307,"Actual (kg)",Y$18:Y307))</f>
        <v/>
      </c>
      <c r="Z15" s="997" t="str">
        <f>IF(Z$9&gt;$C$7,"",SUMIF($E$18:$E307,"Actual (kg)",Z$18:Z307))</f>
        <v/>
      </c>
      <c r="AA15" s="997" t="str">
        <f>IF(AA$9&gt;$C$7,"",SUMIF($E$18:$E307,"Actual (kg)",AA$18:AA307))</f>
        <v/>
      </c>
      <c r="AB15" s="997" t="str">
        <f>IF(AB$9&gt;$C$7,"",SUMIF($E$18:$E307,"Actual (kg)",AB$18:AB307))</f>
        <v/>
      </c>
      <c r="AC15" s="997" t="str">
        <f>IF(AC$9&gt;$C$7,"",SUMIF($E$18:$E307,"Actual (kg)",AC$18:AC307))</f>
        <v/>
      </c>
      <c r="AD15" s="997" t="str">
        <f>IF(AD$9&gt;$C$7,"",SUMIF($E$18:$E307,"Actual (kg)",AD$18:AD307))</f>
        <v/>
      </c>
      <c r="AE15" s="997" t="str">
        <f>IF(AE$9&gt;$C$7,"",SUMIF($E$18:$E307,"Actual (kg)",AE$18:AE307))</f>
        <v/>
      </c>
      <c r="AF15" s="997" t="str">
        <f>IF(AF$9&gt;$C$7,"",SUMIF($E$18:$E307,"Actual (kg)",AF$18:AF307))</f>
        <v/>
      </c>
      <c r="AG15" s="997" t="str">
        <f>IF(AG$9&gt;$C$7,"",SUMIF($E$18:$E307,"Actual (kg)",AG$18:AG307))</f>
        <v/>
      </c>
      <c r="AH15" s="997" t="str">
        <f>IF(AH$9&gt;$C$7,"",SUMIF($E$18:$E307,"Actual (kg)",AH$18:AH307))</f>
        <v/>
      </c>
      <c r="AI15" s="997" t="str">
        <f>IF(AI$9&gt;$C$7,"",SUMIF($E$18:$E307,"Actual (kg)",AI$18:AI307))</f>
        <v/>
      </c>
      <c r="AJ15" s="997" t="str">
        <f>IF(AJ$9&gt;$C$7,"",SUMIF($E$18:$E307,"Actual (kg)",AJ$18:AJ307))</f>
        <v/>
      </c>
      <c r="AK15" s="997" t="str">
        <f>IF(AK$9&gt;$C$7,"",SUMIF($E$18:$E307,"Actual (kg)",AK$18:AK307))</f>
        <v/>
      </c>
      <c r="AL15" s="996" t="str">
        <f>IF(AL$9&gt;$C$7,"",SUMIF($E$18:$E307,"Actual (kg)",AL$18:AL307))</f>
        <v/>
      </c>
    </row>
    <row r="16" spans="2:38" s="302" customFormat="1" ht="14.4" thickBot="1">
      <c r="H16" s="391"/>
      <c r="J16" s="390"/>
      <c r="K16" s="390"/>
      <c r="L16" s="390"/>
      <c r="M16" s="392"/>
      <c r="N16" s="393"/>
      <c r="O16" s="393"/>
    </row>
    <row r="17" spans="1:39" s="343" customFormat="1" ht="14.4" thickBot="1">
      <c r="A17" s="368">
        <f>COUNTA(C18:C307)</f>
        <v>15</v>
      </c>
      <c r="B17" s="398" t="s">
        <v>261</v>
      </c>
      <c r="C17" s="399" t="s">
        <v>306</v>
      </c>
      <c r="D17" s="400"/>
      <c r="E17" s="401"/>
      <c r="F17" s="402" t="s">
        <v>14</v>
      </c>
      <c r="G17" s="403" t="s">
        <v>220</v>
      </c>
      <c r="H17" s="404">
        <f>SUMMARY!I16</f>
        <v>45870</v>
      </c>
      <c r="I17" s="405">
        <f>SUMMARY!J16</f>
        <v>45871</v>
      </c>
      <c r="J17" s="405">
        <f>SUMMARY!K16</f>
        <v>45872</v>
      </c>
      <c r="K17" s="405">
        <f>SUMMARY!L16</f>
        <v>45873</v>
      </c>
      <c r="L17" s="405">
        <f>SUMMARY!M16</f>
        <v>45874</v>
      </c>
      <c r="M17" s="405">
        <f>SUMMARY!N16</f>
        <v>45875</v>
      </c>
      <c r="N17" s="405">
        <f>SUMMARY!O16</f>
        <v>45876</v>
      </c>
      <c r="O17" s="405">
        <f>SUMMARY!P16</f>
        <v>45877</v>
      </c>
      <c r="P17" s="405">
        <f>SUMMARY!Q16</f>
        <v>45878</v>
      </c>
      <c r="Q17" s="405">
        <f>SUMMARY!R16</f>
        <v>45879</v>
      </c>
      <c r="R17" s="405">
        <f>SUMMARY!S16</f>
        <v>45880</v>
      </c>
      <c r="S17" s="405">
        <f>SUMMARY!T16</f>
        <v>45881</v>
      </c>
      <c r="T17" s="405">
        <f>SUMMARY!U16</f>
        <v>45882</v>
      </c>
      <c r="U17" s="405">
        <f>SUMMARY!V16</f>
        <v>45883</v>
      </c>
      <c r="V17" s="405">
        <f>SUMMARY!W16</f>
        <v>45884</v>
      </c>
      <c r="W17" s="405">
        <f>SUMMARY!X16</f>
        <v>45885</v>
      </c>
      <c r="X17" s="405">
        <f>SUMMARY!Y16</f>
        <v>45886</v>
      </c>
      <c r="Y17" s="405">
        <f>SUMMARY!Z16</f>
        <v>45887</v>
      </c>
      <c r="Z17" s="405">
        <f>SUMMARY!AA16</f>
        <v>45888</v>
      </c>
      <c r="AA17" s="405">
        <f>SUMMARY!AB16</f>
        <v>45889</v>
      </c>
      <c r="AB17" s="405">
        <f>SUMMARY!AC16</f>
        <v>45890</v>
      </c>
      <c r="AC17" s="405">
        <f>SUMMARY!AD16</f>
        <v>45891</v>
      </c>
      <c r="AD17" s="405">
        <f>SUMMARY!AE16</f>
        <v>45892</v>
      </c>
      <c r="AE17" s="405">
        <f>SUMMARY!AF16</f>
        <v>45893</v>
      </c>
      <c r="AF17" s="405">
        <f>SUMMARY!AG16</f>
        <v>45894</v>
      </c>
      <c r="AG17" s="405">
        <f>SUMMARY!AH16</f>
        <v>45895</v>
      </c>
      <c r="AH17" s="405">
        <f>SUMMARY!AI16</f>
        <v>45896</v>
      </c>
      <c r="AI17" s="405">
        <f>SUMMARY!AJ16</f>
        <v>45897</v>
      </c>
      <c r="AJ17" s="405">
        <f>SUMMARY!AK16</f>
        <v>45898</v>
      </c>
      <c r="AK17" s="405">
        <f>SUMMARY!AL16</f>
        <v>45899</v>
      </c>
      <c r="AL17" s="406">
        <f>SUMMARY!AM16</f>
        <v>45900</v>
      </c>
      <c r="AM17" s="407" t="s">
        <v>307</v>
      </c>
    </row>
    <row r="18" spans="1:39" s="75" customFormat="1" ht="14.85" hidden="1" customHeight="1">
      <c r="B18" s="2718">
        <v>1</v>
      </c>
      <c r="C18" s="2847"/>
      <c r="D18" s="2836" t="s">
        <v>66</v>
      </c>
      <c r="E18" s="91" t="s">
        <v>294</v>
      </c>
      <c r="F18" s="146">
        <f>SUMIF($H$9:$AL$9,"&lt;="&amp;$C$7,H18:AL18)</f>
        <v>0</v>
      </c>
      <c r="G18" s="81"/>
      <c r="H18" s="147"/>
      <c r="I18" s="147"/>
      <c r="J18" s="147"/>
      <c r="K18" s="148"/>
      <c r="L18" s="148"/>
      <c r="M18" s="148"/>
      <c r="N18" s="148"/>
      <c r="O18" s="148"/>
      <c r="P18" s="152"/>
      <c r="Q18" s="148"/>
      <c r="R18" s="148"/>
      <c r="S18" s="148"/>
      <c r="T18" s="148"/>
      <c r="U18" s="148"/>
      <c r="V18" s="148"/>
      <c r="W18" s="148"/>
      <c r="X18" s="148"/>
      <c r="Y18" s="148"/>
      <c r="Z18" s="148"/>
      <c r="AA18" s="148"/>
      <c r="AB18" s="148"/>
      <c r="AC18" s="148"/>
      <c r="AD18" s="148"/>
      <c r="AE18" s="148"/>
      <c r="AF18" s="148"/>
      <c r="AG18" s="148"/>
      <c r="AH18" s="148"/>
      <c r="AI18" s="148"/>
      <c r="AJ18" s="148"/>
      <c r="AK18" s="148"/>
      <c r="AL18" s="149"/>
      <c r="AM18" s="94"/>
    </row>
    <row r="19" spans="1:39" hidden="1">
      <c r="B19" s="2719"/>
      <c r="C19" s="2848"/>
      <c r="D19" s="2835"/>
      <c r="E19" s="1141" t="s">
        <v>295</v>
      </c>
      <c r="F19" s="1095">
        <f>SUMIF($H$9:$AL$9,"&lt;="&amp;$C$7,H19:AL19)</f>
        <v>0</v>
      </c>
      <c r="G19" s="1142">
        <f>IFERROR((F19-F18)/F18,0)</f>
        <v>0</v>
      </c>
      <c r="H19" s="1143"/>
      <c r="I19" s="1095"/>
      <c r="J19" s="1095"/>
      <c r="K19" s="1095"/>
      <c r="L19" s="1095"/>
      <c r="M19" s="1095"/>
      <c r="N19" s="1095"/>
      <c r="O19" s="1095"/>
      <c r="P19" s="1095">
        <v>0</v>
      </c>
      <c r="Q19" s="1095">
        <v>0</v>
      </c>
      <c r="R19" s="1095"/>
      <c r="S19" s="1095"/>
      <c r="T19" s="1095"/>
      <c r="U19" s="1095">
        <v>0</v>
      </c>
      <c r="V19" s="1095">
        <v>0</v>
      </c>
      <c r="W19" s="1095">
        <v>0</v>
      </c>
      <c r="X19" s="1095">
        <v>0</v>
      </c>
      <c r="Y19" s="1095">
        <v>0</v>
      </c>
      <c r="Z19" s="1095">
        <v>0</v>
      </c>
      <c r="AA19" s="1095">
        <v>0</v>
      </c>
      <c r="AB19" s="1095">
        <v>0</v>
      </c>
      <c r="AC19" s="1095">
        <v>0</v>
      </c>
      <c r="AD19" s="1095">
        <v>0</v>
      </c>
      <c r="AE19" s="1095"/>
      <c r="AF19" s="1095"/>
      <c r="AG19" s="1095"/>
      <c r="AH19" s="1095"/>
      <c r="AI19" s="1095">
        <v>0</v>
      </c>
      <c r="AJ19" s="1095">
        <v>0</v>
      </c>
      <c r="AK19" s="1095">
        <v>0</v>
      </c>
      <c r="AL19" s="1095">
        <v>0</v>
      </c>
      <c r="AM19" s="95"/>
    </row>
    <row r="20" spans="1:39" hidden="1">
      <c r="B20" s="2719"/>
      <c r="C20" s="2848"/>
      <c r="D20" s="2835"/>
      <c r="E20" s="1159" t="s">
        <v>199</v>
      </c>
      <c r="F20" s="1145"/>
      <c r="G20" s="1146"/>
      <c r="H20" s="151"/>
      <c r="I20" s="151"/>
      <c r="J20" s="151"/>
      <c r="K20" s="151"/>
      <c r="L20" s="151"/>
      <c r="M20" s="151"/>
      <c r="N20" s="151"/>
      <c r="O20" s="151"/>
      <c r="P20" s="170"/>
      <c r="Q20" s="151"/>
      <c r="R20" s="151"/>
      <c r="S20" s="151"/>
      <c r="T20" s="151"/>
      <c r="U20" s="151"/>
      <c r="V20" s="151"/>
      <c r="W20" s="151"/>
      <c r="X20" s="151"/>
      <c r="Y20" s="151"/>
      <c r="Z20" s="151"/>
      <c r="AA20" s="151"/>
      <c r="AB20" s="151"/>
      <c r="AC20" s="151"/>
      <c r="AD20" s="151"/>
      <c r="AE20" s="151"/>
      <c r="AF20" s="151"/>
      <c r="AG20" s="151"/>
      <c r="AH20" s="151"/>
      <c r="AI20" s="151"/>
      <c r="AJ20" s="151"/>
      <c r="AK20" s="151"/>
      <c r="AL20" s="171"/>
      <c r="AM20" s="95"/>
    </row>
    <row r="21" spans="1:39" hidden="1">
      <c r="B21" s="2719"/>
      <c r="C21" s="2848"/>
      <c r="D21" s="2825" t="s">
        <v>68</v>
      </c>
      <c r="E21" s="1147" t="s">
        <v>296</v>
      </c>
      <c r="F21" s="1148">
        <f>IFERROR(F23*1000/F18,0)</f>
        <v>0</v>
      </c>
      <c r="G21" s="1149"/>
      <c r="H21" s="1164"/>
      <c r="I21" s="1164"/>
      <c r="J21" s="1164"/>
      <c r="K21" s="1164"/>
      <c r="L21" s="1164"/>
      <c r="M21" s="1164"/>
      <c r="N21" s="1164"/>
      <c r="O21" s="1164"/>
      <c r="P21" s="1164"/>
      <c r="Q21" s="1164"/>
      <c r="R21" s="1164"/>
      <c r="S21" s="1164"/>
      <c r="T21" s="1164"/>
      <c r="U21" s="1164"/>
      <c r="V21" s="1164"/>
      <c r="W21" s="1164"/>
      <c r="X21" s="1164"/>
      <c r="Y21" s="1164"/>
      <c r="Z21" s="1164"/>
      <c r="AA21" s="1164"/>
      <c r="AB21" s="1164"/>
      <c r="AC21" s="1164"/>
      <c r="AD21" s="1164"/>
      <c r="AE21" s="1164"/>
      <c r="AF21" s="1164"/>
      <c r="AG21" s="1164"/>
      <c r="AH21" s="1164"/>
      <c r="AI21" s="1164"/>
      <c r="AJ21" s="1164"/>
      <c r="AK21" s="1164"/>
      <c r="AL21" s="1164"/>
      <c r="AM21" s="95"/>
    </row>
    <row r="22" spans="1:39" hidden="1">
      <c r="B22" s="2719"/>
      <c r="C22" s="2848"/>
      <c r="D22" s="2850"/>
      <c r="E22" s="1151" t="s">
        <v>297</v>
      </c>
      <c r="F22" s="1152">
        <f>IFERROR(F24*1000/F19,0)</f>
        <v>0</v>
      </c>
      <c r="G22" s="1142">
        <f>IFERROR((F22-F21)/F21,0)</f>
        <v>0</v>
      </c>
      <c r="H22" s="1153"/>
      <c r="I22" s="1152"/>
      <c r="J22" s="1152"/>
      <c r="K22" s="1152"/>
      <c r="L22" s="1152"/>
      <c r="M22" s="1152"/>
      <c r="N22" s="1152"/>
      <c r="O22" s="1152"/>
      <c r="P22" s="1152"/>
      <c r="Q22" s="1152"/>
      <c r="R22" s="1152"/>
      <c r="S22" s="1152"/>
      <c r="T22" s="1152"/>
      <c r="U22" s="1152"/>
      <c r="V22" s="1152"/>
      <c r="W22" s="1152"/>
      <c r="X22" s="1152"/>
      <c r="Y22" s="1152"/>
      <c r="Z22" s="1152"/>
      <c r="AA22" s="1152"/>
      <c r="AB22" s="1152"/>
      <c r="AC22" s="1152"/>
      <c r="AD22" s="1152"/>
      <c r="AE22" s="1152"/>
      <c r="AF22" s="1152"/>
      <c r="AG22" s="1152"/>
      <c r="AH22" s="1152"/>
      <c r="AI22" s="1152"/>
      <c r="AJ22" s="1152"/>
      <c r="AK22" s="1152"/>
      <c r="AL22" s="1152"/>
      <c r="AM22" s="95"/>
    </row>
    <row r="23" spans="1:39" hidden="1">
      <c r="B23" s="2719"/>
      <c r="C23" s="2848"/>
      <c r="D23" s="2825" t="s">
        <v>70</v>
      </c>
      <c r="E23" s="1147" t="s">
        <v>298</v>
      </c>
      <c r="F23" s="96">
        <f>SUMIF($H$9:$AL$9,"&lt;="&amp;$C$7,H23:AL23)</f>
        <v>0</v>
      </c>
      <c r="G23" s="1149"/>
      <c r="H23" s="1154">
        <f t="shared" ref="H23:AL23" si="4">+H21*H18/1000</f>
        <v>0</v>
      </c>
      <c r="I23" s="1154">
        <f t="shared" si="4"/>
        <v>0</v>
      </c>
      <c r="J23" s="1154">
        <f t="shared" si="4"/>
        <v>0</v>
      </c>
      <c r="K23" s="1154">
        <f t="shared" si="4"/>
        <v>0</v>
      </c>
      <c r="L23" s="1154">
        <f t="shared" si="4"/>
        <v>0</v>
      </c>
      <c r="M23" s="1154">
        <f t="shared" si="4"/>
        <v>0</v>
      </c>
      <c r="N23" s="1154">
        <f t="shared" si="4"/>
        <v>0</v>
      </c>
      <c r="O23" s="1154">
        <f t="shared" si="4"/>
        <v>0</v>
      </c>
      <c r="P23" s="1154">
        <f t="shared" si="4"/>
        <v>0</v>
      </c>
      <c r="Q23" s="1154">
        <f t="shared" si="4"/>
        <v>0</v>
      </c>
      <c r="R23" s="1154">
        <f t="shared" si="4"/>
        <v>0</v>
      </c>
      <c r="S23" s="1154">
        <f t="shared" si="4"/>
        <v>0</v>
      </c>
      <c r="T23" s="1154">
        <f t="shared" si="4"/>
        <v>0</v>
      </c>
      <c r="U23" s="1154">
        <f t="shared" si="4"/>
        <v>0</v>
      </c>
      <c r="V23" s="1154">
        <f t="shared" si="4"/>
        <v>0</v>
      </c>
      <c r="W23" s="1154">
        <f t="shared" si="4"/>
        <v>0</v>
      </c>
      <c r="X23" s="1154">
        <f t="shared" si="4"/>
        <v>0</v>
      </c>
      <c r="Y23" s="1154">
        <f t="shared" si="4"/>
        <v>0</v>
      </c>
      <c r="Z23" s="1154">
        <f t="shared" si="4"/>
        <v>0</v>
      </c>
      <c r="AA23" s="1154">
        <f t="shared" si="4"/>
        <v>0</v>
      </c>
      <c r="AB23" s="1154">
        <f t="shared" si="4"/>
        <v>0</v>
      </c>
      <c r="AC23" s="1154">
        <f t="shared" si="4"/>
        <v>0</v>
      </c>
      <c r="AD23" s="1154">
        <f t="shared" si="4"/>
        <v>0</v>
      </c>
      <c r="AE23" s="1154">
        <f t="shared" si="4"/>
        <v>0</v>
      </c>
      <c r="AF23" s="1154">
        <f t="shared" si="4"/>
        <v>0</v>
      </c>
      <c r="AG23" s="1154">
        <f t="shared" si="4"/>
        <v>0</v>
      </c>
      <c r="AH23" s="1154">
        <f t="shared" si="4"/>
        <v>0</v>
      </c>
      <c r="AI23" s="1154">
        <f t="shared" si="4"/>
        <v>0</v>
      </c>
      <c r="AJ23" s="1154">
        <f t="shared" si="4"/>
        <v>0</v>
      </c>
      <c r="AK23" s="1154">
        <f t="shared" si="4"/>
        <v>0</v>
      </c>
      <c r="AL23" s="1154">
        <f t="shared" si="4"/>
        <v>0</v>
      </c>
      <c r="AM23" s="97"/>
    </row>
    <row r="24" spans="1:39" ht="14.4" hidden="1" thickBot="1">
      <c r="B24" s="2720"/>
      <c r="C24" s="2849"/>
      <c r="D24" s="2851"/>
      <c r="E24" s="1049" t="s">
        <v>299</v>
      </c>
      <c r="F24" s="1004">
        <f>SUMIF($H$9:$AL$9,"&lt;="&amp;$C$7,H24:AL24)</f>
        <v>0</v>
      </c>
      <c r="G24" s="1105">
        <f>IFERROR((F24-F23)/F23,0)</f>
        <v>0</v>
      </c>
      <c r="H24" s="1158">
        <f>+H22*H19/1000</f>
        <v>0</v>
      </c>
      <c r="I24" s="1158">
        <f t="shared" ref="I24:AL24" si="5">+I22*I19/1000</f>
        <v>0</v>
      </c>
      <c r="J24" s="1158">
        <f t="shared" si="5"/>
        <v>0</v>
      </c>
      <c r="K24" s="1158">
        <f t="shared" si="5"/>
        <v>0</v>
      </c>
      <c r="L24" s="1158">
        <f t="shared" si="5"/>
        <v>0</v>
      </c>
      <c r="M24" s="1158">
        <f t="shared" si="5"/>
        <v>0</v>
      </c>
      <c r="N24" s="1158">
        <f t="shared" si="5"/>
        <v>0</v>
      </c>
      <c r="O24" s="1158">
        <f t="shared" si="5"/>
        <v>0</v>
      </c>
      <c r="P24" s="1158">
        <f t="shared" si="5"/>
        <v>0</v>
      </c>
      <c r="Q24" s="1158">
        <f t="shared" si="5"/>
        <v>0</v>
      </c>
      <c r="R24" s="1158">
        <f t="shared" si="5"/>
        <v>0</v>
      </c>
      <c r="S24" s="1158">
        <f t="shared" si="5"/>
        <v>0</v>
      </c>
      <c r="T24" s="1158">
        <f t="shared" si="5"/>
        <v>0</v>
      </c>
      <c r="U24" s="1158">
        <f t="shared" si="5"/>
        <v>0</v>
      </c>
      <c r="V24" s="1158">
        <f t="shared" si="5"/>
        <v>0</v>
      </c>
      <c r="W24" s="1158">
        <f t="shared" si="5"/>
        <v>0</v>
      </c>
      <c r="X24" s="1158">
        <f t="shared" si="5"/>
        <v>0</v>
      </c>
      <c r="Y24" s="1158">
        <f t="shared" si="5"/>
        <v>0</v>
      </c>
      <c r="Z24" s="1158">
        <f t="shared" si="5"/>
        <v>0</v>
      </c>
      <c r="AA24" s="1158">
        <f t="shared" si="5"/>
        <v>0</v>
      </c>
      <c r="AB24" s="1158">
        <f t="shared" si="5"/>
        <v>0</v>
      </c>
      <c r="AC24" s="1158">
        <f t="shared" si="5"/>
        <v>0</v>
      </c>
      <c r="AD24" s="1158">
        <f t="shared" si="5"/>
        <v>0</v>
      </c>
      <c r="AE24" s="1158">
        <f t="shared" si="5"/>
        <v>0</v>
      </c>
      <c r="AF24" s="1158">
        <f t="shared" si="5"/>
        <v>0</v>
      </c>
      <c r="AG24" s="1158">
        <f t="shared" si="5"/>
        <v>0</v>
      </c>
      <c r="AH24" s="1158">
        <f t="shared" si="5"/>
        <v>0</v>
      </c>
      <c r="AI24" s="1158">
        <f t="shared" si="5"/>
        <v>0</v>
      </c>
      <c r="AJ24" s="1158">
        <f t="shared" si="5"/>
        <v>0</v>
      </c>
      <c r="AK24" s="1158">
        <f t="shared" si="5"/>
        <v>0</v>
      </c>
      <c r="AL24" s="1158">
        <f t="shared" si="5"/>
        <v>0</v>
      </c>
      <c r="AM24" s="98"/>
    </row>
    <row r="25" spans="1:39" s="75" customFormat="1" ht="14.85" customHeight="1">
      <c r="B25" s="2718">
        <v>1</v>
      </c>
      <c r="C25" s="2847" t="str">
        <f>Stoping!C32</f>
        <v>3L_W23B STOPE</v>
      </c>
      <c r="D25" s="2836" t="s">
        <v>66</v>
      </c>
      <c r="E25" s="91" t="s">
        <v>294</v>
      </c>
      <c r="F25" s="146">
        <f t="shared" ref="F25:F26" si="6">SUMIF($H$9:$AL$9,"&lt;="&amp;$C$7,H25:AL25)</f>
        <v>420</v>
      </c>
      <c r="G25" s="81"/>
      <c r="H25" s="147">
        <f>Stoping!H32</f>
        <v>70</v>
      </c>
      <c r="I25" s="147">
        <f>Stoping!I32</f>
        <v>70</v>
      </c>
      <c r="J25" s="147">
        <f>Stoping!J32</f>
        <v>70</v>
      </c>
      <c r="K25" s="148">
        <f>Stoping!K32</f>
        <v>70</v>
      </c>
      <c r="L25" s="148">
        <f>Stoping!L32</f>
        <v>70</v>
      </c>
      <c r="M25" s="148">
        <f>Stoping!M32</f>
        <v>70</v>
      </c>
      <c r="N25" s="148">
        <f>Stoping!N32</f>
        <v>70</v>
      </c>
      <c r="O25" s="148">
        <f>Stoping!O32</f>
        <v>70</v>
      </c>
      <c r="P25" s="152">
        <f>Stoping!P32</f>
        <v>70</v>
      </c>
      <c r="Q25" s="148">
        <f>Stoping!Q32</f>
        <v>70</v>
      </c>
      <c r="R25" s="148">
        <f>Stoping!R32</f>
        <v>0</v>
      </c>
      <c r="S25" s="148">
        <f>Stoping!S32</f>
        <v>0</v>
      </c>
      <c r="T25" s="148">
        <f>Stoping!T32</f>
        <v>70</v>
      </c>
      <c r="U25" s="148">
        <f>Stoping!U32</f>
        <v>70</v>
      </c>
      <c r="V25" s="148">
        <f>Stoping!V32</f>
        <v>70</v>
      </c>
      <c r="W25" s="148">
        <f>Stoping!W32</f>
        <v>70</v>
      </c>
      <c r="X25" s="148">
        <f>Stoping!X32</f>
        <v>70</v>
      </c>
      <c r="Y25" s="148">
        <f>Stoping!Y32</f>
        <v>70</v>
      </c>
      <c r="Z25" s="148">
        <f>Stoping!Z32</f>
        <v>70</v>
      </c>
      <c r="AA25" s="148">
        <f>Stoping!AA32</f>
        <v>70</v>
      </c>
      <c r="AB25" s="148">
        <f>Stoping!AB32</f>
        <v>70</v>
      </c>
      <c r="AC25" s="148">
        <f>Stoping!AC32</f>
        <v>70</v>
      </c>
      <c r="AD25" s="148">
        <f>Stoping!AD32</f>
        <v>70</v>
      </c>
      <c r="AE25" s="148">
        <f>Stoping!AE32</f>
        <v>70</v>
      </c>
      <c r="AF25" s="148">
        <f>Stoping!AF32</f>
        <v>70</v>
      </c>
      <c r="AG25" s="148">
        <f>Stoping!AG32</f>
        <v>70</v>
      </c>
      <c r="AH25" s="148">
        <f>Stoping!AH32</f>
        <v>70</v>
      </c>
      <c r="AI25" s="148">
        <f>Stoping!AI32</f>
        <v>70</v>
      </c>
      <c r="AJ25" s="148">
        <f>Stoping!AJ32</f>
        <v>70</v>
      </c>
      <c r="AK25" s="148">
        <f>Stoping!AK32</f>
        <v>70</v>
      </c>
      <c r="AL25" s="149">
        <f>Stoping!AL32</f>
        <v>70</v>
      </c>
      <c r="AM25" s="94"/>
    </row>
    <row r="26" spans="1:39">
      <c r="B26" s="2719"/>
      <c r="C26" s="2848"/>
      <c r="D26" s="2835"/>
      <c r="E26" s="1141" t="s">
        <v>295</v>
      </c>
      <c r="F26" s="1095">
        <f t="shared" si="6"/>
        <v>0</v>
      </c>
      <c r="G26" s="1142">
        <f t="shared" ref="G26" si="7">IFERROR((F26-F25)/F25,0)</f>
        <v>-1</v>
      </c>
      <c r="H26" s="1143"/>
      <c r="I26" s="1095"/>
      <c r="J26" s="1095"/>
      <c r="K26" s="1095"/>
      <c r="L26" s="1095"/>
      <c r="M26" s="1095"/>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95"/>
    </row>
    <row r="27" spans="1:39">
      <c r="B27" s="2719"/>
      <c r="C27" s="2848"/>
      <c r="D27" s="2835"/>
      <c r="E27" s="1159" t="s">
        <v>199</v>
      </c>
      <c r="F27" s="1145"/>
      <c r="G27" s="1146"/>
      <c r="H27" s="151"/>
      <c r="I27" s="151"/>
      <c r="J27" s="151"/>
      <c r="K27" s="151"/>
      <c r="L27" s="151"/>
      <c r="M27" s="151"/>
      <c r="N27" s="151"/>
      <c r="O27" s="151"/>
      <c r="P27" s="170"/>
      <c r="Q27" s="151"/>
      <c r="R27" s="151"/>
      <c r="S27" s="151"/>
      <c r="T27" s="151"/>
      <c r="U27" s="151"/>
      <c r="V27" s="151"/>
      <c r="W27" s="151"/>
      <c r="X27" s="151"/>
      <c r="Y27" s="151"/>
      <c r="Z27" s="151"/>
      <c r="AA27" s="151"/>
      <c r="AB27" s="151"/>
      <c r="AC27" s="151"/>
      <c r="AD27" s="151"/>
      <c r="AE27" s="151"/>
      <c r="AF27" s="151"/>
      <c r="AG27" s="151"/>
      <c r="AH27" s="151"/>
      <c r="AI27" s="151"/>
      <c r="AJ27" s="151"/>
      <c r="AK27" s="151"/>
      <c r="AL27" s="171"/>
      <c r="AM27" s="95"/>
    </row>
    <row r="28" spans="1:39">
      <c r="B28" s="2719"/>
      <c r="C28" s="2848"/>
      <c r="D28" s="2825" t="s">
        <v>68</v>
      </c>
      <c r="E28" s="1147" t="s">
        <v>296</v>
      </c>
      <c r="F28" s="1148">
        <f t="shared" ref="F28:F29" si="8">IFERROR(F30*1000/F25,0)</f>
        <v>1.9859813084112146</v>
      </c>
      <c r="G28" s="1149"/>
      <c r="H28" s="1150">
        <f>Breaking.!D16</f>
        <v>1.9859813084112148</v>
      </c>
      <c r="I28" s="1150">
        <f>Breaking.!E16</f>
        <v>1.9859813084112148</v>
      </c>
      <c r="J28" s="1150">
        <f>Breaking.!F16</f>
        <v>1.9859813084112148</v>
      </c>
      <c r="K28" s="1150">
        <f>Breaking.!G16</f>
        <v>1.9859813084112148</v>
      </c>
      <c r="L28" s="1150">
        <f>Breaking.!H16</f>
        <v>1.9859813084112148</v>
      </c>
      <c r="M28" s="1150">
        <f>Breaking.!I16</f>
        <v>1.9859813084112148</v>
      </c>
      <c r="N28" s="1150">
        <f>Breaking.!J16</f>
        <v>1.9859813084112148</v>
      </c>
      <c r="O28" s="1150">
        <f>Breaking.!K16</f>
        <v>1.9859813084112148</v>
      </c>
      <c r="P28" s="1150">
        <f>Breaking.!L16</f>
        <v>1.9859813084112148</v>
      </c>
      <c r="Q28" s="1150">
        <f>Breaking.!M16</f>
        <v>1.9859813084112148</v>
      </c>
      <c r="R28" s="1150">
        <f>Breaking.!N16</f>
        <v>0</v>
      </c>
      <c r="S28" s="1150">
        <f>Breaking.!O16</f>
        <v>0</v>
      </c>
      <c r="T28" s="1150">
        <f>Breaking.!P16</f>
        <v>1.9859813084112148</v>
      </c>
      <c r="U28" s="1150">
        <f>Breaking.!Q16</f>
        <v>1.9859813084112148</v>
      </c>
      <c r="V28" s="1150">
        <f>Breaking.!R16</f>
        <v>1.9859813084112148</v>
      </c>
      <c r="W28" s="1150">
        <f>Breaking.!S16</f>
        <v>1.9859813084112148</v>
      </c>
      <c r="X28" s="1150">
        <f>Breaking.!T16</f>
        <v>1.9859813084112148</v>
      </c>
      <c r="Y28" s="1150">
        <f>Breaking.!U16</f>
        <v>1.9859813084112148</v>
      </c>
      <c r="Z28" s="1150">
        <f>Breaking.!V16</f>
        <v>1.9859813084112148</v>
      </c>
      <c r="AA28" s="1150">
        <f>Breaking.!W16</f>
        <v>1.9859813084112148</v>
      </c>
      <c r="AB28" s="1150">
        <f>Breaking.!X16</f>
        <v>1.9859813084112148</v>
      </c>
      <c r="AC28" s="1150">
        <f>Breaking.!Y16</f>
        <v>1.9859813084112148</v>
      </c>
      <c r="AD28" s="1150">
        <f>Breaking.!Z16</f>
        <v>1.9859813084112148</v>
      </c>
      <c r="AE28" s="1150">
        <f>Breaking.!AA16</f>
        <v>1.9859813084112148</v>
      </c>
      <c r="AF28" s="1150">
        <f>Breaking.!AB16</f>
        <v>1.9859813084112148</v>
      </c>
      <c r="AG28" s="1150">
        <f>Breaking.!AC16</f>
        <v>1.9859813084112148</v>
      </c>
      <c r="AH28" s="1150">
        <f>Breaking.!AD16</f>
        <v>1.9859813084112148</v>
      </c>
      <c r="AI28" s="1150">
        <f>Breaking.!AE16</f>
        <v>1.9859813084112148</v>
      </c>
      <c r="AJ28" s="1150">
        <f>Breaking.!AF16</f>
        <v>1.9859813084112148</v>
      </c>
      <c r="AK28" s="1150">
        <f>Breaking.!AG16</f>
        <v>1.9859813084112148</v>
      </c>
      <c r="AL28" s="1150">
        <f>Breaking.!AH16</f>
        <v>1.9859813084112148</v>
      </c>
      <c r="AM28" s="95"/>
    </row>
    <row r="29" spans="1:39">
      <c r="B29" s="2719"/>
      <c r="C29" s="2848"/>
      <c r="D29" s="2850"/>
      <c r="E29" s="1151" t="s">
        <v>297</v>
      </c>
      <c r="F29" s="1152">
        <f t="shared" si="8"/>
        <v>0</v>
      </c>
      <c r="G29" s="1142">
        <f t="shared" ref="G29" si="9">IFERROR((F29-F28)/F28,0)</f>
        <v>-1</v>
      </c>
      <c r="H29" s="1153"/>
      <c r="I29" s="1152"/>
      <c r="J29" s="1152"/>
      <c r="K29" s="1152"/>
      <c r="L29" s="1152"/>
      <c r="M29" s="1152"/>
      <c r="N29" s="1152"/>
      <c r="O29" s="1152"/>
      <c r="P29" s="1152"/>
      <c r="Q29" s="1152"/>
      <c r="R29" s="1152"/>
      <c r="S29" s="1152"/>
      <c r="T29" s="1152"/>
      <c r="U29" s="1152"/>
      <c r="V29" s="1152"/>
      <c r="W29" s="1152"/>
      <c r="X29" s="1152"/>
      <c r="Y29" s="1152"/>
      <c r="Z29" s="1152"/>
      <c r="AA29" s="1152"/>
      <c r="AB29" s="1152"/>
      <c r="AC29" s="1152"/>
      <c r="AD29" s="1152"/>
      <c r="AE29" s="1152"/>
      <c r="AF29" s="1152"/>
      <c r="AG29" s="1152"/>
      <c r="AH29" s="1152"/>
      <c r="AI29" s="1152"/>
      <c r="AJ29" s="1152"/>
      <c r="AK29" s="1152"/>
      <c r="AL29" s="1152"/>
      <c r="AM29" s="95"/>
    </row>
    <row r="30" spans="1:39">
      <c r="B30" s="2719"/>
      <c r="C30" s="2848"/>
      <c r="D30" s="2825" t="s">
        <v>70</v>
      </c>
      <c r="E30" s="1147" t="s">
        <v>298</v>
      </c>
      <c r="F30" s="96">
        <f t="shared" ref="F30:F33" si="10">SUMIF($H$9:$AL$9,"&lt;="&amp;$C$7,H30:AL30)</f>
        <v>0.83411214953271007</v>
      </c>
      <c r="G30" s="1149"/>
      <c r="H30" s="1154">
        <f t="shared" ref="H30:AL30" si="11">+H28*H25/1000</f>
        <v>0.13901869158878502</v>
      </c>
      <c r="I30" s="1154">
        <f t="shared" si="11"/>
        <v>0.13901869158878502</v>
      </c>
      <c r="J30" s="1154">
        <f t="shared" si="11"/>
        <v>0.13901869158878502</v>
      </c>
      <c r="K30" s="1154">
        <f t="shared" si="11"/>
        <v>0.13901869158878502</v>
      </c>
      <c r="L30" s="1154">
        <f t="shared" si="11"/>
        <v>0.13901869158878502</v>
      </c>
      <c r="M30" s="1154">
        <f t="shared" si="11"/>
        <v>0.13901869158878502</v>
      </c>
      <c r="N30" s="1154">
        <f t="shared" si="11"/>
        <v>0.13901869158878502</v>
      </c>
      <c r="O30" s="1154">
        <f t="shared" si="11"/>
        <v>0.13901869158878502</v>
      </c>
      <c r="P30" s="1154">
        <f t="shared" si="11"/>
        <v>0.13901869158878502</v>
      </c>
      <c r="Q30" s="1154">
        <f t="shared" si="11"/>
        <v>0.13901869158878502</v>
      </c>
      <c r="R30" s="1154">
        <f t="shared" si="11"/>
        <v>0</v>
      </c>
      <c r="S30" s="1154">
        <f t="shared" si="11"/>
        <v>0</v>
      </c>
      <c r="T30" s="1154">
        <f t="shared" si="11"/>
        <v>0.13901869158878502</v>
      </c>
      <c r="U30" s="1154">
        <f t="shared" si="11"/>
        <v>0.13901869158878502</v>
      </c>
      <c r="V30" s="1154">
        <f t="shared" si="11"/>
        <v>0.13901869158878502</v>
      </c>
      <c r="W30" s="1154">
        <f t="shared" si="11"/>
        <v>0.13901869158878502</v>
      </c>
      <c r="X30" s="1154">
        <f t="shared" si="11"/>
        <v>0.13901869158878502</v>
      </c>
      <c r="Y30" s="1154">
        <f t="shared" si="11"/>
        <v>0.13901869158878502</v>
      </c>
      <c r="Z30" s="1154">
        <f t="shared" si="11"/>
        <v>0.13901869158878502</v>
      </c>
      <c r="AA30" s="1154">
        <f t="shared" si="11"/>
        <v>0.13901869158878502</v>
      </c>
      <c r="AB30" s="1154">
        <f t="shared" si="11"/>
        <v>0.13901869158878502</v>
      </c>
      <c r="AC30" s="1154">
        <f t="shared" si="11"/>
        <v>0.13901869158878502</v>
      </c>
      <c r="AD30" s="1154">
        <f t="shared" si="11"/>
        <v>0.13901869158878502</v>
      </c>
      <c r="AE30" s="1154">
        <f t="shared" si="11"/>
        <v>0.13901869158878502</v>
      </c>
      <c r="AF30" s="1154">
        <f t="shared" si="11"/>
        <v>0.13901869158878502</v>
      </c>
      <c r="AG30" s="1154">
        <f t="shared" si="11"/>
        <v>0.13901869158878502</v>
      </c>
      <c r="AH30" s="1154">
        <f t="shared" si="11"/>
        <v>0.13901869158878502</v>
      </c>
      <c r="AI30" s="1154">
        <f t="shared" si="11"/>
        <v>0.13901869158878502</v>
      </c>
      <c r="AJ30" s="1154">
        <f t="shared" si="11"/>
        <v>0.13901869158878502</v>
      </c>
      <c r="AK30" s="1154">
        <f t="shared" si="11"/>
        <v>0.13901869158878502</v>
      </c>
      <c r="AL30" s="1154">
        <f t="shared" si="11"/>
        <v>0.13901869158878502</v>
      </c>
      <c r="AM30" s="97"/>
    </row>
    <row r="31" spans="1:39" ht="14.4" thickBot="1">
      <c r="B31" s="2720"/>
      <c r="C31" s="2849"/>
      <c r="D31" s="2851"/>
      <c r="E31" s="1049" t="s">
        <v>299</v>
      </c>
      <c r="F31" s="1004">
        <f t="shared" si="10"/>
        <v>0</v>
      </c>
      <c r="G31" s="1105">
        <f t="shared" ref="G31" si="12">IFERROR((F31-F30)/F30,0)</f>
        <v>-1</v>
      </c>
      <c r="H31" s="1158">
        <v>0</v>
      </c>
      <c r="I31" s="1158">
        <f t="shared" ref="I31:AL31" si="13">+I29*I26/1000</f>
        <v>0</v>
      </c>
      <c r="J31" s="1158">
        <f t="shared" si="13"/>
        <v>0</v>
      </c>
      <c r="K31" s="1158">
        <f t="shared" si="13"/>
        <v>0</v>
      </c>
      <c r="L31" s="1158">
        <f t="shared" si="13"/>
        <v>0</v>
      </c>
      <c r="M31" s="1158">
        <f t="shared" si="13"/>
        <v>0</v>
      </c>
      <c r="N31" s="1158">
        <f t="shared" si="13"/>
        <v>0</v>
      </c>
      <c r="O31" s="1158">
        <f t="shared" si="13"/>
        <v>0</v>
      </c>
      <c r="P31" s="1158">
        <f t="shared" si="13"/>
        <v>0</v>
      </c>
      <c r="Q31" s="1158">
        <f t="shared" si="13"/>
        <v>0</v>
      </c>
      <c r="R31" s="1158">
        <f t="shared" si="13"/>
        <v>0</v>
      </c>
      <c r="S31" s="1158">
        <f t="shared" si="13"/>
        <v>0</v>
      </c>
      <c r="T31" s="1158">
        <f t="shared" si="13"/>
        <v>0</v>
      </c>
      <c r="U31" s="1158">
        <f t="shared" si="13"/>
        <v>0</v>
      </c>
      <c r="V31" s="1158">
        <f t="shared" si="13"/>
        <v>0</v>
      </c>
      <c r="W31" s="1158">
        <f t="shared" si="13"/>
        <v>0</v>
      </c>
      <c r="X31" s="1158">
        <f t="shared" si="13"/>
        <v>0</v>
      </c>
      <c r="Y31" s="1158">
        <f t="shared" si="13"/>
        <v>0</v>
      </c>
      <c r="Z31" s="1158">
        <f t="shared" si="13"/>
        <v>0</v>
      </c>
      <c r="AA31" s="1158">
        <f t="shared" si="13"/>
        <v>0</v>
      </c>
      <c r="AB31" s="1158">
        <f t="shared" si="13"/>
        <v>0</v>
      </c>
      <c r="AC31" s="1158">
        <f t="shared" si="13"/>
        <v>0</v>
      </c>
      <c r="AD31" s="1158">
        <f t="shared" si="13"/>
        <v>0</v>
      </c>
      <c r="AE31" s="1158">
        <f t="shared" si="13"/>
        <v>0</v>
      </c>
      <c r="AF31" s="1158">
        <f t="shared" si="13"/>
        <v>0</v>
      </c>
      <c r="AG31" s="1158">
        <f t="shared" si="13"/>
        <v>0</v>
      </c>
      <c r="AH31" s="1158">
        <f t="shared" si="13"/>
        <v>0</v>
      </c>
      <c r="AI31" s="1158">
        <f t="shared" si="13"/>
        <v>0</v>
      </c>
      <c r="AJ31" s="1158">
        <f t="shared" si="13"/>
        <v>0</v>
      </c>
      <c r="AK31" s="1158">
        <f t="shared" si="13"/>
        <v>0</v>
      </c>
      <c r="AL31" s="1158">
        <f t="shared" si="13"/>
        <v>0</v>
      </c>
      <c r="AM31" s="98"/>
    </row>
    <row r="32" spans="1:39" s="75" customFormat="1" ht="14.85" customHeight="1">
      <c r="B32" s="2718">
        <v>1</v>
      </c>
      <c r="C32" s="2855" t="str">
        <f>Stoping!C39</f>
        <v>3L_W24B STOPE</v>
      </c>
      <c r="D32" s="2836" t="s">
        <v>66</v>
      </c>
      <c r="E32" s="91" t="s">
        <v>294</v>
      </c>
      <c r="F32" s="146">
        <f t="shared" si="10"/>
        <v>0</v>
      </c>
      <c r="G32" s="81"/>
      <c r="H32" s="147">
        <f>Stoping!H39</f>
        <v>0</v>
      </c>
      <c r="I32" s="147">
        <f>Stoping!I39</f>
        <v>0</v>
      </c>
      <c r="J32" s="147">
        <f>Stoping!J39</f>
        <v>0</v>
      </c>
      <c r="K32" s="148">
        <f>Stoping!K39</f>
        <v>0</v>
      </c>
      <c r="L32" s="148">
        <f>Stoping!L39</f>
        <v>0</v>
      </c>
      <c r="M32" s="148">
        <f>Stoping!M39</f>
        <v>0</v>
      </c>
      <c r="N32" s="148">
        <f>Stoping!N39</f>
        <v>0</v>
      </c>
      <c r="O32" s="148">
        <f>Stoping!O39</f>
        <v>0</v>
      </c>
      <c r="P32" s="152">
        <f>Stoping!P39</f>
        <v>0</v>
      </c>
      <c r="Q32" s="148">
        <f>Stoping!Q39</f>
        <v>0</v>
      </c>
      <c r="R32" s="148">
        <f>Stoping!R39</f>
        <v>0</v>
      </c>
      <c r="S32" s="148">
        <f>Stoping!S39</f>
        <v>0</v>
      </c>
      <c r="T32" s="148">
        <f>Stoping!T39</f>
        <v>0</v>
      </c>
      <c r="U32" s="148">
        <f>Stoping!U39</f>
        <v>0</v>
      </c>
      <c r="V32" s="148">
        <f>Stoping!V39</f>
        <v>0</v>
      </c>
      <c r="W32" s="148">
        <f>Stoping!W39</f>
        <v>0</v>
      </c>
      <c r="X32" s="148">
        <f>Stoping!X39</f>
        <v>0</v>
      </c>
      <c r="Y32" s="148">
        <f>Stoping!Y39</f>
        <v>0</v>
      </c>
      <c r="Z32" s="148">
        <f>Stoping!Z39</f>
        <v>0</v>
      </c>
      <c r="AA32" s="148">
        <f>Stoping!AA39</f>
        <v>0</v>
      </c>
      <c r="AB32" s="148">
        <f>Stoping!AB39</f>
        <v>0</v>
      </c>
      <c r="AC32" s="148">
        <f>Stoping!AC39</f>
        <v>0</v>
      </c>
      <c r="AD32" s="148">
        <f>Stoping!AD39</f>
        <v>0</v>
      </c>
      <c r="AE32" s="148">
        <f>Stoping!AE39</f>
        <v>0</v>
      </c>
      <c r="AF32" s="148">
        <f>Stoping!AF39</f>
        <v>0</v>
      </c>
      <c r="AG32" s="148">
        <f>Stoping!AG39</f>
        <v>0</v>
      </c>
      <c r="AH32" s="148">
        <f>Stoping!AH39</f>
        <v>0</v>
      </c>
      <c r="AI32" s="148">
        <f>Stoping!AI39</f>
        <v>0</v>
      </c>
      <c r="AJ32" s="148">
        <f>Stoping!AJ39</f>
        <v>0</v>
      </c>
      <c r="AK32" s="148">
        <f>Stoping!AK39</f>
        <v>0</v>
      </c>
      <c r="AL32" s="149">
        <f>Stoping!AL39</f>
        <v>0</v>
      </c>
      <c r="AM32" s="94"/>
    </row>
    <row r="33" spans="2:39">
      <c r="B33" s="2719"/>
      <c r="C33" s="2848"/>
      <c r="D33" s="2835"/>
      <c r="E33" s="1141" t="s">
        <v>295</v>
      </c>
      <c r="F33" s="1095">
        <f t="shared" si="10"/>
        <v>0</v>
      </c>
      <c r="G33" s="1142">
        <f t="shared" ref="G33" si="14">IFERROR((F33-F32)/F32,0)</f>
        <v>0</v>
      </c>
      <c r="H33" s="1143"/>
      <c r="I33" s="1095"/>
      <c r="J33" s="1095"/>
      <c r="K33" s="1095"/>
      <c r="L33" s="1095"/>
      <c r="M33" s="1095"/>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5"/>
      <c r="AM33" s="95"/>
    </row>
    <row r="34" spans="2:39">
      <c r="B34" s="2719"/>
      <c r="C34" s="2848"/>
      <c r="D34" s="2835"/>
      <c r="E34" s="1159" t="s">
        <v>199</v>
      </c>
      <c r="F34" s="1145"/>
      <c r="G34" s="1146"/>
      <c r="H34" s="151"/>
      <c r="I34" s="151"/>
      <c r="J34" s="151"/>
      <c r="K34" s="151"/>
      <c r="L34" s="151"/>
      <c r="M34" s="151"/>
      <c r="N34" s="151"/>
      <c r="O34" s="151"/>
      <c r="P34" s="170"/>
      <c r="Q34" s="151"/>
      <c r="R34" s="151"/>
      <c r="S34" s="151"/>
      <c r="T34" s="151"/>
      <c r="U34" s="151"/>
      <c r="V34" s="151"/>
      <c r="W34" s="151"/>
      <c r="X34" s="151"/>
      <c r="Y34" s="151"/>
      <c r="Z34" s="151"/>
      <c r="AA34" s="151"/>
      <c r="AB34" s="151"/>
      <c r="AC34" s="151"/>
      <c r="AD34" s="151"/>
      <c r="AE34" s="151"/>
      <c r="AF34" s="151"/>
      <c r="AG34" s="151"/>
      <c r="AH34" s="151"/>
      <c r="AI34" s="151"/>
      <c r="AJ34" s="151"/>
      <c r="AK34" s="151"/>
      <c r="AL34" s="171"/>
      <c r="AM34" s="95"/>
    </row>
    <row r="35" spans="2:39">
      <c r="B35" s="2719"/>
      <c r="C35" s="2848"/>
      <c r="D35" s="2825" t="s">
        <v>68</v>
      </c>
      <c r="E35" s="1147" t="s">
        <v>296</v>
      </c>
      <c r="F35" s="1148">
        <f t="shared" ref="F35:F36" si="15">IFERROR(F37*1000/F32,0)</f>
        <v>0</v>
      </c>
      <c r="G35" s="1149"/>
      <c r="H35" s="1150">
        <f>Breaking.!D18</f>
        <v>0</v>
      </c>
      <c r="I35" s="1150">
        <f>Breaking.!E18</f>
        <v>0</v>
      </c>
      <c r="J35" s="1150">
        <f>Breaking.!F18</f>
        <v>0</v>
      </c>
      <c r="K35" s="1150">
        <f>Breaking.!G18</f>
        <v>0</v>
      </c>
      <c r="L35" s="1150">
        <f>Breaking.!H18</f>
        <v>0</v>
      </c>
      <c r="M35" s="1150">
        <f>Breaking.!I18</f>
        <v>0</v>
      </c>
      <c r="N35" s="1150">
        <f>Breaking.!J18</f>
        <v>0</v>
      </c>
      <c r="O35" s="1150">
        <f>Breaking.!K18</f>
        <v>0</v>
      </c>
      <c r="P35" s="1150">
        <f>Breaking.!L18</f>
        <v>0</v>
      </c>
      <c r="Q35" s="1150">
        <f>Breaking.!M18</f>
        <v>0</v>
      </c>
      <c r="R35" s="1150">
        <f>Breaking.!N18</f>
        <v>0</v>
      </c>
      <c r="S35" s="1150">
        <f>Breaking.!O18</f>
        <v>0</v>
      </c>
      <c r="T35" s="1150">
        <f>Breaking.!P18</f>
        <v>0</v>
      </c>
      <c r="U35" s="1150">
        <f>Breaking.!Q18</f>
        <v>0</v>
      </c>
      <c r="V35" s="1150">
        <f>Breaking.!R18</f>
        <v>0</v>
      </c>
      <c r="W35" s="1150">
        <f>Breaking.!S18</f>
        <v>0</v>
      </c>
      <c r="X35" s="1150">
        <f>Breaking.!T18</f>
        <v>0</v>
      </c>
      <c r="Y35" s="1150">
        <f>Breaking.!U18</f>
        <v>0</v>
      </c>
      <c r="Z35" s="1150">
        <f>Breaking.!V18</f>
        <v>0</v>
      </c>
      <c r="AA35" s="1150">
        <f>Breaking.!W18</f>
        <v>0</v>
      </c>
      <c r="AB35" s="1150">
        <f>Breaking.!X18</f>
        <v>0</v>
      </c>
      <c r="AC35" s="1150">
        <f>Breaking.!Y18</f>
        <v>0</v>
      </c>
      <c r="AD35" s="1150">
        <f>Breaking.!Z18</f>
        <v>0</v>
      </c>
      <c r="AE35" s="1150">
        <f>Breaking.!AA18</f>
        <v>0</v>
      </c>
      <c r="AF35" s="1150">
        <f>Breaking.!AB18</f>
        <v>0</v>
      </c>
      <c r="AG35" s="1150">
        <f>Breaking.!AC18</f>
        <v>0</v>
      </c>
      <c r="AH35" s="1150">
        <f>Breaking.!AD18</f>
        <v>0</v>
      </c>
      <c r="AI35" s="1150">
        <f>Breaking.!AE18</f>
        <v>0</v>
      </c>
      <c r="AJ35" s="1150">
        <f>Breaking.!AF18</f>
        <v>0</v>
      </c>
      <c r="AK35" s="1150">
        <f>Breaking.!AG18</f>
        <v>0</v>
      </c>
      <c r="AL35" s="1150">
        <f>Breaking.!AH18</f>
        <v>0</v>
      </c>
      <c r="AM35" s="95"/>
    </row>
    <row r="36" spans="2:39">
      <c r="B36" s="2719"/>
      <c r="C36" s="2848"/>
      <c r="D36" s="2850"/>
      <c r="E36" s="1151" t="s">
        <v>297</v>
      </c>
      <c r="F36" s="1152">
        <f t="shared" si="15"/>
        <v>0</v>
      </c>
      <c r="G36" s="1142">
        <f t="shared" ref="G36" si="16">IFERROR((F36-F35)/F35,0)</f>
        <v>0</v>
      </c>
      <c r="H36" s="1153"/>
      <c r="I36" s="1152"/>
      <c r="J36" s="1152"/>
      <c r="K36" s="1152"/>
      <c r="L36" s="1152"/>
      <c r="M36" s="1152"/>
      <c r="N36" s="1152"/>
      <c r="O36" s="1152"/>
      <c r="P36" s="1152"/>
      <c r="Q36" s="1152"/>
      <c r="R36" s="1152"/>
      <c r="S36" s="1152"/>
      <c r="T36" s="1152"/>
      <c r="U36" s="1152"/>
      <c r="V36" s="1152"/>
      <c r="W36" s="1152"/>
      <c r="X36" s="1152"/>
      <c r="Y36" s="1152"/>
      <c r="Z36" s="1152"/>
      <c r="AA36" s="1152"/>
      <c r="AB36" s="1152"/>
      <c r="AC36" s="1152"/>
      <c r="AD36" s="1152"/>
      <c r="AE36" s="1152"/>
      <c r="AF36" s="1152"/>
      <c r="AG36" s="1152"/>
      <c r="AH36" s="1152"/>
      <c r="AI36" s="1152"/>
      <c r="AJ36" s="1152"/>
      <c r="AK36" s="1152"/>
      <c r="AL36" s="1152"/>
      <c r="AM36" s="95"/>
    </row>
    <row r="37" spans="2:39">
      <c r="B37" s="2719"/>
      <c r="C37" s="2848"/>
      <c r="D37" s="2825" t="s">
        <v>70</v>
      </c>
      <c r="E37" s="1147" t="s">
        <v>298</v>
      </c>
      <c r="F37" s="96">
        <f t="shared" ref="F37:F38" si="17">SUMIF($H$9:$AL$9,"&lt;="&amp;$C$7,H37:AL37)</f>
        <v>0</v>
      </c>
      <c r="G37" s="1149"/>
      <c r="H37" s="1154">
        <f t="shared" ref="H37:AL37" si="18">+H35*H32/1000</f>
        <v>0</v>
      </c>
      <c r="I37" s="1154">
        <f t="shared" si="18"/>
        <v>0</v>
      </c>
      <c r="J37" s="1154">
        <f t="shared" si="18"/>
        <v>0</v>
      </c>
      <c r="K37" s="1154"/>
      <c r="L37" s="1154">
        <f t="shared" si="18"/>
        <v>0</v>
      </c>
      <c r="M37" s="1154">
        <f t="shared" si="18"/>
        <v>0</v>
      </c>
      <c r="N37" s="1154">
        <f t="shared" si="18"/>
        <v>0</v>
      </c>
      <c r="O37" s="1154">
        <f t="shared" si="18"/>
        <v>0</v>
      </c>
      <c r="P37" s="1154" t="s">
        <v>308</v>
      </c>
      <c r="Q37" s="1154">
        <f t="shared" si="18"/>
        <v>0</v>
      </c>
      <c r="R37" s="1154">
        <f t="shared" si="18"/>
        <v>0</v>
      </c>
      <c r="S37" s="1154">
        <f t="shared" si="18"/>
        <v>0</v>
      </c>
      <c r="T37" s="1154">
        <f t="shared" si="18"/>
        <v>0</v>
      </c>
      <c r="U37" s="1154">
        <f t="shared" si="18"/>
        <v>0</v>
      </c>
      <c r="V37" s="1154">
        <f t="shared" si="18"/>
        <v>0</v>
      </c>
      <c r="W37" s="1154">
        <f t="shared" si="18"/>
        <v>0</v>
      </c>
      <c r="X37" s="1154">
        <f t="shared" si="18"/>
        <v>0</v>
      </c>
      <c r="Y37" s="1154">
        <f t="shared" si="18"/>
        <v>0</v>
      </c>
      <c r="Z37" s="1154">
        <f t="shared" si="18"/>
        <v>0</v>
      </c>
      <c r="AA37" s="1154">
        <f t="shared" si="18"/>
        <v>0</v>
      </c>
      <c r="AB37" s="1154">
        <f t="shared" si="18"/>
        <v>0</v>
      </c>
      <c r="AC37" s="1154">
        <f t="shared" si="18"/>
        <v>0</v>
      </c>
      <c r="AD37" s="1154">
        <f t="shared" si="18"/>
        <v>0</v>
      </c>
      <c r="AE37" s="1154">
        <f t="shared" si="18"/>
        <v>0</v>
      </c>
      <c r="AF37" s="1154">
        <f t="shared" si="18"/>
        <v>0</v>
      </c>
      <c r="AG37" s="1154">
        <f t="shared" si="18"/>
        <v>0</v>
      </c>
      <c r="AH37" s="1154">
        <f t="shared" si="18"/>
        <v>0</v>
      </c>
      <c r="AI37" s="1154">
        <f t="shared" si="18"/>
        <v>0</v>
      </c>
      <c r="AJ37" s="1154">
        <f t="shared" si="18"/>
        <v>0</v>
      </c>
      <c r="AK37" s="1154">
        <f t="shared" si="18"/>
        <v>0</v>
      </c>
      <c r="AL37" s="1154">
        <f t="shared" si="18"/>
        <v>0</v>
      </c>
      <c r="AM37" s="97"/>
    </row>
    <row r="38" spans="2:39" ht="14.4" thickBot="1">
      <c r="B38" s="2720"/>
      <c r="C38" s="2849"/>
      <c r="D38" s="2851"/>
      <c r="E38" s="1049" t="s">
        <v>299</v>
      </c>
      <c r="F38" s="1004">
        <f t="shared" si="17"/>
        <v>0</v>
      </c>
      <c r="G38" s="1105">
        <f t="shared" ref="G38" si="19">IFERROR((F38-F37)/F37,0)</f>
        <v>0</v>
      </c>
      <c r="H38" s="1158">
        <v>0</v>
      </c>
      <c r="I38" s="1158">
        <f t="shared" ref="I38:AL38" si="20">+I36*I33/1000</f>
        <v>0</v>
      </c>
      <c r="J38" s="1158">
        <f t="shared" si="20"/>
        <v>0</v>
      </c>
      <c r="K38" s="1158">
        <f t="shared" si="20"/>
        <v>0</v>
      </c>
      <c r="L38" s="1158">
        <f t="shared" si="20"/>
        <v>0</v>
      </c>
      <c r="M38" s="1158">
        <f t="shared" si="20"/>
        <v>0</v>
      </c>
      <c r="N38" s="1158">
        <f t="shared" si="20"/>
        <v>0</v>
      </c>
      <c r="O38" s="1158">
        <f t="shared" si="20"/>
        <v>0</v>
      </c>
      <c r="P38" s="1158">
        <f t="shared" si="20"/>
        <v>0</v>
      </c>
      <c r="Q38" s="1158">
        <f t="shared" si="20"/>
        <v>0</v>
      </c>
      <c r="R38" s="1158">
        <f t="shared" si="20"/>
        <v>0</v>
      </c>
      <c r="S38" s="1158">
        <f t="shared" si="20"/>
        <v>0</v>
      </c>
      <c r="T38" s="1158">
        <f t="shared" si="20"/>
        <v>0</v>
      </c>
      <c r="U38" s="1158">
        <f t="shared" si="20"/>
        <v>0</v>
      </c>
      <c r="V38" s="1158">
        <f t="shared" si="20"/>
        <v>0</v>
      </c>
      <c r="W38" s="1158">
        <f t="shared" si="20"/>
        <v>0</v>
      </c>
      <c r="X38" s="1158">
        <f t="shared" si="20"/>
        <v>0</v>
      </c>
      <c r="Y38" s="1158">
        <f t="shared" si="20"/>
        <v>0</v>
      </c>
      <c r="Z38" s="1158">
        <f t="shared" si="20"/>
        <v>0</v>
      </c>
      <c r="AA38" s="1158">
        <f t="shared" si="20"/>
        <v>0</v>
      </c>
      <c r="AB38" s="1158">
        <f t="shared" si="20"/>
        <v>0</v>
      </c>
      <c r="AC38" s="1158">
        <f t="shared" si="20"/>
        <v>0</v>
      </c>
      <c r="AD38" s="1158">
        <f t="shared" si="20"/>
        <v>0</v>
      </c>
      <c r="AE38" s="1158">
        <f t="shared" si="20"/>
        <v>0</v>
      </c>
      <c r="AF38" s="1158">
        <f t="shared" si="20"/>
        <v>0</v>
      </c>
      <c r="AG38" s="1158">
        <f t="shared" si="20"/>
        <v>0</v>
      </c>
      <c r="AH38" s="1158">
        <f t="shared" si="20"/>
        <v>0</v>
      </c>
      <c r="AI38" s="1158">
        <f t="shared" si="20"/>
        <v>0</v>
      </c>
      <c r="AJ38" s="1158">
        <f t="shared" si="20"/>
        <v>0</v>
      </c>
      <c r="AK38" s="1158">
        <f t="shared" si="20"/>
        <v>0</v>
      </c>
      <c r="AL38" s="1158">
        <f t="shared" si="20"/>
        <v>0</v>
      </c>
      <c r="AM38" s="98"/>
    </row>
    <row r="39" spans="2:39" s="75" customFormat="1" ht="14.85" customHeight="1">
      <c r="B39" s="2718">
        <v>1</v>
      </c>
      <c r="C39" s="2847" t="str">
        <f>Stoping!C46</f>
        <v xml:space="preserve">4L_W26 STOPE </v>
      </c>
      <c r="D39" s="2836" t="s">
        <v>66</v>
      </c>
      <c r="E39" s="91" t="s">
        <v>294</v>
      </c>
      <c r="F39" s="146">
        <f t="shared" ref="F39" si="21">SUMIF($H$9:$AL$9,"&lt;="&amp;$C$7,H39:AL39)</f>
        <v>420</v>
      </c>
      <c r="G39" s="81"/>
      <c r="H39" s="147">
        <f>Stoping!H46</f>
        <v>70</v>
      </c>
      <c r="I39" s="147">
        <f>Stoping!I46</f>
        <v>70</v>
      </c>
      <c r="J39" s="147">
        <f>Stoping!J46</f>
        <v>70</v>
      </c>
      <c r="K39" s="148">
        <f>Stoping!K46</f>
        <v>70</v>
      </c>
      <c r="L39" s="148">
        <f>Stoping!L46</f>
        <v>70</v>
      </c>
      <c r="M39" s="148">
        <f>Stoping!M46</f>
        <v>70</v>
      </c>
      <c r="N39" s="148">
        <f>Stoping!N46</f>
        <v>70</v>
      </c>
      <c r="O39" s="148">
        <f>Stoping!O46</f>
        <v>70</v>
      </c>
      <c r="P39" s="152">
        <f>Stoping!P46</f>
        <v>70</v>
      </c>
      <c r="Q39" s="148">
        <f>Stoping!Q46</f>
        <v>70</v>
      </c>
      <c r="R39" s="148">
        <f>Stoping!R46</f>
        <v>0</v>
      </c>
      <c r="S39" s="148">
        <f>Stoping!S46</f>
        <v>0</v>
      </c>
      <c r="T39" s="148">
        <f>Stoping!T46</f>
        <v>70</v>
      </c>
      <c r="U39" s="148">
        <f>Stoping!U46</f>
        <v>70</v>
      </c>
      <c r="V39" s="148">
        <f>Stoping!V46</f>
        <v>70</v>
      </c>
      <c r="W39" s="148">
        <f>Stoping!W46</f>
        <v>70</v>
      </c>
      <c r="X39" s="148">
        <f>Stoping!X46</f>
        <v>70</v>
      </c>
      <c r="Y39" s="148">
        <f>Stoping!Y46</f>
        <v>70</v>
      </c>
      <c r="Z39" s="148">
        <f>Stoping!Z46</f>
        <v>70</v>
      </c>
      <c r="AA39" s="148">
        <f>Stoping!AA46</f>
        <v>70</v>
      </c>
      <c r="AB39" s="148">
        <f>Stoping!AB46</f>
        <v>70</v>
      </c>
      <c r="AC39" s="148">
        <f>Stoping!AC46</f>
        <v>70</v>
      </c>
      <c r="AD39" s="148">
        <f>Stoping!AD46</f>
        <v>70</v>
      </c>
      <c r="AE39" s="148">
        <f>Stoping!AE46</f>
        <v>70</v>
      </c>
      <c r="AF39" s="148">
        <f>Stoping!AF46</f>
        <v>70</v>
      </c>
      <c r="AG39" s="148">
        <f>Stoping!AG46</f>
        <v>70</v>
      </c>
      <c r="AH39" s="148">
        <f>Stoping!AH46</f>
        <v>70</v>
      </c>
      <c r="AI39" s="148">
        <f>Stoping!AI46</f>
        <v>70</v>
      </c>
      <c r="AJ39" s="148">
        <f>Stoping!AJ46</f>
        <v>70</v>
      </c>
      <c r="AK39" s="148">
        <f>Stoping!AK46</f>
        <v>70</v>
      </c>
      <c r="AL39" s="149">
        <f>Stoping!AL46</f>
        <v>70</v>
      </c>
      <c r="AM39" s="94"/>
    </row>
    <row r="40" spans="2:39">
      <c r="B40" s="2719"/>
      <c r="C40" s="2848"/>
      <c r="D40" s="2835"/>
      <c r="E40" s="1141" t="s">
        <v>295</v>
      </c>
      <c r="F40" s="1095"/>
      <c r="G40" s="1142">
        <f t="shared" ref="G40" si="22">IFERROR((F40-F39)/F39,0)</f>
        <v>-1</v>
      </c>
      <c r="H40" s="1143">
        <v>216</v>
      </c>
      <c r="I40" s="1095">
        <v>228</v>
      </c>
      <c r="J40" s="1095">
        <v>234</v>
      </c>
      <c r="K40" s="1095">
        <f>192+36</f>
        <v>228</v>
      </c>
      <c r="L40" s="1095">
        <f>198</f>
        <v>198</v>
      </c>
      <c r="M40" s="1095">
        <f>60+180</f>
        <v>240</v>
      </c>
      <c r="N40" s="1095"/>
      <c r="O40" s="1095"/>
      <c r="P40" s="1095"/>
      <c r="Q40" s="1095"/>
      <c r="R40" s="1095"/>
      <c r="S40" s="1095"/>
      <c r="T40" s="1095"/>
      <c r="U40" s="1095"/>
      <c r="V40" s="1095"/>
      <c r="W40" s="1095"/>
      <c r="X40" s="1095"/>
      <c r="Y40" s="1095"/>
      <c r="Z40" s="1095"/>
      <c r="AA40" s="1095"/>
      <c r="AB40" s="1095"/>
      <c r="AC40" s="1095"/>
      <c r="AD40" s="1095"/>
      <c r="AE40" s="1095"/>
      <c r="AF40" s="1095"/>
      <c r="AG40" s="1095"/>
      <c r="AH40" s="1095"/>
      <c r="AI40" s="1095"/>
      <c r="AJ40" s="1095"/>
      <c r="AK40" s="1095"/>
      <c r="AL40" s="1095"/>
      <c r="AM40" s="95"/>
    </row>
    <row r="41" spans="2:39">
      <c r="B41" s="2719"/>
      <c r="C41" s="2848"/>
      <c r="D41" s="2835"/>
      <c r="E41" s="1159" t="s">
        <v>199</v>
      </c>
      <c r="F41" s="1145"/>
      <c r="G41" s="1146"/>
      <c r="H41" s="151"/>
      <c r="I41" s="151"/>
      <c r="J41" s="151"/>
      <c r="K41" s="151"/>
      <c r="L41" s="151"/>
      <c r="M41" s="151"/>
      <c r="N41" s="151"/>
      <c r="O41" s="151"/>
      <c r="P41" s="170"/>
      <c r="Q41" s="151"/>
      <c r="R41" s="151"/>
      <c r="S41" s="151"/>
      <c r="T41" s="151"/>
      <c r="U41" s="151"/>
      <c r="V41" s="151"/>
      <c r="W41" s="151"/>
      <c r="X41" s="151"/>
      <c r="Y41" s="151"/>
      <c r="Z41" s="151"/>
      <c r="AA41" s="151"/>
      <c r="AB41" s="151"/>
      <c r="AC41" s="151"/>
      <c r="AD41" s="151"/>
      <c r="AE41" s="151"/>
      <c r="AF41" s="151"/>
      <c r="AG41" s="151"/>
      <c r="AH41" s="151"/>
      <c r="AI41" s="151"/>
      <c r="AJ41" s="151"/>
      <c r="AK41" s="151"/>
      <c r="AL41" s="171"/>
      <c r="AM41" s="95"/>
    </row>
    <row r="42" spans="2:39">
      <c r="B42" s="2719"/>
      <c r="C42" s="2848"/>
      <c r="D42" s="2825" t="s">
        <v>68</v>
      </c>
      <c r="E42" s="1147" t="s">
        <v>296</v>
      </c>
      <c r="F42" s="1148">
        <f t="shared" ref="F42:F43" si="23">IFERROR(F44*1000/F39,0)</f>
        <v>1.9462616822429903</v>
      </c>
      <c r="G42" s="1149"/>
      <c r="H42" s="1150">
        <f>Breaking.!D48</f>
        <v>1.9462616822429906</v>
      </c>
      <c r="I42" s="1150">
        <f>Breaking.!E48</f>
        <v>1.9462616822429906</v>
      </c>
      <c r="J42" s="1150">
        <f>Breaking.!F48</f>
        <v>1.9462616822429906</v>
      </c>
      <c r="K42" s="1150">
        <f>Breaking.!G48</f>
        <v>1.9462616822429906</v>
      </c>
      <c r="L42" s="1150">
        <f>Breaking.!H48</f>
        <v>1.9462616822429906</v>
      </c>
      <c r="M42" s="1150">
        <f>Breaking.!I48</f>
        <v>1.9462616822429906</v>
      </c>
      <c r="N42" s="1150">
        <f>Breaking.!J48</f>
        <v>1.9462616822429906</v>
      </c>
      <c r="O42" s="1150">
        <f>Breaking.!K48</f>
        <v>1.9462616822429906</v>
      </c>
      <c r="P42" s="1150">
        <f>Breaking.!L48</f>
        <v>1.9462616822429906</v>
      </c>
      <c r="Q42" s="1150">
        <f>Breaking.!M48</f>
        <v>1.9462616822429906</v>
      </c>
      <c r="R42" s="1150">
        <f>Breaking.!N48</f>
        <v>0</v>
      </c>
      <c r="S42" s="1150">
        <f>Breaking.!O48</f>
        <v>0</v>
      </c>
      <c r="T42" s="1150">
        <f>Breaking.!P48</f>
        <v>1.9462616822429906</v>
      </c>
      <c r="U42" s="1150">
        <f>Breaking.!Q48</f>
        <v>1.9462616822429906</v>
      </c>
      <c r="V42" s="1150">
        <f>Breaking.!R48</f>
        <v>1.9462616822429906</v>
      </c>
      <c r="W42" s="1150">
        <f>Breaking.!S48</f>
        <v>1.9462616822429906</v>
      </c>
      <c r="X42" s="1150">
        <f>Breaking.!T48</f>
        <v>1.9462616822429906</v>
      </c>
      <c r="Y42" s="1150">
        <f>Breaking.!U48</f>
        <v>1.9462616822429906</v>
      </c>
      <c r="Z42" s="1150">
        <f>Breaking.!V48</f>
        <v>1.9462616822429906</v>
      </c>
      <c r="AA42" s="1150">
        <f>Breaking.!W48</f>
        <v>1.9462616822429906</v>
      </c>
      <c r="AB42" s="1150">
        <f>Breaking.!X48</f>
        <v>1.9462616822429906</v>
      </c>
      <c r="AC42" s="1150">
        <f>Breaking.!Y48</f>
        <v>1.9462616822429906</v>
      </c>
      <c r="AD42" s="1150">
        <f>Breaking.!Z48</f>
        <v>1.9462616822429906</v>
      </c>
      <c r="AE42" s="1150">
        <f>Breaking.!AA48</f>
        <v>1.9462616822429906</v>
      </c>
      <c r="AF42" s="1150">
        <f>Breaking.!AB48</f>
        <v>1.9462616822429906</v>
      </c>
      <c r="AG42" s="1150">
        <f>Breaking.!AC48</f>
        <v>1.9462616822429906</v>
      </c>
      <c r="AH42" s="1150">
        <f>Breaking.!AD48</f>
        <v>1.9462616822429906</v>
      </c>
      <c r="AI42" s="1150">
        <f>Breaking.!AE48</f>
        <v>1.9462616822429906</v>
      </c>
      <c r="AJ42" s="1150">
        <f>Breaking.!AF48</f>
        <v>1.9462616822429906</v>
      </c>
      <c r="AK42" s="1150">
        <f>Breaking.!AG48</f>
        <v>1.9462616822429906</v>
      </c>
      <c r="AL42" s="1150">
        <f>Breaking.!AH48</f>
        <v>1.9462616822429906</v>
      </c>
      <c r="AM42" s="95"/>
    </row>
    <row r="43" spans="2:39">
      <c r="B43" s="2719"/>
      <c r="C43" s="2848"/>
      <c r="D43" s="2850"/>
      <c r="E43" s="1151" t="s">
        <v>297</v>
      </c>
      <c r="F43" s="1152">
        <f t="shared" si="23"/>
        <v>0</v>
      </c>
      <c r="G43" s="1142">
        <f t="shared" ref="G43" si="24">IFERROR((F43-F42)/F42,0)</f>
        <v>-1</v>
      </c>
      <c r="H43" s="1153">
        <v>1.94</v>
      </c>
      <c r="I43" s="1152">
        <v>1.47</v>
      </c>
      <c r="J43" s="1152">
        <v>1.97</v>
      </c>
      <c r="K43" s="1152">
        <v>2.82</v>
      </c>
      <c r="L43" s="1152">
        <v>1.36</v>
      </c>
      <c r="M43" s="1152"/>
      <c r="N43" s="1152"/>
      <c r="O43" s="1152"/>
      <c r="P43" s="1152"/>
      <c r="Q43" s="1152"/>
      <c r="R43" s="1152"/>
      <c r="S43" s="1152"/>
      <c r="T43" s="1152"/>
      <c r="U43" s="1152"/>
      <c r="V43" s="1152"/>
      <c r="W43" s="1152"/>
      <c r="X43" s="1152"/>
      <c r="Y43" s="1152"/>
      <c r="Z43" s="1152"/>
      <c r="AA43" s="1152"/>
      <c r="AB43" s="1152"/>
      <c r="AC43" s="1152"/>
      <c r="AD43" s="1152"/>
      <c r="AE43" s="1152"/>
      <c r="AF43" s="1152"/>
      <c r="AG43" s="1152"/>
      <c r="AH43" s="1152"/>
      <c r="AI43" s="1152"/>
      <c r="AJ43" s="1152"/>
      <c r="AK43" s="1152"/>
      <c r="AL43" s="1152"/>
      <c r="AM43" s="95"/>
    </row>
    <row r="44" spans="2:39">
      <c r="B44" s="2719"/>
      <c r="C44" s="2848"/>
      <c r="D44" s="2825" t="s">
        <v>70</v>
      </c>
      <c r="E44" s="1147" t="s">
        <v>298</v>
      </c>
      <c r="F44" s="96">
        <f t="shared" ref="F44:F46" si="25">SUMIF($H$9:$AL$9,"&lt;="&amp;$C$7,H44:AL44)</f>
        <v>0.81742990654205594</v>
      </c>
      <c r="G44" s="1149"/>
      <c r="H44" s="1154">
        <f t="shared" ref="H44:AL44" si="26">+H42*H39/1000</f>
        <v>0.13623831775700931</v>
      </c>
      <c r="I44" s="1154">
        <f t="shared" si="26"/>
        <v>0.13623831775700931</v>
      </c>
      <c r="J44" s="1154">
        <f t="shared" si="26"/>
        <v>0.13623831775700931</v>
      </c>
      <c r="K44" s="1154">
        <f t="shared" si="26"/>
        <v>0.13623831775700931</v>
      </c>
      <c r="L44" s="1154">
        <f t="shared" si="26"/>
        <v>0.13623831775700931</v>
      </c>
      <c r="M44" s="1154">
        <f t="shared" si="26"/>
        <v>0.13623831775700931</v>
      </c>
      <c r="N44" s="1154">
        <f t="shared" si="26"/>
        <v>0.13623831775700931</v>
      </c>
      <c r="O44" s="1154">
        <f t="shared" si="26"/>
        <v>0.13623831775700931</v>
      </c>
      <c r="P44" s="1154">
        <f t="shared" si="26"/>
        <v>0.13623831775700931</v>
      </c>
      <c r="Q44" s="1154">
        <f t="shared" si="26"/>
        <v>0.13623831775700931</v>
      </c>
      <c r="R44" s="1154">
        <f t="shared" si="26"/>
        <v>0</v>
      </c>
      <c r="S44" s="1154">
        <f t="shared" si="26"/>
        <v>0</v>
      </c>
      <c r="T44" s="1154">
        <f t="shared" si="26"/>
        <v>0.13623831775700931</v>
      </c>
      <c r="U44" s="1154">
        <f t="shared" si="26"/>
        <v>0.13623831775700931</v>
      </c>
      <c r="V44" s="1154">
        <f t="shared" si="26"/>
        <v>0.13623831775700931</v>
      </c>
      <c r="W44" s="1154">
        <f t="shared" si="26"/>
        <v>0.13623831775700931</v>
      </c>
      <c r="X44" s="1154">
        <f t="shared" si="26"/>
        <v>0.13623831775700931</v>
      </c>
      <c r="Y44" s="1154">
        <f t="shared" si="26"/>
        <v>0.13623831775700931</v>
      </c>
      <c r="Z44" s="1154">
        <f t="shared" si="26"/>
        <v>0.13623831775700931</v>
      </c>
      <c r="AA44" s="1154">
        <f t="shared" si="26"/>
        <v>0.13623831775700931</v>
      </c>
      <c r="AB44" s="1154">
        <f t="shared" si="26"/>
        <v>0.13623831775700931</v>
      </c>
      <c r="AC44" s="1154">
        <f t="shared" si="26"/>
        <v>0.13623831775700931</v>
      </c>
      <c r="AD44" s="1154">
        <f t="shared" si="26"/>
        <v>0.13623831775700931</v>
      </c>
      <c r="AE44" s="1154">
        <f t="shared" si="26"/>
        <v>0.13623831775700931</v>
      </c>
      <c r="AF44" s="1154">
        <f t="shared" si="26"/>
        <v>0.13623831775700931</v>
      </c>
      <c r="AG44" s="1154">
        <f t="shared" si="26"/>
        <v>0.13623831775700931</v>
      </c>
      <c r="AH44" s="1154">
        <f t="shared" si="26"/>
        <v>0.13623831775700931</v>
      </c>
      <c r="AI44" s="1154">
        <f t="shared" si="26"/>
        <v>0.13623831775700931</v>
      </c>
      <c r="AJ44" s="1154">
        <f t="shared" si="26"/>
        <v>0.13623831775700931</v>
      </c>
      <c r="AK44" s="1154">
        <f t="shared" si="26"/>
        <v>0.13623831775700931</v>
      </c>
      <c r="AL44" s="1154">
        <f t="shared" si="26"/>
        <v>0.13623831775700931</v>
      </c>
      <c r="AM44" s="97"/>
    </row>
    <row r="45" spans="2:39" ht="14.4" thickBot="1">
      <c r="B45" s="2720"/>
      <c r="C45" s="2849"/>
      <c r="D45" s="2851"/>
      <c r="E45" s="1049" t="s">
        <v>299</v>
      </c>
      <c r="F45" s="1004">
        <f t="shared" si="25"/>
        <v>2.1274199999999999</v>
      </c>
      <c r="G45" s="1105">
        <f t="shared" ref="G45" si="27">IFERROR((F45-F44)/F44,0)</f>
        <v>1.6025717715657695</v>
      </c>
      <c r="H45" s="1158">
        <f t="shared" ref="H45" si="28">+H43*H40/1000</f>
        <v>0.41903999999999997</v>
      </c>
      <c r="I45" s="1158">
        <f t="shared" ref="I45:AL45" si="29">+I43*I40/1000</f>
        <v>0.33515999999999996</v>
      </c>
      <c r="J45" s="1158">
        <f t="shared" si="29"/>
        <v>0.46098</v>
      </c>
      <c r="K45" s="1158">
        <f t="shared" si="29"/>
        <v>0.64295999999999998</v>
      </c>
      <c r="L45" s="1158">
        <f t="shared" si="29"/>
        <v>0.26928000000000002</v>
      </c>
      <c r="M45" s="1158">
        <f t="shared" si="29"/>
        <v>0</v>
      </c>
      <c r="N45" s="1158">
        <f t="shared" si="29"/>
        <v>0</v>
      </c>
      <c r="O45" s="1158">
        <f t="shared" si="29"/>
        <v>0</v>
      </c>
      <c r="P45" s="1158">
        <f t="shared" si="29"/>
        <v>0</v>
      </c>
      <c r="Q45" s="1158">
        <f t="shared" si="29"/>
        <v>0</v>
      </c>
      <c r="R45" s="1158">
        <f t="shared" si="29"/>
        <v>0</v>
      </c>
      <c r="S45" s="1158">
        <f t="shared" si="29"/>
        <v>0</v>
      </c>
      <c r="T45" s="1158">
        <f t="shared" si="29"/>
        <v>0</v>
      </c>
      <c r="U45" s="1158">
        <f t="shared" si="29"/>
        <v>0</v>
      </c>
      <c r="V45" s="1158">
        <f t="shared" si="29"/>
        <v>0</v>
      </c>
      <c r="W45" s="1158">
        <f t="shared" si="29"/>
        <v>0</v>
      </c>
      <c r="X45" s="1158">
        <f t="shared" si="29"/>
        <v>0</v>
      </c>
      <c r="Y45" s="1158">
        <f t="shared" si="29"/>
        <v>0</v>
      </c>
      <c r="Z45" s="1158">
        <f t="shared" si="29"/>
        <v>0</v>
      </c>
      <c r="AA45" s="1158">
        <f t="shared" si="29"/>
        <v>0</v>
      </c>
      <c r="AB45" s="1158">
        <f t="shared" si="29"/>
        <v>0</v>
      </c>
      <c r="AC45" s="1158">
        <f t="shared" si="29"/>
        <v>0</v>
      </c>
      <c r="AD45" s="1158">
        <f t="shared" si="29"/>
        <v>0</v>
      </c>
      <c r="AE45" s="1158">
        <f t="shared" si="29"/>
        <v>0</v>
      </c>
      <c r="AF45" s="1158">
        <f t="shared" si="29"/>
        <v>0</v>
      </c>
      <c r="AG45" s="1158">
        <f t="shared" si="29"/>
        <v>0</v>
      </c>
      <c r="AH45" s="1158">
        <f t="shared" si="29"/>
        <v>0</v>
      </c>
      <c r="AI45" s="1158">
        <f t="shared" si="29"/>
        <v>0</v>
      </c>
      <c r="AJ45" s="1158">
        <f t="shared" si="29"/>
        <v>0</v>
      </c>
      <c r="AK45" s="1158">
        <f t="shared" si="29"/>
        <v>0</v>
      </c>
      <c r="AL45" s="1158">
        <f t="shared" si="29"/>
        <v>0</v>
      </c>
      <c r="AM45" s="98"/>
    </row>
    <row r="46" spans="2:39" s="75" customFormat="1" ht="14.85" customHeight="1">
      <c r="B46" s="2718">
        <v>1</v>
      </c>
      <c r="C46" s="2847" t="str">
        <f>Stoping!C25</f>
        <v>3L_W23A STOPE</v>
      </c>
      <c r="D46" s="2836" t="s">
        <v>66</v>
      </c>
      <c r="E46" s="91" t="s">
        <v>294</v>
      </c>
      <c r="F46" s="146">
        <f t="shared" si="25"/>
        <v>210</v>
      </c>
      <c r="G46" s="81"/>
      <c r="H46" s="147">
        <f>Stoping!H25</f>
        <v>35</v>
      </c>
      <c r="I46" s="147">
        <f>Stoping!I25</f>
        <v>35</v>
      </c>
      <c r="J46" s="147">
        <f>Stoping!J25</f>
        <v>35</v>
      </c>
      <c r="K46" s="147">
        <f>Stoping!K25</f>
        <v>35</v>
      </c>
      <c r="L46" s="147">
        <f>Stoping!L25</f>
        <v>35</v>
      </c>
      <c r="M46" s="147">
        <f>Stoping!M25</f>
        <v>35</v>
      </c>
      <c r="N46" s="147">
        <f>Stoping!N25</f>
        <v>35</v>
      </c>
      <c r="O46" s="147">
        <f>Stoping!O25</f>
        <v>35</v>
      </c>
      <c r="P46" s="147">
        <f>Stoping!P25</f>
        <v>35</v>
      </c>
      <c r="Q46" s="147">
        <f>Stoping!Q25</f>
        <v>35</v>
      </c>
      <c r="R46" s="147">
        <f>Stoping!R25</f>
        <v>0</v>
      </c>
      <c r="S46" s="147">
        <f>Stoping!S25</f>
        <v>0</v>
      </c>
      <c r="T46" s="147">
        <f>Stoping!T25</f>
        <v>35</v>
      </c>
      <c r="U46" s="147">
        <f>Stoping!U25</f>
        <v>35</v>
      </c>
      <c r="V46" s="147">
        <f>Stoping!V25</f>
        <v>0</v>
      </c>
      <c r="W46" s="147">
        <f>Stoping!W25</f>
        <v>0</v>
      </c>
      <c r="X46" s="147">
        <f>Stoping!X25</f>
        <v>0</v>
      </c>
      <c r="Y46" s="147">
        <f>Stoping!Y25</f>
        <v>0</v>
      </c>
      <c r="Z46" s="147">
        <f>Stoping!Z25</f>
        <v>0</v>
      </c>
      <c r="AA46" s="147">
        <f>Stoping!AA25</f>
        <v>0</v>
      </c>
      <c r="AB46" s="147">
        <f>Stoping!AB25</f>
        <v>0</v>
      </c>
      <c r="AC46" s="147">
        <f>Stoping!AC25</f>
        <v>140</v>
      </c>
      <c r="AD46" s="147">
        <f>Stoping!AD25</f>
        <v>140</v>
      </c>
      <c r="AE46" s="147">
        <f>Stoping!AE25</f>
        <v>140</v>
      </c>
      <c r="AF46" s="147">
        <f>Stoping!AF25</f>
        <v>140</v>
      </c>
      <c r="AG46" s="147">
        <f>Stoping!AG25</f>
        <v>140</v>
      </c>
      <c r="AH46" s="147">
        <f>Stoping!AH25</f>
        <v>140</v>
      </c>
      <c r="AI46" s="147">
        <f>Stoping!AI25</f>
        <v>140</v>
      </c>
      <c r="AJ46" s="147">
        <f>Stoping!AJ25</f>
        <v>140</v>
      </c>
      <c r="AK46" s="147">
        <f>Stoping!AK25</f>
        <v>140</v>
      </c>
      <c r="AL46" s="147">
        <f>Stoping!AL25</f>
        <v>140</v>
      </c>
      <c r="AM46" s="94"/>
    </row>
    <row r="47" spans="2:39">
      <c r="B47" s="2719"/>
      <c r="C47" s="2848"/>
      <c r="D47" s="2835"/>
      <c r="E47" s="1141" t="s">
        <v>295</v>
      </c>
      <c r="F47" s="1095"/>
      <c r="G47" s="1142">
        <f t="shared" ref="G47" si="30">IFERROR((F47-F46)/F46,0)</f>
        <v>-1</v>
      </c>
      <c r="H47" s="1143"/>
      <c r="I47" s="1095"/>
      <c r="J47" s="1095"/>
      <c r="K47" s="1095"/>
      <c r="L47" s="1095"/>
      <c r="M47" s="1095"/>
      <c r="N47" s="1095"/>
      <c r="O47" s="1095"/>
      <c r="P47" s="1095"/>
      <c r="Q47" s="1095"/>
      <c r="R47" s="1095"/>
      <c r="S47" s="1095"/>
      <c r="T47" s="1095"/>
      <c r="U47" s="1095"/>
      <c r="V47" s="1095"/>
      <c r="W47" s="1095"/>
      <c r="X47" s="1095"/>
      <c r="Y47" s="1095"/>
      <c r="Z47" s="1095"/>
      <c r="AA47" s="1095"/>
      <c r="AB47" s="1095"/>
      <c r="AC47" s="1095"/>
      <c r="AD47" s="1095"/>
      <c r="AE47" s="1095"/>
      <c r="AF47" s="1095"/>
      <c r="AG47" s="1095"/>
      <c r="AH47" s="1095"/>
      <c r="AI47" s="1095"/>
      <c r="AJ47" s="1095"/>
      <c r="AK47" s="1095"/>
      <c r="AL47" s="1095"/>
      <c r="AM47" s="95"/>
    </row>
    <row r="48" spans="2:39">
      <c r="B48" s="2719"/>
      <c r="C48" s="2848"/>
      <c r="D48" s="2835"/>
      <c r="E48" s="1159" t="s">
        <v>199</v>
      </c>
      <c r="F48" s="1145"/>
      <c r="G48" s="1146"/>
      <c r="H48" s="151"/>
      <c r="I48" s="151"/>
      <c r="J48" s="151"/>
      <c r="K48" s="151"/>
      <c r="L48" s="151"/>
      <c r="M48" s="151"/>
      <c r="N48" s="151"/>
      <c r="O48" s="151"/>
      <c r="P48" s="170"/>
      <c r="Q48" s="151"/>
      <c r="R48" s="151"/>
      <c r="S48" s="151"/>
      <c r="T48" s="151"/>
      <c r="U48" s="151"/>
      <c r="V48" s="151"/>
      <c r="W48" s="151"/>
      <c r="X48" s="151"/>
      <c r="Y48" s="151" t="s">
        <v>309</v>
      </c>
      <c r="Z48" s="151"/>
      <c r="AA48" s="151"/>
      <c r="AB48" s="151"/>
      <c r="AC48" s="151"/>
      <c r="AD48" s="151"/>
      <c r="AE48" s="151"/>
      <c r="AF48" s="151"/>
      <c r="AG48" s="151"/>
      <c r="AH48" s="151"/>
      <c r="AI48" s="151"/>
      <c r="AJ48" s="151"/>
      <c r="AK48" s="151"/>
      <c r="AL48" s="171"/>
      <c r="AM48" s="95"/>
    </row>
    <row r="49" spans="2:39">
      <c r="B49" s="2719"/>
      <c r="C49" s="2848"/>
      <c r="D49" s="2825" t="s">
        <v>68</v>
      </c>
      <c r="E49" s="1147" t="s">
        <v>296</v>
      </c>
      <c r="F49" s="1148">
        <f t="shared" ref="F49" si="31">IFERROR(F51*1000/F46,0)</f>
        <v>1.9859813084112146</v>
      </c>
      <c r="G49" s="1149"/>
      <c r="H49" s="1150">
        <f>Breaking.!D14</f>
        <v>1.9859813084112148</v>
      </c>
      <c r="I49" s="1150">
        <f>Breaking.!E14</f>
        <v>1.9859813084112148</v>
      </c>
      <c r="J49" s="1150">
        <f>Breaking.!F14</f>
        <v>1.9859813084112148</v>
      </c>
      <c r="K49" s="1150">
        <f>Breaking.!G14</f>
        <v>1.9859813084112148</v>
      </c>
      <c r="L49" s="1150">
        <f>Breaking.!H14</f>
        <v>1.9859813084112148</v>
      </c>
      <c r="M49" s="1150">
        <f>Breaking.!I14</f>
        <v>1.9859813084112148</v>
      </c>
      <c r="N49" s="1150">
        <f>Breaking.!J14</f>
        <v>1.9859813084112148</v>
      </c>
      <c r="O49" s="1150">
        <f>Breaking.!K14</f>
        <v>1.9859813084112148</v>
      </c>
      <c r="P49" s="1150">
        <f>Breaking.!L14</f>
        <v>1.9859813084112148</v>
      </c>
      <c r="Q49" s="1150">
        <f>Breaking.!M14</f>
        <v>1.9859813084112148</v>
      </c>
      <c r="R49" s="1150">
        <f>Breaking.!N14</f>
        <v>0</v>
      </c>
      <c r="S49" s="1150">
        <f>Breaking.!O14</f>
        <v>0</v>
      </c>
      <c r="T49" s="1150">
        <f>Breaking.!P14</f>
        <v>1.9859813084112148</v>
      </c>
      <c r="U49" s="1150">
        <f>Breaking.!Q14</f>
        <v>1.9859813084112148</v>
      </c>
      <c r="V49" s="1150">
        <f>Breaking.!R14</f>
        <v>1.9859813084112148</v>
      </c>
      <c r="W49" s="1150">
        <f>Breaking.!S14</f>
        <v>1.9859813084112148</v>
      </c>
      <c r="X49" s="1150">
        <f>Breaking.!T14</f>
        <v>1.9859813084112148</v>
      </c>
      <c r="Y49" s="1150">
        <f>Breaking.!U14</f>
        <v>1.9859813084112148</v>
      </c>
      <c r="Z49" s="1150">
        <f>Breaking.!V14</f>
        <v>1.9859813084112148</v>
      </c>
      <c r="AA49" s="1150">
        <f>Breaking.!W14</f>
        <v>1.9859813084112148</v>
      </c>
      <c r="AB49" s="1150">
        <f>Breaking.!X14</f>
        <v>1.9859813084112148</v>
      </c>
      <c r="AC49" s="1150">
        <f>Breaking.!Y14</f>
        <v>1.9859813084112148</v>
      </c>
      <c r="AD49" s="1150">
        <f>Breaking.!Z14</f>
        <v>1.9859813084112148</v>
      </c>
      <c r="AE49" s="1150">
        <f>Breaking.!AA14</f>
        <v>1.9859813084112148</v>
      </c>
      <c r="AF49" s="1150">
        <f>Breaking.!AB14</f>
        <v>1.9859813084112148</v>
      </c>
      <c r="AG49" s="1150">
        <f>Breaking.!AC14</f>
        <v>1.9859813084112148</v>
      </c>
      <c r="AH49" s="1150">
        <f>Breaking.!AD14</f>
        <v>1.9859813084112148</v>
      </c>
      <c r="AI49" s="1150">
        <f>Breaking.!AE14</f>
        <v>1.9859813084112148</v>
      </c>
      <c r="AJ49" s="1150">
        <f>Breaking.!AF14</f>
        <v>1.9859813084112148</v>
      </c>
      <c r="AK49" s="1150">
        <f>Breaking.!AG14</f>
        <v>1.9859813084112148</v>
      </c>
      <c r="AL49" s="1150">
        <f>Breaking.!AH14</f>
        <v>1.9859813084112148</v>
      </c>
      <c r="AM49" s="95"/>
    </row>
    <row r="50" spans="2:39">
      <c r="B50" s="2719"/>
      <c r="C50" s="2848"/>
      <c r="D50" s="2850"/>
      <c r="E50" s="1151" t="s">
        <v>297</v>
      </c>
      <c r="F50" s="1152">
        <f>IFERROR(F52*1000/F47,0)</f>
        <v>0</v>
      </c>
      <c r="G50" s="1142">
        <f t="shared" ref="G50" si="32">IFERROR((F50-F49)/F49,0)</f>
        <v>-1</v>
      </c>
      <c r="H50" s="1153"/>
      <c r="I50" s="1152"/>
      <c r="J50" s="1152"/>
      <c r="K50" s="1152"/>
      <c r="L50" s="1152"/>
      <c r="M50" s="1152"/>
      <c r="N50" s="1152"/>
      <c r="O50" s="1152"/>
      <c r="P50" s="1152"/>
      <c r="Q50" s="1152"/>
      <c r="R50" s="1152"/>
      <c r="S50" s="1152"/>
      <c r="T50" s="1152"/>
      <c r="U50" s="1152"/>
      <c r="V50" s="1152"/>
      <c r="W50" s="1152"/>
      <c r="X50" s="1152"/>
      <c r="Y50" s="1152"/>
      <c r="Z50" s="1152"/>
      <c r="AA50" s="1152"/>
      <c r="AB50" s="1152"/>
      <c r="AC50" s="1152"/>
      <c r="AD50" s="1152"/>
      <c r="AE50" s="1152"/>
      <c r="AF50" s="1152"/>
      <c r="AG50" s="1152"/>
      <c r="AH50" s="1152"/>
      <c r="AI50" s="1152"/>
      <c r="AJ50" s="1152"/>
      <c r="AK50" s="1152"/>
      <c r="AL50" s="1152"/>
      <c r="AM50" s="95"/>
    </row>
    <row r="51" spans="2:39">
      <c r="B51" s="2719"/>
      <c r="C51" s="2848"/>
      <c r="D51" s="2825" t="s">
        <v>70</v>
      </c>
      <c r="E51" s="1147" t="s">
        <v>298</v>
      </c>
      <c r="F51" s="96">
        <f t="shared" ref="F51:F54" si="33">SUMIF($H$9:$AL$9,"&lt;="&amp;$C$7,H51:AL51)</f>
        <v>0.41705607476635503</v>
      </c>
      <c r="G51" s="1149"/>
      <c r="H51" s="1154">
        <f t="shared" ref="H51:AL51" si="34">+H49*H46/1000</f>
        <v>6.950934579439251E-2</v>
      </c>
      <c r="I51" s="1154">
        <f t="shared" si="34"/>
        <v>6.950934579439251E-2</v>
      </c>
      <c r="J51" s="1154">
        <f t="shared" si="34"/>
        <v>6.950934579439251E-2</v>
      </c>
      <c r="K51" s="1154">
        <f t="shared" si="34"/>
        <v>6.950934579439251E-2</v>
      </c>
      <c r="L51" s="1154">
        <f t="shared" si="34"/>
        <v>6.950934579439251E-2</v>
      </c>
      <c r="M51" s="1154">
        <f t="shared" si="34"/>
        <v>6.950934579439251E-2</v>
      </c>
      <c r="N51" s="1154">
        <f t="shared" si="34"/>
        <v>6.950934579439251E-2</v>
      </c>
      <c r="O51" s="1154">
        <f t="shared" si="34"/>
        <v>6.950934579439251E-2</v>
      </c>
      <c r="P51" s="1154">
        <f t="shared" si="34"/>
        <v>6.950934579439251E-2</v>
      </c>
      <c r="Q51" s="1154">
        <f t="shared" si="34"/>
        <v>6.950934579439251E-2</v>
      </c>
      <c r="R51" s="1154">
        <f t="shared" si="34"/>
        <v>0</v>
      </c>
      <c r="S51" s="1154">
        <f t="shared" si="34"/>
        <v>0</v>
      </c>
      <c r="T51" s="1154">
        <f t="shared" si="34"/>
        <v>6.950934579439251E-2</v>
      </c>
      <c r="U51" s="1154">
        <f t="shared" si="34"/>
        <v>6.950934579439251E-2</v>
      </c>
      <c r="V51" s="1154">
        <f t="shared" si="34"/>
        <v>0</v>
      </c>
      <c r="W51" s="1154">
        <f t="shared" si="34"/>
        <v>0</v>
      </c>
      <c r="X51" s="1154">
        <f t="shared" si="34"/>
        <v>0</v>
      </c>
      <c r="Y51" s="1154">
        <f t="shared" si="34"/>
        <v>0</v>
      </c>
      <c r="Z51" s="1154">
        <f t="shared" si="34"/>
        <v>0</v>
      </c>
      <c r="AA51" s="1154">
        <f t="shared" si="34"/>
        <v>0</v>
      </c>
      <c r="AB51" s="1154">
        <f t="shared" si="34"/>
        <v>0</v>
      </c>
      <c r="AC51" s="1154">
        <f t="shared" si="34"/>
        <v>0.27803738317757004</v>
      </c>
      <c r="AD51" s="1154">
        <f t="shared" si="34"/>
        <v>0.27803738317757004</v>
      </c>
      <c r="AE51" s="1154">
        <f t="shared" si="34"/>
        <v>0.27803738317757004</v>
      </c>
      <c r="AF51" s="1154">
        <f>+AF49*AF46/1000</f>
        <v>0.27803738317757004</v>
      </c>
      <c r="AG51" s="1154">
        <f t="shared" si="34"/>
        <v>0.27803738317757004</v>
      </c>
      <c r="AH51" s="1154">
        <f t="shared" si="34"/>
        <v>0.27803738317757004</v>
      </c>
      <c r="AI51" s="1154">
        <f t="shared" si="34"/>
        <v>0.27803738317757004</v>
      </c>
      <c r="AJ51" s="1154">
        <f t="shared" si="34"/>
        <v>0.27803738317757004</v>
      </c>
      <c r="AK51" s="1154">
        <f t="shared" si="34"/>
        <v>0.27803738317757004</v>
      </c>
      <c r="AL51" s="1154">
        <f t="shared" si="34"/>
        <v>0.27803738317757004</v>
      </c>
      <c r="AM51" s="97"/>
    </row>
    <row r="52" spans="2:39" ht="14.4" thickBot="1">
      <c r="B52" s="2720"/>
      <c r="C52" s="2849"/>
      <c r="D52" s="2851"/>
      <c r="E52" s="1049" t="s">
        <v>299</v>
      </c>
      <c r="F52" s="1004">
        <f t="shared" si="33"/>
        <v>0</v>
      </c>
      <c r="G52" s="1105">
        <f t="shared" ref="G52" si="35">IFERROR((F52-F51)/F51,0)</f>
        <v>-1</v>
      </c>
      <c r="H52" s="1158">
        <f t="shared" ref="H52:AL52" si="36">+H50*H47/1000</f>
        <v>0</v>
      </c>
      <c r="I52" s="1158">
        <f t="shared" si="36"/>
        <v>0</v>
      </c>
      <c r="J52" s="1158">
        <f t="shared" si="36"/>
        <v>0</v>
      </c>
      <c r="K52" s="1158">
        <f t="shared" si="36"/>
        <v>0</v>
      </c>
      <c r="L52" s="1158">
        <f t="shared" si="36"/>
        <v>0</v>
      </c>
      <c r="M52" s="1158">
        <f t="shared" si="36"/>
        <v>0</v>
      </c>
      <c r="N52" s="1158">
        <f t="shared" si="36"/>
        <v>0</v>
      </c>
      <c r="O52" s="1158">
        <f t="shared" si="36"/>
        <v>0</v>
      </c>
      <c r="P52" s="1158">
        <f t="shared" si="36"/>
        <v>0</v>
      </c>
      <c r="Q52" s="1158">
        <f t="shared" si="36"/>
        <v>0</v>
      </c>
      <c r="R52" s="1158">
        <f t="shared" si="36"/>
        <v>0</v>
      </c>
      <c r="S52" s="1158">
        <f t="shared" si="36"/>
        <v>0</v>
      </c>
      <c r="T52" s="1158">
        <f t="shared" si="36"/>
        <v>0</v>
      </c>
      <c r="U52" s="1158">
        <f t="shared" si="36"/>
        <v>0</v>
      </c>
      <c r="V52" s="1158">
        <f t="shared" si="36"/>
        <v>0</v>
      </c>
      <c r="W52" s="1158">
        <f t="shared" si="36"/>
        <v>0</v>
      </c>
      <c r="X52" s="1158">
        <f t="shared" si="36"/>
        <v>0</v>
      </c>
      <c r="Y52" s="1158">
        <f t="shared" si="36"/>
        <v>0</v>
      </c>
      <c r="Z52" s="1158">
        <f t="shared" si="36"/>
        <v>0</v>
      </c>
      <c r="AA52" s="1158">
        <f t="shared" si="36"/>
        <v>0</v>
      </c>
      <c r="AB52" s="1158">
        <f t="shared" si="36"/>
        <v>0</v>
      </c>
      <c r="AC52" s="1158">
        <f t="shared" si="36"/>
        <v>0</v>
      </c>
      <c r="AD52" s="1158">
        <f t="shared" si="36"/>
        <v>0</v>
      </c>
      <c r="AE52" s="1158">
        <f t="shared" si="36"/>
        <v>0</v>
      </c>
      <c r="AF52" s="1158">
        <f t="shared" si="36"/>
        <v>0</v>
      </c>
      <c r="AG52" s="1158">
        <f t="shared" si="36"/>
        <v>0</v>
      </c>
      <c r="AH52" s="1158">
        <f t="shared" si="36"/>
        <v>0</v>
      </c>
      <c r="AI52" s="1158">
        <f t="shared" si="36"/>
        <v>0</v>
      </c>
      <c r="AJ52" s="1158">
        <f t="shared" si="36"/>
        <v>0</v>
      </c>
      <c r="AK52" s="1158">
        <f t="shared" si="36"/>
        <v>0</v>
      </c>
      <c r="AL52" s="1158">
        <f t="shared" si="36"/>
        <v>0</v>
      </c>
      <c r="AM52" s="98"/>
    </row>
    <row r="53" spans="2:39" s="75" customFormat="1" ht="14.85" customHeight="1">
      <c r="B53" s="2718">
        <v>1</v>
      </c>
      <c r="C53" s="2847" t="str">
        <f>Stoping!C67</f>
        <v>5L_W11 STOPE</v>
      </c>
      <c r="D53" s="2836" t="s">
        <v>66</v>
      </c>
      <c r="E53" s="91" t="s">
        <v>294</v>
      </c>
      <c r="F53" s="146">
        <f t="shared" si="33"/>
        <v>420</v>
      </c>
      <c r="G53" s="81"/>
      <c r="H53" s="147">
        <f>Stoping!H67</f>
        <v>70</v>
      </c>
      <c r="I53" s="147">
        <f>Stoping!I67</f>
        <v>70</v>
      </c>
      <c r="J53" s="147">
        <f>Stoping!J67</f>
        <v>70</v>
      </c>
      <c r="K53" s="148">
        <f>Stoping!K67</f>
        <v>70</v>
      </c>
      <c r="L53" s="148">
        <f>Stoping!L67</f>
        <v>70</v>
      </c>
      <c r="M53" s="148">
        <f>Stoping!M67</f>
        <v>70</v>
      </c>
      <c r="N53" s="148">
        <f>Stoping!N67</f>
        <v>70</v>
      </c>
      <c r="O53" s="148">
        <f>Stoping!O67</f>
        <v>70</v>
      </c>
      <c r="P53" s="152">
        <f>Stoping!P67</f>
        <v>70</v>
      </c>
      <c r="Q53" s="148">
        <f>Stoping!Q67</f>
        <v>70</v>
      </c>
      <c r="R53" s="148">
        <f>Stoping!R67</f>
        <v>0</v>
      </c>
      <c r="S53" s="148">
        <f>Stoping!S67</f>
        <v>0</v>
      </c>
      <c r="T53" s="148">
        <f>Stoping!T67</f>
        <v>70</v>
      </c>
      <c r="U53" s="148">
        <f>Stoping!U67</f>
        <v>70</v>
      </c>
      <c r="V53" s="148">
        <f>Stoping!V67</f>
        <v>70</v>
      </c>
      <c r="W53" s="148">
        <f>Stoping!W67</f>
        <v>70</v>
      </c>
      <c r="X53" s="148">
        <f>Stoping!X67</f>
        <v>70</v>
      </c>
      <c r="Y53" s="148">
        <f>Stoping!Y67</f>
        <v>70</v>
      </c>
      <c r="Z53" s="148">
        <f>Stoping!Z67</f>
        <v>70</v>
      </c>
      <c r="AA53" s="148">
        <f>Stoping!AA67</f>
        <v>70</v>
      </c>
      <c r="AB53" s="148">
        <f>Stoping!AB67</f>
        <v>70</v>
      </c>
      <c r="AC53" s="148">
        <f>Stoping!AC67</f>
        <v>70</v>
      </c>
      <c r="AD53" s="148">
        <f>Stoping!AD67</f>
        <v>70</v>
      </c>
      <c r="AE53" s="148">
        <f>Stoping!AE67</f>
        <v>70</v>
      </c>
      <c r="AF53" s="148">
        <f>Stoping!AF67</f>
        <v>70</v>
      </c>
      <c r="AG53" s="148">
        <f>Stoping!AG67</f>
        <v>70</v>
      </c>
      <c r="AH53" s="148">
        <f>Stoping!AH67</f>
        <v>70</v>
      </c>
      <c r="AI53" s="148">
        <f>Stoping!AI67</f>
        <v>70</v>
      </c>
      <c r="AJ53" s="148">
        <f>Stoping!AJ67</f>
        <v>70</v>
      </c>
      <c r="AK53" s="148">
        <f>Stoping!AK67</f>
        <v>70</v>
      </c>
      <c r="AL53" s="148">
        <f>Stoping!AL67</f>
        <v>70</v>
      </c>
      <c r="AM53" s="94"/>
    </row>
    <row r="54" spans="2:39">
      <c r="B54" s="2719"/>
      <c r="C54" s="2848"/>
      <c r="D54" s="2835"/>
      <c r="E54" s="1141" t="s">
        <v>295</v>
      </c>
      <c r="F54" s="1095">
        <f t="shared" si="33"/>
        <v>337</v>
      </c>
      <c r="G54" s="1142">
        <f t="shared" ref="G54" si="37">IFERROR((F54-F53)/F53,0)</f>
        <v>-0.19761904761904761</v>
      </c>
      <c r="H54" s="1143">
        <v>50</v>
      </c>
      <c r="I54" s="1095">
        <v>76</v>
      </c>
      <c r="J54" s="1095">
        <v>34</v>
      </c>
      <c r="K54" s="1095">
        <v>36</v>
      </c>
      <c r="L54" s="1095">
        <v>55</v>
      </c>
      <c r="M54" s="1095">
        <v>86</v>
      </c>
      <c r="N54" s="1095"/>
      <c r="O54" s="1095"/>
      <c r="P54" s="1095"/>
      <c r="Q54" s="1095"/>
      <c r="R54" s="1095"/>
      <c r="S54" s="1095"/>
      <c r="T54" s="1095"/>
      <c r="U54" s="1095"/>
      <c r="V54" s="1095"/>
      <c r="W54" s="1095"/>
      <c r="X54" s="1095"/>
      <c r="Y54" s="1095"/>
      <c r="Z54" s="1095"/>
      <c r="AA54" s="1095"/>
      <c r="AB54" s="1095"/>
      <c r="AC54" s="1095"/>
      <c r="AD54" s="1095"/>
      <c r="AE54" s="1095"/>
      <c r="AF54" s="1095"/>
      <c r="AG54" s="1095"/>
      <c r="AH54" s="1095"/>
      <c r="AI54" s="1095"/>
      <c r="AJ54" s="1095"/>
      <c r="AK54" s="1095"/>
      <c r="AL54" s="1095"/>
      <c r="AM54" s="95"/>
    </row>
    <row r="55" spans="2:39">
      <c r="B55" s="2719"/>
      <c r="C55" s="2848"/>
      <c r="D55" s="2835"/>
      <c r="E55" s="1159" t="s">
        <v>199</v>
      </c>
      <c r="F55" s="1145"/>
      <c r="G55" s="1146"/>
      <c r="H55" s="151"/>
      <c r="I55" s="151"/>
      <c r="J55" s="151"/>
      <c r="K55" s="151"/>
      <c r="L55" s="151"/>
      <c r="M55" s="151"/>
      <c r="N55" s="151"/>
      <c r="O55" s="151"/>
      <c r="P55" s="170"/>
      <c r="Q55" s="151"/>
      <c r="R55" s="151"/>
      <c r="S55" s="151"/>
      <c r="T55" s="151"/>
      <c r="U55" s="151"/>
      <c r="V55" s="151"/>
      <c r="W55" s="151"/>
      <c r="X55" s="151"/>
      <c r="Y55" s="151"/>
      <c r="Z55" s="151"/>
      <c r="AA55" s="151"/>
      <c r="AB55" s="151"/>
      <c r="AC55" s="151"/>
      <c r="AD55" s="151"/>
      <c r="AE55" s="151"/>
      <c r="AF55" s="151"/>
      <c r="AG55" s="151"/>
      <c r="AH55" s="151"/>
      <c r="AI55" s="151"/>
      <c r="AJ55" s="151"/>
      <c r="AK55" s="151"/>
      <c r="AL55" s="171"/>
      <c r="AM55" s="95"/>
    </row>
    <row r="56" spans="2:39">
      <c r="B56" s="2719"/>
      <c r="C56" s="2848"/>
      <c r="D56" s="2825" t="s">
        <v>68</v>
      </c>
      <c r="E56" s="1147" t="s">
        <v>296</v>
      </c>
      <c r="F56" s="1148">
        <f t="shared" ref="F56" si="38">IFERROR(F58*1000/F53,0)</f>
        <v>1.456386292834891</v>
      </c>
      <c r="G56" s="1149"/>
      <c r="H56" s="1150">
        <f>Breaking.!D56</f>
        <v>1.7476635514018692</v>
      </c>
      <c r="I56" s="1150">
        <f>Breaking.!E56</f>
        <v>1.7476635514018692</v>
      </c>
      <c r="J56" s="1150">
        <f>Breaking.!F56</f>
        <v>1.7476635514018692</v>
      </c>
      <c r="K56" s="1150">
        <f>Breaking.!G56</f>
        <v>1.7476635514018692</v>
      </c>
      <c r="L56" s="1150">
        <f>Breaking.!H56</f>
        <v>1.7476635514018692</v>
      </c>
      <c r="M56" s="1150">
        <f>Breaking.!I56</f>
        <v>1.7476635514018692</v>
      </c>
      <c r="N56" s="1150">
        <f>Breaking.!J56</f>
        <v>1.7476635514018692</v>
      </c>
      <c r="O56" s="1150">
        <f>Breaking.!K56</f>
        <v>1.7476635514018692</v>
      </c>
      <c r="P56" s="1150">
        <f>Breaking.!L56</f>
        <v>1.7476635514018692</v>
      </c>
      <c r="Q56" s="1150">
        <f>Breaking.!M56</f>
        <v>1.7476635514018692</v>
      </c>
      <c r="R56" s="1150">
        <f>Breaking.!N56</f>
        <v>0</v>
      </c>
      <c r="S56" s="1150">
        <f>Breaking.!O56</f>
        <v>0</v>
      </c>
      <c r="T56" s="1150">
        <f>Breaking.!P56</f>
        <v>1.7476635514018692</v>
      </c>
      <c r="U56" s="1150">
        <f>Breaking.!Q56</f>
        <v>1.7476635514018692</v>
      </c>
      <c r="V56" s="1150">
        <f>Breaking.!R56</f>
        <v>1.7476635514018692</v>
      </c>
      <c r="W56" s="1150">
        <f>Breaking.!S56</f>
        <v>1.7476635514018692</v>
      </c>
      <c r="X56" s="1150">
        <f>Breaking.!T56</f>
        <v>1.7476635514018692</v>
      </c>
      <c r="Y56" s="1150">
        <f>Breaking.!U56</f>
        <v>1.7476635514018692</v>
      </c>
      <c r="Z56" s="1150">
        <f>Breaking.!V56</f>
        <v>1.7476635514018692</v>
      </c>
      <c r="AA56" s="1150">
        <f>Breaking.!W56</f>
        <v>1.7476635514018692</v>
      </c>
      <c r="AB56" s="1150">
        <f>Breaking.!X56</f>
        <v>1.7476635514018692</v>
      </c>
      <c r="AC56" s="1150">
        <f>Breaking.!Y56</f>
        <v>1.7476635514018692</v>
      </c>
      <c r="AD56" s="1150">
        <f>Breaking.!Z56</f>
        <v>1.7476635514018692</v>
      </c>
      <c r="AE56" s="1150">
        <f>Breaking.!AA56</f>
        <v>1.7476635514018692</v>
      </c>
      <c r="AF56" s="1150">
        <f>Breaking.!AB56</f>
        <v>1.7476635514018692</v>
      </c>
      <c r="AG56" s="1150">
        <f>Breaking.!AC56</f>
        <v>1.7476635514018692</v>
      </c>
      <c r="AH56" s="1150">
        <f>Breaking.!AD56</f>
        <v>1.7476635514018692</v>
      </c>
      <c r="AI56" s="1150">
        <f>Breaking.!AE56</f>
        <v>1.7476635514018692</v>
      </c>
      <c r="AJ56" s="1150">
        <f>Breaking.!AF56</f>
        <v>1.7476635514018692</v>
      </c>
      <c r="AK56" s="1150">
        <f>Breaking.!AG56</f>
        <v>1.7476635514018692</v>
      </c>
      <c r="AL56" s="1150">
        <f>Breaking.!AH56</f>
        <v>1.7476635514018692</v>
      </c>
      <c r="AM56" s="95"/>
    </row>
    <row r="57" spans="2:39">
      <c r="B57" s="2719"/>
      <c r="C57" s="2848"/>
      <c r="D57" s="2850"/>
      <c r="E57" s="1151" t="s">
        <v>297</v>
      </c>
      <c r="F57" s="1152">
        <f>IFERROR(F59*1000/F54,0)</f>
        <v>0.83397626112759649</v>
      </c>
      <c r="G57" s="1142">
        <f t="shared" ref="G57" si="39">IFERROR((F57-F56)/F56,0)</f>
        <v>-0.42736603246639898</v>
      </c>
      <c r="H57" s="1153">
        <v>2.29</v>
      </c>
      <c r="I57" s="1152">
        <v>0.84</v>
      </c>
      <c r="J57" s="1152">
        <v>0.94</v>
      </c>
      <c r="K57" s="1152">
        <v>0.3</v>
      </c>
      <c r="L57" s="1152">
        <v>1.0900000000000001</v>
      </c>
      <c r="M57" s="1152"/>
      <c r="N57" s="1152"/>
      <c r="O57" s="1152"/>
      <c r="P57" s="1152"/>
      <c r="Q57" s="1152"/>
      <c r="R57" s="1152"/>
      <c r="S57" s="1152"/>
      <c r="T57" s="1152"/>
      <c r="U57" s="1152"/>
      <c r="V57" s="1152"/>
      <c r="W57" s="1152"/>
      <c r="X57" s="1152"/>
      <c r="Y57" s="1152"/>
      <c r="Z57" s="1152"/>
      <c r="AA57" s="1152"/>
      <c r="AB57" s="1152"/>
      <c r="AC57" s="1152"/>
      <c r="AD57" s="1152"/>
      <c r="AE57" s="1152"/>
      <c r="AF57" s="1152"/>
      <c r="AG57" s="1152"/>
      <c r="AH57" s="1152"/>
      <c r="AI57" s="1152"/>
      <c r="AJ57" s="1152"/>
      <c r="AK57" s="1152"/>
      <c r="AL57" s="1152"/>
      <c r="AM57" s="95"/>
    </row>
    <row r="58" spans="2:39">
      <c r="B58" s="2719"/>
      <c r="C58" s="2848"/>
      <c r="D58" s="2825" t="s">
        <v>70</v>
      </c>
      <c r="E58" s="1147" t="s">
        <v>298</v>
      </c>
      <c r="F58" s="96">
        <f t="shared" ref="F58:F68" si="40">SUMIF($H$9:$AL$9,"&lt;="&amp;$C$7,H58:AL58)</f>
        <v>0.61168224299065421</v>
      </c>
      <c r="G58" s="1149"/>
      <c r="H58" s="1154">
        <v>0</v>
      </c>
      <c r="I58" s="1154">
        <f t="shared" ref="I58:AL58" si="41">+I56*I53/1000</f>
        <v>0.12233644859813084</v>
      </c>
      <c r="J58" s="1154">
        <f t="shared" si="41"/>
        <v>0.12233644859813084</v>
      </c>
      <c r="K58" s="1154">
        <f t="shared" si="41"/>
        <v>0.12233644859813084</v>
      </c>
      <c r="L58" s="1154">
        <f t="shared" si="41"/>
        <v>0.12233644859813084</v>
      </c>
      <c r="M58" s="1154">
        <f t="shared" si="41"/>
        <v>0.12233644859813084</v>
      </c>
      <c r="N58" s="1154">
        <f t="shared" si="41"/>
        <v>0.12233644859813084</v>
      </c>
      <c r="O58" s="1154">
        <f t="shared" si="41"/>
        <v>0.12233644859813084</v>
      </c>
      <c r="P58" s="1154">
        <f t="shared" si="41"/>
        <v>0.12233644859813084</v>
      </c>
      <c r="Q58" s="1154">
        <f t="shared" si="41"/>
        <v>0.12233644859813084</v>
      </c>
      <c r="R58" s="1154">
        <f t="shared" si="41"/>
        <v>0</v>
      </c>
      <c r="S58" s="1154">
        <f t="shared" si="41"/>
        <v>0</v>
      </c>
      <c r="T58" s="1154">
        <f t="shared" si="41"/>
        <v>0.12233644859813084</v>
      </c>
      <c r="U58" s="1154">
        <f t="shared" si="41"/>
        <v>0.12233644859813084</v>
      </c>
      <c r="V58" s="1154">
        <f t="shared" si="41"/>
        <v>0.12233644859813084</v>
      </c>
      <c r="W58" s="1154">
        <f t="shared" si="41"/>
        <v>0.12233644859813084</v>
      </c>
      <c r="X58" s="1154">
        <f t="shared" si="41"/>
        <v>0.12233644859813084</v>
      </c>
      <c r="Y58" s="1154">
        <f t="shared" si="41"/>
        <v>0.12233644859813084</v>
      </c>
      <c r="Z58" s="1154">
        <f t="shared" si="41"/>
        <v>0.12233644859813084</v>
      </c>
      <c r="AA58" s="1154">
        <f t="shared" si="41"/>
        <v>0.12233644859813084</v>
      </c>
      <c r="AB58" s="1154">
        <f t="shared" si="41"/>
        <v>0.12233644859813084</v>
      </c>
      <c r="AC58" s="1154">
        <f t="shared" si="41"/>
        <v>0.12233644859813084</v>
      </c>
      <c r="AD58" s="1154">
        <f t="shared" si="41"/>
        <v>0.12233644859813084</v>
      </c>
      <c r="AE58" s="1154">
        <f t="shared" si="41"/>
        <v>0.12233644859813084</v>
      </c>
      <c r="AF58" s="1154">
        <f t="shared" si="41"/>
        <v>0.12233644859813084</v>
      </c>
      <c r="AG58" s="1154" t="s">
        <v>310</v>
      </c>
      <c r="AH58" s="1154">
        <f t="shared" si="41"/>
        <v>0.12233644859813084</v>
      </c>
      <c r="AI58" s="1154">
        <f t="shared" si="41"/>
        <v>0.12233644859813084</v>
      </c>
      <c r="AJ58" s="1154">
        <f t="shared" si="41"/>
        <v>0.12233644859813084</v>
      </c>
      <c r="AK58" s="1154">
        <f t="shared" si="41"/>
        <v>0.12233644859813084</v>
      </c>
      <c r="AL58" s="1154">
        <f t="shared" si="41"/>
        <v>0.12233644859813084</v>
      </c>
      <c r="AM58" s="97"/>
    </row>
    <row r="59" spans="2:39" ht="14.4" thickBot="1">
      <c r="B59" s="2720"/>
      <c r="C59" s="2849"/>
      <c r="D59" s="2851"/>
      <c r="E59" s="1049" t="s">
        <v>299</v>
      </c>
      <c r="F59" s="1004">
        <f t="shared" si="40"/>
        <v>0.28105000000000002</v>
      </c>
      <c r="G59" s="1105">
        <f t="shared" ref="G59" si="42">IFERROR((F59-F58)/F58,0)</f>
        <v>-0.54052941176470581</v>
      </c>
      <c r="H59" s="1158">
        <f t="shared" ref="H59" si="43">+H57*H54/1000</f>
        <v>0.1145</v>
      </c>
      <c r="I59" s="1158">
        <f t="shared" ref="I59:AL59" si="44">+I57*I54/1000</f>
        <v>6.3839999999999994E-2</v>
      </c>
      <c r="J59" s="1158">
        <f t="shared" si="44"/>
        <v>3.1959999999999995E-2</v>
      </c>
      <c r="K59" s="1158">
        <f t="shared" si="44"/>
        <v>1.0799999999999999E-2</v>
      </c>
      <c r="L59" s="1158">
        <f t="shared" si="44"/>
        <v>5.9950000000000003E-2</v>
      </c>
      <c r="M59" s="1158">
        <f t="shared" si="44"/>
        <v>0</v>
      </c>
      <c r="N59" s="1158">
        <f t="shared" si="44"/>
        <v>0</v>
      </c>
      <c r="O59" s="1158">
        <f t="shared" si="44"/>
        <v>0</v>
      </c>
      <c r="P59" s="1158">
        <f t="shared" si="44"/>
        <v>0</v>
      </c>
      <c r="Q59" s="1158">
        <f t="shared" si="44"/>
        <v>0</v>
      </c>
      <c r="R59" s="1158">
        <f t="shared" si="44"/>
        <v>0</v>
      </c>
      <c r="S59" s="1158">
        <f t="shared" si="44"/>
        <v>0</v>
      </c>
      <c r="T59" s="1158">
        <f t="shared" si="44"/>
        <v>0</v>
      </c>
      <c r="U59" s="1158">
        <f t="shared" si="44"/>
        <v>0</v>
      </c>
      <c r="V59" s="1158">
        <f t="shared" si="44"/>
        <v>0</v>
      </c>
      <c r="W59" s="1158">
        <f t="shared" si="44"/>
        <v>0</v>
      </c>
      <c r="X59" s="1158">
        <f t="shared" si="44"/>
        <v>0</v>
      </c>
      <c r="Y59" s="1158">
        <f t="shared" si="44"/>
        <v>0</v>
      </c>
      <c r="Z59" s="1158">
        <f t="shared" si="44"/>
        <v>0</v>
      </c>
      <c r="AA59" s="1158">
        <f t="shared" si="44"/>
        <v>0</v>
      </c>
      <c r="AB59" s="1158">
        <f t="shared" si="44"/>
        <v>0</v>
      </c>
      <c r="AC59" s="1158">
        <f t="shared" si="44"/>
        <v>0</v>
      </c>
      <c r="AD59" s="1158">
        <f t="shared" si="44"/>
        <v>0</v>
      </c>
      <c r="AE59" s="1158">
        <f t="shared" si="44"/>
        <v>0</v>
      </c>
      <c r="AF59" s="1158">
        <f t="shared" si="44"/>
        <v>0</v>
      </c>
      <c r="AG59" s="1158">
        <f t="shared" si="44"/>
        <v>0</v>
      </c>
      <c r="AH59" s="1158">
        <f t="shared" si="44"/>
        <v>0</v>
      </c>
      <c r="AI59" s="1158">
        <f t="shared" si="44"/>
        <v>0</v>
      </c>
      <c r="AJ59" s="1158">
        <f t="shared" si="44"/>
        <v>0</v>
      </c>
      <c r="AK59" s="1158">
        <f t="shared" si="44"/>
        <v>0</v>
      </c>
      <c r="AL59" s="1158">
        <f t="shared" si="44"/>
        <v>0</v>
      </c>
      <c r="AM59" s="98"/>
    </row>
    <row r="60" spans="2:39" s="75" customFormat="1">
      <c r="B60" s="2856">
        <v>1</v>
      </c>
      <c r="C60" s="2859" t="str">
        <f>+Stoping!C74</f>
        <v>5L_W8 STOPE</v>
      </c>
      <c r="D60" s="2836"/>
      <c r="E60" s="91" t="s">
        <v>294</v>
      </c>
      <c r="F60" s="146">
        <f>SUMIF($H$9:$AL$9,"&lt;="&amp;$C$7,H60:AL60)</f>
        <v>630</v>
      </c>
      <c r="G60" s="81"/>
      <c r="H60" s="147">
        <f>Stoping!H74</f>
        <v>105</v>
      </c>
      <c r="I60" s="147">
        <f>Stoping!I74</f>
        <v>105</v>
      </c>
      <c r="J60" s="147">
        <f>Stoping!J74</f>
        <v>105</v>
      </c>
      <c r="K60" s="147">
        <f>Stoping!K74</f>
        <v>105</v>
      </c>
      <c r="L60" s="147">
        <f>Stoping!L74</f>
        <v>105</v>
      </c>
      <c r="M60" s="147">
        <f>Stoping!M74</f>
        <v>105</v>
      </c>
      <c r="N60" s="147">
        <f>Stoping!N74</f>
        <v>105</v>
      </c>
      <c r="O60" s="147">
        <f>Stoping!O74</f>
        <v>105</v>
      </c>
      <c r="P60" s="147">
        <f>Stoping!P74</f>
        <v>105</v>
      </c>
      <c r="Q60" s="147">
        <f>Stoping!Q74</f>
        <v>105</v>
      </c>
      <c r="R60" s="147">
        <f>Stoping!R74</f>
        <v>0</v>
      </c>
      <c r="S60" s="147">
        <f>Stoping!S74</f>
        <v>0</v>
      </c>
      <c r="T60" s="147">
        <f>Stoping!T74</f>
        <v>105</v>
      </c>
      <c r="U60" s="147">
        <f>Stoping!U74</f>
        <v>105</v>
      </c>
      <c r="V60" s="147">
        <f>Stoping!V74</f>
        <v>105</v>
      </c>
      <c r="W60" s="147">
        <f>Stoping!W74</f>
        <v>105</v>
      </c>
      <c r="X60" s="147">
        <f>Stoping!X74</f>
        <v>105</v>
      </c>
      <c r="Y60" s="147">
        <f>Stoping!Y74</f>
        <v>105</v>
      </c>
      <c r="Z60" s="147">
        <f>Stoping!Z74</f>
        <v>105</v>
      </c>
      <c r="AA60" s="147">
        <f>Stoping!AA74</f>
        <v>105</v>
      </c>
      <c r="AB60" s="147">
        <f>Stoping!AB74</f>
        <v>105</v>
      </c>
      <c r="AC60" s="147">
        <f>Stoping!AC74</f>
        <v>105</v>
      </c>
      <c r="AD60" s="147">
        <f>Stoping!AD74</f>
        <v>105</v>
      </c>
      <c r="AE60" s="147">
        <f>Stoping!AE74</f>
        <v>105</v>
      </c>
      <c r="AF60" s="147">
        <f>Stoping!AF74</f>
        <v>105</v>
      </c>
      <c r="AG60" s="147">
        <f>Stoping!AG74</f>
        <v>105</v>
      </c>
      <c r="AH60" s="147">
        <f>Stoping!AH74</f>
        <v>105</v>
      </c>
      <c r="AI60" s="147">
        <f>Stoping!AI74</f>
        <v>105</v>
      </c>
      <c r="AJ60" s="147">
        <f>Stoping!AJ74</f>
        <v>105</v>
      </c>
      <c r="AK60" s="147">
        <f>Stoping!AK74</f>
        <v>105</v>
      </c>
      <c r="AL60" s="147">
        <f>Stoping!AL74</f>
        <v>105</v>
      </c>
      <c r="AM60" s="94"/>
    </row>
    <row r="61" spans="2:39">
      <c r="B61" s="2857"/>
      <c r="C61" s="2860"/>
      <c r="D61" s="2835"/>
      <c r="E61" s="1141" t="s">
        <v>295</v>
      </c>
      <c r="F61" s="1095">
        <f>SUMIF($H$9:$AL$9,"&lt;="&amp;$C$7,H61:AL61)</f>
        <v>873</v>
      </c>
      <c r="G61" s="1142">
        <f>IFERROR((F61-F60)/F60,0)</f>
        <v>0.38571428571428573</v>
      </c>
      <c r="H61" s="1143">
        <v>144</v>
      </c>
      <c r="I61" s="1095">
        <v>114</v>
      </c>
      <c r="J61" s="1095">
        <v>164</v>
      </c>
      <c r="K61" s="1095">
        <v>164</v>
      </c>
      <c r="L61" s="1095">
        <v>155</v>
      </c>
      <c r="M61" s="1095">
        <v>132</v>
      </c>
      <c r="N61" s="1095"/>
      <c r="O61" s="1095"/>
      <c r="P61" s="1095"/>
      <c r="Q61" s="1095"/>
      <c r="R61" s="1095"/>
      <c r="S61" s="1095"/>
      <c r="T61" s="1095"/>
      <c r="U61" s="1095"/>
      <c r="V61" s="1095"/>
      <c r="W61" s="1095"/>
      <c r="X61" s="1095"/>
      <c r="Y61" s="1095"/>
      <c r="Z61" s="1095"/>
      <c r="AA61" s="1095"/>
      <c r="AB61" s="1095"/>
      <c r="AC61" s="1095"/>
      <c r="AD61" s="1095"/>
      <c r="AE61" s="1095"/>
      <c r="AF61" s="1095"/>
      <c r="AG61" s="1095"/>
      <c r="AH61" s="1095"/>
      <c r="AI61" s="1095"/>
      <c r="AJ61" s="1095"/>
      <c r="AK61" s="1095"/>
      <c r="AL61" s="1095"/>
      <c r="AM61" s="95"/>
    </row>
    <row r="62" spans="2:39">
      <c r="B62" s="2857"/>
      <c r="C62" s="2860"/>
      <c r="D62" s="2835"/>
      <c r="E62" s="1159" t="s">
        <v>199</v>
      </c>
      <c r="F62" s="1145"/>
      <c r="G62" s="1146"/>
      <c r="H62" s="151"/>
      <c r="I62" s="151"/>
      <c r="J62" s="151"/>
      <c r="K62" s="151"/>
      <c r="L62" s="151"/>
      <c r="M62" s="151"/>
      <c r="N62" s="151"/>
      <c r="O62" s="151"/>
      <c r="P62" s="170"/>
      <c r="Q62" s="151"/>
      <c r="R62" s="151"/>
      <c r="S62" s="151"/>
      <c r="T62" s="151"/>
      <c r="U62" s="151"/>
      <c r="V62" s="151"/>
      <c r="W62" s="151"/>
      <c r="X62" s="151"/>
      <c r="Y62" s="151"/>
      <c r="Z62" s="151"/>
      <c r="AA62" s="151"/>
      <c r="AB62" s="151"/>
      <c r="AC62" s="151"/>
      <c r="AD62" s="151"/>
      <c r="AE62" s="151"/>
      <c r="AF62" s="151"/>
      <c r="AG62" s="151"/>
      <c r="AH62" s="151"/>
      <c r="AI62" s="151"/>
      <c r="AJ62" s="151"/>
      <c r="AK62" s="151"/>
      <c r="AL62" s="171"/>
      <c r="AM62" s="95"/>
    </row>
    <row r="63" spans="2:39">
      <c r="B63" s="2857"/>
      <c r="C63" s="2860"/>
      <c r="D63" s="2825" t="s">
        <v>68</v>
      </c>
      <c r="E63" s="1147" t="s">
        <v>296</v>
      </c>
      <c r="F63" s="1148">
        <f>IFERROR(F65*1000/F60,0)</f>
        <v>1.5225856697819313</v>
      </c>
      <c r="G63" s="1149"/>
      <c r="H63" s="1150">
        <f>Breaking.!D54</f>
        <v>1.8271028037383175</v>
      </c>
      <c r="I63" s="1150">
        <f>Breaking.!E54</f>
        <v>1.8271028037383175</v>
      </c>
      <c r="J63" s="1150">
        <f>Breaking.!F54</f>
        <v>1.8271028037383175</v>
      </c>
      <c r="K63" s="1150">
        <f>Breaking.!G54</f>
        <v>1.8271028037383175</v>
      </c>
      <c r="L63" s="1150">
        <f>Breaking.!H54</f>
        <v>1.8271028037383175</v>
      </c>
      <c r="M63" s="1150">
        <f>Breaking.!I54</f>
        <v>1.8271028037383175</v>
      </c>
      <c r="N63" s="1150">
        <f>Breaking.!J54</f>
        <v>1.8271028037383175</v>
      </c>
      <c r="O63" s="1150">
        <f>Breaking.!K54</f>
        <v>1.8271028037383175</v>
      </c>
      <c r="P63" s="1150">
        <f>Breaking.!L54</f>
        <v>1.8271028037383175</v>
      </c>
      <c r="Q63" s="1150">
        <f>Breaking.!M54</f>
        <v>1.8271028037383175</v>
      </c>
      <c r="R63" s="1150">
        <f>Breaking.!N54</f>
        <v>0</v>
      </c>
      <c r="S63" s="1150">
        <f>Breaking.!O54</f>
        <v>0</v>
      </c>
      <c r="T63" s="1150">
        <f>Breaking.!P54</f>
        <v>1.8271028037383175</v>
      </c>
      <c r="U63" s="1150">
        <f>Breaking.!Q54</f>
        <v>1.8271028037383175</v>
      </c>
      <c r="V63" s="1150">
        <f>Breaking.!R54</f>
        <v>1.8271028037383175</v>
      </c>
      <c r="W63" s="1150">
        <f>Breaking.!S54</f>
        <v>1.8271028037383175</v>
      </c>
      <c r="X63" s="1150">
        <f>Breaking.!T54</f>
        <v>1.8271028037383175</v>
      </c>
      <c r="Y63" s="1150">
        <f>Breaking.!U54</f>
        <v>1.8271028037383175</v>
      </c>
      <c r="Z63" s="1150">
        <f>Breaking.!V54</f>
        <v>1.8271028037383175</v>
      </c>
      <c r="AA63" s="1150">
        <f>Breaking.!W54</f>
        <v>1.8271028037383175</v>
      </c>
      <c r="AB63" s="1150">
        <f>Breaking.!X54</f>
        <v>1.8271028037383175</v>
      </c>
      <c r="AC63" s="1150">
        <f>Breaking.!Y54</f>
        <v>1.8271028037383175</v>
      </c>
      <c r="AD63" s="1150">
        <f>Breaking.!Z54</f>
        <v>1.8271028037383175</v>
      </c>
      <c r="AE63" s="1150">
        <f>Breaking.!AA54</f>
        <v>1.8271028037383175</v>
      </c>
      <c r="AF63" s="1150">
        <f>Breaking.!AB54</f>
        <v>1.8271028037383175</v>
      </c>
      <c r="AG63" s="1150">
        <f>Breaking.!AC54</f>
        <v>1.8271028037383175</v>
      </c>
      <c r="AH63" s="1150">
        <f>Breaking.!AD54</f>
        <v>1.8271028037383175</v>
      </c>
      <c r="AI63" s="1150">
        <f>Breaking.!AE54</f>
        <v>1.8271028037383175</v>
      </c>
      <c r="AJ63" s="1150">
        <f>Breaking.!AF54</f>
        <v>1.8271028037383175</v>
      </c>
      <c r="AK63" s="1150">
        <f>Breaking.!AG54</f>
        <v>1.8271028037383175</v>
      </c>
      <c r="AL63" s="1150">
        <f>Breaking.!AH54</f>
        <v>1.8271028037383175</v>
      </c>
      <c r="AM63" s="95"/>
    </row>
    <row r="64" spans="2:39">
      <c r="B64" s="2857"/>
      <c r="C64" s="2860"/>
      <c r="D64" s="2850"/>
      <c r="E64" s="1151" t="s">
        <v>297</v>
      </c>
      <c r="F64" s="1152">
        <f>IFERROR(F66*1000/F61,0)</f>
        <v>2.8525773195876289</v>
      </c>
      <c r="G64" s="1142">
        <f>IFERROR((F64-F63)/F63,0)</f>
        <v>0.87350858227647876</v>
      </c>
      <c r="H64" s="1153">
        <v>2.29</v>
      </c>
      <c r="I64" s="1152">
        <v>2.2799999999999998</v>
      </c>
      <c r="J64" s="1152">
        <v>5.7</v>
      </c>
      <c r="K64" s="1152">
        <v>3.98</v>
      </c>
      <c r="L64" s="1152">
        <v>2.02</v>
      </c>
      <c r="M64" s="1152"/>
      <c r="N64" s="1152"/>
      <c r="O64" s="1152"/>
      <c r="P64" s="1152"/>
      <c r="Q64" s="1152"/>
      <c r="R64" s="1152"/>
      <c r="S64" s="1152"/>
      <c r="T64" s="1152"/>
      <c r="U64" s="1152"/>
      <c r="V64" s="1152"/>
      <c r="W64" s="1152"/>
      <c r="X64" s="1152"/>
      <c r="Y64" s="1152"/>
      <c r="Z64" s="1152"/>
      <c r="AA64" s="1152"/>
      <c r="AB64" s="1152"/>
      <c r="AC64" s="1152"/>
      <c r="AD64" s="1152"/>
      <c r="AE64" s="1152"/>
      <c r="AF64" s="1152"/>
      <c r="AG64" s="1152"/>
      <c r="AH64" s="1152"/>
      <c r="AI64" s="1152"/>
      <c r="AJ64" s="1152"/>
      <c r="AK64" s="1152"/>
      <c r="AL64" s="1152"/>
      <c r="AM64" s="95"/>
    </row>
    <row r="65" spans="2:39">
      <c r="B65" s="2857"/>
      <c r="C65" s="2860"/>
      <c r="D65" s="2825" t="s">
        <v>70</v>
      </c>
      <c r="E65" s="1147" t="s">
        <v>298</v>
      </c>
      <c r="F65" s="96">
        <f>SUMIF($H$9:$AL$9,"&lt;="&amp;$C$7,H65:AL65)</f>
        <v>0.95922897196261669</v>
      </c>
      <c r="G65" s="1149"/>
      <c r="H65" s="1154">
        <v>0</v>
      </c>
      <c r="I65" s="1154">
        <f t="shared" ref="I65:AF65" si="45">+I63*I60/1000</f>
        <v>0.19184579439252333</v>
      </c>
      <c r="J65" s="1154">
        <f t="shared" si="45"/>
        <v>0.19184579439252333</v>
      </c>
      <c r="K65" s="1154">
        <f t="shared" si="45"/>
        <v>0.19184579439252333</v>
      </c>
      <c r="L65" s="1154">
        <f t="shared" si="45"/>
        <v>0.19184579439252333</v>
      </c>
      <c r="M65" s="1154">
        <f t="shared" si="45"/>
        <v>0.19184579439252333</v>
      </c>
      <c r="N65" s="1154">
        <f t="shared" si="45"/>
        <v>0.19184579439252333</v>
      </c>
      <c r="O65" s="1154">
        <f t="shared" si="45"/>
        <v>0.19184579439252333</v>
      </c>
      <c r="P65" s="1154">
        <f t="shared" si="45"/>
        <v>0.19184579439252333</v>
      </c>
      <c r="Q65" s="1154">
        <f t="shared" si="45"/>
        <v>0.19184579439252333</v>
      </c>
      <c r="R65" s="1154">
        <f t="shared" si="45"/>
        <v>0</v>
      </c>
      <c r="S65" s="1154">
        <f t="shared" si="45"/>
        <v>0</v>
      </c>
      <c r="T65" s="1154">
        <f t="shared" si="45"/>
        <v>0.19184579439252333</v>
      </c>
      <c r="U65" s="1154">
        <f t="shared" si="45"/>
        <v>0.19184579439252333</v>
      </c>
      <c r="V65" s="1154">
        <f t="shared" si="45"/>
        <v>0.19184579439252333</v>
      </c>
      <c r="W65" s="1154">
        <f t="shared" si="45"/>
        <v>0.19184579439252333</v>
      </c>
      <c r="X65" s="1154">
        <f t="shared" si="45"/>
        <v>0.19184579439252333</v>
      </c>
      <c r="Y65" s="1154">
        <f t="shared" si="45"/>
        <v>0.19184579439252333</v>
      </c>
      <c r="Z65" s="1154">
        <f t="shared" si="45"/>
        <v>0.19184579439252333</v>
      </c>
      <c r="AA65" s="1154">
        <f t="shared" si="45"/>
        <v>0.19184579439252333</v>
      </c>
      <c r="AB65" s="1154">
        <f t="shared" si="45"/>
        <v>0.19184579439252333</v>
      </c>
      <c r="AC65" s="1154">
        <f t="shared" si="45"/>
        <v>0.19184579439252333</v>
      </c>
      <c r="AD65" s="1154">
        <f t="shared" si="45"/>
        <v>0.19184579439252333</v>
      </c>
      <c r="AE65" s="1154">
        <f t="shared" si="45"/>
        <v>0.19184579439252333</v>
      </c>
      <c r="AF65" s="1154">
        <f t="shared" si="45"/>
        <v>0.19184579439252333</v>
      </c>
      <c r="AG65" s="1154" t="s">
        <v>310</v>
      </c>
      <c r="AH65" s="1154">
        <f t="shared" ref="AH65:AL66" si="46">+AH63*AH60/1000</f>
        <v>0.19184579439252333</v>
      </c>
      <c r="AI65" s="1154">
        <f t="shared" si="46"/>
        <v>0.19184579439252333</v>
      </c>
      <c r="AJ65" s="1154">
        <f t="shared" si="46"/>
        <v>0.19184579439252333</v>
      </c>
      <c r="AK65" s="1154">
        <f t="shared" si="46"/>
        <v>0.19184579439252333</v>
      </c>
      <c r="AL65" s="1154">
        <f t="shared" si="46"/>
        <v>0.19184579439252333</v>
      </c>
      <c r="AM65" s="97"/>
    </row>
    <row r="66" spans="2:39" ht="14.4" thickBot="1">
      <c r="B66" s="2858"/>
      <c r="C66" s="2861"/>
      <c r="D66" s="2851"/>
      <c r="E66" s="1049" t="s">
        <v>299</v>
      </c>
      <c r="F66" s="1004">
        <f>SUMIF($H$9:$AL$9,"&lt;="&amp;$C$7,H66:AL66)</f>
        <v>2.4903</v>
      </c>
      <c r="G66" s="1105">
        <f>IFERROR((F66-F65)/F65,0)</f>
        <v>1.5961476068688349</v>
      </c>
      <c r="H66" s="1158">
        <f>+H64*H61/1000</f>
        <v>0.32976</v>
      </c>
      <c r="I66" s="1158">
        <f t="shared" ref="I66:AF66" si="47">+I64*I61/1000</f>
        <v>0.25991999999999998</v>
      </c>
      <c r="J66" s="1158">
        <f t="shared" si="47"/>
        <v>0.93480000000000008</v>
      </c>
      <c r="K66" s="1158">
        <f t="shared" si="47"/>
        <v>0.65272000000000008</v>
      </c>
      <c r="L66" s="1158">
        <f t="shared" si="47"/>
        <v>0.31310000000000004</v>
      </c>
      <c r="M66" s="1158">
        <f t="shared" si="47"/>
        <v>0</v>
      </c>
      <c r="N66" s="1158">
        <f t="shared" si="47"/>
        <v>0</v>
      </c>
      <c r="O66" s="1158">
        <f t="shared" si="47"/>
        <v>0</v>
      </c>
      <c r="P66" s="1158">
        <f t="shared" si="47"/>
        <v>0</v>
      </c>
      <c r="Q66" s="1158">
        <f t="shared" si="47"/>
        <v>0</v>
      </c>
      <c r="R66" s="1158">
        <f t="shared" si="47"/>
        <v>0</v>
      </c>
      <c r="S66" s="1158">
        <f t="shared" si="47"/>
        <v>0</v>
      </c>
      <c r="T66" s="1158">
        <f t="shared" si="47"/>
        <v>0</v>
      </c>
      <c r="U66" s="1158">
        <f t="shared" si="47"/>
        <v>0</v>
      </c>
      <c r="V66" s="1158">
        <f t="shared" si="47"/>
        <v>0</v>
      </c>
      <c r="W66" s="1158">
        <f t="shared" si="47"/>
        <v>0</v>
      </c>
      <c r="X66" s="1158">
        <f t="shared" si="47"/>
        <v>0</v>
      </c>
      <c r="Y66" s="1158">
        <f t="shared" si="47"/>
        <v>0</v>
      </c>
      <c r="Z66" s="1158">
        <f t="shared" si="47"/>
        <v>0</v>
      </c>
      <c r="AA66" s="1158">
        <f t="shared" si="47"/>
        <v>0</v>
      </c>
      <c r="AB66" s="1158">
        <f t="shared" si="47"/>
        <v>0</v>
      </c>
      <c r="AC66" s="1158">
        <f t="shared" si="47"/>
        <v>0</v>
      </c>
      <c r="AD66" s="1158">
        <f t="shared" si="47"/>
        <v>0</v>
      </c>
      <c r="AE66" s="1158">
        <f t="shared" si="47"/>
        <v>0</v>
      </c>
      <c r="AF66" s="1158">
        <f t="shared" si="47"/>
        <v>0</v>
      </c>
      <c r="AG66" s="1158">
        <f>+AG64*AG61/1000</f>
        <v>0</v>
      </c>
      <c r="AH66" s="1158">
        <f t="shared" si="46"/>
        <v>0</v>
      </c>
      <c r="AI66" s="1158">
        <f t="shared" si="46"/>
        <v>0</v>
      </c>
      <c r="AJ66" s="1158">
        <f t="shared" si="46"/>
        <v>0</v>
      </c>
      <c r="AK66" s="1158">
        <f t="shared" si="46"/>
        <v>0</v>
      </c>
      <c r="AL66" s="1158">
        <f t="shared" si="46"/>
        <v>0</v>
      </c>
      <c r="AM66" s="98"/>
    </row>
    <row r="67" spans="2:39" s="75" customFormat="1" ht="14.85" customHeight="1">
      <c r="B67" s="2718">
        <v>1</v>
      </c>
      <c r="C67" s="2847" t="str">
        <f>Stoping!C81</f>
        <v>6L_E1 STOPE</v>
      </c>
      <c r="D67" s="2836" t="s">
        <v>66</v>
      </c>
      <c r="E67" s="91" t="s">
        <v>294</v>
      </c>
      <c r="F67" s="146">
        <f t="shared" si="40"/>
        <v>210</v>
      </c>
      <c r="G67" s="81"/>
      <c r="H67" s="147">
        <f>Stoping!H81</f>
        <v>35</v>
      </c>
      <c r="I67" s="147">
        <f>Stoping!I81</f>
        <v>35</v>
      </c>
      <c r="J67" s="147">
        <f>Stoping!J81</f>
        <v>35</v>
      </c>
      <c r="K67" s="148">
        <f>Stoping!K81</f>
        <v>35</v>
      </c>
      <c r="L67" s="148">
        <f>Stoping!L81</f>
        <v>35</v>
      </c>
      <c r="M67" s="148">
        <f>Stoping!M81</f>
        <v>35</v>
      </c>
      <c r="N67" s="148">
        <f>Stoping!N81</f>
        <v>35</v>
      </c>
      <c r="O67" s="148">
        <f>Stoping!O81</f>
        <v>35</v>
      </c>
      <c r="P67" s="152">
        <f>Stoping!P81</f>
        <v>35</v>
      </c>
      <c r="Q67" s="148">
        <f>Stoping!Q81</f>
        <v>35</v>
      </c>
      <c r="R67" s="148">
        <f>Stoping!R81</f>
        <v>0</v>
      </c>
      <c r="S67" s="148">
        <f>Stoping!S81</f>
        <v>0</v>
      </c>
      <c r="T67" s="148">
        <f>Stoping!T81</f>
        <v>35</v>
      </c>
      <c r="U67" s="148">
        <f>Stoping!U81</f>
        <v>35</v>
      </c>
      <c r="V67" s="148">
        <f>Stoping!V81</f>
        <v>35</v>
      </c>
      <c r="W67" s="148">
        <f>Stoping!W81</f>
        <v>35</v>
      </c>
      <c r="X67" s="148">
        <f>Stoping!X81</f>
        <v>35</v>
      </c>
      <c r="Y67" s="148">
        <f>Stoping!Y81</f>
        <v>35</v>
      </c>
      <c r="Z67" s="148">
        <f>Stoping!Z81</f>
        <v>35</v>
      </c>
      <c r="AA67" s="148">
        <f>Stoping!AA81</f>
        <v>35</v>
      </c>
      <c r="AB67" s="148">
        <f>Stoping!AB81</f>
        <v>35</v>
      </c>
      <c r="AC67" s="148">
        <f>Stoping!AC81</f>
        <v>35</v>
      </c>
      <c r="AD67" s="148">
        <f>Stoping!AD81</f>
        <v>35</v>
      </c>
      <c r="AE67" s="148">
        <f>Stoping!AE81</f>
        <v>35</v>
      </c>
      <c r="AF67" s="148">
        <f>Stoping!AF81</f>
        <v>35</v>
      </c>
      <c r="AG67" s="148">
        <f>Stoping!AG81</f>
        <v>35</v>
      </c>
      <c r="AH67" s="148">
        <f>Stoping!AH81</f>
        <v>35</v>
      </c>
      <c r="AI67" s="148">
        <f>Stoping!AI81</f>
        <v>35</v>
      </c>
      <c r="AJ67" s="148">
        <f>Stoping!AJ81</f>
        <v>35</v>
      </c>
      <c r="AK67" s="148">
        <f>Stoping!AK81</f>
        <v>35</v>
      </c>
      <c r="AL67" s="149">
        <f>Stoping!AL67</f>
        <v>70</v>
      </c>
      <c r="AM67" s="94"/>
    </row>
    <row r="68" spans="2:39">
      <c r="B68" s="2719"/>
      <c r="C68" s="2848"/>
      <c r="D68" s="2835"/>
      <c r="E68" s="1141" t="s">
        <v>295</v>
      </c>
      <c r="F68" s="1095">
        <f t="shared" si="40"/>
        <v>171</v>
      </c>
      <c r="G68" s="1142"/>
      <c r="H68" s="1143"/>
      <c r="I68" s="1095">
        <v>45</v>
      </c>
      <c r="J68" s="1095">
        <f>15+7.5</f>
        <v>22.5</v>
      </c>
      <c r="K68" s="1095">
        <f>16.5+33</f>
        <v>49.5</v>
      </c>
      <c r="L68" s="1095">
        <v>54</v>
      </c>
      <c r="M68" s="1095"/>
      <c r="N68" s="1095"/>
      <c r="O68" s="1095"/>
      <c r="P68" s="1095"/>
      <c r="Q68" s="1095"/>
      <c r="R68" s="1095"/>
      <c r="S68" s="1095"/>
      <c r="T68" s="1095"/>
      <c r="U68" s="1095"/>
      <c r="V68" s="1095"/>
      <c r="W68" s="1095"/>
      <c r="X68" s="1095"/>
      <c r="Y68" s="1095"/>
      <c r="Z68" s="1095"/>
      <c r="AA68" s="1095"/>
      <c r="AB68" s="1095"/>
      <c r="AC68" s="1095"/>
      <c r="AD68" s="1095"/>
      <c r="AE68" s="1095"/>
      <c r="AF68" s="1095"/>
      <c r="AG68" s="1095"/>
      <c r="AH68" s="1095"/>
      <c r="AI68" s="1095"/>
      <c r="AJ68" s="1095"/>
      <c r="AK68" s="1095"/>
      <c r="AL68" s="1095"/>
      <c r="AM68" s="95"/>
    </row>
    <row r="69" spans="2:39">
      <c r="B69" s="2719"/>
      <c r="C69" s="2848"/>
      <c r="D69" s="2835"/>
      <c r="E69" s="1159" t="s">
        <v>199</v>
      </c>
      <c r="F69" s="1145"/>
      <c r="G69" s="1146"/>
      <c r="H69" s="151"/>
      <c r="I69" s="151"/>
      <c r="J69" s="151"/>
      <c r="K69" s="151"/>
      <c r="L69" s="151"/>
      <c r="M69" s="151"/>
      <c r="N69" s="151"/>
      <c r="O69" s="151"/>
      <c r="P69" s="170"/>
      <c r="Q69" s="151"/>
      <c r="R69" s="151"/>
      <c r="S69" s="151"/>
      <c r="T69" s="151"/>
      <c r="U69" s="151"/>
      <c r="V69" s="151"/>
      <c r="W69" s="151"/>
      <c r="X69" s="151"/>
      <c r="Y69" s="151"/>
      <c r="Z69" s="151"/>
      <c r="AA69" s="151"/>
      <c r="AB69" s="151"/>
      <c r="AC69" s="151"/>
      <c r="AD69" s="151"/>
      <c r="AE69" s="151"/>
      <c r="AF69" s="151"/>
      <c r="AG69" s="151"/>
      <c r="AH69" s="151"/>
      <c r="AI69" s="151"/>
      <c r="AJ69" s="151"/>
      <c r="AK69" s="151"/>
      <c r="AL69" s="171"/>
      <c r="AM69" s="95"/>
    </row>
    <row r="70" spans="2:39">
      <c r="B70" s="2719"/>
      <c r="C70" s="2848"/>
      <c r="D70" s="2825" t="s">
        <v>68</v>
      </c>
      <c r="E70" s="1147" t="s">
        <v>296</v>
      </c>
      <c r="F70" s="1148">
        <f t="shared" ref="F70:F71" si="48">IFERROR(F72*1000/F67,0)</f>
        <v>3.1378504672897196</v>
      </c>
      <c r="G70" s="1149"/>
      <c r="H70" s="1150">
        <f>Breaking.!D64</f>
        <v>3.1378504672897192</v>
      </c>
      <c r="I70" s="1150">
        <f>Breaking.!E64</f>
        <v>3.1378504672897192</v>
      </c>
      <c r="J70" s="1150">
        <f>Breaking.!F64</f>
        <v>3.1378504672897192</v>
      </c>
      <c r="K70" s="1150">
        <f>Breaking.!G64</f>
        <v>3.1378504672897192</v>
      </c>
      <c r="L70" s="1150">
        <f>Breaking.!H64</f>
        <v>3.1378504672897192</v>
      </c>
      <c r="M70" s="1150">
        <f>Breaking.!I64</f>
        <v>3.1378504672897192</v>
      </c>
      <c r="N70" s="1150">
        <f>Breaking.!J64</f>
        <v>3.1378504672897192</v>
      </c>
      <c r="O70" s="1150">
        <f>Breaking.!K64</f>
        <v>3.1378504672897192</v>
      </c>
      <c r="P70" s="1150">
        <f>Breaking.!L64</f>
        <v>3.1378504672897192</v>
      </c>
      <c r="Q70" s="1150">
        <f>Breaking.!M64</f>
        <v>3.1378504672897192</v>
      </c>
      <c r="R70" s="1150">
        <f>Breaking.!N64</f>
        <v>0</v>
      </c>
      <c r="S70" s="1150">
        <f>Breaking.!O64</f>
        <v>0</v>
      </c>
      <c r="T70" s="1150">
        <f>Breaking.!P64</f>
        <v>3.1378504672897192</v>
      </c>
      <c r="U70" s="1150">
        <f>Breaking.!Q64</f>
        <v>3.1378504672897192</v>
      </c>
      <c r="V70" s="1150">
        <f>Breaking.!R64</f>
        <v>3.1378504672897192</v>
      </c>
      <c r="W70" s="1150">
        <f>Breaking.!S64</f>
        <v>3.1378504672897192</v>
      </c>
      <c r="X70" s="1150">
        <f>Breaking.!T64</f>
        <v>3.1378504672897192</v>
      </c>
      <c r="Y70" s="1150">
        <f>Breaking.!U64</f>
        <v>3.1378504672897192</v>
      </c>
      <c r="Z70" s="1150">
        <f>Breaking.!V64</f>
        <v>3.1378504672897192</v>
      </c>
      <c r="AA70" s="1150">
        <f>Breaking.!W64</f>
        <v>3.1378504672897192</v>
      </c>
      <c r="AB70" s="1150">
        <f>Breaking.!X64</f>
        <v>3.1378504672897192</v>
      </c>
      <c r="AC70" s="1150">
        <f>Breaking.!Y64</f>
        <v>3.1378504672897192</v>
      </c>
      <c r="AD70" s="1150">
        <f>Breaking.!Z64</f>
        <v>3.1378504672897192</v>
      </c>
      <c r="AE70" s="1150">
        <f>Breaking.!AA64</f>
        <v>3.1378504672897192</v>
      </c>
      <c r="AF70" s="1150">
        <f>Breaking.!AB64</f>
        <v>3.1378504672897192</v>
      </c>
      <c r="AG70" s="1150">
        <f>Breaking.!AC64</f>
        <v>3.1378504672897192</v>
      </c>
      <c r="AH70" s="1150">
        <f>Breaking.!AD64</f>
        <v>3.1378504672897192</v>
      </c>
      <c r="AI70" s="1150">
        <f>Breaking.!AE64</f>
        <v>3.1378504672897192</v>
      </c>
      <c r="AJ70" s="1150">
        <f>Breaking.!AF64</f>
        <v>3.1378504672897192</v>
      </c>
      <c r="AK70" s="1150">
        <f>Breaking.!AG64</f>
        <v>3.1378504672897192</v>
      </c>
      <c r="AL70" s="1150">
        <f>Breaking.!AH64</f>
        <v>3.1378504672897192</v>
      </c>
      <c r="AM70" s="95"/>
    </row>
    <row r="71" spans="2:39">
      <c r="B71" s="2719"/>
      <c r="C71" s="2848"/>
      <c r="D71" s="2850"/>
      <c r="E71" s="1151" t="s">
        <v>297</v>
      </c>
      <c r="F71" s="1152">
        <f t="shared" si="48"/>
        <v>4.2834210526315788</v>
      </c>
      <c r="G71" s="1142">
        <f t="shared" ref="G71" si="49">IFERROR((F71-F70)/F70,0)</f>
        <v>0.36508131833679502</v>
      </c>
      <c r="H71" s="1153"/>
      <c r="I71" s="1152">
        <v>3.41</v>
      </c>
      <c r="J71" s="1152">
        <v>3.54</v>
      </c>
      <c r="K71" s="1152">
        <v>4.3499999999999996</v>
      </c>
      <c r="L71" s="1152">
        <v>5.26</v>
      </c>
      <c r="M71" s="1152"/>
      <c r="N71" s="1152"/>
      <c r="O71" s="1152"/>
      <c r="P71" s="1152"/>
      <c r="Q71" s="1152"/>
      <c r="R71" s="1152"/>
      <c r="S71" s="1152"/>
      <c r="T71" s="1152"/>
      <c r="U71" s="1152"/>
      <c r="V71" s="1152"/>
      <c r="W71" s="1152"/>
      <c r="X71" s="1152"/>
      <c r="Y71" s="1152"/>
      <c r="Z71" s="1152"/>
      <c r="AA71" s="1152"/>
      <c r="AB71" s="1152"/>
      <c r="AC71" s="1152"/>
      <c r="AD71" s="1152"/>
      <c r="AE71" s="1152"/>
      <c r="AF71" s="1152"/>
      <c r="AG71" s="1152"/>
      <c r="AH71" s="1152"/>
      <c r="AI71" s="1152"/>
      <c r="AJ71" s="1152"/>
      <c r="AK71" s="1152"/>
      <c r="AL71" s="1152"/>
      <c r="AM71" s="95"/>
    </row>
    <row r="72" spans="2:39">
      <c r="B72" s="2719"/>
      <c r="C72" s="2848"/>
      <c r="D72" s="2825" t="s">
        <v>70</v>
      </c>
      <c r="E72" s="1147" t="s">
        <v>298</v>
      </c>
      <c r="F72" s="96">
        <f t="shared" ref="F72:F75" si="50">SUMIF($H$9:$AL$9,"&lt;="&amp;$C$7,H72:AL72)</f>
        <v>0.65894859813084106</v>
      </c>
      <c r="G72" s="1149"/>
      <c r="H72" s="1154">
        <f>+H70*H67/1000</f>
        <v>0.10982476635514017</v>
      </c>
      <c r="I72" s="1154">
        <f t="shared" ref="I72:AL72" si="51">+I70*I67/1000</f>
        <v>0.10982476635514017</v>
      </c>
      <c r="J72" s="1154">
        <f t="shared" si="51"/>
        <v>0.10982476635514017</v>
      </c>
      <c r="K72" s="1154">
        <f t="shared" si="51"/>
        <v>0.10982476635514017</v>
      </c>
      <c r="L72" s="1154">
        <f t="shared" si="51"/>
        <v>0.10982476635514017</v>
      </c>
      <c r="M72" s="1154">
        <f t="shared" si="51"/>
        <v>0.10982476635514017</v>
      </c>
      <c r="N72" s="1154">
        <f t="shared" si="51"/>
        <v>0.10982476635514017</v>
      </c>
      <c r="O72" s="1154">
        <f t="shared" si="51"/>
        <v>0.10982476635514017</v>
      </c>
      <c r="P72" s="1154">
        <f t="shared" si="51"/>
        <v>0.10982476635514017</v>
      </c>
      <c r="Q72" s="1154">
        <f t="shared" si="51"/>
        <v>0.10982476635514017</v>
      </c>
      <c r="R72" s="1154">
        <f t="shared" si="51"/>
        <v>0</v>
      </c>
      <c r="S72" s="1154">
        <f t="shared" si="51"/>
        <v>0</v>
      </c>
      <c r="T72" s="1154">
        <f t="shared" si="51"/>
        <v>0.10982476635514017</v>
      </c>
      <c r="U72" s="1154">
        <f t="shared" si="51"/>
        <v>0.10982476635514017</v>
      </c>
      <c r="V72" s="1154">
        <f t="shared" si="51"/>
        <v>0.10982476635514017</v>
      </c>
      <c r="W72" s="1154">
        <f t="shared" si="51"/>
        <v>0.10982476635514017</v>
      </c>
      <c r="X72" s="1154">
        <f t="shared" si="51"/>
        <v>0.10982476635514017</v>
      </c>
      <c r="Y72" s="1154">
        <f t="shared" si="51"/>
        <v>0.10982476635514017</v>
      </c>
      <c r="Z72" s="1154">
        <f t="shared" si="51"/>
        <v>0.10982476635514017</v>
      </c>
      <c r="AA72" s="1154">
        <f t="shared" si="51"/>
        <v>0.10982476635514017</v>
      </c>
      <c r="AB72" s="1154">
        <f t="shared" si="51"/>
        <v>0.10982476635514017</v>
      </c>
      <c r="AC72" s="1154">
        <f t="shared" si="51"/>
        <v>0.10982476635514017</v>
      </c>
      <c r="AD72" s="1154">
        <f t="shared" si="51"/>
        <v>0.10982476635514017</v>
      </c>
      <c r="AE72" s="1154">
        <f t="shared" si="51"/>
        <v>0.10982476635514017</v>
      </c>
      <c r="AF72" s="1154">
        <f t="shared" si="51"/>
        <v>0.10982476635514017</v>
      </c>
      <c r="AG72" s="1154">
        <f t="shared" si="51"/>
        <v>0.10982476635514017</v>
      </c>
      <c r="AH72" s="1154">
        <f t="shared" si="51"/>
        <v>0.10982476635514017</v>
      </c>
      <c r="AI72" s="1154">
        <f t="shared" si="51"/>
        <v>0.10982476635514017</v>
      </c>
      <c r="AJ72" s="1154">
        <f t="shared" si="51"/>
        <v>0.10982476635514017</v>
      </c>
      <c r="AK72" s="1154">
        <f t="shared" si="51"/>
        <v>0.10982476635514017</v>
      </c>
      <c r="AL72" s="1154">
        <f t="shared" si="51"/>
        <v>0.21964953271028034</v>
      </c>
      <c r="AM72" s="97"/>
    </row>
    <row r="73" spans="2:39" ht="14.4" thickBot="1">
      <c r="B73" s="2720"/>
      <c r="C73" s="2849"/>
      <c r="D73" s="2851"/>
      <c r="E73" s="1049" t="s">
        <v>299</v>
      </c>
      <c r="F73" s="1004">
        <f t="shared" si="50"/>
        <v>0.73246499999999992</v>
      </c>
      <c r="G73" s="1105">
        <f t="shared" ref="G73" si="52">IFERROR((F73-F72)/F72,0)</f>
        <v>0.1115662163599617</v>
      </c>
      <c r="H73" s="1158">
        <f>+H71*H68/1000</f>
        <v>0</v>
      </c>
      <c r="I73" s="1158">
        <f t="shared" ref="I73:AL73" si="53">+I71*I68/1000</f>
        <v>0.15345000000000003</v>
      </c>
      <c r="J73" s="1158">
        <f t="shared" si="53"/>
        <v>7.9650000000000012E-2</v>
      </c>
      <c r="K73" s="1158">
        <f t="shared" si="53"/>
        <v>0.21532499999999999</v>
      </c>
      <c r="L73" s="1158">
        <f t="shared" si="53"/>
        <v>0.28403999999999996</v>
      </c>
      <c r="M73" s="1158">
        <f t="shared" si="53"/>
        <v>0</v>
      </c>
      <c r="N73" s="1158">
        <f t="shared" si="53"/>
        <v>0</v>
      </c>
      <c r="O73" s="1158">
        <f t="shared" si="53"/>
        <v>0</v>
      </c>
      <c r="P73" s="1158">
        <f t="shared" si="53"/>
        <v>0</v>
      </c>
      <c r="Q73" s="1158">
        <f t="shared" si="53"/>
        <v>0</v>
      </c>
      <c r="R73" s="1158">
        <f t="shared" si="53"/>
        <v>0</v>
      </c>
      <c r="S73" s="1158">
        <f t="shared" si="53"/>
        <v>0</v>
      </c>
      <c r="T73" s="1158">
        <f t="shared" si="53"/>
        <v>0</v>
      </c>
      <c r="U73" s="1158">
        <f t="shared" si="53"/>
        <v>0</v>
      </c>
      <c r="V73" s="1158">
        <f t="shared" si="53"/>
        <v>0</v>
      </c>
      <c r="W73" s="1158">
        <f t="shared" si="53"/>
        <v>0</v>
      </c>
      <c r="X73" s="1158">
        <f t="shared" si="53"/>
        <v>0</v>
      </c>
      <c r="Y73" s="1158">
        <f t="shared" si="53"/>
        <v>0</v>
      </c>
      <c r="Z73" s="1158">
        <f t="shared" si="53"/>
        <v>0</v>
      </c>
      <c r="AA73" s="1158">
        <f t="shared" si="53"/>
        <v>0</v>
      </c>
      <c r="AB73" s="1158">
        <f t="shared" si="53"/>
        <v>0</v>
      </c>
      <c r="AC73" s="1158">
        <f t="shared" si="53"/>
        <v>0</v>
      </c>
      <c r="AD73" s="1158">
        <f t="shared" si="53"/>
        <v>0</v>
      </c>
      <c r="AE73" s="1158">
        <f t="shared" si="53"/>
        <v>0</v>
      </c>
      <c r="AF73" s="1158">
        <f t="shared" si="53"/>
        <v>0</v>
      </c>
      <c r="AG73" s="1158">
        <f t="shared" si="53"/>
        <v>0</v>
      </c>
      <c r="AH73" s="1158">
        <f t="shared" si="53"/>
        <v>0</v>
      </c>
      <c r="AI73" s="1158">
        <f t="shared" si="53"/>
        <v>0</v>
      </c>
      <c r="AJ73" s="1158">
        <f t="shared" si="53"/>
        <v>0</v>
      </c>
      <c r="AK73" s="1158">
        <f t="shared" si="53"/>
        <v>0</v>
      </c>
      <c r="AL73" s="1158">
        <f t="shared" si="53"/>
        <v>0</v>
      </c>
      <c r="AM73" s="98"/>
    </row>
    <row r="74" spans="2:39" s="75" customFormat="1" ht="14.85" customHeight="1">
      <c r="B74" s="2718">
        <v>1</v>
      </c>
      <c r="C74" s="2847" t="str">
        <f>Stoping!C88</f>
        <v xml:space="preserve">6L_W1 STOPE </v>
      </c>
      <c r="D74" s="2836" t="s">
        <v>66</v>
      </c>
      <c r="E74" s="91" t="s">
        <v>294</v>
      </c>
      <c r="F74" s="146">
        <f t="shared" si="50"/>
        <v>0</v>
      </c>
      <c r="G74" s="81"/>
      <c r="H74" s="147">
        <f>Stoping!H88</f>
        <v>0</v>
      </c>
      <c r="I74" s="147">
        <f>Stoping!I88</f>
        <v>0</v>
      </c>
      <c r="J74" s="147">
        <f>Stoping!J88</f>
        <v>0</v>
      </c>
      <c r="K74" s="148">
        <f>Stoping!K88</f>
        <v>0</v>
      </c>
      <c r="L74" s="148">
        <f>Stoping!L88</f>
        <v>0</v>
      </c>
      <c r="M74" s="148">
        <f>Stoping!M88</f>
        <v>0</v>
      </c>
      <c r="N74" s="148">
        <f>Stoping!N88</f>
        <v>0</v>
      </c>
      <c r="O74" s="148">
        <f>Stoping!O88</f>
        <v>0</v>
      </c>
      <c r="P74" s="152">
        <f>Stoping!P88</f>
        <v>0</v>
      </c>
      <c r="Q74" s="148">
        <f>Stoping!Q88</f>
        <v>0</v>
      </c>
      <c r="R74" s="148">
        <f>Stoping!R88</f>
        <v>0</v>
      </c>
      <c r="S74" s="148">
        <f>Stoping!S88</f>
        <v>0</v>
      </c>
      <c r="T74" s="148">
        <f>Stoping!T88</f>
        <v>0</v>
      </c>
      <c r="U74" s="148">
        <f>Stoping!U88</f>
        <v>0</v>
      </c>
      <c r="V74" s="148">
        <f>Stoping!V88</f>
        <v>0</v>
      </c>
      <c r="W74" s="148">
        <f>Stoping!W88</f>
        <v>0</v>
      </c>
      <c r="X74" s="148">
        <f>Stoping!X88</f>
        <v>0</v>
      </c>
      <c r="Y74" s="148">
        <f>Stoping!Y88</f>
        <v>0</v>
      </c>
      <c r="Z74" s="148">
        <f>Stoping!Z88</f>
        <v>0</v>
      </c>
      <c r="AA74" s="148">
        <f>Stoping!AA88</f>
        <v>0</v>
      </c>
      <c r="AB74" s="148">
        <f>Stoping!AB88</f>
        <v>0</v>
      </c>
      <c r="AC74" s="148">
        <f>Stoping!AC88</f>
        <v>0</v>
      </c>
      <c r="AD74" s="148">
        <f>Stoping!AD88</f>
        <v>0</v>
      </c>
      <c r="AE74" s="148">
        <f>Stoping!AE88</f>
        <v>0</v>
      </c>
      <c r="AF74" s="148">
        <f>Stoping!AF88</f>
        <v>0</v>
      </c>
      <c r="AG74" s="148">
        <f>Stoping!AG88</f>
        <v>0</v>
      </c>
      <c r="AH74" s="148">
        <f>Stoping!AH88</f>
        <v>0</v>
      </c>
      <c r="AI74" s="148">
        <f>Stoping!AI88</f>
        <v>0</v>
      </c>
      <c r="AJ74" s="148">
        <f>Stoping!AJ88</f>
        <v>0</v>
      </c>
      <c r="AK74" s="148">
        <f>Stoping!AK88</f>
        <v>0</v>
      </c>
      <c r="AL74" s="149">
        <f>Stoping!AL88</f>
        <v>0</v>
      </c>
      <c r="AM74" s="94"/>
    </row>
    <row r="75" spans="2:39">
      <c r="B75" s="2719"/>
      <c r="C75" s="2848"/>
      <c r="D75" s="2835"/>
      <c r="E75" s="1141" t="s">
        <v>295</v>
      </c>
      <c r="F75" s="1095">
        <f t="shared" si="50"/>
        <v>0</v>
      </c>
      <c r="G75" s="1142">
        <f t="shared" ref="G75" si="54">IFERROR((F75-F74)/F74,0)</f>
        <v>0</v>
      </c>
      <c r="H75" s="1143"/>
      <c r="I75" s="1095"/>
      <c r="J75" s="1095"/>
      <c r="K75" s="1095"/>
      <c r="L75" s="1095"/>
      <c r="M75" s="1095"/>
      <c r="N75" s="1095"/>
      <c r="O75" s="1095"/>
      <c r="P75" s="1095"/>
      <c r="Q75" s="1095"/>
      <c r="R75" s="1095"/>
      <c r="S75" s="1095"/>
      <c r="T75" s="1095"/>
      <c r="U75" s="1095"/>
      <c r="V75" s="1095"/>
      <c r="W75" s="1095"/>
      <c r="X75" s="1095"/>
      <c r="Y75" s="1095"/>
      <c r="Z75" s="1095"/>
      <c r="AA75" s="1095"/>
      <c r="AB75" s="1095"/>
      <c r="AC75" s="1095"/>
      <c r="AD75" s="1095"/>
      <c r="AE75" s="1095"/>
      <c r="AF75" s="1095"/>
      <c r="AG75" s="1095"/>
      <c r="AH75" s="1095"/>
      <c r="AI75" s="1095"/>
      <c r="AJ75" s="1095"/>
      <c r="AK75" s="1095"/>
      <c r="AL75" s="1095"/>
      <c r="AM75" s="95"/>
    </row>
    <row r="76" spans="2:39">
      <c r="B76" s="2719"/>
      <c r="C76" s="2848"/>
      <c r="D76" s="2835"/>
      <c r="E76" s="1159" t="s">
        <v>199</v>
      </c>
      <c r="F76" s="1145"/>
      <c r="G76" s="1146"/>
      <c r="H76" s="151"/>
      <c r="I76" s="151"/>
      <c r="J76" s="151"/>
      <c r="K76" s="151"/>
      <c r="L76" s="151"/>
      <c r="M76" s="151"/>
      <c r="N76" s="151"/>
      <c r="O76" s="151"/>
      <c r="P76" s="170"/>
      <c r="Q76" s="151"/>
      <c r="R76" s="151"/>
      <c r="S76" s="151"/>
      <c r="T76" s="151"/>
      <c r="U76" s="151"/>
      <c r="V76" s="151"/>
      <c r="W76" s="151"/>
      <c r="X76" s="151"/>
      <c r="Y76" s="151"/>
      <c r="Z76" s="151"/>
      <c r="AA76" s="151"/>
      <c r="AB76" s="151"/>
      <c r="AC76" s="151"/>
      <c r="AD76" s="151"/>
      <c r="AE76" s="151"/>
      <c r="AF76" s="151"/>
      <c r="AG76" s="151"/>
      <c r="AH76" s="151"/>
      <c r="AI76" s="151"/>
      <c r="AJ76" s="151"/>
      <c r="AK76" s="151"/>
      <c r="AL76" s="171"/>
      <c r="AM76" s="95"/>
    </row>
    <row r="77" spans="2:39">
      <c r="B77" s="2719"/>
      <c r="C77" s="2848"/>
      <c r="D77" s="2825" t="s">
        <v>68</v>
      </c>
      <c r="E77" s="1147" t="s">
        <v>296</v>
      </c>
      <c r="F77" s="1148">
        <f t="shared" ref="F77:F78" si="55">IFERROR(F79*1000/F74,0)</f>
        <v>0</v>
      </c>
      <c r="G77" s="1149"/>
      <c r="H77" s="1150">
        <f>Breaking.!D66</f>
        <v>0</v>
      </c>
      <c r="I77" s="1150">
        <f>Breaking.!E66</f>
        <v>0</v>
      </c>
      <c r="J77" s="1150">
        <f>Breaking.!F66</f>
        <v>0</v>
      </c>
      <c r="K77" s="1150">
        <f>Breaking.!G66</f>
        <v>0</v>
      </c>
      <c r="L77" s="1150">
        <f>Breaking.!H66</f>
        <v>0</v>
      </c>
      <c r="M77" s="1150">
        <f>Breaking.!I66</f>
        <v>0</v>
      </c>
      <c r="N77" s="1150">
        <f>Breaking.!J66</f>
        <v>0</v>
      </c>
      <c r="O77" s="1150">
        <f>Breaking.!K66</f>
        <v>0</v>
      </c>
      <c r="P77" s="1150">
        <f>Breaking.!L66</f>
        <v>0</v>
      </c>
      <c r="Q77" s="1150">
        <f>Breaking.!M66</f>
        <v>0</v>
      </c>
      <c r="R77" s="1150">
        <f>Breaking.!N66</f>
        <v>0</v>
      </c>
      <c r="S77" s="1150">
        <f>Breaking.!O66</f>
        <v>0</v>
      </c>
      <c r="T77" s="1150">
        <f>Breaking.!P66</f>
        <v>0</v>
      </c>
      <c r="U77" s="1150">
        <f>Breaking.!Q66</f>
        <v>0</v>
      </c>
      <c r="V77" s="1150">
        <f>Breaking.!R66</f>
        <v>0</v>
      </c>
      <c r="W77" s="1150">
        <f>Breaking.!S66</f>
        <v>0</v>
      </c>
      <c r="X77" s="1150">
        <f>Breaking.!T66</f>
        <v>0</v>
      </c>
      <c r="Y77" s="1150">
        <f>Breaking.!U66</f>
        <v>0</v>
      </c>
      <c r="Z77" s="1150">
        <f>Breaking.!V66</f>
        <v>0</v>
      </c>
      <c r="AA77" s="1150">
        <f>Breaking.!W66</f>
        <v>0</v>
      </c>
      <c r="AB77" s="1150">
        <f>Breaking.!X66</f>
        <v>0</v>
      </c>
      <c r="AC77" s="1150">
        <f>Breaking.!Y66</f>
        <v>0</v>
      </c>
      <c r="AD77" s="1150">
        <f>Breaking.!Z66</f>
        <v>0</v>
      </c>
      <c r="AE77" s="1150">
        <f>Breaking.!AA66</f>
        <v>0</v>
      </c>
      <c r="AF77" s="1150">
        <f>Breaking.!AB66</f>
        <v>0</v>
      </c>
      <c r="AG77" s="1150">
        <f>Breaking.!AC66</f>
        <v>0</v>
      </c>
      <c r="AH77" s="1150">
        <f>Breaking.!AD66</f>
        <v>0</v>
      </c>
      <c r="AI77" s="1150">
        <f>Breaking.!AE66</f>
        <v>0</v>
      </c>
      <c r="AJ77" s="1150">
        <f>Breaking.!AF66</f>
        <v>0</v>
      </c>
      <c r="AK77" s="1150">
        <f>Breaking.!AG66</f>
        <v>0</v>
      </c>
      <c r="AL77" s="1150">
        <f>Breaking.!AH66</f>
        <v>0</v>
      </c>
      <c r="AM77" s="95"/>
    </row>
    <row r="78" spans="2:39">
      <c r="B78" s="2719"/>
      <c r="C78" s="2848"/>
      <c r="D78" s="2850"/>
      <c r="E78" s="1151" t="s">
        <v>297</v>
      </c>
      <c r="F78" s="1152">
        <f t="shared" si="55"/>
        <v>0</v>
      </c>
      <c r="G78" s="1142">
        <f t="shared" ref="G78" si="56">IFERROR((F78-F77)/F77,0)</f>
        <v>0</v>
      </c>
      <c r="H78" s="1153"/>
      <c r="I78" s="1152"/>
      <c r="J78" s="1152"/>
      <c r="K78" s="1152"/>
      <c r="L78" s="1152"/>
      <c r="M78" s="1152"/>
      <c r="N78" s="1152"/>
      <c r="O78" s="1152"/>
      <c r="P78" s="1152"/>
      <c r="Q78" s="1152"/>
      <c r="R78" s="1152"/>
      <c r="S78" s="1152"/>
      <c r="T78" s="1152"/>
      <c r="U78" s="1152"/>
      <c r="V78" s="1152"/>
      <c r="W78" s="1152"/>
      <c r="X78" s="1152"/>
      <c r="Y78" s="1152"/>
      <c r="Z78" s="1152"/>
      <c r="AA78" s="1152"/>
      <c r="AB78" s="1152"/>
      <c r="AC78" s="1152"/>
      <c r="AD78" s="1152"/>
      <c r="AE78" s="1152"/>
      <c r="AF78" s="1152"/>
      <c r="AG78" s="1152"/>
      <c r="AH78" s="1152"/>
      <c r="AI78" s="1152"/>
      <c r="AJ78" s="1152"/>
      <c r="AK78" s="1152"/>
      <c r="AL78" s="1152"/>
      <c r="AM78" s="95"/>
    </row>
    <row r="79" spans="2:39">
      <c r="B79" s="2719"/>
      <c r="C79" s="2848"/>
      <c r="D79" s="2825" t="s">
        <v>70</v>
      </c>
      <c r="E79" s="1147" t="s">
        <v>298</v>
      </c>
      <c r="F79" s="96">
        <f t="shared" ref="F79:F82" si="57">SUMIF($H$9:$AL$9,"&lt;="&amp;$C$7,H79:AL79)</f>
        <v>0</v>
      </c>
      <c r="G79" s="1149"/>
      <c r="H79" s="1154">
        <f>+H77*H74/1000</f>
        <v>0</v>
      </c>
      <c r="I79" s="1154">
        <f t="shared" ref="I79:AL79" si="58">+I77*I74/1000</f>
        <v>0</v>
      </c>
      <c r="J79" s="1154">
        <f t="shared" si="58"/>
        <v>0</v>
      </c>
      <c r="K79" s="1154">
        <f t="shared" si="58"/>
        <v>0</v>
      </c>
      <c r="L79" s="1154">
        <f t="shared" si="58"/>
        <v>0</v>
      </c>
      <c r="M79" s="1154">
        <f t="shared" si="58"/>
        <v>0</v>
      </c>
      <c r="N79" s="1154">
        <f t="shared" si="58"/>
        <v>0</v>
      </c>
      <c r="O79" s="1154">
        <f t="shared" si="58"/>
        <v>0</v>
      </c>
      <c r="P79" s="1154">
        <f t="shared" si="58"/>
        <v>0</v>
      </c>
      <c r="Q79" s="1154">
        <f t="shared" si="58"/>
        <v>0</v>
      </c>
      <c r="R79" s="1154">
        <f t="shared" si="58"/>
        <v>0</v>
      </c>
      <c r="S79" s="1154">
        <f t="shared" si="58"/>
        <v>0</v>
      </c>
      <c r="T79" s="1154">
        <f t="shared" si="58"/>
        <v>0</v>
      </c>
      <c r="U79" s="1154">
        <f t="shared" si="58"/>
        <v>0</v>
      </c>
      <c r="V79" s="1154">
        <f t="shared" si="58"/>
        <v>0</v>
      </c>
      <c r="W79" s="1154">
        <f t="shared" si="58"/>
        <v>0</v>
      </c>
      <c r="X79" s="1154">
        <f t="shared" si="58"/>
        <v>0</v>
      </c>
      <c r="Y79" s="1154">
        <f t="shared" si="58"/>
        <v>0</v>
      </c>
      <c r="Z79" s="1154">
        <f t="shared" si="58"/>
        <v>0</v>
      </c>
      <c r="AA79" s="1154">
        <f t="shared" si="58"/>
        <v>0</v>
      </c>
      <c r="AB79" s="1154">
        <f t="shared" si="58"/>
        <v>0</v>
      </c>
      <c r="AC79" s="1154">
        <f t="shared" si="58"/>
        <v>0</v>
      </c>
      <c r="AD79" s="1154">
        <f t="shared" si="58"/>
        <v>0</v>
      </c>
      <c r="AE79" s="1154">
        <f t="shared" si="58"/>
        <v>0</v>
      </c>
      <c r="AF79" s="1154">
        <f t="shared" si="58"/>
        <v>0</v>
      </c>
      <c r="AG79" s="1154">
        <f t="shared" si="58"/>
        <v>0</v>
      </c>
      <c r="AH79" s="1154">
        <f t="shared" si="58"/>
        <v>0</v>
      </c>
      <c r="AI79" s="1154">
        <f t="shared" si="58"/>
        <v>0</v>
      </c>
      <c r="AJ79" s="1154">
        <f t="shared" si="58"/>
        <v>0</v>
      </c>
      <c r="AK79" s="1154">
        <f t="shared" si="58"/>
        <v>0</v>
      </c>
      <c r="AL79" s="1154">
        <f t="shared" si="58"/>
        <v>0</v>
      </c>
      <c r="AM79" s="97"/>
    </row>
    <row r="80" spans="2:39" ht="14.4" thickBot="1">
      <c r="B80" s="2720"/>
      <c r="C80" s="2849"/>
      <c r="D80" s="2851"/>
      <c r="E80" s="1049" t="s">
        <v>299</v>
      </c>
      <c r="F80" s="1004">
        <f t="shared" si="57"/>
        <v>0</v>
      </c>
      <c r="G80" s="1105">
        <f t="shared" ref="G80" si="59">IFERROR((F80-F79)/F79,0)</f>
        <v>0</v>
      </c>
      <c r="H80" s="1158">
        <f>+H78*H75/1000</f>
        <v>0</v>
      </c>
      <c r="I80" s="1158">
        <f t="shared" ref="I80:AL80" si="60">+I78*I75/1000</f>
        <v>0</v>
      </c>
      <c r="J80" s="1158">
        <f t="shared" si="60"/>
        <v>0</v>
      </c>
      <c r="K80" s="1158">
        <f t="shared" si="60"/>
        <v>0</v>
      </c>
      <c r="L80" s="1158">
        <f t="shared" si="60"/>
        <v>0</v>
      </c>
      <c r="M80" s="1158">
        <f t="shared" si="60"/>
        <v>0</v>
      </c>
      <c r="N80" s="1158">
        <f t="shared" si="60"/>
        <v>0</v>
      </c>
      <c r="O80" s="1158">
        <f t="shared" si="60"/>
        <v>0</v>
      </c>
      <c r="P80" s="1158">
        <f t="shared" si="60"/>
        <v>0</v>
      </c>
      <c r="Q80" s="1158">
        <f t="shared" si="60"/>
        <v>0</v>
      </c>
      <c r="R80" s="1158">
        <f t="shared" si="60"/>
        <v>0</v>
      </c>
      <c r="S80" s="1158">
        <f t="shared" si="60"/>
        <v>0</v>
      </c>
      <c r="T80" s="1158">
        <f t="shared" si="60"/>
        <v>0</v>
      </c>
      <c r="U80" s="1158">
        <f t="shared" si="60"/>
        <v>0</v>
      </c>
      <c r="V80" s="1158">
        <f t="shared" si="60"/>
        <v>0</v>
      </c>
      <c r="W80" s="1158">
        <f t="shared" si="60"/>
        <v>0</v>
      </c>
      <c r="X80" s="1158">
        <f t="shared" si="60"/>
        <v>0</v>
      </c>
      <c r="Y80" s="1158">
        <f t="shared" si="60"/>
        <v>0</v>
      </c>
      <c r="Z80" s="1158">
        <f t="shared" si="60"/>
        <v>0</v>
      </c>
      <c r="AA80" s="1158">
        <f t="shared" si="60"/>
        <v>0</v>
      </c>
      <c r="AB80" s="1158">
        <f t="shared" si="60"/>
        <v>0</v>
      </c>
      <c r="AC80" s="1158">
        <f t="shared" si="60"/>
        <v>0</v>
      </c>
      <c r="AD80" s="1158">
        <f t="shared" si="60"/>
        <v>0</v>
      </c>
      <c r="AE80" s="1158">
        <f t="shared" si="60"/>
        <v>0</v>
      </c>
      <c r="AF80" s="1158">
        <f t="shared" si="60"/>
        <v>0</v>
      </c>
      <c r="AG80" s="1158">
        <f t="shared" si="60"/>
        <v>0</v>
      </c>
      <c r="AH80" s="1158">
        <f t="shared" si="60"/>
        <v>0</v>
      </c>
      <c r="AI80" s="1158">
        <f t="shared" si="60"/>
        <v>0</v>
      </c>
      <c r="AJ80" s="1158">
        <f t="shared" si="60"/>
        <v>0</v>
      </c>
      <c r="AK80" s="1158">
        <f t="shared" si="60"/>
        <v>0</v>
      </c>
      <c r="AL80" s="1158">
        <f t="shared" si="60"/>
        <v>0</v>
      </c>
      <c r="AM80" s="98"/>
    </row>
    <row r="81" spans="2:39" s="75" customFormat="1" ht="14.85" customHeight="1">
      <c r="B81" s="2718">
        <v>1</v>
      </c>
      <c r="C81" s="2847" t="str">
        <f>Stoping!C95</f>
        <v xml:space="preserve">6L_W2 STOPE </v>
      </c>
      <c r="D81" s="2836" t="s">
        <v>66</v>
      </c>
      <c r="E81" s="91" t="s">
        <v>294</v>
      </c>
      <c r="F81" s="146">
        <f t="shared" si="57"/>
        <v>840</v>
      </c>
      <c r="G81" s="81"/>
      <c r="H81" s="147">
        <f>Stoping!H95</f>
        <v>140</v>
      </c>
      <c r="I81" s="147">
        <f>Stoping!I95</f>
        <v>140</v>
      </c>
      <c r="J81" s="147">
        <f>Stoping!J95</f>
        <v>140</v>
      </c>
      <c r="K81" s="148">
        <f>Stoping!K95</f>
        <v>140</v>
      </c>
      <c r="L81" s="148">
        <f>Stoping!L95</f>
        <v>140</v>
      </c>
      <c r="M81" s="148">
        <f>Stoping!M95</f>
        <v>140</v>
      </c>
      <c r="N81" s="148">
        <f>Stoping!N95</f>
        <v>140</v>
      </c>
      <c r="O81" s="148">
        <f>Stoping!O95</f>
        <v>140</v>
      </c>
      <c r="P81" s="152">
        <f>Stoping!P95</f>
        <v>140</v>
      </c>
      <c r="Q81" s="148">
        <f>Stoping!Q95</f>
        <v>140</v>
      </c>
      <c r="R81" s="148">
        <f>Stoping!R95</f>
        <v>0</v>
      </c>
      <c r="S81" s="148">
        <f>Stoping!S95</f>
        <v>0</v>
      </c>
      <c r="T81" s="148">
        <f>Stoping!T95</f>
        <v>140</v>
      </c>
      <c r="U81" s="148">
        <f>Stoping!U95</f>
        <v>140</v>
      </c>
      <c r="V81" s="148">
        <f>Stoping!V95</f>
        <v>140</v>
      </c>
      <c r="W81" s="148">
        <f>Stoping!W95</f>
        <v>140</v>
      </c>
      <c r="X81" s="148">
        <f>Stoping!X95</f>
        <v>140</v>
      </c>
      <c r="Y81" s="148">
        <f>Stoping!Y95</f>
        <v>140</v>
      </c>
      <c r="Z81" s="148">
        <f>Stoping!Z95</f>
        <v>140</v>
      </c>
      <c r="AA81" s="148">
        <f>Stoping!AA95</f>
        <v>140</v>
      </c>
      <c r="AB81" s="148">
        <f>Stoping!AB95</f>
        <v>140</v>
      </c>
      <c r="AC81" s="148">
        <f>Stoping!AC95</f>
        <v>140</v>
      </c>
      <c r="AD81" s="148">
        <f>Stoping!AD95</f>
        <v>140</v>
      </c>
      <c r="AE81" s="148">
        <f>Stoping!AE95</f>
        <v>140</v>
      </c>
      <c r="AF81" s="148">
        <f>Stoping!AF95</f>
        <v>140</v>
      </c>
      <c r="AG81" s="148">
        <f>Stoping!AG95</f>
        <v>140</v>
      </c>
      <c r="AH81" s="148">
        <f>Stoping!AH95</f>
        <v>140</v>
      </c>
      <c r="AI81" s="148">
        <f>Stoping!AI95</f>
        <v>140</v>
      </c>
      <c r="AJ81" s="148">
        <f>Stoping!AJ95</f>
        <v>140</v>
      </c>
      <c r="AK81" s="148">
        <f>Stoping!AK95</f>
        <v>140</v>
      </c>
      <c r="AL81" s="149">
        <f>Stoping!AL95</f>
        <v>140</v>
      </c>
      <c r="AM81" s="94"/>
    </row>
    <row r="82" spans="2:39">
      <c r="B82" s="2719"/>
      <c r="C82" s="2848"/>
      <c r="D82" s="2835"/>
      <c r="E82" s="1141" t="s">
        <v>295</v>
      </c>
      <c r="F82" s="1095">
        <f t="shared" si="57"/>
        <v>1184.5</v>
      </c>
      <c r="G82" s="1142">
        <f t="shared" ref="G82" si="61">IFERROR((F82-F81)/F81,0)</f>
        <v>0.41011904761904761</v>
      </c>
      <c r="H82" s="1143">
        <f>19.5+147</f>
        <v>166.5</v>
      </c>
      <c r="I82" s="1095">
        <f>165+114</f>
        <v>279</v>
      </c>
      <c r="J82" s="1095">
        <f>130.5+136.5</f>
        <v>267</v>
      </c>
      <c r="K82" s="1095">
        <f>88.5+108</f>
        <v>196.5</v>
      </c>
      <c r="L82" s="1095">
        <f>142.5+133</f>
        <v>275.5</v>
      </c>
      <c r="M82" s="1095"/>
      <c r="N82" s="1095"/>
      <c r="O82" s="1095"/>
      <c r="P82" s="1095"/>
      <c r="Q82" s="1095"/>
      <c r="R82" s="1095"/>
      <c r="S82" s="1095"/>
      <c r="T82" s="1095"/>
      <c r="U82" s="1095"/>
      <c r="V82" s="1095"/>
      <c r="W82" s="1095"/>
      <c r="X82" s="1095"/>
      <c r="Y82" s="1095"/>
      <c r="Z82" s="1095"/>
      <c r="AA82" s="1095"/>
      <c r="AB82" s="1095"/>
      <c r="AC82" s="1095"/>
      <c r="AD82" s="1095"/>
      <c r="AE82" s="1095"/>
      <c r="AF82" s="1095"/>
      <c r="AG82" s="1095"/>
      <c r="AH82" s="1095"/>
      <c r="AI82" s="1095"/>
      <c r="AJ82" s="1095"/>
      <c r="AK82" s="1095"/>
      <c r="AL82" s="1095"/>
      <c r="AM82" s="95"/>
    </row>
    <row r="83" spans="2:39">
      <c r="B83" s="2719"/>
      <c r="C83" s="2848"/>
      <c r="D83" s="2835"/>
      <c r="E83" s="1159" t="s">
        <v>199</v>
      </c>
      <c r="F83" s="1145"/>
      <c r="G83" s="1146"/>
      <c r="H83" s="151"/>
      <c r="I83" s="151"/>
      <c r="J83" s="151"/>
      <c r="K83" s="151"/>
      <c r="L83" s="151"/>
      <c r="M83" s="151"/>
      <c r="N83" s="151"/>
      <c r="O83" s="151"/>
      <c r="P83" s="170"/>
      <c r="Q83" s="151"/>
      <c r="R83" s="151"/>
      <c r="S83" s="151"/>
      <c r="T83" s="151"/>
      <c r="U83" s="151"/>
      <c r="V83" s="151"/>
      <c r="W83" s="151"/>
      <c r="X83" s="151"/>
      <c r="Y83" s="151"/>
      <c r="Z83" s="151"/>
      <c r="AA83" s="151"/>
      <c r="AB83" s="151"/>
      <c r="AC83" s="151"/>
      <c r="AD83" s="151"/>
      <c r="AE83" s="151"/>
      <c r="AF83" s="151"/>
      <c r="AG83" s="151"/>
      <c r="AH83" s="151"/>
      <c r="AI83" s="151"/>
      <c r="AJ83" s="151"/>
      <c r="AK83" s="151"/>
      <c r="AL83" s="171"/>
      <c r="AM83" s="95"/>
    </row>
    <row r="84" spans="2:39">
      <c r="B84" s="2719"/>
      <c r="C84" s="2848"/>
      <c r="D84" s="2825" t="s">
        <v>68</v>
      </c>
      <c r="E84" s="1147" t="s">
        <v>296</v>
      </c>
      <c r="F84" s="1148">
        <f t="shared" ref="F84:F85" si="62">IFERROR(F86*1000/F81,0)</f>
        <v>2.5420560747663545</v>
      </c>
      <c r="G84" s="1149"/>
      <c r="H84" s="1150">
        <f>Breaking.!D68</f>
        <v>2.542056074766355</v>
      </c>
      <c r="I84" s="1150">
        <f>Breaking.!E68</f>
        <v>2.542056074766355</v>
      </c>
      <c r="J84" s="1150">
        <f>Breaking.!F68</f>
        <v>2.542056074766355</v>
      </c>
      <c r="K84" s="1150">
        <f>Breaking.!G68</f>
        <v>2.542056074766355</v>
      </c>
      <c r="L84" s="1150">
        <f>Breaking.!H68</f>
        <v>2.542056074766355</v>
      </c>
      <c r="M84" s="1150">
        <f>Breaking.!I68</f>
        <v>2.542056074766355</v>
      </c>
      <c r="N84" s="1150">
        <f>Breaking.!J68</f>
        <v>2.542056074766355</v>
      </c>
      <c r="O84" s="1150">
        <f>Breaking.!K68</f>
        <v>2.542056074766355</v>
      </c>
      <c r="P84" s="1150">
        <f>Breaking.!L68</f>
        <v>2.542056074766355</v>
      </c>
      <c r="Q84" s="1150">
        <f>Breaking.!M68</f>
        <v>2.542056074766355</v>
      </c>
      <c r="R84" s="1150">
        <f>Breaking.!N68</f>
        <v>0</v>
      </c>
      <c r="S84" s="1150">
        <f>Breaking.!O68</f>
        <v>0</v>
      </c>
      <c r="T84" s="1150">
        <f>Breaking.!P68</f>
        <v>2.542056074766355</v>
      </c>
      <c r="U84" s="1150">
        <f>Breaking.!Q68</f>
        <v>2.542056074766355</v>
      </c>
      <c r="V84" s="1150">
        <f>Breaking.!R68</f>
        <v>2.542056074766355</v>
      </c>
      <c r="W84" s="1150">
        <f>Breaking.!S68</f>
        <v>2.542056074766355</v>
      </c>
      <c r="X84" s="1150">
        <f>Breaking.!T68</f>
        <v>2.542056074766355</v>
      </c>
      <c r="Y84" s="1150">
        <f>Breaking.!U68</f>
        <v>2.542056074766355</v>
      </c>
      <c r="Z84" s="1150">
        <f>Breaking.!V68</f>
        <v>2.542056074766355</v>
      </c>
      <c r="AA84" s="1150">
        <f>Breaking.!W68</f>
        <v>2.542056074766355</v>
      </c>
      <c r="AB84" s="1150">
        <f>Breaking.!X68</f>
        <v>2.542056074766355</v>
      </c>
      <c r="AC84" s="1150">
        <f>Breaking.!Y68</f>
        <v>2.542056074766355</v>
      </c>
      <c r="AD84" s="1150">
        <f>Breaking.!Z68</f>
        <v>2.542056074766355</v>
      </c>
      <c r="AE84" s="1150">
        <f>Breaking.!AA68</f>
        <v>2.542056074766355</v>
      </c>
      <c r="AF84" s="1150">
        <f>Breaking.!AB68</f>
        <v>2.542056074766355</v>
      </c>
      <c r="AG84" s="1150">
        <f>Breaking.!AC68</f>
        <v>2.542056074766355</v>
      </c>
      <c r="AH84" s="1150">
        <f>Breaking.!AD68</f>
        <v>2.542056074766355</v>
      </c>
      <c r="AI84" s="1150">
        <f>Breaking.!AE68</f>
        <v>2.542056074766355</v>
      </c>
      <c r="AJ84" s="1150">
        <f>Breaking.!AF68</f>
        <v>2.542056074766355</v>
      </c>
      <c r="AK84" s="1150">
        <f>Breaking.!AG68</f>
        <v>2.542056074766355</v>
      </c>
      <c r="AL84" s="1150">
        <f>Breaking.!AH68</f>
        <v>2.542056074766355</v>
      </c>
      <c r="AM84" s="95"/>
    </row>
    <row r="85" spans="2:39">
      <c r="B85" s="2719"/>
      <c r="C85" s="2848"/>
      <c r="D85" s="2850"/>
      <c r="E85" s="1151" t="s">
        <v>297</v>
      </c>
      <c r="F85" s="1152">
        <f t="shared" si="62"/>
        <v>3.6778809624314057</v>
      </c>
      <c r="G85" s="1142">
        <f t="shared" ref="G85" si="63">IFERROR((F85-F84)/F84,0)</f>
        <v>0.44681346683882539</v>
      </c>
      <c r="H85" s="1153">
        <v>2.5299999999999998</v>
      </c>
      <c r="I85" s="1152">
        <v>7</v>
      </c>
      <c r="J85" s="1152">
        <v>1.85</v>
      </c>
      <c r="K85" s="1152">
        <v>2.19</v>
      </c>
      <c r="L85" s="1152">
        <v>3.84</v>
      </c>
      <c r="M85" s="1152"/>
      <c r="N85" s="1152"/>
      <c r="O85" s="1152"/>
      <c r="P85" s="1152"/>
      <c r="Q85" s="1152"/>
      <c r="R85" s="1152"/>
      <c r="S85" s="1152"/>
      <c r="T85" s="1152"/>
      <c r="U85" s="1152"/>
      <c r="V85" s="1152"/>
      <c r="W85" s="1152"/>
      <c r="X85" s="1152"/>
      <c r="Y85" s="1152"/>
      <c r="Z85" s="1152"/>
      <c r="AA85" s="1152"/>
      <c r="AB85" s="1152"/>
      <c r="AC85" s="1152"/>
      <c r="AD85" s="1152"/>
      <c r="AE85" s="1152"/>
      <c r="AF85" s="1152"/>
      <c r="AG85" s="1152"/>
      <c r="AH85" s="1152"/>
      <c r="AI85" s="1152"/>
      <c r="AJ85" s="1152"/>
      <c r="AK85" s="1152"/>
      <c r="AL85" s="1152"/>
      <c r="AM85" s="95"/>
    </row>
    <row r="86" spans="2:39">
      <c r="B86" s="2719"/>
      <c r="C86" s="2848"/>
      <c r="D86" s="2825" t="s">
        <v>70</v>
      </c>
      <c r="E86" s="1147" t="s">
        <v>298</v>
      </c>
      <c r="F86" s="96">
        <f t="shared" ref="F86:F89" si="64">SUMIF($H$9:$AL$9,"&lt;="&amp;$C$7,H86:AL86)</f>
        <v>2.1353271028037382</v>
      </c>
      <c r="G86" s="1149"/>
      <c r="H86" s="1154">
        <f>+H84*H81/1000</f>
        <v>0.35588785046728971</v>
      </c>
      <c r="I86" s="1154">
        <f t="shared" ref="I86:AL86" si="65">+I84*I81/1000</f>
        <v>0.35588785046728971</v>
      </c>
      <c r="J86" s="1154">
        <f t="shared" si="65"/>
        <v>0.35588785046728971</v>
      </c>
      <c r="K86" s="1154">
        <f t="shared" si="65"/>
        <v>0.35588785046728971</v>
      </c>
      <c r="L86" s="1154">
        <f t="shared" si="65"/>
        <v>0.35588785046728971</v>
      </c>
      <c r="M86" s="1154">
        <f t="shared" si="65"/>
        <v>0.35588785046728971</v>
      </c>
      <c r="N86" s="1154">
        <f t="shared" si="65"/>
        <v>0.35588785046728971</v>
      </c>
      <c r="O86" s="1154">
        <f t="shared" si="65"/>
        <v>0.35588785046728971</v>
      </c>
      <c r="P86" s="1154">
        <f t="shared" si="65"/>
        <v>0.35588785046728971</v>
      </c>
      <c r="Q86" s="1154">
        <f t="shared" si="65"/>
        <v>0.35588785046728971</v>
      </c>
      <c r="R86" s="1154">
        <f t="shared" si="65"/>
        <v>0</v>
      </c>
      <c r="S86" s="1154">
        <f t="shared" si="65"/>
        <v>0</v>
      </c>
      <c r="T86" s="1154">
        <f t="shared" si="65"/>
        <v>0.35588785046728971</v>
      </c>
      <c r="U86" s="1154">
        <f t="shared" si="65"/>
        <v>0.35588785046728971</v>
      </c>
      <c r="V86" s="1154">
        <f t="shared" si="65"/>
        <v>0.35588785046728971</v>
      </c>
      <c r="W86" s="1154">
        <f t="shared" si="65"/>
        <v>0.35588785046728971</v>
      </c>
      <c r="X86" s="1154">
        <f t="shared" si="65"/>
        <v>0.35588785046728971</v>
      </c>
      <c r="Y86" s="1154">
        <f t="shared" si="65"/>
        <v>0.35588785046728971</v>
      </c>
      <c r="Z86" s="1154">
        <f t="shared" si="65"/>
        <v>0.35588785046728971</v>
      </c>
      <c r="AA86" s="1154">
        <f t="shared" si="65"/>
        <v>0.35588785046728971</v>
      </c>
      <c r="AB86" s="1154">
        <f t="shared" si="65"/>
        <v>0.35588785046728971</v>
      </c>
      <c r="AC86" s="1154">
        <f t="shared" si="65"/>
        <v>0.35588785046728971</v>
      </c>
      <c r="AD86" s="1154">
        <f t="shared" si="65"/>
        <v>0.35588785046728971</v>
      </c>
      <c r="AE86" s="1154">
        <f t="shared" si="65"/>
        <v>0.35588785046728971</v>
      </c>
      <c r="AF86" s="1154">
        <f t="shared" si="65"/>
        <v>0.35588785046728971</v>
      </c>
      <c r="AG86" s="1154">
        <f t="shared" si="65"/>
        <v>0.35588785046728971</v>
      </c>
      <c r="AH86" s="1154">
        <f t="shared" si="65"/>
        <v>0.35588785046728971</v>
      </c>
      <c r="AI86" s="1154">
        <f t="shared" si="65"/>
        <v>0.35588785046728971</v>
      </c>
      <c r="AJ86" s="1154">
        <f t="shared" si="65"/>
        <v>0.35588785046728971</v>
      </c>
      <c r="AK86" s="1154">
        <f t="shared" si="65"/>
        <v>0.35588785046728971</v>
      </c>
      <c r="AL86" s="1154">
        <f t="shared" si="65"/>
        <v>0.35588785046728971</v>
      </c>
      <c r="AM86" s="97"/>
    </row>
    <row r="87" spans="2:39" ht="14.4" thickBot="1">
      <c r="B87" s="2720"/>
      <c r="C87" s="2849"/>
      <c r="D87" s="2851"/>
      <c r="E87" s="1049" t="s">
        <v>299</v>
      </c>
      <c r="F87" s="1004">
        <f t="shared" si="64"/>
        <v>4.3564499999999997</v>
      </c>
      <c r="G87" s="1105">
        <f t="shared" ref="G87" si="66">IFERROR((F87-F86)/F86,0)</f>
        <v>1.0401792279411766</v>
      </c>
      <c r="H87" s="1158">
        <f>+H85*H82/1000</f>
        <v>0.42124499999999993</v>
      </c>
      <c r="I87" s="1158">
        <f t="shared" ref="I87:AL87" si="67">+I85*I82/1000</f>
        <v>1.9530000000000001</v>
      </c>
      <c r="J87" s="1158">
        <f t="shared" si="67"/>
        <v>0.49395000000000006</v>
      </c>
      <c r="K87" s="1158">
        <f t="shared" si="67"/>
        <v>0.43033499999999997</v>
      </c>
      <c r="L87" s="1158">
        <f t="shared" si="67"/>
        <v>1.05792</v>
      </c>
      <c r="M87" s="1158"/>
      <c r="N87" s="1158">
        <f t="shared" si="67"/>
        <v>0</v>
      </c>
      <c r="O87" s="1158">
        <f t="shared" si="67"/>
        <v>0</v>
      </c>
      <c r="P87" s="1158">
        <f t="shared" si="67"/>
        <v>0</v>
      </c>
      <c r="Q87" s="1158">
        <f t="shared" si="67"/>
        <v>0</v>
      </c>
      <c r="R87" s="1158">
        <f t="shared" si="67"/>
        <v>0</v>
      </c>
      <c r="S87" s="1158">
        <f t="shared" si="67"/>
        <v>0</v>
      </c>
      <c r="T87" s="1158">
        <f t="shared" si="67"/>
        <v>0</v>
      </c>
      <c r="U87" s="1158">
        <f t="shared" si="67"/>
        <v>0</v>
      </c>
      <c r="V87" s="1158">
        <f t="shared" si="67"/>
        <v>0</v>
      </c>
      <c r="W87" s="1158">
        <f t="shared" si="67"/>
        <v>0</v>
      </c>
      <c r="X87" s="1158">
        <f t="shared" si="67"/>
        <v>0</v>
      </c>
      <c r="Y87" s="1158">
        <f t="shared" si="67"/>
        <v>0</v>
      </c>
      <c r="Z87" s="1158">
        <f t="shared" si="67"/>
        <v>0</v>
      </c>
      <c r="AA87" s="1158">
        <f t="shared" si="67"/>
        <v>0</v>
      </c>
      <c r="AB87" s="1158">
        <f t="shared" si="67"/>
        <v>0</v>
      </c>
      <c r="AC87" s="1158">
        <f t="shared" si="67"/>
        <v>0</v>
      </c>
      <c r="AD87" s="1158">
        <f t="shared" si="67"/>
        <v>0</v>
      </c>
      <c r="AE87" s="1158">
        <f t="shared" si="67"/>
        <v>0</v>
      </c>
      <c r="AF87" s="1158">
        <f t="shared" si="67"/>
        <v>0</v>
      </c>
      <c r="AG87" s="1158">
        <f t="shared" si="67"/>
        <v>0</v>
      </c>
      <c r="AH87" s="1158">
        <f t="shared" si="67"/>
        <v>0</v>
      </c>
      <c r="AI87" s="1158">
        <f t="shared" si="67"/>
        <v>0</v>
      </c>
      <c r="AJ87" s="1158">
        <f t="shared" si="67"/>
        <v>0</v>
      </c>
      <c r="AK87" s="1158">
        <f t="shared" si="67"/>
        <v>0</v>
      </c>
      <c r="AL87" s="1158">
        <f t="shared" si="67"/>
        <v>0</v>
      </c>
      <c r="AM87" s="98"/>
    </row>
    <row r="88" spans="2:39" s="75" customFormat="1" ht="14.85" customHeight="1">
      <c r="B88" s="2718">
        <v>1</v>
      </c>
      <c r="C88" s="2847" t="str">
        <f>Stoping!C102</f>
        <v>6L_W3 STOPE</v>
      </c>
      <c r="D88" s="2836" t="s">
        <v>66</v>
      </c>
      <c r="E88" s="91" t="s">
        <v>294</v>
      </c>
      <c r="F88" s="146">
        <f t="shared" si="64"/>
        <v>630</v>
      </c>
      <c r="G88" s="81"/>
      <c r="H88" s="147">
        <f>Stoping!H102</f>
        <v>105</v>
      </c>
      <c r="I88" s="147">
        <f>Stoping!I102</f>
        <v>105</v>
      </c>
      <c r="J88" s="147">
        <f>Stoping!J102</f>
        <v>105</v>
      </c>
      <c r="K88" s="147">
        <f>Stoping!K102</f>
        <v>105</v>
      </c>
      <c r="L88" s="147">
        <f>Stoping!L102</f>
        <v>105</v>
      </c>
      <c r="M88" s="147">
        <f>Stoping!M102</f>
        <v>105</v>
      </c>
      <c r="N88" s="147">
        <f>Stoping!N102</f>
        <v>105</v>
      </c>
      <c r="O88" s="147">
        <f>Stoping!O102</f>
        <v>105</v>
      </c>
      <c r="P88" s="147">
        <f>Stoping!P102</f>
        <v>105</v>
      </c>
      <c r="Q88" s="147">
        <f>Stoping!Q102</f>
        <v>105</v>
      </c>
      <c r="R88" s="147">
        <f>Stoping!R102</f>
        <v>0</v>
      </c>
      <c r="S88" s="147">
        <f>Stoping!S102</f>
        <v>0</v>
      </c>
      <c r="T88" s="147">
        <f>Stoping!T102</f>
        <v>105</v>
      </c>
      <c r="U88" s="147">
        <f>Stoping!U102</f>
        <v>105</v>
      </c>
      <c r="V88" s="147">
        <f>Stoping!V102</f>
        <v>105</v>
      </c>
      <c r="W88" s="147">
        <f>Stoping!W102</f>
        <v>105</v>
      </c>
      <c r="X88" s="147">
        <f>Stoping!X102</f>
        <v>105</v>
      </c>
      <c r="Y88" s="147">
        <f>Stoping!Y102</f>
        <v>105</v>
      </c>
      <c r="Z88" s="147">
        <f>Stoping!Z102</f>
        <v>105</v>
      </c>
      <c r="AA88" s="147">
        <f>Stoping!AA102</f>
        <v>105</v>
      </c>
      <c r="AB88" s="147">
        <f>Stoping!AB102</f>
        <v>105</v>
      </c>
      <c r="AC88" s="147">
        <f>Stoping!AC102</f>
        <v>105</v>
      </c>
      <c r="AD88" s="147">
        <f>Stoping!AD102</f>
        <v>105</v>
      </c>
      <c r="AE88" s="147">
        <f>Stoping!AE102</f>
        <v>105</v>
      </c>
      <c r="AF88" s="147">
        <f>Stoping!AF102</f>
        <v>105</v>
      </c>
      <c r="AG88" s="147">
        <f>Stoping!AG102</f>
        <v>105</v>
      </c>
      <c r="AH88" s="147">
        <f>Stoping!AH102</f>
        <v>105</v>
      </c>
      <c r="AI88" s="147">
        <f>Stoping!AI102</f>
        <v>105</v>
      </c>
      <c r="AJ88" s="147">
        <f>Stoping!AJ102</f>
        <v>105</v>
      </c>
      <c r="AK88" s="147">
        <f>Stoping!AK102</f>
        <v>105</v>
      </c>
      <c r="AL88" s="147">
        <f>Stoping!AL102</f>
        <v>105</v>
      </c>
      <c r="AM88" s="94"/>
    </row>
    <row r="89" spans="2:39">
      <c r="B89" s="2719"/>
      <c r="C89" s="2848"/>
      <c r="D89" s="2835"/>
      <c r="E89" s="1141" t="s">
        <v>295</v>
      </c>
      <c r="F89" s="1095">
        <f t="shared" si="64"/>
        <v>591</v>
      </c>
      <c r="G89" s="1142">
        <f t="shared" ref="G89" si="68">IFERROR((F89-F88)/F88,0)</f>
        <v>-6.1904761904761907E-2</v>
      </c>
      <c r="H89" s="1143">
        <v>114</v>
      </c>
      <c r="I89" s="1095">
        <v>177</v>
      </c>
      <c r="J89" s="1095">
        <v>145.5</v>
      </c>
      <c r="K89" s="1095">
        <v>45</v>
      </c>
      <c r="L89" s="1095">
        <v>109.5</v>
      </c>
      <c r="M89" s="1095"/>
      <c r="N89" s="1095"/>
      <c r="O89" s="1095"/>
      <c r="P89" s="1095"/>
      <c r="Q89" s="1095"/>
      <c r="R89" s="1095"/>
      <c r="S89" s="1095"/>
      <c r="T89" s="1095"/>
      <c r="U89" s="1095"/>
      <c r="V89" s="1095"/>
      <c r="W89" s="1095"/>
      <c r="X89" s="1095"/>
      <c r="Y89" s="1095"/>
      <c r="Z89" s="1095"/>
      <c r="AA89" s="1095"/>
      <c r="AB89" s="1095"/>
      <c r="AC89" s="1095"/>
      <c r="AD89" s="1095"/>
      <c r="AE89" s="1095"/>
      <c r="AF89" s="1095"/>
      <c r="AG89" s="1095"/>
      <c r="AH89" s="1095"/>
      <c r="AI89" s="1095"/>
      <c r="AJ89" s="1095"/>
      <c r="AK89" s="1095"/>
      <c r="AL89" s="1095"/>
      <c r="AM89" s="95"/>
    </row>
    <row r="90" spans="2:39">
      <c r="B90" s="2719"/>
      <c r="C90" s="2848"/>
      <c r="D90" s="2835"/>
      <c r="E90" s="1159" t="s">
        <v>199</v>
      </c>
      <c r="F90" s="1145"/>
      <c r="G90" s="1146"/>
      <c r="H90" s="151"/>
      <c r="I90" s="151"/>
      <c r="J90" s="151"/>
      <c r="K90" s="151"/>
      <c r="L90" s="151"/>
      <c r="M90" s="151"/>
      <c r="N90" s="151"/>
      <c r="O90" s="151"/>
      <c r="P90" s="170"/>
      <c r="Q90" s="151"/>
      <c r="R90" s="151"/>
      <c r="S90" s="151"/>
      <c r="T90" s="151"/>
      <c r="U90" s="151"/>
      <c r="V90" s="151"/>
      <c r="W90" s="151"/>
      <c r="X90" s="151"/>
      <c r="Y90" s="151"/>
      <c r="Z90" s="151"/>
      <c r="AA90" s="151"/>
      <c r="AB90" s="151"/>
      <c r="AC90" s="151"/>
      <c r="AD90" s="151"/>
      <c r="AE90" s="151"/>
      <c r="AF90" s="151"/>
      <c r="AG90" s="151"/>
      <c r="AH90" s="151"/>
      <c r="AI90" s="151"/>
      <c r="AJ90" s="151"/>
      <c r="AK90" s="151"/>
      <c r="AL90" s="171"/>
      <c r="AM90" s="95"/>
    </row>
    <row r="91" spans="2:39">
      <c r="B91" s="2719"/>
      <c r="C91" s="2848"/>
      <c r="D91" s="2825" t="s">
        <v>68</v>
      </c>
      <c r="E91" s="1147" t="s">
        <v>296</v>
      </c>
      <c r="F91" s="1148">
        <f t="shared" ref="F91:F92" si="69">IFERROR(F93*1000/F88,0)</f>
        <v>2.3831775700934577</v>
      </c>
      <c r="G91" s="1149"/>
      <c r="H91" s="1150">
        <f>Breaking.!D70</f>
        <v>2.3831775700934577</v>
      </c>
      <c r="I91" s="1150">
        <f>Breaking.!E70</f>
        <v>2.3831775700934577</v>
      </c>
      <c r="J91" s="1150">
        <f>Breaking.!F70</f>
        <v>2.3831775700934577</v>
      </c>
      <c r="K91" s="1150">
        <f>Breaking.!G70</f>
        <v>2.3831775700934577</v>
      </c>
      <c r="L91" s="1150">
        <f>Breaking.!H70</f>
        <v>2.3831775700934577</v>
      </c>
      <c r="M91" s="1150">
        <f>Breaking.!I70</f>
        <v>2.3831775700934577</v>
      </c>
      <c r="N91" s="1150">
        <f>Breaking.!J70</f>
        <v>2.3831775700934577</v>
      </c>
      <c r="O91" s="1150">
        <f>Breaking.!K70</f>
        <v>2.3831775700934577</v>
      </c>
      <c r="P91" s="1150">
        <f>Breaking.!L70</f>
        <v>2.3831775700934577</v>
      </c>
      <c r="Q91" s="1150">
        <f>Breaking.!M70</f>
        <v>2.3831775700934577</v>
      </c>
      <c r="R91" s="1150">
        <f>Breaking.!N70</f>
        <v>0</v>
      </c>
      <c r="S91" s="1150">
        <f>Breaking.!O70</f>
        <v>0</v>
      </c>
      <c r="T91" s="1150">
        <f>Breaking.!P70</f>
        <v>2.3831775700934577</v>
      </c>
      <c r="U91" s="1150">
        <f>Breaking.!Q70</f>
        <v>2.3831775700934577</v>
      </c>
      <c r="V91" s="1150">
        <f>Breaking.!R70</f>
        <v>2.3831775700934577</v>
      </c>
      <c r="W91" s="1150">
        <f>Breaking.!S70</f>
        <v>2.3831775700934577</v>
      </c>
      <c r="X91" s="1150">
        <f>Breaking.!T70</f>
        <v>2.3831775700934577</v>
      </c>
      <c r="Y91" s="1150">
        <f>Breaking.!U70</f>
        <v>2.3831775700934577</v>
      </c>
      <c r="Z91" s="1150">
        <f>Breaking.!V70</f>
        <v>2.3831775700934577</v>
      </c>
      <c r="AA91" s="1150">
        <f>Breaking.!W70</f>
        <v>2.3831775700934577</v>
      </c>
      <c r="AB91" s="1150">
        <f>Breaking.!X70</f>
        <v>2.3831775700934577</v>
      </c>
      <c r="AC91" s="1150">
        <f>Breaking.!Y70</f>
        <v>2.3831775700934577</v>
      </c>
      <c r="AD91" s="1150">
        <f>Breaking.!Z70</f>
        <v>2.3831775700934577</v>
      </c>
      <c r="AE91" s="1150">
        <f>Breaking.!AA70</f>
        <v>2.3831775700934577</v>
      </c>
      <c r="AF91" s="1150">
        <f>Breaking.!AB70</f>
        <v>2.3831775700934577</v>
      </c>
      <c r="AG91" s="1150">
        <f>Breaking.!AC70</f>
        <v>2.3831775700934577</v>
      </c>
      <c r="AH91" s="1150">
        <f>Breaking.!AD70</f>
        <v>2.3831775700934577</v>
      </c>
      <c r="AI91" s="1150">
        <f>Breaking.!AE70</f>
        <v>2.3831775700934577</v>
      </c>
      <c r="AJ91" s="1150">
        <f>Breaking.!AF70</f>
        <v>2.3831775700934577</v>
      </c>
      <c r="AK91" s="1150">
        <f>Breaking.!AG70</f>
        <v>2.3831775700934577</v>
      </c>
      <c r="AL91" s="1150">
        <f>Breaking.!AH70</f>
        <v>2.3831775700934577</v>
      </c>
      <c r="AM91" s="95"/>
    </row>
    <row r="92" spans="2:39">
      <c r="B92" s="2719"/>
      <c r="C92" s="2848"/>
      <c r="D92" s="2850"/>
      <c r="E92" s="1151" t="s">
        <v>297</v>
      </c>
      <c r="F92" s="1152">
        <f t="shared" si="69"/>
        <v>3.4993908629441624</v>
      </c>
      <c r="G92" s="1142">
        <f t="shared" ref="G92" si="70">IFERROR((F92-F91)/F91,0)</f>
        <v>0.46837185229421729</v>
      </c>
      <c r="H92" s="1153">
        <v>2.64</v>
      </c>
      <c r="I92" s="1152">
        <v>2.29</v>
      </c>
      <c r="J92" s="1152">
        <v>5.76</v>
      </c>
      <c r="K92" s="1152">
        <v>2.4900000000000002</v>
      </c>
      <c r="L92" s="1152">
        <v>3.76</v>
      </c>
      <c r="M92" s="1152"/>
      <c r="N92" s="1152"/>
      <c r="O92" s="1152"/>
      <c r="P92" s="1152"/>
      <c r="Q92" s="1152"/>
      <c r="R92" s="1152"/>
      <c r="S92" s="1152"/>
      <c r="T92" s="1152"/>
      <c r="U92" s="1152"/>
      <c r="V92" s="1152"/>
      <c r="W92" s="1152"/>
      <c r="X92" s="1152"/>
      <c r="Y92" s="1152"/>
      <c r="Z92" s="1152"/>
      <c r="AA92" s="1152"/>
      <c r="AB92" s="1152"/>
      <c r="AC92" s="1152"/>
      <c r="AD92" s="1152"/>
      <c r="AE92" s="1152"/>
      <c r="AF92" s="1152"/>
      <c r="AG92" s="1152"/>
      <c r="AH92" s="1152"/>
      <c r="AI92" s="1152"/>
      <c r="AJ92" s="1152"/>
      <c r="AK92" s="1152"/>
      <c r="AL92" s="1152"/>
      <c r="AM92" s="95"/>
    </row>
    <row r="93" spans="2:39">
      <c r="B93" s="2719"/>
      <c r="C93" s="2848"/>
      <c r="D93" s="2825" t="s">
        <v>70</v>
      </c>
      <c r="E93" s="1147" t="s">
        <v>298</v>
      </c>
      <c r="F93" s="96">
        <f t="shared" ref="F93:F96" si="71">SUMIF($H$9:$AL$9,"&lt;="&amp;$C$7,H93:AL93)</f>
        <v>1.5014018691588782</v>
      </c>
      <c r="G93" s="1149"/>
      <c r="H93" s="1154">
        <f>+H91*H88/1000</f>
        <v>0.25023364485981303</v>
      </c>
      <c r="I93" s="1154">
        <f t="shared" ref="I93:AL93" si="72">+I91*I88/1000</f>
        <v>0.25023364485981303</v>
      </c>
      <c r="J93" s="1154">
        <f t="shared" si="72"/>
        <v>0.25023364485981303</v>
      </c>
      <c r="K93" s="1154">
        <f t="shared" si="72"/>
        <v>0.25023364485981303</v>
      </c>
      <c r="L93" s="1154">
        <f t="shared" si="72"/>
        <v>0.25023364485981303</v>
      </c>
      <c r="M93" s="1154">
        <f t="shared" si="72"/>
        <v>0.25023364485981303</v>
      </c>
      <c r="N93" s="1154">
        <f t="shared" si="72"/>
        <v>0.25023364485981303</v>
      </c>
      <c r="O93" s="1154">
        <f t="shared" si="72"/>
        <v>0.25023364485981303</v>
      </c>
      <c r="P93" s="1154">
        <f t="shared" si="72"/>
        <v>0.25023364485981303</v>
      </c>
      <c r="Q93" s="1154">
        <f t="shared" si="72"/>
        <v>0.25023364485981303</v>
      </c>
      <c r="R93" s="1154">
        <f t="shared" si="72"/>
        <v>0</v>
      </c>
      <c r="S93" s="1154">
        <f t="shared" si="72"/>
        <v>0</v>
      </c>
      <c r="T93" s="1154">
        <f t="shared" si="72"/>
        <v>0.25023364485981303</v>
      </c>
      <c r="U93" s="1154">
        <f t="shared" si="72"/>
        <v>0.25023364485981303</v>
      </c>
      <c r="V93" s="1154">
        <f t="shared" si="72"/>
        <v>0.25023364485981303</v>
      </c>
      <c r="W93" s="1154">
        <f t="shared" si="72"/>
        <v>0.25023364485981303</v>
      </c>
      <c r="X93" s="1154">
        <f t="shared" si="72"/>
        <v>0.25023364485981303</v>
      </c>
      <c r="Y93" s="1154">
        <f t="shared" si="72"/>
        <v>0.25023364485981303</v>
      </c>
      <c r="Z93" s="1154">
        <f t="shared" si="72"/>
        <v>0.25023364485981303</v>
      </c>
      <c r="AA93" s="1154">
        <f t="shared" si="72"/>
        <v>0.25023364485981303</v>
      </c>
      <c r="AB93" s="1154">
        <f t="shared" si="72"/>
        <v>0.25023364485981303</v>
      </c>
      <c r="AC93" s="1154">
        <f t="shared" si="72"/>
        <v>0.25023364485981303</v>
      </c>
      <c r="AD93" s="1154">
        <f t="shared" si="72"/>
        <v>0.25023364485981303</v>
      </c>
      <c r="AE93" s="1154">
        <f t="shared" si="72"/>
        <v>0.25023364485981303</v>
      </c>
      <c r="AF93" s="1154">
        <f t="shared" si="72"/>
        <v>0.25023364485981303</v>
      </c>
      <c r="AG93" s="1154">
        <f t="shared" si="72"/>
        <v>0.25023364485981303</v>
      </c>
      <c r="AH93" s="1154">
        <f t="shared" si="72"/>
        <v>0.25023364485981303</v>
      </c>
      <c r="AI93" s="1154">
        <f t="shared" si="72"/>
        <v>0.25023364485981303</v>
      </c>
      <c r="AJ93" s="1154">
        <f t="shared" si="72"/>
        <v>0.25023364485981303</v>
      </c>
      <c r="AK93" s="1154">
        <f t="shared" si="72"/>
        <v>0.25023364485981303</v>
      </c>
      <c r="AL93" s="1154">
        <f t="shared" si="72"/>
        <v>0.25023364485981303</v>
      </c>
      <c r="AM93" s="97"/>
    </row>
    <row r="94" spans="2:39" ht="14.4" thickBot="1">
      <c r="B94" s="2720"/>
      <c r="C94" s="2849"/>
      <c r="D94" s="2851"/>
      <c r="E94" s="1049" t="s">
        <v>299</v>
      </c>
      <c r="F94" s="1004">
        <f t="shared" si="71"/>
        <v>2.0681400000000001</v>
      </c>
      <c r="G94" s="1105">
        <f t="shared" ref="G94" si="73">IFERROR((F94-F93)/F93,0)</f>
        <v>0.37747264239028983</v>
      </c>
      <c r="H94" s="1158">
        <f>+H92*H89/1000</f>
        <v>0.30096000000000006</v>
      </c>
      <c r="I94" s="1158">
        <f t="shared" ref="I94:AL94" si="74">+I92*I89/1000</f>
        <v>0.40532999999999997</v>
      </c>
      <c r="J94" s="1158">
        <f t="shared" si="74"/>
        <v>0.83807999999999994</v>
      </c>
      <c r="K94" s="1158">
        <f t="shared" si="74"/>
        <v>0.11205000000000001</v>
      </c>
      <c r="L94" s="1158">
        <f>+L92*L89/1000</f>
        <v>0.41171999999999997</v>
      </c>
      <c r="M94" s="1158">
        <f t="shared" si="74"/>
        <v>0</v>
      </c>
      <c r="N94" s="1158">
        <f t="shared" si="74"/>
        <v>0</v>
      </c>
      <c r="O94" s="1158">
        <f t="shared" si="74"/>
        <v>0</v>
      </c>
      <c r="P94" s="1158">
        <f t="shared" si="74"/>
        <v>0</v>
      </c>
      <c r="Q94" s="1158">
        <f t="shared" si="74"/>
        <v>0</v>
      </c>
      <c r="R94" s="1158">
        <f t="shared" si="74"/>
        <v>0</v>
      </c>
      <c r="S94" s="1158">
        <f t="shared" si="74"/>
        <v>0</v>
      </c>
      <c r="T94" s="1158">
        <f t="shared" si="74"/>
        <v>0</v>
      </c>
      <c r="U94" s="1158">
        <f t="shared" si="74"/>
        <v>0</v>
      </c>
      <c r="V94" s="1158">
        <f t="shared" si="74"/>
        <v>0</v>
      </c>
      <c r="W94" s="1158">
        <f t="shared" si="74"/>
        <v>0</v>
      </c>
      <c r="X94" s="1158">
        <f t="shared" si="74"/>
        <v>0</v>
      </c>
      <c r="Y94" s="1158">
        <f t="shared" si="74"/>
        <v>0</v>
      </c>
      <c r="Z94" s="1158">
        <f t="shared" si="74"/>
        <v>0</v>
      </c>
      <c r="AA94" s="1158">
        <f t="shared" si="74"/>
        <v>0</v>
      </c>
      <c r="AB94" s="1158">
        <f t="shared" si="74"/>
        <v>0</v>
      </c>
      <c r="AC94" s="1158">
        <f t="shared" si="74"/>
        <v>0</v>
      </c>
      <c r="AD94" s="1158">
        <f t="shared" si="74"/>
        <v>0</v>
      </c>
      <c r="AE94" s="1158">
        <f t="shared" si="74"/>
        <v>0</v>
      </c>
      <c r="AF94" s="1158">
        <f t="shared" si="74"/>
        <v>0</v>
      </c>
      <c r="AG94" s="1158">
        <f t="shared" si="74"/>
        <v>0</v>
      </c>
      <c r="AH94" s="1158">
        <f t="shared" si="74"/>
        <v>0</v>
      </c>
      <c r="AI94" s="1158">
        <f t="shared" si="74"/>
        <v>0</v>
      </c>
      <c r="AJ94" s="1158">
        <f t="shared" si="74"/>
        <v>0</v>
      </c>
      <c r="AK94" s="1158">
        <f t="shared" si="74"/>
        <v>0</v>
      </c>
      <c r="AL94" s="1158">
        <f t="shared" si="74"/>
        <v>0</v>
      </c>
      <c r="AM94" s="98"/>
    </row>
    <row r="95" spans="2:39" s="75" customFormat="1" ht="14.85" customHeight="1">
      <c r="B95" s="2718">
        <v>1</v>
      </c>
      <c r="C95" s="2847" t="str">
        <f>Stoping!C109</f>
        <v>6L_W4 STOPE</v>
      </c>
      <c r="D95" s="2836" t="s">
        <v>66</v>
      </c>
      <c r="E95" s="91" t="s">
        <v>294</v>
      </c>
      <c r="F95" s="146">
        <f t="shared" si="71"/>
        <v>0</v>
      </c>
      <c r="G95" s="81"/>
      <c r="H95" s="147">
        <f>Stoping!H109</f>
        <v>0</v>
      </c>
      <c r="I95" s="147">
        <f>Stoping!I109</f>
        <v>0</v>
      </c>
      <c r="J95" s="147">
        <f>Stoping!J109</f>
        <v>0</v>
      </c>
      <c r="K95" s="147">
        <f>Stoping!K109</f>
        <v>0</v>
      </c>
      <c r="L95" s="147">
        <f>Stoping!L109</f>
        <v>0</v>
      </c>
      <c r="M95" s="147">
        <f>Stoping!M109</f>
        <v>0</v>
      </c>
      <c r="N95" s="147">
        <f>Stoping!N109</f>
        <v>0</v>
      </c>
      <c r="O95" s="147">
        <f>Stoping!O109</f>
        <v>0</v>
      </c>
      <c r="P95" s="147">
        <f>Stoping!P109</f>
        <v>0</v>
      </c>
      <c r="Q95" s="147">
        <f>Stoping!Q109</f>
        <v>0</v>
      </c>
      <c r="R95" s="147">
        <f>Stoping!R109</f>
        <v>0</v>
      </c>
      <c r="S95" s="147">
        <f>Stoping!S109</f>
        <v>0</v>
      </c>
      <c r="T95" s="147">
        <f>Stoping!T109</f>
        <v>0</v>
      </c>
      <c r="U95" s="147">
        <f>Stoping!U109</f>
        <v>0</v>
      </c>
      <c r="V95" s="147">
        <f>Stoping!V109</f>
        <v>0</v>
      </c>
      <c r="W95" s="147">
        <f>Stoping!W109</f>
        <v>0</v>
      </c>
      <c r="X95" s="147">
        <f>Stoping!X109</f>
        <v>0</v>
      </c>
      <c r="Y95" s="147">
        <f>Stoping!Y109</f>
        <v>0</v>
      </c>
      <c r="Z95" s="147">
        <f>Stoping!Z109</f>
        <v>0</v>
      </c>
      <c r="AA95" s="147">
        <f>Stoping!AA109</f>
        <v>0</v>
      </c>
      <c r="AB95" s="147">
        <f>Stoping!AB109</f>
        <v>0</v>
      </c>
      <c r="AC95" s="147">
        <f>Stoping!AC109</f>
        <v>0</v>
      </c>
      <c r="AD95" s="147">
        <f>Stoping!AD109</f>
        <v>0</v>
      </c>
      <c r="AE95" s="147">
        <f>Stoping!AE109</f>
        <v>0</v>
      </c>
      <c r="AF95" s="147">
        <f>Stoping!AF109</f>
        <v>0</v>
      </c>
      <c r="AG95" s="147">
        <f>Stoping!AG109</f>
        <v>0</v>
      </c>
      <c r="AH95" s="147">
        <f>Stoping!AH109</f>
        <v>0</v>
      </c>
      <c r="AI95" s="147">
        <f>Stoping!AI109</f>
        <v>0</v>
      </c>
      <c r="AJ95" s="147">
        <f>Stoping!AJ109</f>
        <v>0</v>
      </c>
      <c r="AK95" s="147">
        <f>Stoping!AK109</f>
        <v>0</v>
      </c>
      <c r="AL95" s="147">
        <f>Stoping!AL109</f>
        <v>0</v>
      </c>
      <c r="AM95" s="94"/>
    </row>
    <row r="96" spans="2:39">
      <c r="B96" s="2719"/>
      <c r="C96" s="2848"/>
      <c r="D96" s="2835"/>
      <c r="E96" s="1141" t="s">
        <v>295</v>
      </c>
      <c r="F96" s="1095">
        <f t="shared" si="71"/>
        <v>0</v>
      </c>
      <c r="G96" s="1142">
        <f t="shared" ref="G96" si="75">IFERROR((F96-F95)/F95,0)</f>
        <v>0</v>
      </c>
      <c r="H96" s="1143"/>
      <c r="I96" s="1095"/>
      <c r="J96" s="1095"/>
      <c r="K96" s="1095"/>
      <c r="L96" s="1095"/>
      <c r="M96" s="1095"/>
      <c r="N96" s="1095"/>
      <c r="O96" s="1095"/>
      <c r="P96" s="1095"/>
      <c r="Q96" s="1095"/>
      <c r="R96" s="1095"/>
      <c r="S96" s="1095"/>
      <c r="T96" s="1095"/>
      <c r="U96" s="1095"/>
      <c r="V96" s="1095"/>
      <c r="W96" s="1095"/>
      <c r="X96" s="1095"/>
      <c r="Y96" s="1095"/>
      <c r="Z96" s="1095"/>
      <c r="AA96" s="1095"/>
      <c r="AB96" s="1095"/>
      <c r="AC96" s="1095"/>
      <c r="AD96" s="1095"/>
      <c r="AE96" s="1095"/>
      <c r="AF96" s="1095"/>
      <c r="AG96" s="1095"/>
      <c r="AH96" s="1095"/>
      <c r="AI96" s="1095"/>
      <c r="AJ96" s="1095"/>
      <c r="AK96" s="1095"/>
      <c r="AL96" s="1095"/>
      <c r="AM96" s="95"/>
    </row>
    <row r="97" spans="2:39">
      <c r="B97" s="2719"/>
      <c r="C97" s="2848"/>
      <c r="D97" s="2835"/>
      <c r="E97" s="1159" t="s">
        <v>199</v>
      </c>
      <c r="F97" s="1145"/>
      <c r="G97" s="1146"/>
      <c r="H97" s="151"/>
      <c r="I97" s="151"/>
      <c r="J97" s="151"/>
      <c r="K97" s="151"/>
      <c r="L97" s="151"/>
      <c r="M97" s="151"/>
      <c r="N97" s="151"/>
      <c r="O97" s="151"/>
      <c r="P97" s="170"/>
      <c r="Q97" s="151"/>
      <c r="R97" s="151"/>
      <c r="S97" s="151"/>
      <c r="T97" s="151"/>
      <c r="U97" s="151"/>
      <c r="V97" s="151"/>
      <c r="W97" s="151"/>
      <c r="X97" s="151"/>
      <c r="Y97" s="151"/>
      <c r="Z97" s="151"/>
      <c r="AA97" s="151"/>
      <c r="AB97" s="151"/>
      <c r="AC97" s="151"/>
      <c r="AD97" s="151"/>
      <c r="AE97" s="151"/>
      <c r="AF97" s="151"/>
      <c r="AG97" s="151"/>
      <c r="AH97" s="151"/>
      <c r="AI97" s="151"/>
      <c r="AJ97" s="151"/>
      <c r="AK97" s="151"/>
      <c r="AL97" s="171"/>
      <c r="AM97" s="95"/>
    </row>
    <row r="98" spans="2:39">
      <c r="B98" s="2719"/>
      <c r="C98" s="2848"/>
      <c r="D98" s="2825" t="s">
        <v>68</v>
      </c>
      <c r="E98" s="1147" t="s">
        <v>296</v>
      </c>
      <c r="F98" s="1148">
        <f t="shared" ref="F98:F99" si="76">IFERROR(F100*1000/F95,0)</f>
        <v>0</v>
      </c>
      <c r="G98" s="1149"/>
      <c r="H98" s="1150">
        <f>Breaking.!D72</f>
        <v>0</v>
      </c>
      <c r="I98" s="1150">
        <f>Breaking.!E72</f>
        <v>0</v>
      </c>
      <c r="J98" s="1150">
        <f>Breaking.!F72</f>
        <v>0</v>
      </c>
      <c r="K98" s="1150">
        <f>Breaking.!G72</f>
        <v>0</v>
      </c>
      <c r="L98" s="1150">
        <f>Breaking.!H72</f>
        <v>0</v>
      </c>
      <c r="M98" s="1150">
        <f>Breaking.!I72</f>
        <v>0</v>
      </c>
      <c r="N98" s="1150">
        <f>Breaking.!J72</f>
        <v>0</v>
      </c>
      <c r="O98" s="1150">
        <f>Breaking.!K72</f>
        <v>0</v>
      </c>
      <c r="P98" s="1150">
        <f>Breaking.!L72</f>
        <v>0</v>
      </c>
      <c r="Q98" s="1150">
        <f>Breaking.!M72</f>
        <v>0</v>
      </c>
      <c r="R98" s="1150">
        <f>Breaking.!N72</f>
        <v>0</v>
      </c>
      <c r="S98" s="1150">
        <f>Breaking.!O72</f>
        <v>0</v>
      </c>
      <c r="T98" s="1150">
        <f>Breaking.!P72</f>
        <v>0</v>
      </c>
      <c r="U98" s="1150">
        <f>Breaking.!Q72</f>
        <v>0</v>
      </c>
      <c r="V98" s="1150">
        <f>Breaking.!R72</f>
        <v>0</v>
      </c>
      <c r="W98" s="1150">
        <f>Breaking.!S72</f>
        <v>0</v>
      </c>
      <c r="X98" s="1150">
        <f>Breaking.!T72</f>
        <v>0</v>
      </c>
      <c r="Y98" s="1150">
        <f>Breaking.!U72</f>
        <v>0</v>
      </c>
      <c r="Z98" s="1150">
        <f>Breaking.!V72</f>
        <v>0</v>
      </c>
      <c r="AA98" s="1150">
        <f>Breaking.!W72</f>
        <v>0</v>
      </c>
      <c r="AB98" s="1150">
        <f>Breaking.!X72</f>
        <v>0</v>
      </c>
      <c r="AC98" s="1150">
        <f>Breaking.!Y72</f>
        <v>0</v>
      </c>
      <c r="AD98" s="1150">
        <f>Breaking.!Z72</f>
        <v>0</v>
      </c>
      <c r="AE98" s="1150">
        <f>Breaking.!AA72</f>
        <v>0</v>
      </c>
      <c r="AF98" s="1150">
        <f>Breaking.!AB72</f>
        <v>0</v>
      </c>
      <c r="AG98" s="1150">
        <f>Breaking.!AC72</f>
        <v>0</v>
      </c>
      <c r="AH98" s="1150">
        <f>Breaking.!AD72</f>
        <v>0</v>
      </c>
      <c r="AI98" s="1150">
        <f>Breaking.!AE72</f>
        <v>0</v>
      </c>
      <c r="AJ98" s="1150">
        <f>Breaking.!AF72</f>
        <v>0</v>
      </c>
      <c r="AK98" s="1150">
        <f>Breaking.!AG72</f>
        <v>0</v>
      </c>
      <c r="AL98" s="1150">
        <f>Breaking.!AH72</f>
        <v>0</v>
      </c>
      <c r="AM98" s="95"/>
    </row>
    <row r="99" spans="2:39">
      <c r="B99" s="2719"/>
      <c r="C99" s="2848"/>
      <c r="D99" s="2850"/>
      <c r="E99" s="1151" t="s">
        <v>297</v>
      </c>
      <c r="F99" s="1152">
        <f t="shared" si="76"/>
        <v>0</v>
      </c>
      <c r="G99" s="1142">
        <f t="shared" ref="G99" si="77">IFERROR((F99-F98)/F98,0)</f>
        <v>0</v>
      </c>
      <c r="H99" s="1153"/>
      <c r="I99" s="1152"/>
      <c r="J99" s="1152"/>
      <c r="K99" s="1152"/>
      <c r="L99" s="1152"/>
      <c r="M99" s="1152"/>
      <c r="N99" s="1152"/>
      <c r="O99" s="1152"/>
      <c r="P99" s="1152"/>
      <c r="Q99" s="1152"/>
      <c r="R99" s="1152"/>
      <c r="S99" s="1152"/>
      <c r="T99" s="1152"/>
      <c r="U99" s="1152"/>
      <c r="V99" s="1152"/>
      <c r="W99" s="1152"/>
      <c r="X99" s="1152"/>
      <c r="Y99" s="1152"/>
      <c r="Z99" s="1152"/>
      <c r="AA99" s="1152"/>
      <c r="AB99" s="1152"/>
      <c r="AC99" s="1152"/>
      <c r="AD99" s="1152"/>
      <c r="AE99" s="1152"/>
      <c r="AF99" s="1152"/>
      <c r="AG99" s="1152"/>
      <c r="AH99" s="1152"/>
      <c r="AI99" s="1152"/>
      <c r="AJ99" s="1152"/>
      <c r="AK99" s="1152"/>
      <c r="AL99" s="1152"/>
      <c r="AM99" s="95"/>
    </row>
    <row r="100" spans="2:39">
      <c r="B100" s="2719"/>
      <c r="C100" s="2848"/>
      <c r="D100" s="2825" t="s">
        <v>70</v>
      </c>
      <c r="E100" s="1147" t="s">
        <v>298</v>
      </c>
      <c r="F100" s="96">
        <f t="shared" ref="F100:F103" si="78">SUMIF($H$9:$AL$9,"&lt;="&amp;$C$7,H100:AL100)</f>
        <v>0</v>
      </c>
      <c r="G100" s="1149"/>
      <c r="H100" s="1154">
        <f>+H98*H95/1000</f>
        <v>0</v>
      </c>
      <c r="I100" s="1154">
        <f t="shared" ref="I100:AL100" si="79">+I98*I95/1000</f>
        <v>0</v>
      </c>
      <c r="J100" s="1154">
        <f t="shared" si="79"/>
        <v>0</v>
      </c>
      <c r="K100" s="1154">
        <f t="shared" si="79"/>
        <v>0</v>
      </c>
      <c r="L100" s="1154">
        <f t="shared" si="79"/>
        <v>0</v>
      </c>
      <c r="M100" s="1154">
        <f t="shared" si="79"/>
        <v>0</v>
      </c>
      <c r="N100" s="1154">
        <f t="shared" si="79"/>
        <v>0</v>
      </c>
      <c r="O100" s="1154">
        <f t="shared" si="79"/>
        <v>0</v>
      </c>
      <c r="P100" s="1154">
        <f t="shared" si="79"/>
        <v>0</v>
      </c>
      <c r="Q100" s="1154">
        <f t="shared" si="79"/>
        <v>0</v>
      </c>
      <c r="R100" s="1154">
        <f t="shared" si="79"/>
        <v>0</v>
      </c>
      <c r="S100" s="1154">
        <f t="shared" si="79"/>
        <v>0</v>
      </c>
      <c r="T100" s="1154">
        <f t="shared" si="79"/>
        <v>0</v>
      </c>
      <c r="U100" s="1154">
        <f t="shared" si="79"/>
        <v>0</v>
      </c>
      <c r="V100" s="1154">
        <f t="shared" si="79"/>
        <v>0</v>
      </c>
      <c r="W100" s="1154">
        <f t="shared" si="79"/>
        <v>0</v>
      </c>
      <c r="X100" s="1154">
        <f t="shared" si="79"/>
        <v>0</v>
      </c>
      <c r="Y100" s="1154">
        <f t="shared" si="79"/>
        <v>0</v>
      </c>
      <c r="Z100" s="1154">
        <f t="shared" si="79"/>
        <v>0</v>
      </c>
      <c r="AA100" s="1154">
        <f t="shared" si="79"/>
        <v>0</v>
      </c>
      <c r="AB100" s="1154">
        <f t="shared" si="79"/>
        <v>0</v>
      </c>
      <c r="AC100" s="1154">
        <f t="shared" si="79"/>
        <v>0</v>
      </c>
      <c r="AD100" s="1154">
        <f t="shared" si="79"/>
        <v>0</v>
      </c>
      <c r="AE100" s="1154">
        <f t="shared" si="79"/>
        <v>0</v>
      </c>
      <c r="AF100" s="1154">
        <f t="shared" si="79"/>
        <v>0</v>
      </c>
      <c r="AG100" s="1154">
        <f t="shared" si="79"/>
        <v>0</v>
      </c>
      <c r="AH100" s="1154">
        <f t="shared" si="79"/>
        <v>0</v>
      </c>
      <c r="AI100" s="1154">
        <f t="shared" si="79"/>
        <v>0</v>
      </c>
      <c r="AJ100" s="1154">
        <f t="shared" si="79"/>
        <v>0</v>
      </c>
      <c r="AK100" s="1154">
        <f t="shared" si="79"/>
        <v>0</v>
      </c>
      <c r="AL100" s="1154">
        <f t="shared" si="79"/>
        <v>0</v>
      </c>
      <c r="AM100" s="97"/>
    </row>
    <row r="101" spans="2:39" ht="14.4" thickBot="1">
      <c r="B101" s="2720"/>
      <c r="C101" s="2849"/>
      <c r="D101" s="2851"/>
      <c r="E101" s="1049" t="s">
        <v>299</v>
      </c>
      <c r="F101" s="1004">
        <f t="shared" si="78"/>
        <v>0</v>
      </c>
      <c r="G101" s="1105">
        <f t="shared" ref="G101" si="80">IFERROR((F101-F100)/F100,0)</f>
        <v>0</v>
      </c>
      <c r="H101" s="1158">
        <f>+H99*H96/1000</f>
        <v>0</v>
      </c>
      <c r="I101" s="1158">
        <f t="shared" ref="I101:AL101" si="81">+I99*I96/1000</f>
        <v>0</v>
      </c>
      <c r="J101" s="1158">
        <f t="shared" si="81"/>
        <v>0</v>
      </c>
      <c r="K101" s="1158">
        <f t="shared" si="81"/>
        <v>0</v>
      </c>
      <c r="L101" s="1158">
        <f t="shared" si="81"/>
        <v>0</v>
      </c>
      <c r="M101" s="1158">
        <f t="shared" si="81"/>
        <v>0</v>
      </c>
      <c r="N101" s="1158">
        <f t="shared" si="81"/>
        <v>0</v>
      </c>
      <c r="O101" s="1158">
        <f t="shared" si="81"/>
        <v>0</v>
      </c>
      <c r="P101" s="1158">
        <f t="shared" si="81"/>
        <v>0</v>
      </c>
      <c r="Q101" s="1158">
        <f t="shared" si="81"/>
        <v>0</v>
      </c>
      <c r="R101" s="1158">
        <f t="shared" si="81"/>
        <v>0</v>
      </c>
      <c r="S101" s="1158">
        <f t="shared" si="81"/>
        <v>0</v>
      </c>
      <c r="T101" s="1158">
        <f t="shared" si="81"/>
        <v>0</v>
      </c>
      <c r="U101" s="1158">
        <f t="shared" si="81"/>
        <v>0</v>
      </c>
      <c r="V101" s="1158">
        <f t="shared" si="81"/>
        <v>0</v>
      </c>
      <c r="W101" s="1158">
        <f t="shared" si="81"/>
        <v>0</v>
      </c>
      <c r="X101" s="1158">
        <f t="shared" si="81"/>
        <v>0</v>
      </c>
      <c r="Y101" s="1158">
        <f t="shared" si="81"/>
        <v>0</v>
      </c>
      <c r="Z101" s="1158">
        <f t="shared" si="81"/>
        <v>0</v>
      </c>
      <c r="AA101" s="1158">
        <f t="shared" si="81"/>
        <v>0</v>
      </c>
      <c r="AB101" s="1158">
        <f t="shared" si="81"/>
        <v>0</v>
      </c>
      <c r="AC101" s="1158">
        <f t="shared" si="81"/>
        <v>0</v>
      </c>
      <c r="AD101" s="1158">
        <f t="shared" si="81"/>
        <v>0</v>
      </c>
      <c r="AE101" s="1158">
        <f t="shared" si="81"/>
        <v>0</v>
      </c>
      <c r="AF101" s="1158">
        <f t="shared" si="81"/>
        <v>0</v>
      </c>
      <c r="AG101" s="1158">
        <f t="shared" si="81"/>
        <v>0</v>
      </c>
      <c r="AH101" s="1158">
        <f t="shared" si="81"/>
        <v>0</v>
      </c>
      <c r="AI101" s="1158">
        <f t="shared" si="81"/>
        <v>0</v>
      </c>
      <c r="AJ101" s="1158">
        <f t="shared" si="81"/>
        <v>0</v>
      </c>
      <c r="AK101" s="1158">
        <f t="shared" si="81"/>
        <v>0</v>
      </c>
      <c r="AL101" s="1158">
        <f t="shared" si="81"/>
        <v>0</v>
      </c>
      <c r="AM101" s="98"/>
    </row>
    <row r="102" spans="2:39" s="75" customFormat="1" ht="14.85" customHeight="1">
      <c r="B102" s="2718">
        <v>1</v>
      </c>
      <c r="C102" s="2847" t="str">
        <f>Stoping!C116</f>
        <v>6L_W8 STOPE</v>
      </c>
      <c r="D102" s="2836" t="s">
        <v>66</v>
      </c>
      <c r="E102" s="91" t="s">
        <v>294</v>
      </c>
      <c r="F102" s="146">
        <f t="shared" si="78"/>
        <v>630</v>
      </c>
      <c r="G102" s="81"/>
      <c r="H102" s="147">
        <f>Stoping!H116</f>
        <v>105</v>
      </c>
      <c r="I102" s="147">
        <f>Stoping!I116</f>
        <v>105</v>
      </c>
      <c r="J102" s="147">
        <f>Stoping!J116</f>
        <v>105</v>
      </c>
      <c r="K102" s="148">
        <f>Stoping!K116</f>
        <v>105</v>
      </c>
      <c r="L102" s="148">
        <f>Stoping!L116</f>
        <v>105</v>
      </c>
      <c r="M102" s="148">
        <f>Stoping!M116</f>
        <v>105</v>
      </c>
      <c r="N102" s="148">
        <f>Stoping!N116</f>
        <v>105</v>
      </c>
      <c r="O102" s="148">
        <f>Stoping!O116</f>
        <v>105</v>
      </c>
      <c r="P102" s="152">
        <f>Stoping!P116</f>
        <v>105</v>
      </c>
      <c r="Q102" s="148">
        <f>Stoping!Q116</f>
        <v>105</v>
      </c>
      <c r="R102" s="148">
        <f>Stoping!R116</f>
        <v>0</v>
      </c>
      <c r="S102" s="148">
        <f>Stoping!S116</f>
        <v>0</v>
      </c>
      <c r="T102" s="148">
        <f>Stoping!T116</f>
        <v>105</v>
      </c>
      <c r="U102" s="148">
        <f>Stoping!U116</f>
        <v>105</v>
      </c>
      <c r="V102" s="148">
        <f>Stoping!V116</f>
        <v>105</v>
      </c>
      <c r="W102" s="148">
        <f>Stoping!W116</f>
        <v>105</v>
      </c>
      <c r="X102" s="148">
        <f>Stoping!X116</f>
        <v>105</v>
      </c>
      <c r="Y102" s="148">
        <f>Stoping!Y116</f>
        <v>105</v>
      </c>
      <c r="Z102" s="148">
        <f>Stoping!Z116</f>
        <v>105</v>
      </c>
      <c r="AA102" s="148">
        <f>Stoping!AA116</f>
        <v>105</v>
      </c>
      <c r="AB102" s="148">
        <f>Stoping!AB116</f>
        <v>105</v>
      </c>
      <c r="AC102" s="148">
        <f>Stoping!AC116</f>
        <v>105</v>
      </c>
      <c r="AD102" s="148">
        <f>Stoping!AD116</f>
        <v>105</v>
      </c>
      <c r="AE102" s="148">
        <f>Stoping!AE116</f>
        <v>105</v>
      </c>
      <c r="AF102" s="148">
        <f>Stoping!AF116</f>
        <v>105</v>
      </c>
      <c r="AG102" s="148">
        <f>Stoping!AG116</f>
        <v>105</v>
      </c>
      <c r="AH102" s="148">
        <f>Stoping!AH116</f>
        <v>105</v>
      </c>
      <c r="AI102" s="148">
        <f>Stoping!AI116</f>
        <v>105</v>
      </c>
      <c r="AJ102" s="148">
        <f>Stoping!AJ116</f>
        <v>105</v>
      </c>
      <c r="AK102" s="148">
        <f>Stoping!AK116</f>
        <v>105</v>
      </c>
      <c r="AL102" s="149">
        <f>Stoping!AL116</f>
        <v>105</v>
      </c>
      <c r="AM102" s="94"/>
    </row>
    <row r="103" spans="2:39">
      <c r="B103" s="2719"/>
      <c r="C103" s="2848"/>
      <c r="D103" s="2835"/>
      <c r="E103" s="1141" t="s">
        <v>295</v>
      </c>
      <c r="F103" s="1095">
        <f t="shared" si="78"/>
        <v>64.5</v>
      </c>
      <c r="G103" s="1142">
        <f t="shared" ref="G103" si="82">IFERROR((F103-F102)/F102,0)</f>
        <v>-0.89761904761904765</v>
      </c>
      <c r="H103" s="1143"/>
      <c r="I103" s="1095"/>
      <c r="J103" s="1095"/>
      <c r="K103" s="1095">
        <v>9</v>
      </c>
      <c r="L103" s="1095">
        <f>9+46.5</f>
        <v>55.5</v>
      </c>
      <c r="M103" s="1095"/>
      <c r="N103" s="1095"/>
      <c r="O103" s="1095"/>
      <c r="P103" s="1095"/>
      <c r="Q103" s="1095"/>
      <c r="R103" s="1095"/>
      <c r="S103" s="1095"/>
      <c r="T103" s="1095"/>
      <c r="U103" s="730"/>
      <c r="V103" s="1095"/>
      <c r="W103" s="1095"/>
      <c r="X103" s="1095"/>
      <c r="Y103" s="1095"/>
      <c r="Z103" s="1095"/>
      <c r="AA103" s="1095"/>
      <c r="AB103" s="1095"/>
      <c r="AC103" s="1095"/>
      <c r="AD103" s="1095"/>
      <c r="AE103" s="1095"/>
      <c r="AF103" s="1095"/>
      <c r="AG103" s="1095"/>
      <c r="AH103" s="1095"/>
      <c r="AI103" s="1095"/>
      <c r="AJ103" s="1095"/>
      <c r="AK103" s="1095"/>
      <c r="AL103" s="1095"/>
      <c r="AM103" s="95"/>
    </row>
    <row r="104" spans="2:39">
      <c r="B104" s="2719"/>
      <c r="C104" s="2848"/>
      <c r="D104" s="2835"/>
      <c r="E104" s="1159" t="s">
        <v>199</v>
      </c>
      <c r="F104" s="1145"/>
      <c r="G104" s="1146"/>
      <c r="H104" s="151"/>
      <c r="I104" s="151"/>
      <c r="J104" s="151"/>
      <c r="K104" s="151"/>
      <c r="L104" s="151"/>
      <c r="M104" s="151"/>
      <c r="N104" s="151"/>
      <c r="O104" s="151"/>
      <c r="P104" s="170"/>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71"/>
      <c r="AM104" s="95"/>
    </row>
    <row r="105" spans="2:39">
      <c r="B105" s="2719"/>
      <c r="C105" s="2848"/>
      <c r="D105" s="2825" t="s">
        <v>68</v>
      </c>
      <c r="E105" s="1147" t="s">
        <v>296</v>
      </c>
      <c r="F105" s="1148">
        <f t="shared" ref="F105:F106" si="83">IFERROR(F107*1000/F102,0)</f>
        <v>2.7803738317757007</v>
      </c>
      <c r="G105" s="1149"/>
      <c r="H105" s="1150">
        <f>Breaking.!D74</f>
        <v>2.7803738317757007</v>
      </c>
      <c r="I105" s="1150">
        <f>Breaking.!E74</f>
        <v>2.7803738317757007</v>
      </c>
      <c r="J105" s="1150">
        <f>Breaking.!F74</f>
        <v>2.7803738317757007</v>
      </c>
      <c r="K105" s="1150">
        <f>Breaking.!G74</f>
        <v>2.7803738317757007</v>
      </c>
      <c r="L105" s="1150">
        <f>Breaking.!H74</f>
        <v>2.7803738317757007</v>
      </c>
      <c r="M105" s="1150">
        <f>Breaking.!I74</f>
        <v>2.7803738317757007</v>
      </c>
      <c r="N105" s="1150">
        <f>Breaking.!J74</f>
        <v>2.7803738317757007</v>
      </c>
      <c r="O105" s="1150">
        <f>Breaking.!K74</f>
        <v>2.7803738317757007</v>
      </c>
      <c r="P105" s="1150">
        <f>Breaking.!L74</f>
        <v>2.7803738317757007</v>
      </c>
      <c r="Q105" s="1150">
        <f>Breaking.!M74</f>
        <v>2.7803738317757007</v>
      </c>
      <c r="R105" s="1150">
        <f>Breaking.!N74</f>
        <v>0</v>
      </c>
      <c r="S105" s="1150">
        <f>Breaking.!O74</f>
        <v>0</v>
      </c>
      <c r="T105" s="1150">
        <f>Breaking.!P74</f>
        <v>2.7803738317757007</v>
      </c>
      <c r="U105" s="1150">
        <f>Breaking.!Q74</f>
        <v>2.7803738317757007</v>
      </c>
      <c r="V105" s="1150">
        <f>Breaking.!R74</f>
        <v>2.7803738317757007</v>
      </c>
      <c r="W105" s="1150">
        <f>Breaking.!S74</f>
        <v>2.7803738317757007</v>
      </c>
      <c r="X105" s="1150">
        <f>Breaking.!T74</f>
        <v>2.7803738317757007</v>
      </c>
      <c r="Y105" s="1150">
        <f>Breaking.!U74</f>
        <v>2.7803738317757007</v>
      </c>
      <c r="Z105" s="1150">
        <f>Breaking.!V74</f>
        <v>2.7803738317757007</v>
      </c>
      <c r="AA105" s="1150">
        <f>Breaking.!W74</f>
        <v>2.7803738317757007</v>
      </c>
      <c r="AB105" s="1150">
        <f>Breaking.!X74</f>
        <v>2.7803738317757007</v>
      </c>
      <c r="AC105" s="1150">
        <f>Breaking.!Y74</f>
        <v>2.7803738317757007</v>
      </c>
      <c r="AD105" s="1150">
        <f>Breaking.!Z74</f>
        <v>2.7803738317757007</v>
      </c>
      <c r="AE105" s="1150">
        <f>Breaking.!AA74</f>
        <v>2.7803738317757007</v>
      </c>
      <c r="AF105" s="1150">
        <f>Breaking.!AB74</f>
        <v>2.7803738317757007</v>
      </c>
      <c r="AG105" s="1150">
        <f>Breaking.!AC74</f>
        <v>2.7803738317757007</v>
      </c>
      <c r="AH105" s="1150">
        <f>Breaking.!AD74</f>
        <v>2.7803738317757007</v>
      </c>
      <c r="AI105" s="1150">
        <f>Breaking.!AE74</f>
        <v>2.7803738317757007</v>
      </c>
      <c r="AJ105" s="1150">
        <f>Breaking.!AF74</f>
        <v>2.7803738317757007</v>
      </c>
      <c r="AK105" s="1150">
        <f>Breaking.!AG74</f>
        <v>2.7803738317757007</v>
      </c>
      <c r="AL105" s="1150">
        <f>Breaking.!AH74</f>
        <v>2.7803738317757007</v>
      </c>
      <c r="AM105" s="95"/>
    </row>
    <row r="106" spans="2:39">
      <c r="B106" s="2719"/>
      <c r="C106" s="2848"/>
      <c r="D106" s="2850"/>
      <c r="E106" s="1151" t="s">
        <v>297</v>
      </c>
      <c r="F106" s="1152">
        <f t="shared" si="83"/>
        <v>0.80232558139534893</v>
      </c>
      <c r="G106" s="1142">
        <f t="shared" ref="G106" si="84">IFERROR((F106-F105)/F105,0)</f>
        <v>-0.7114324799687316</v>
      </c>
      <c r="H106" s="1153"/>
      <c r="I106" s="1152"/>
      <c r="J106" s="1152"/>
      <c r="K106" s="1152">
        <v>1.31</v>
      </c>
      <c r="L106" s="1152">
        <v>0.72</v>
      </c>
      <c r="M106" s="1152"/>
      <c r="N106" s="1152"/>
      <c r="O106" s="1152"/>
      <c r="P106" s="1152"/>
      <c r="Q106" s="1152"/>
      <c r="R106" s="1152"/>
      <c r="S106" s="1152"/>
      <c r="T106" s="1152"/>
      <c r="U106" s="1152"/>
      <c r="V106" s="1152"/>
      <c r="W106" s="1152"/>
      <c r="X106" s="1152"/>
      <c r="Y106" s="1152"/>
      <c r="Z106" s="1152"/>
      <c r="AA106" s="1152"/>
      <c r="AB106" s="1152"/>
      <c r="AC106" s="1152"/>
      <c r="AD106" s="1152"/>
      <c r="AE106" s="1152"/>
      <c r="AF106" s="1152"/>
      <c r="AG106" s="1152"/>
      <c r="AH106" s="1152"/>
      <c r="AI106" s="1152"/>
      <c r="AJ106" s="1152"/>
      <c r="AK106" s="1152"/>
      <c r="AL106" s="1152"/>
      <c r="AM106" s="95"/>
    </row>
    <row r="107" spans="2:39">
      <c r="B107" s="2719"/>
      <c r="C107" s="2848"/>
      <c r="D107" s="2825" t="s">
        <v>70</v>
      </c>
      <c r="E107" s="1147" t="s">
        <v>298</v>
      </c>
      <c r="F107" s="96">
        <f t="shared" ref="F107:F110" si="85">SUMIF($H$9:$AL$9,"&lt;="&amp;$C$7,H107:AL107)</f>
        <v>1.7516355140186914</v>
      </c>
      <c r="G107" s="1149"/>
      <c r="H107" s="1154">
        <f>+H105*H102/1000</f>
        <v>0.29193925233644857</v>
      </c>
      <c r="I107" s="1154">
        <f t="shared" ref="I107:AL107" si="86">+I105*I102/1000</f>
        <v>0.29193925233644857</v>
      </c>
      <c r="J107" s="1154">
        <f t="shared" si="86"/>
        <v>0.29193925233644857</v>
      </c>
      <c r="K107" s="1154">
        <f t="shared" si="86"/>
        <v>0.29193925233644857</v>
      </c>
      <c r="L107" s="1154">
        <f t="shared" si="86"/>
        <v>0.29193925233644857</v>
      </c>
      <c r="M107" s="1154">
        <f t="shared" si="86"/>
        <v>0.29193925233644857</v>
      </c>
      <c r="N107" s="1154">
        <f t="shared" si="86"/>
        <v>0.29193925233644857</v>
      </c>
      <c r="O107" s="1154">
        <f t="shared" si="86"/>
        <v>0.29193925233644857</v>
      </c>
      <c r="P107" s="1154">
        <f t="shared" si="86"/>
        <v>0.29193925233644857</v>
      </c>
      <c r="Q107" s="1154">
        <f t="shared" si="86"/>
        <v>0.29193925233644857</v>
      </c>
      <c r="R107" s="1154">
        <f t="shared" si="86"/>
        <v>0</v>
      </c>
      <c r="S107" s="1154">
        <f t="shared" si="86"/>
        <v>0</v>
      </c>
      <c r="T107" s="1154">
        <f t="shared" si="86"/>
        <v>0.29193925233644857</v>
      </c>
      <c r="U107" s="1154">
        <f t="shared" si="86"/>
        <v>0.29193925233644857</v>
      </c>
      <c r="V107" s="1154">
        <f t="shared" si="86"/>
        <v>0.29193925233644857</v>
      </c>
      <c r="W107" s="1154">
        <f t="shared" si="86"/>
        <v>0.29193925233644857</v>
      </c>
      <c r="X107" s="1154">
        <f t="shared" si="86"/>
        <v>0.29193925233644857</v>
      </c>
      <c r="Y107" s="1154">
        <f t="shared" si="86"/>
        <v>0.29193925233644857</v>
      </c>
      <c r="Z107" s="1154">
        <f t="shared" si="86"/>
        <v>0.29193925233644857</v>
      </c>
      <c r="AA107" s="1154">
        <f t="shared" si="86"/>
        <v>0.29193925233644857</v>
      </c>
      <c r="AB107" s="1154">
        <f t="shared" si="86"/>
        <v>0.29193925233644857</v>
      </c>
      <c r="AC107" s="1154">
        <f t="shared" si="86"/>
        <v>0.29193925233644857</v>
      </c>
      <c r="AD107" s="1154">
        <f t="shared" si="86"/>
        <v>0.29193925233644857</v>
      </c>
      <c r="AE107" s="1154">
        <f t="shared" si="86"/>
        <v>0.29193925233644857</v>
      </c>
      <c r="AF107" s="1154">
        <f t="shared" si="86"/>
        <v>0.29193925233644857</v>
      </c>
      <c r="AG107" s="1154">
        <f t="shared" si="86"/>
        <v>0.29193925233644857</v>
      </c>
      <c r="AH107" s="1154">
        <f>+AH105*AH102/1000</f>
        <v>0.29193925233644857</v>
      </c>
      <c r="AI107" s="1154">
        <f t="shared" si="86"/>
        <v>0.29193925233644857</v>
      </c>
      <c r="AJ107" s="1154">
        <f t="shared" si="86"/>
        <v>0.29193925233644857</v>
      </c>
      <c r="AK107" s="1154">
        <f t="shared" si="86"/>
        <v>0.29193925233644857</v>
      </c>
      <c r="AL107" s="1154">
        <f t="shared" si="86"/>
        <v>0.29193925233644857</v>
      </c>
      <c r="AM107" s="97"/>
    </row>
    <row r="108" spans="2:39" ht="14.4" thickBot="1">
      <c r="B108" s="2720"/>
      <c r="C108" s="2849"/>
      <c r="D108" s="2851"/>
      <c r="E108" s="1049" t="s">
        <v>299</v>
      </c>
      <c r="F108" s="1004">
        <f t="shared" si="85"/>
        <v>5.1750000000000004E-2</v>
      </c>
      <c r="G108" s="1105">
        <f t="shared" ref="G108" si="87">IFERROR((F108-F107)/F107,0)</f>
        <v>-0.97045618247298926</v>
      </c>
      <c r="H108" s="1158">
        <f>+H106*H103/1000</f>
        <v>0</v>
      </c>
      <c r="I108" s="1158">
        <f t="shared" ref="I108:AL108" si="88">+I106*I103/1000</f>
        <v>0</v>
      </c>
      <c r="J108" s="1158">
        <f t="shared" si="88"/>
        <v>0</v>
      </c>
      <c r="K108" s="1158">
        <f t="shared" si="88"/>
        <v>1.179E-2</v>
      </c>
      <c r="L108" s="1158">
        <f t="shared" si="88"/>
        <v>3.9960000000000002E-2</v>
      </c>
      <c r="M108" s="1158">
        <f t="shared" si="88"/>
        <v>0</v>
      </c>
      <c r="N108" s="1158">
        <f t="shared" si="88"/>
        <v>0</v>
      </c>
      <c r="O108" s="1158">
        <f t="shared" si="88"/>
        <v>0</v>
      </c>
      <c r="P108" s="1158">
        <f t="shared" si="88"/>
        <v>0</v>
      </c>
      <c r="Q108" s="1158">
        <f t="shared" si="88"/>
        <v>0</v>
      </c>
      <c r="R108" s="1158">
        <f t="shared" si="88"/>
        <v>0</v>
      </c>
      <c r="S108" s="1158">
        <f t="shared" si="88"/>
        <v>0</v>
      </c>
      <c r="T108" s="1158">
        <f t="shared" si="88"/>
        <v>0</v>
      </c>
      <c r="U108" s="1158">
        <f t="shared" si="88"/>
        <v>0</v>
      </c>
      <c r="V108" s="1158">
        <f t="shared" si="88"/>
        <v>0</v>
      </c>
      <c r="W108" s="1158">
        <f t="shared" si="88"/>
        <v>0</v>
      </c>
      <c r="X108" s="1158">
        <f t="shared" si="88"/>
        <v>0</v>
      </c>
      <c r="Y108" s="1158">
        <f t="shared" si="88"/>
        <v>0</v>
      </c>
      <c r="Z108" s="1158">
        <f t="shared" si="88"/>
        <v>0</v>
      </c>
      <c r="AA108" s="1158">
        <f t="shared" si="88"/>
        <v>0</v>
      </c>
      <c r="AB108" s="1158">
        <f t="shared" si="88"/>
        <v>0</v>
      </c>
      <c r="AC108" s="1158">
        <f t="shared" si="88"/>
        <v>0</v>
      </c>
      <c r="AD108" s="1158">
        <f t="shared" si="88"/>
        <v>0</v>
      </c>
      <c r="AE108" s="1158">
        <f t="shared" si="88"/>
        <v>0</v>
      </c>
      <c r="AF108" s="1158">
        <f t="shared" si="88"/>
        <v>0</v>
      </c>
      <c r="AG108" s="1158">
        <f t="shared" si="88"/>
        <v>0</v>
      </c>
      <c r="AH108" s="1158">
        <f t="shared" si="88"/>
        <v>0</v>
      </c>
      <c r="AI108" s="1158">
        <f t="shared" si="88"/>
        <v>0</v>
      </c>
      <c r="AJ108" s="1158">
        <f t="shared" si="88"/>
        <v>0</v>
      </c>
      <c r="AK108" s="1158">
        <f t="shared" si="88"/>
        <v>0</v>
      </c>
      <c r="AL108" s="1158">
        <f t="shared" si="88"/>
        <v>0</v>
      </c>
      <c r="AM108" s="98"/>
    </row>
    <row r="109" spans="2:39" s="75" customFormat="1" ht="14.85" customHeight="1">
      <c r="B109" s="2718">
        <v>1</v>
      </c>
      <c r="C109" s="2847" t="str">
        <f>Stoping!C123</f>
        <v>6L_W13 STOPE</v>
      </c>
      <c r="D109" s="2836" t="s">
        <v>66</v>
      </c>
      <c r="E109" s="91" t="s">
        <v>294</v>
      </c>
      <c r="F109" s="146">
        <f t="shared" si="85"/>
        <v>210</v>
      </c>
      <c r="G109" s="81"/>
      <c r="H109" s="147">
        <f>Stoping!H123</f>
        <v>35</v>
      </c>
      <c r="I109" s="147">
        <f>Stoping!I123</f>
        <v>35</v>
      </c>
      <c r="J109" s="147">
        <f>Stoping!J123</f>
        <v>35</v>
      </c>
      <c r="K109" s="148">
        <f>Stoping!K123</f>
        <v>35</v>
      </c>
      <c r="L109" s="148">
        <f>Stoping!L123</f>
        <v>35</v>
      </c>
      <c r="M109" s="148">
        <f>Stoping!M123</f>
        <v>35</v>
      </c>
      <c r="N109" s="148">
        <f>Stoping!N123</f>
        <v>35</v>
      </c>
      <c r="O109" s="148">
        <f>Stoping!O123</f>
        <v>35</v>
      </c>
      <c r="P109" s="152">
        <f>Stoping!P123</f>
        <v>35</v>
      </c>
      <c r="Q109" s="148">
        <f>Stoping!Q123</f>
        <v>35</v>
      </c>
      <c r="R109" s="148">
        <f>Stoping!R123</f>
        <v>0</v>
      </c>
      <c r="S109" s="148">
        <f>Stoping!S123</f>
        <v>0</v>
      </c>
      <c r="T109" s="148">
        <f>Stoping!T123</f>
        <v>35</v>
      </c>
      <c r="U109" s="148">
        <f>Stoping!U123</f>
        <v>35</v>
      </c>
      <c r="V109" s="148">
        <f>Stoping!V123</f>
        <v>35</v>
      </c>
      <c r="W109" s="148">
        <f>Stoping!W123</f>
        <v>35</v>
      </c>
      <c r="X109" s="148">
        <f>Stoping!X123</f>
        <v>35</v>
      </c>
      <c r="Y109" s="148">
        <f>Stoping!Y123</f>
        <v>35</v>
      </c>
      <c r="Z109" s="148">
        <f>Stoping!Z123</f>
        <v>35</v>
      </c>
      <c r="AA109" s="148">
        <f>Stoping!AA123</f>
        <v>35</v>
      </c>
      <c r="AB109" s="148">
        <f>Stoping!AB123</f>
        <v>35</v>
      </c>
      <c r="AC109" s="148">
        <f>Stoping!AC123</f>
        <v>35</v>
      </c>
      <c r="AD109" s="148">
        <f>Stoping!AD123</f>
        <v>35</v>
      </c>
      <c r="AE109" s="148">
        <f>Stoping!AE123</f>
        <v>35</v>
      </c>
      <c r="AF109" s="148">
        <f>Stoping!AF123</f>
        <v>35</v>
      </c>
      <c r="AG109" s="148">
        <f>Stoping!AG123</f>
        <v>35</v>
      </c>
      <c r="AH109" s="148">
        <f>Stoping!AH123</f>
        <v>35</v>
      </c>
      <c r="AI109" s="148">
        <f>Stoping!AI123</f>
        <v>35</v>
      </c>
      <c r="AJ109" s="148">
        <f>Stoping!AJ123</f>
        <v>35</v>
      </c>
      <c r="AK109" s="148">
        <f>Stoping!AK123</f>
        <v>35</v>
      </c>
      <c r="AL109" s="148">
        <f>Stoping!AL123</f>
        <v>35</v>
      </c>
      <c r="AM109" s="94"/>
    </row>
    <row r="110" spans="2:39">
      <c r="B110" s="2719"/>
      <c r="C110" s="2848"/>
      <c r="D110" s="2835"/>
      <c r="E110" s="1141" t="s">
        <v>295</v>
      </c>
      <c r="F110" s="1095">
        <f t="shared" si="85"/>
        <v>0</v>
      </c>
      <c r="G110" s="1142">
        <f t="shared" ref="G110" si="89">IFERROR((F110-F109)/F109,0)</f>
        <v>-1</v>
      </c>
      <c r="H110" s="1143"/>
      <c r="I110" s="1095"/>
      <c r="J110" s="1095"/>
      <c r="K110" s="1095"/>
      <c r="L110" s="1095"/>
      <c r="M110" s="1095"/>
      <c r="N110" s="1095"/>
      <c r="O110" s="1095"/>
      <c r="P110" s="1095"/>
      <c r="Q110" s="1095"/>
      <c r="R110" s="1095"/>
      <c r="S110" s="1095"/>
      <c r="T110" s="1095"/>
      <c r="U110" s="1095"/>
      <c r="V110" s="1095"/>
      <c r="W110" s="1095"/>
      <c r="X110" s="1095"/>
      <c r="Y110" s="1095"/>
      <c r="Z110" s="1095"/>
      <c r="AA110" s="1095"/>
      <c r="AB110" s="1095"/>
      <c r="AC110" s="1095"/>
      <c r="AD110" s="1095"/>
      <c r="AE110" s="1095"/>
      <c r="AF110" s="1095"/>
      <c r="AG110" s="1095"/>
      <c r="AH110" s="1095"/>
      <c r="AI110" s="1095"/>
      <c r="AJ110" s="1095"/>
      <c r="AK110" s="1095"/>
      <c r="AL110" s="1095"/>
      <c r="AM110" s="95"/>
    </row>
    <row r="111" spans="2:39">
      <c r="B111" s="2719"/>
      <c r="C111" s="2848"/>
      <c r="D111" s="2835"/>
      <c r="E111" s="1159" t="s">
        <v>199</v>
      </c>
      <c r="F111" s="1145"/>
      <c r="G111" s="1146"/>
      <c r="H111" s="151"/>
      <c r="I111" s="151"/>
      <c r="J111" s="151"/>
      <c r="K111" s="151"/>
      <c r="L111" s="151"/>
      <c r="M111" s="151"/>
      <c r="N111" s="151"/>
      <c r="O111" s="151"/>
      <c r="P111" s="170"/>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71"/>
      <c r="AM111" s="95"/>
    </row>
    <row r="112" spans="2:39">
      <c r="B112" s="2719"/>
      <c r="C112" s="2848"/>
      <c r="D112" s="2825" t="s">
        <v>68</v>
      </c>
      <c r="E112" s="1147" t="s">
        <v>296</v>
      </c>
      <c r="F112" s="1148">
        <f t="shared" ref="F112:F113" si="90">IFERROR(F114*1000/F109,0)</f>
        <v>1.9859813084112146</v>
      </c>
      <c r="G112" s="1149"/>
      <c r="H112" s="1150">
        <f>Breaking.!D76</f>
        <v>1.9859813084112148</v>
      </c>
      <c r="I112" s="1150">
        <f>Breaking.!E76</f>
        <v>1.9859813084112148</v>
      </c>
      <c r="J112" s="1150">
        <f>Breaking.!F76</f>
        <v>1.9859813084112148</v>
      </c>
      <c r="K112" s="1150">
        <f>Breaking.!G76</f>
        <v>1.9859813084112148</v>
      </c>
      <c r="L112" s="1150">
        <f>Breaking.!H76</f>
        <v>1.9859813084112148</v>
      </c>
      <c r="M112" s="1150">
        <f>Breaking.!I76</f>
        <v>1.9859813084112148</v>
      </c>
      <c r="N112" s="1150">
        <f>Breaking.!J76</f>
        <v>1.9859813084112148</v>
      </c>
      <c r="O112" s="1150">
        <f>Breaking.!K76</f>
        <v>1.9859813084112148</v>
      </c>
      <c r="P112" s="1150">
        <f>Breaking.!L76</f>
        <v>1.9859813084112148</v>
      </c>
      <c r="Q112" s="1150">
        <f>Breaking.!M76</f>
        <v>1.9859813084112148</v>
      </c>
      <c r="R112" s="1150">
        <f>Breaking.!N76</f>
        <v>0</v>
      </c>
      <c r="S112" s="1150">
        <f>Breaking.!O76</f>
        <v>0</v>
      </c>
      <c r="T112" s="1150">
        <f>Breaking.!P76</f>
        <v>1.9859813084112148</v>
      </c>
      <c r="U112" s="1150">
        <f>Breaking.!Q76</f>
        <v>1.9859813084112148</v>
      </c>
      <c r="V112" s="1150">
        <f>Breaking.!R76</f>
        <v>1.9859813084112148</v>
      </c>
      <c r="W112" s="1150">
        <f>Breaking.!S76</f>
        <v>1.9859813084112148</v>
      </c>
      <c r="X112" s="1150">
        <f>Breaking.!T76</f>
        <v>1.9859813084112148</v>
      </c>
      <c r="Y112" s="1150">
        <f>Breaking.!U76</f>
        <v>1.9859813084112148</v>
      </c>
      <c r="Z112" s="1150">
        <f>Breaking.!V76</f>
        <v>1.9859813084112148</v>
      </c>
      <c r="AA112" s="1150">
        <f>Breaking.!W76</f>
        <v>1.9859813084112148</v>
      </c>
      <c r="AB112" s="1150">
        <f>Breaking.!X76</f>
        <v>1.9859813084112148</v>
      </c>
      <c r="AC112" s="1150">
        <f>Breaking.!Y76</f>
        <v>1.9859813084112148</v>
      </c>
      <c r="AD112" s="1150">
        <f>Breaking.!Z76</f>
        <v>1.9859813084112148</v>
      </c>
      <c r="AE112" s="1150">
        <f>Breaking.!AA76</f>
        <v>1.9859813084112148</v>
      </c>
      <c r="AF112" s="1150">
        <f>Breaking.!AB76</f>
        <v>1.9859813084112148</v>
      </c>
      <c r="AG112" s="1150">
        <f>Breaking.!AC76</f>
        <v>1.9859813084112148</v>
      </c>
      <c r="AH112" s="1150">
        <f>Breaking.!AD76</f>
        <v>1.9859813084112148</v>
      </c>
      <c r="AI112" s="1150">
        <f>Breaking.!AE76</f>
        <v>1.9859813084112148</v>
      </c>
      <c r="AJ112" s="1150">
        <f>Breaking.!AF76</f>
        <v>1.9859813084112148</v>
      </c>
      <c r="AK112" s="1150">
        <f>Breaking.!AG76</f>
        <v>1.9859813084112148</v>
      </c>
      <c r="AL112" s="1150">
        <f>Breaking.!AH76</f>
        <v>1.9859813084112148</v>
      </c>
      <c r="AM112" s="95"/>
    </row>
    <row r="113" spans="2:39">
      <c r="B113" s="2719"/>
      <c r="C113" s="2848"/>
      <c r="D113" s="2850"/>
      <c r="E113" s="1151" t="s">
        <v>297</v>
      </c>
      <c r="F113" s="1152">
        <f t="shared" si="90"/>
        <v>0</v>
      </c>
      <c r="G113" s="1142">
        <f t="shared" ref="G113" si="91">IFERROR((F113-F112)/F112,0)</f>
        <v>-1</v>
      </c>
      <c r="H113" s="1153"/>
      <c r="I113" s="1152"/>
      <c r="J113" s="1152"/>
      <c r="K113" s="1152"/>
      <c r="L113" s="1152"/>
      <c r="M113" s="1152"/>
      <c r="N113" s="1152"/>
      <c r="O113" s="1152"/>
      <c r="P113" s="1152"/>
      <c r="Q113" s="1152"/>
      <c r="R113" s="1152"/>
      <c r="S113" s="1152"/>
      <c r="T113" s="1152"/>
      <c r="U113" s="1152"/>
      <c r="V113" s="1152"/>
      <c r="W113" s="1152"/>
      <c r="X113" s="1152"/>
      <c r="Y113" s="1152"/>
      <c r="Z113" s="1152"/>
      <c r="AA113" s="1152"/>
      <c r="AB113" s="1152"/>
      <c r="AC113" s="1152"/>
      <c r="AD113" s="1152"/>
      <c r="AE113" s="1152"/>
      <c r="AF113" s="1152"/>
      <c r="AG113" s="1152"/>
      <c r="AH113" s="1152"/>
      <c r="AI113" s="1152"/>
      <c r="AJ113" s="1152"/>
      <c r="AK113" s="1152"/>
      <c r="AL113" s="1152"/>
      <c r="AM113" s="95"/>
    </row>
    <row r="114" spans="2:39">
      <c r="B114" s="2719"/>
      <c r="C114" s="2848"/>
      <c r="D114" s="2825" t="s">
        <v>70</v>
      </c>
      <c r="E114" s="1147" t="s">
        <v>298</v>
      </c>
      <c r="F114" s="96">
        <f t="shared" ref="F114:F117" si="92">SUMIF($H$9:$AL$9,"&lt;="&amp;$C$7,H114:AL114)</f>
        <v>0.41705607476635503</v>
      </c>
      <c r="G114" s="1149"/>
      <c r="H114" s="1154">
        <f>+H112*H109/1000</f>
        <v>6.950934579439251E-2</v>
      </c>
      <c r="I114" s="1154">
        <f t="shared" ref="I114:AG114" si="93">+I112*I109/1000</f>
        <v>6.950934579439251E-2</v>
      </c>
      <c r="J114" s="1154">
        <f t="shared" si="93"/>
        <v>6.950934579439251E-2</v>
      </c>
      <c r="K114" s="1154">
        <f t="shared" si="93"/>
        <v>6.950934579439251E-2</v>
      </c>
      <c r="L114" s="1154">
        <f t="shared" si="93"/>
        <v>6.950934579439251E-2</v>
      </c>
      <c r="M114" s="1154">
        <f t="shared" si="93"/>
        <v>6.950934579439251E-2</v>
      </c>
      <c r="N114" s="1154">
        <f t="shared" si="93"/>
        <v>6.950934579439251E-2</v>
      </c>
      <c r="O114" s="1154">
        <f t="shared" si="93"/>
        <v>6.950934579439251E-2</v>
      </c>
      <c r="P114" s="1154">
        <f t="shared" si="93"/>
        <v>6.950934579439251E-2</v>
      </c>
      <c r="Q114" s="1154">
        <f t="shared" si="93"/>
        <v>6.950934579439251E-2</v>
      </c>
      <c r="R114" s="1154">
        <f t="shared" si="93"/>
        <v>0</v>
      </c>
      <c r="S114" s="1154">
        <f t="shared" si="93"/>
        <v>0</v>
      </c>
      <c r="T114" s="1154">
        <f t="shared" si="93"/>
        <v>6.950934579439251E-2</v>
      </c>
      <c r="U114" s="1154">
        <f t="shared" si="93"/>
        <v>6.950934579439251E-2</v>
      </c>
      <c r="V114" s="1154">
        <f t="shared" si="93"/>
        <v>6.950934579439251E-2</v>
      </c>
      <c r="W114" s="1154">
        <f t="shared" si="93"/>
        <v>6.950934579439251E-2</v>
      </c>
      <c r="X114" s="1154">
        <f t="shared" si="93"/>
        <v>6.950934579439251E-2</v>
      </c>
      <c r="Y114" s="1154">
        <f t="shared" si="93"/>
        <v>6.950934579439251E-2</v>
      </c>
      <c r="Z114" s="1154">
        <f t="shared" si="93"/>
        <v>6.950934579439251E-2</v>
      </c>
      <c r="AA114" s="1154">
        <f t="shared" si="93"/>
        <v>6.950934579439251E-2</v>
      </c>
      <c r="AB114" s="1154">
        <f t="shared" si="93"/>
        <v>6.950934579439251E-2</v>
      </c>
      <c r="AC114" s="1154">
        <f t="shared" si="93"/>
        <v>6.950934579439251E-2</v>
      </c>
      <c r="AD114" s="1154">
        <f t="shared" si="93"/>
        <v>6.950934579439251E-2</v>
      </c>
      <c r="AE114" s="1154">
        <f t="shared" si="93"/>
        <v>6.950934579439251E-2</v>
      </c>
      <c r="AF114" s="1154">
        <f t="shared" si="93"/>
        <v>6.950934579439251E-2</v>
      </c>
      <c r="AG114" s="1154">
        <f t="shared" si="93"/>
        <v>6.950934579439251E-2</v>
      </c>
      <c r="AH114" s="1154">
        <f>+AH112*AH109/1000</f>
        <v>6.950934579439251E-2</v>
      </c>
      <c r="AI114" s="1154">
        <f t="shared" ref="AI114:AJ114" si="94">+AI112*AI109/1000</f>
        <v>6.950934579439251E-2</v>
      </c>
      <c r="AJ114" s="1154">
        <f t="shared" si="94"/>
        <v>6.950934579439251E-2</v>
      </c>
      <c r="AK114" s="1154">
        <f>+AK112*AK109/1000</f>
        <v>6.950934579439251E-2</v>
      </c>
      <c r="AL114" s="1154">
        <f>+AL112*AL109/1000</f>
        <v>6.950934579439251E-2</v>
      </c>
      <c r="AM114" s="97"/>
    </row>
    <row r="115" spans="2:39" ht="14.4" thickBot="1">
      <c r="B115" s="2720"/>
      <c r="C115" s="2849"/>
      <c r="D115" s="2851"/>
      <c r="E115" s="1049" t="s">
        <v>299</v>
      </c>
      <c r="F115" s="1004">
        <f t="shared" si="92"/>
        <v>0</v>
      </c>
      <c r="G115" s="1105">
        <f t="shared" ref="G115" si="95">IFERROR((F115-F114)/F114,0)</f>
        <v>-1</v>
      </c>
      <c r="H115" s="1158">
        <f>+H113*H110/1000</f>
        <v>0</v>
      </c>
      <c r="I115" s="1158">
        <f t="shared" ref="I115:AL115" si="96">+I113*I110/1000</f>
        <v>0</v>
      </c>
      <c r="J115" s="1158">
        <f t="shared" si="96"/>
        <v>0</v>
      </c>
      <c r="K115" s="1158">
        <f t="shared" si="96"/>
        <v>0</v>
      </c>
      <c r="L115" s="1158">
        <f t="shared" si="96"/>
        <v>0</v>
      </c>
      <c r="M115" s="1158">
        <f t="shared" si="96"/>
        <v>0</v>
      </c>
      <c r="N115" s="1158">
        <f t="shared" si="96"/>
        <v>0</v>
      </c>
      <c r="O115" s="1158">
        <f t="shared" si="96"/>
        <v>0</v>
      </c>
      <c r="P115" s="1158">
        <f t="shared" si="96"/>
        <v>0</v>
      </c>
      <c r="Q115" s="1158">
        <f t="shared" si="96"/>
        <v>0</v>
      </c>
      <c r="R115" s="1158">
        <f t="shared" si="96"/>
        <v>0</v>
      </c>
      <c r="S115" s="1158">
        <f t="shared" si="96"/>
        <v>0</v>
      </c>
      <c r="T115" s="1158">
        <f t="shared" si="96"/>
        <v>0</v>
      </c>
      <c r="U115" s="1158">
        <f t="shared" si="96"/>
        <v>0</v>
      </c>
      <c r="V115" s="1158">
        <f t="shared" si="96"/>
        <v>0</v>
      </c>
      <c r="W115" s="1158">
        <f t="shared" si="96"/>
        <v>0</v>
      </c>
      <c r="X115" s="1158">
        <f t="shared" si="96"/>
        <v>0</v>
      </c>
      <c r="Y115" s="1158">
        <f t="shared" si="96"/>
        <v>0</v>
      </c>
      <c r="Z115" s="1158">
        <f t="shared" si="96"/>
        <v>0</v>
      </c>
      <c r="AA115" s="1158">
        <f t="shared" si="96"/>
        <v>0</v>
      </c>
      <c r="AB115" s="1158">
        <f t="shared" si="96"/>
        <v>0</v>
      </c>
      <c r="AC115" s="1158">
        <f t="shared" si="96"/>
        <v>0</v>
      </c>
      <c r="AD115" s="1158">
        <f t="shared" si="96"/>
        <v>0</v>
      </c>
      <c r="AE115" s="1158">
        <f t="shared" si="96"/>
        <v>0</v>
      </c>
      <c r="AF115" s="1158">
        <f t="shared" si="96"/>
        <v>0</v>
      </c>
      <c r="AG115" s="1158">
        <f t="shared" si="96"/>
        <v>0</v>
      </c>
      <c r="AH115" s="1158">
        <f t="shared" si="96"/>
        <v>0</v>
      </c>
      <c r="AI115" s="1158">
        <f t="shared" si="96"/>
        <v>0</v>
      </c>
      <c r="AJ115" s="1158">
        <f t="shared" si="96"/>
        <v>0</v>
      </c>
      <c r="AK115" s="1158">
        <f t="shared" si="96"/>
        <v>0</v>
      </c>
      <c r="AL115" s="1158">
        <f t="shared" si="96"/>
        <v>0</v>
      </c>
      <c r="AM115" s="98"/>
    </row>
    <row r="116" spans="2:39" s="75" customFormat="1" ht="14.85" customHeight="1">
      <c r="B116" s="2718">
        <v>1</v>
      </c>
      <c r="C116" s="2847" t="str">
        <f>Stoping!C130</f>
        <v>6L_W15_STOPE</v>
      </c>
      <c r="D116" s="2836" t="s">
        <v>66</v>
      </c>
      <c r="E116" s="91" t="s">
        <v>294</v>
      </c>
      <c r="F116" s="146">
        <f t="shared" si="92"/>
        <v>420</v>
      </c>
      <c r="G116" s="81"/>
      <c r="H116" s="147">
        <f>Stoping!H130</f>
        <v>70</v>
      </c>
      <c r="I116" s="147">
        <f>Stoping!I130</f>
        <v>70</v>
      </c>
      <c r="J116" s="147">
        <f>Stoping!J130</f>
        <v>70</v>
      </c>
      <c r="K116" s="148">
        <f>Stoping!K130</f>
        <v>70</v>
      </c>
      <c r="L116" s="148">
        <f>Stoping!L130</f>
        <v>70</v>
      </c>
      <c r="M116" s="148">
        <f>Stoping!M130</f>
        <v>70</v>
      </c>
      <c r="N116" s="148">
        <f>Stoping!N130</f>
        <v>70</v>
      </c>
      <c r="O116" s="148">
        <f>Stoping!O130</f>
        <v>70</v>
      </c>
      <c r="P116" s="152">
        <f>Stoping!P130</f>
        <v>70</v>
      </c>
      <c r="Q116" s="148">
        <f>Stoping!Q130</f>
        <v>70</v>
      </c>
      <c r="R116" s="148">
        <f>Stoping!R130</f>
        <v>0</v>
      </c>
      <c r="S116" s="148">
        <f>Stoping!S130</f>
        <v>0</v>
      </c>
      <c r="T116" s="148">
        <f>Stoping!T130</f>
        <v>70</v>
      </c>
      <c r="U116" s="148">
        <f>Stoping!U130</f>
        <v>70</v>
      </c>
      <c r="V116" s="148">
        <f>Stoping!V130</f>
        <v>70</v>
      </c>
      <c r="W116" s="148">
        <f>Stoping!W130</f>
        <v>70</v>
      </c>
      <c r="X116" s="148">
        <f>Stoping!X130</f>
        <v>70</v>
      </c>
      <c r="Y116" s="148">
        <f>Stoping!Y130</f>
        <v>70</v>
      </c>
      <c r="Z116" s="148">
        <f>Stoping!Z130</f>
        <v>70</v>
      </c>
      <c r="AA116" s="148">
        <f>Stoping!AA130</f>
        <v>70</v>
      </c>
      <c r="AB116" s="148">
        <f>Stoping!AB130</f>
        <v>70</v>
      </c>
      <c r="AC116" s="148">
        <f>Stoping!AC130</f>
        <v>70</v>
      </c>
      <c r="AD116" s="148">
        <f>Stoping!AD130</f>
        <v>70</v>
      </c>
      <c r="AE116" s="148">
        <f>Stoping!AE130</f>
        <v>70</v>
      </c>
      <c r="AF116" s="148">
        <f>Stoping!AF130</f>
        <v>70</v>
      </c>
      <c r="AG116" s="148">
        <f>Stoping!AG130</f>
        <v>70</v>
      </c>
      <c r="AH116" s="148">
        <f>Stoping!AH130</f>
        <v>70</v>
      </c>
      <c r="AI116" s="148">
        <f>Stoping!AI130</f>
        <v>70</v>
      </c>
      <c r="AJ116" s="148">
        <f>Stoping!AJ130</f>
        <v>70</v>
      </c>
      <c r="AK116" s="148">
        <f>Stoping!AK130</f>
        <v>70</v>
      </c>
      <c r="AL116" s="149">
        <f>Stoping!AL123</f>
        <v>35</v>
      </c>
      <c r="AM116" s="94"/>
    </row>
    <row r="117" spans="2:39">
      <c r="B117" s="2719"/>
      <c r="C117" s="2848"/>
      <c r="D117" s="2835"/>
      <c r="E117" s="1141" t="s">
        <v>295</v>
      </c>
      <c r="F117" s="1095">
        <f t="shared" si="92"/>
        <v>174</v>
      </c>
      <c r="G117" s="1142">
        <f t="shared" ref="G117" si="97">IFERROR((F117-F116)/F116,0)</f>
        <v>-0.58571428571428574</v>
      </c>
      <c r="H117" s="1143">
        <v>37.5</v>
      </c>
      <c r="I117" s="1095">
        <v>37.5</v>
      </c>
      <c r="J117" s="1095">
        <v>46.5</v>
      </c>
      <c r="K117" s="1095">
        <v>37.5</v>
      </c>
      <c r="L117" s="1095">
        <v>15</v>
      </c>
      <c r="M117" s="1095"/>
      <c r="N117" s="1095"/>
      <c r="O117" s="1095"/>
      <c r="P117" s="1095"/>
      <c r="Q117" s="1095"/>
      <c r="R117" s="1095"/>
      <c r="S117" s="1095"/>
      <c r="T117" s="1095"/>
      <c r="U117" s="1095"/>
      <c r="V117" s="1095"/>
      <c r="W117" s="1095"/>
      <c r="X117" s="1095"/>
      <c r="Y117" s="1095"/>
      <c r="Z117" s="1095"/>
      <c r="AA117" s="1095"/>
      <c r="AB117" s="1095"/>
      <c r="AC117" s="1095"/>
      <c r="AD117" s="1095"/>
      <c r="AE117" s="1095"/>
      <c r="AF117" s="1095"/>
      <c r="AG117" s="1095"/>
      <c r="AH117" s="1095"/>
      <c r="AI117" s="1095"/>
      <c r="AJ117" s="1095"/>
      <c r="AK117" s="1095"/>
      <c r="AL117" s="1095"/>
      <c r="AM117" s="95"/>
    </row>
    <row r="118" spans="2:39">
      <c r="B118" s="2719"/>
      <c r="C118" s="2848"/>
      <c r="D118" s="2835"/>
      <c r="E118" s="1159" t="s">
        <v>199</v>
      </c>
      <c r="F118" s="1145"/>
      <c r="G118" s="1146"/>
      <c r="H118" s="151"/>
      <c r="I118" s="151"/>
      <c r="J118" s="151"/>
      <c r="K118" s="151"/>
      <c r="L118" s="151"/>
      <c r="M118" s="151"/>
      <c r="N118" s="151"/>
      <c r="O118" s="151"/>
      <c r="P118" s="170"/>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151"/>
      <c r="AL118" s="171"/>
      <c r="AM118" s="95"/>
    </row>
    <row r="119" spans="2:39">
      <c r="B119" s="2719"/>
      <c r="C119" s="2848"/>
      <c r="D119" s="2825" t="s">
        <v>68</v>
      </c>
      <c r="E119" s="1147" t="s">
        <v>296</v>
      </c>
      <c r="F119" s="1148">
        <f t="shared" ref="F119:F120" si="98">IFERROR(F121*1000/F116,0)</f>
        <v>1.747663551401869</v>
      </c>
      <c r="G119" s="1149"/>
      <c r="H119" s="1150">
        <f>Stoping!H133</f>
        <v>1.7476635514018692</v>
      </c>
      <c r="I119" s="1150">
        <f>Stoping!I133</f>
        <v>1.7476635514018692</v>
      </c>
      <c r="J119" s="1150">
        <f>Stoping!J133</f>
        <v>1.7476635514018692</v>
      </c>
      <c r="K119" s="1150">
        <f>Stoping!K133</f>
        <v>1.7476635514018692</v>
      </c>
      <c r="L119" s="1150">
        <f>Stoping!L133</f>
        <v>1.7476635514018692</v>
      </c>
      <c r="M119" s="1150">
        <f>Stoping!M133</f>
        <v>1.7476635514018692</v>
      </c>
      <c r="N119" s="1150">
        <f>Stoping!N133</f>
        <v>1.7476635514018692</v>
      </c>
      <c r="O119" s="1150">
        <f>Stoping!O133</f>
        <v>1.7476635514018692</v>
      </c>
      <c r="P119" s="1150">
        <f>Stoping!P133</f>
        <v>1.7476635514018692</v>
      </c>
      <c r="Q119" s="1150">
        <f>Stoping!Q133</f>
        <v>1.7476635514018692</v>
      </c>
      <c r="R119" s="1150">
        <f>Stoping!R133</f>
        <v>0</v>
      </c>
      <c r="S119" s="1150">
        <f>Stoping!S133</f>
        <v>0</v>
      </c>
      <c r="T119" s="1150">
        <f>Stoping!T133</f>
        <v>1.7476635514018692</v>
      </c>
      <c r="U119" s="1150">
        <f>Stoping!U133</f>
        <v>1.7476635514018692</v>
      </c>
      <c r="V119" s="1150">
        <f>Stoping!V133</f>
        <v>1.7476635514018692</v>
      </c>
      <c r="W119" s="1150">
        <f>Stoping!W133</f>
        <v>1.7476635514018692</v>
      </c>
      <c r="X119" s="1150">
        <f>Stoping!X133</f>
        <v>1.7476635514018692</v>
      </c>
      <c r="Y119" s="1150">
        <f>Stoping!Y133</f>
        <v>1.7476635514018692</v>
      </c>
      <c r="Z119" s="1150">
        <f>Stoping!Z133</f>
        <v>1.7476635514018692</v>
      </c>
      <c r="AA119" s="1150">
        <f>Stoping!AA133</f>
        <v>1.7476635514018692</v>
      </c>
      <c r="AB119" s="1150">
        <f>Stoping!AB133</f>
        <v>1.7476635514018692</v>
      </c>
      <c r="AC119" s="1150">
        <f>Stoping!AC133</f>
        <v>1.7476635514018692</v>
      </c>
      <c r="AD119" s="1150">
        <f>Stoping!AD133</f>
        <v>1.7476635514018692</v>
      </c>
      <c r="AE119" s="1150">
        <f>Stoping!AE133</f>
        <v>1.7476635514018692</v>
      </c>
      <c r="AF119" s="1150">
        <f>Stoping!AF133</f>
        <v>1.7476635514018692</v>
      </c>
      <c r="AG119" s="1150">
        <f>Stoping!AG133</f>
        <v>1.7476635514018692</v>
      </c>
      <c r="AH119" s="1150">
        <f>Stoping!AH133</f>
        <v>1.7476635514018692</v>
      </c>
      <c r="AI119" s="1150">
        <f>Stoping!AI133</f>
        <v>1.7476635514018692</v>
      </c>
      <c r="AJ119" s="1150">
        <f>Stoping!AJ133</f>
        <v>1.7476635514018692</v>
      </c>
      <c r="AK119" s="1150">
        <f>Stoping!AK133</f>
        <v>1.7476635514018692</v>
      </c>
      <c r="AL119" s="1150">
        <f>Stoping!AL133</f>
        <v>1.7476635514018692</v>
      </c>
      <c r="AM119" s="95"/>
    </row>
    <row r="120" spans="2:39">
      <c r="B120" s="2719"/>
      <c r="C120" s="2848"/>
      <c r="D120" s="2850"/>
      <c r="E120" s="1151" t="s">
        <v>297</v>
      </c>
      <c r="F120" s="1152">
        <f t="shared" si="98"/>
        <v>1.2988793103448277</v>
      </c>
      <c r="G120" s="1142">
        <f t="shared" ref="G120" si="99">IFERROR((F120-F119)/F119,0)</f>
        <v>-0.25679098285082042</v>
      </c>
      <c r="H120" s="1153">
        <v>2.61</v>
      </c>
      <c r="I120" s="1152">
        <v>1.59</v>
      </c>
      <c r="J120" s="1152">
        <v>0.62</v>
      </c>
      <c r="K120" s="1152">
        <v>0.79</v>
      </c>
      <c r="L120" s="1152">
        <v>0.67</v>
      </c>
      <c r="M120" s="1152"/>
      <c r="N120" s="1152"/>
      <c r="O120" s="1152"/>
      <c r="P120" s="1152"/>
      <c r="Q120" s="1152"/>
      <c r="R120" s="1152"/>
      <c r="S120" s="1152"/>
      <c r="T120" s="1152"/>
      <c r="U120" s="1152"/>
      <c r="V120" s="1152"/>
      <c r="W120" s="1152"/>
      <c r="X120" s="1152"/>
      <c r="Y120" s="1152"/>
      <c r="Z120" s="1152"/>
      <c r="AA120" s="1152"/>
      <c r="AB120" s="1152"/>
      <c r="AC120" s="1152"/>
      <c r="AD120" s="1152"/>
      <c r="AE120" s="1152"/>
      <c r="AF120" s="1152"/>
      <c r="AG120" s="1152"/>
      <c r="AH120" s="1152"/>
      <c r="AI120" s="1152"/>
      <c r="AJ120" s="1152"/>
      <c r="AK120" s="1152"/>
      <c r="AL120" s="1152"/>
      <c r="AM120" s="95"/>
    </row>
    <row r="121" spans="2:39">
      <c r="B121" s="2719"/>
      <c r="C121" s="2848"/>
      <c r="D121" s="2825" t="s">
        <v>70</v>
      </c>
      <c r="E121" s="1147" t="s">
        <v>298</v>
      </c>
      <c r="F121" s="96">
        <f t="shared" ref="F121:F124" si="100">SUMIF($H$9:$AL$9,"&lt;="&amp;$C$7,H121:AL121)</f>
        <v>0.73401869158878508</v>
      </c>
      <c r="G121" s="1149"/>
      <c r="H121" s="1154">
        <f>+H119*H116/1000</f>
        <v>0.12233644859813084</v>
      </c>
      <c r="I121" s="1154">
        <f t="shared" ref="I121:AG121" si="101">+I119*I116/1000</f>
        <v>0.12233644859813084</v>
      </c>
      <c r="J121" s="1154">
        <f t="shared" si="101"/>
        <v>0.12233644859813084</v>
      </c>
      <c r="K121" s="1154">
        <f t="shared" si="101"/>
        <v>0.12233644859813084</v>
      </c>
      <c r="L121" s="1154">
        <f t="shared" si="101"/>
        <v>0.12233644859813084</v>
      </c>
      <c r="M121" s="1154">
        <f t="shared" si="101"/>
        <v>0.12233644859813084</v>
      </c>
      <c r="N121" s="1154">
        <f t="shared" si="101"/>
        <v>0.12233644859813084</v>
      </c>
      <c r="O121" s="1154">
        <f t="shared" si="101"/>
        <v>0.12233644859813084</v>
      </c>
      <c r="P121" s="1154">
        <f t="shared" si="101"/>
        <v>0.12233644859813084</v>
      </c>
      <c r="Q121" s="1154">
        <f t="shared" si="101"/>
        <v>0.12233644859813084</v>
      </c>
      <c r="R121" s="1154">
        <f t="shared" si="101"/>
        <v>0</v>
      </c>
      <c r="S121" s="1154">
        <f t="shared" si="101"/>
        <v>0</v>
      </c>
      <c r="T121" s="1154">
        <f t="shared" si="101"/>
        <v>0.12233644859813084</v>
      </c>
      <c r="U121" s="1154">
        <f t="shared" si="101"/>
        <v>0.12233644859813084</v>
      </c>
      <c r="V121" s="1154">
        <f t="shared" si="101"/>
        <v>0.12233644859813084</v>
      </c>
      <c r="W121" s="1154">
        <f t="shared" si="101"/>
        <v>0.12233644859813084</v>
      </c>
      <c r="X121" s="1154">
        <f t="shared" si="101"/>
        <v>0.12233644859813084</v>
      </c>
      <c r="Y121" s="1154">
        <f t="shared" si="101"/>
        <v>0.12233644859813084</v>
      </c>
      <c r="Z121" s="1154">
        <f t="shared" si="101"/>
        <v>0.12233644859813084</v>
      </c>
      <c r="AA121" s="1154">
        <f t="shared" si="101"/>
        <v>0.12233644859813084</v>
      </c>
      <c r="AB121" s="1154">
        <f t="shared" si="101"/>
        <v>0.12233644859813084</v>
      </c>
      <c r="AC121" s="1154">
        <f t="shared" si="101"/>
        <v>0.12233644859813084</v>
      </c>
      <c r="AD121" s="1154">
        <f t="shared" si="101"/>
        <v>0.12233644859813084</v>
      </c>
      <c r="AE121" s="1154">
        <f t="shared" si="101"/>
        <v>0.12233644859813084</v>
      </c>
      <c r="AF121" s="1154">
        <f t="shared" si="101"/>
        <v>0.12233644859813084</v>
      </c>
      <c r="AG121" s="1154">
        <f t="shared" si="101"/>
        <v>0.12233644859813084</v>
      </c>
      <c r="AH121" s="1154">
        <f>+AH119*AH116/1000</f>
        <v>0.12233644859813084</v>
      </c>
      <c r="AI121" s="1154">
        <f t="shared" ref="AI121:AL121" si="102">+AI119*AI116/1000</f>
        <v>0.12233644859813084</v>
      </c>
      <c r="AJ121" s="1154">
        <f t="shared" si="102"/>
        <v>0.12233644859813084</v>
      </c>
      <c r="AK121" s="1154">
        <f t="shared" si="102"/>
        <v>0.12233644859813084</v>
      </c>
      <c r="AL121" s="1154">
        <f t="shared" si="102"/>
        <v>6.1168224299065418E-2</v>
      </c>
      <c r="AM121" s="97"/>
    </row>
    <row r="122" spans="2:39" ht="14.4" thickBot="1">
      <c r="B122" s="2720"/>
      <c r="C122" s="2849"/>
      <c r="D122" s="2851"/>
      <c r="E122" s="1049" t="s">
        <v>299</v>
      </c>
      <c r="F122" s="1004">
        <f t="shared" si="100"/>
        <v>0.22600500000000001</v>
      </c>
      <c r="G122" s="1105">
        <f t="shared" ref="G122" si="103">IFERROR((F122-F121)/F121,0)</f>
        <v>-0.69209912146676855</v>
      </c>
      <c r="H122" s="1158">
        <f>+H120*H117/1000</f>
        <v>9.7875000000000004E-2</v>
      </c>
      <c r="I122" s="1158">
        <f t="shared" ref="I122:AL122" si="104">+I120*I117/1000</f>
        <v>5.9624999999999997E-2</v>
      </c>
      <c r="J122" s="1158">
        <f t="shared" si="104"/>
        <v>2.8829999999999998E-2</v>
      </c>
      <c r="K122" s="1158">
        <f t="shared" si="104"/>
        <v>2.9624999999999999E-2</v>
      </c>
      <c r="L122" s="1158">
        <f t="shared" si="104"/>
        <v>1.005E-2</v>
      </c>
      <c r="M122" s="1158">
        <f t="shared" si="104"/>
        <v>0</v>
      </c>
      <c r="N122" s="1158">
        <f t="shared" si="104"/>
        <v>0</v>
      </c>
      <c r="O122" s="1158">
        <f t="shared" si="104"/>
        <v>0</v>
      </c>
      <c r="P122" s="1158">
        <f t="shared" si="104"/>
        <v>0</v>
      </c>
      <c r="Q122" s="1158">
        <f t="shared" si="104"/>
        <v>0</v>
      </c>
      <c r="R122" s="1158">
        <f t="shared" si="104"/>
        <v>0</v>
      </c>
      <c r="S122" s="1158">
        <f t="shared" si="104"/>
        <v>0</v>
      </c>
      <c r="T122" s="1158">
        <f t="shared" si="104"/>
        <v>0</v>
      </c>
      <c r="U122" s="1158">
        <f t="shared" si="104"/>
        <v>0</v>
      </c>
      <c r="V122" s="1158">
        <f t="shared" si="104"/>
        <v>0</v>
      </c>
      <c r="W122" s="1158">
        <f t="shared" si="104"/>
        <v>0</v>
      </c>
      <c r="X122" s="1158">
        <f t="shared" si="104"/>
        <v>0</v>
      </c>
      <c r="Y122" s="1158">
        <f t="shared" si="104"/>
        <v>0</v>
      </c>
      <c r="Z122" s="1158">
        <f t="shared" si="104"/>
        <v>0</v>
      </c>
      <c r="AA122" s="1158">
        <f t="shared" si="104"/>
        <v>0</v>
      </c>
      <c r="AB122" s="1158">
        <f t="shared" si="104"/>
        <v>0</v>
      </c>
      <c r="AC122" s="1158">
        <f t="shared" si="104"/>
        <v>0</v>
      </c>
      <c r="AD122" s="1158">
        <f t="shared" si="104"/>
        <v>0</v>
      </c>
      <c r="AE122" s="1158">
        <f t="shared" si="104"/>
        <v>0</v>
      </c>
      <c r="AF122" s="1158">
        <f t="shared" si="104"/>
        <v>0</v>
      </c>
      <c r="AG122" s="1158">
        <f t="shared" si="104"/>
        <v>0</v>
      </c>
      <c r="AH122" s="1158">
        <f t="shared" si="104"/>
        <v>0</v>
      </c>
      <c r="AI122" s="1158">
        <f t="shared" si="104"/>
        <v>0</v>
      </c>
      <c r="AJ122" s="1158">
        <f t="shared" si="104"/>
        <v>0</v>
      </c>
      <c r="AK122" s="1158">
        <f t="shared" si="104"/>
        <v>0</v>
      </c>
      <c r="AL122" s="1158">
        <f t="shared" si="104"/>
        <v>0</v>
      </c>
      <c r="AM122" s="98"/>
    </row>
    <row r="123" spans="2:39" s="75" customFormat="1" ht="14.85" customHeight="1">
      <c r="B123" s="2718">
        <v>1</v>
      </c>
      <c r="C123" s="2847" t="str">
        <f>Stoping!C140</f>
        <v>6L_W18_STOPE</v>
      </c>
      <c r="D123" s="2836" t="s">
        <v>66</v>
      </c>
      <c r="E123" s="91" t="s">
        <v>294</v>
      </c>
      <c r="F123" s="146">
        <f t="shared" si="100"/>
        <v>420</v>
      </c>
      <c r="G123" s="81"/>
      <c r="H123" s="147">
        <f>Stoping!H137</f>
        <v>70</v>
      </c>
      <c r="I123" s="147">
        <f>Stoping!I137</f>
        <v>70</v>
      </c>
      <c r="J123" s="147">
        <f>Stoping!J137</f>
        <v>70</v>
      </c>
      <c r="K123" s="147">
        <f>Stoping!K137</f>
        <v>70</v>
      </c>
      <c r="L123" s="147">
        <f>Stoping!L137</f>
        <v>70</v>
      </c>
      <c r="M123" s="147">
        <f>Stoping!M137</f>
        <v>70</v>
      </c>
      <c r="N123" s="147">
        <f>Stoping!N137</f>
        <v>70</v>
      </c>
      <c r="O123" s="147">
        <f>Stoping!O137</f>
        <v>70</v>
      </c>
      <c r="P123" s="147">
        <f>Stoping!P137</f>
        <v>70</v>
      </c>
      <c r="Q123" s="147">
        <f>Stoping!Q137</f>
        <v>70</v>
      </c>
      <c r="R123" s="147">
        <f>Stoping!R137</f>
        <v>0</v>
      </c>
      <c r="S123" s="147">
        <f>Stoping!S137</f>
        <v>0</v>
      </c>
      <c r="T123" s="147">
        <f>Stoping!T137</f>
        <v>70</v>
      </c>
      <c r="U123" s="147">
        <f>Stoping!U137</f>
        <v>70</v>
      </c>
      <c r="V123" s="147">
        <f>Stoping!V137</f>
        <v>70</v>
      </c>
      <c r="W123" s="147">
        <f>Stoping!W137</f>
        <v>70</v>
      </c>
      <c r="X123" s="147">
        <f>Stoping!X137</f>
        <v>70</v>
      </c>
      <c r="Y123" s="147">
        <f>Stoping!Y137</f>
        <v>70</v>
      </c>
      <c r="Z123" s="147">
        <f>Stoping!Z137</f>
        <v>70</v>
      </c>
      <c r="AA123" s="147">
        <f>Stoping!AA137</f>
        <v>70</v>
      </c>
      <c r="AB123" s="147">
        <f>Stoping!AB137</f>
        <v>70</v>
      </c>
      <c r="AC123" s="147">
        <f>Stoping!AC137</f>
        <v>70</v>
      </c>
      <c r="AD123" s="147">
        <f>Stoping!AD137</f>
        <v>70</v>
      </c>
      <c r="AE123" s="147">
        <f>Stoping!AE137</f>
        <v>70</v>
      </c>
      <c r="AF123" s="147">
        <f>Stoping!AF137</f>
        <v>70</v>
      </c>
      <c r="AG123" s="147">
        <f>Stoping!AG137</f>
        <v>70</v>
      </c>
      <c r="AH123" s="147">
        <f>Stoping!AH137</f>
        <v>70</v>
      </c>
      <c r="AI123" s="147">
        <f>Stoping!AI137</f>
        <v>70</v>
      </c>
      <c r="AJ123" s="147">
        <f>Stoping!AJ137</f>
        <v>70</v>
      </c>
      <c r="AK123" s="147">
        <f>Stoping!AK137</f>
        <v>70</v>
      </c>
      <c r="AL123" s="147">
        <f>Stoping!AL137</f>
        <v>70</v>
      </c>
      <c r="AM123" s="94"/>
    </row>
    <row r="124" spans="2:39">
      <c r="B124" s="2719"/>
      <c r="C124" s="2848"/>
      <c r="D124" s="2835"/>
      <c r="E124" s="1141" t="s">
        <v>295</v>
      </c>
      <c r="F124" s="1095">
        <f t="shared" si="100"/>
        <v>186</v>
      </c>
      <c r="G124" s="1142">
        <f t="shared" ref="G124" si="105">IFERROR((F124-F123)/F123,0)</f>
        <v>-0.55714285714285716</v>
      </c>
      <c r="H124" s="1143">
        <v>30</v>
      </c>
      <c r="I124" s="1095">
        <v>49.5</v>
      </c>
      <c r="J124" s="1095">
        <v>46.5</v>
      </c>
      <c r="K124" s="1095">
        <v>30</v>
      </c>
      <c r="L124" s="1095">
        <v>30</v>
      </c>
      <c r="M124" s="1095"/>
      <c r="N124" s="1095"/>
      <c r="O124" s="1095"/>
      <c r="P124" s="1095"/>
      <c r="Q124" s="1095"/>
      <c r="R124" s="1095"/>
      <c r="S124" s="1095"/>
      <c r="T124" s="1095"/>
      <c r="U124" s="1095"/>
      <c r="V124" s="1095"/>
      <c r="W124" s="1095"/>
      <c r="X124" s="1095"/>
      <c r="Y124" s="1095"/>
      <c r="Z124" s="1095"/>
      <c r="AA124" s="1095"/>
      <c r="AB124" s="1095"/>
      <c r="AC124" s="1095"/>
      <c r="AD124" s="1095"/>
      <c r="AE124" s="1095"/>
      <c r="AF124" s="1095"/>
      <c r="AG124" s="1095"/>
      <c r="AH124" s="1095"/>
      <c r="AI124" s="1095"/>
      <c r="AJ124" s="1095"/>
      <c r="AK124" s="1095"/>
      <c r="AL124" s="1095"/>
      <c r="AM124" s="95"/>
    </row>
    <row r="125" spans="2:39">
      <c r="B125" s="2719"/>
      <c r="C125" s="2848"/>
      <c r="D125" s="2835"/>
      <c r="E125" s="1159" t="s">
        <v>199</v>
      </c>
      <c r="F125" s="1145"/>
      <c r="G125" s="1146"/>
      <c r="H125" s="151"/>
      <c r="I125" s="151"/>
      <c r="J125" s="151"/>
      <c r="K125" s="151"/>
      <c r="L125" s="151"/>
      <c r="M125" s="151"/>
      <c r="N125" s="151"/>
      <c r="O125" s="151"/>
      <c r="P125" s="170"/>
      <c r="Q125" s="151"/>
      <c r="R125" s="151"/>
      <c r="S125" s="151"/>
      <c r="T125" s="151"/>
      <c r="U125" s="151"/>
      <c r="V125" s="151"/>
      <c r="W125" s="151"/>
      <c r="X125" s="151"/>
      <c r="Y125" s="151"/>
      <c r="Z125" s="151"/>
      <c r="AA125" s="151"/>
      <c r="AB125" s="151"/>
      <c r="AC125" s="151"/>
      <c r="AD125" s="151"/>
      <c r="AE125" s="151"/>
      <c r="AF125" s="151"/>
      <c r="AG125" s="151"/>
      <c r="AH125" s="151"/>
      <c r="AI125" s="151"/>
      <c r="AJ125" s="151"/>
      <c r="AK125" s="151"/>
      <c r="AL125" s="171"/>
      <c r="AM125" s="95"/>
    </row>
    <row r="126" spans="2:39">
      <c r="B126" s="2719"/>
      <c r="C126" s="2848"/>
      <c r="D126" s="2825" t="s">
        <v>68</v>
      </c>
      <c r="E126" s="1147" t="s">
        <v>296</v>
      </c>
      <c r="F126" s="1148">
        <f t="shared" ref="F126:F127" si="106">IFERROR(F128*1000/F123,0)</f>
        <v>2.7803738317757007</v>
      </c>
      <c r="G126" s="1149"/>
      <c r="H126" s="1150">
        <f>Stoping!H140</f>
        <v>2.7803738317757007</v>
      </c>
      <c r="I126" s="1150">
        <f>Stoping!I140</f>
        <v>2.7803738317757007</v>
      </c>
      <c r="J126" s="1150">
        <f>Stoping!J140</f>
        <v>2.7803738317757007</v>
      </c>
      <c r="K126" s="1150">
        <f>Stoping!K140</f>
        <v>2.7803738317757007</v>
      </c>
      <c r="L126" s="1150">
        <f>Stoping!L140</f>
        <v>2.7803738317757007</v>
      </c>
      <c r="M126" s="1150">
        <f>Stoping!M140</f>
        <v>2.7803738317757007</v>
      </c>
      <c r="N126" s="1150">
        <f>Stoping!N140</f>
        <v>2.7803738317757007</v>
      </c>
      <c r="O126" s="1150">
        <f>Stoping!O140</f>
        <v>2.7803738317757007</v>
      </c>
      <c r="P126" s="1150">
        <f>Stoping!P140</f>
        <v>2.7803738317757007</v>
      </c>
      <c r="Q126" s="1150">
        <f>Stoping!Q140</f>
        <v>2.7803738317757007</v>
      </c>
      <c r="R126" s="1150">
        <f>Stoping!R140</f>
        <v>0</v>
      </c>
      <c r="S126" s="1150">
        <f>Stoping!S140</f>
        <v>0</v>
      </c>
      <c r="T126" s="1150">
        <f>Stoping!T140</f>
        <v>2.7803738317757007</v>
      </c>
      <c r="U126" s="1150">
        <f>Stoping!U140</f>
        <v>2.7803738317757007</v>
      </c>
      <c r="V126" s="1150">
        <f>Stoping!V140</f>
        <v>2.7803738317757007</v>
      </c>
      <c r="W126" s="1150">
        <f>Stoping!W140</f>
        <v>2.7803738317757007</v>
      </c>
      <c r="X126" s="1150">
        <f>Stoping!X140</f>
        <v>2.7803738317757007</v>
      </c>
      <c r="Y126" s="1150">
        <f>Stoping!Y140</f>
        <v>2.7803738317757007</v>
      </c>
      <c r="Z126" s="1150">
        <f>Stoping!Z140</f>
        <v>2.7803738317757007</v>
      </c>
      <c r="AA126" s="1150">
        <f>Stoping!AA140</f>
        <v>2.7803738317757007</v>
      </c>
      <c r="AB126" s="1150">
        <f>Stoping!AB140</f>
        <v>2.7803738317757007</v>
      </c>
      <c r="AC126" s="1150">
        <f>Stoping!AC140</f>
        <v>2.7803738317757007</v>
      </c>
      <c r="AD126" s="1150">
        <f>Stoping!AD140</f>
        <v>2.7803738317757007</v>
      </c>
      <c r="AE126" s="1150">
        <f>Stoping!AE140</f>
        <v>2.7803738317757007</v>
      </c>
      <c r="AF126" s="1150">
        <f>Stoping!AF140</f>
        <v>2.7803738317757007</v>
      </c>
      <c r="AG126" s="1150">
        <f>Stoping!AG140</f>
        <v>2.7803738317757007</v>
      </c>
      <c r="AH126" s="1150">
        <f>Stoping!AH140</f>
        <v>2.7803738317757007</v>
      </c>
      <c r="AI126" s="1150">
        <f>Stoping!AI140</f>
        <v>2.7803738317757007</v>
      </c>
      <c r="AJ126" s="1150">
        <f>Stoping!AJ140</f>
        <v>2.7803738317757007</v>
      </c>
      <c r="AK126" s="1150">
        <f>Stoping!AK140</f>
        <v>2.7803738317757007</v>
      </c>
      <c r="AL126" s="1150">
        <f>Stoping!AL140</f>
        <v>2.7803738317757007</v>
      </c>
      <c r="AM126" s="95"/>
    </row>
    <row r="127" spans="2:39">
      <c r="B127" s="2719"/>
      <c r="C127" s="2848"/>
      <c r="D127" s="2850"/>
      <c r="E127" s="1151" t="s">
        <v>297</v>
      </c>
      <c r="F127" s="1152">
        <f t="shared" si="106"/>
        <v>3.625</v>
      </c>
      <c r="G127" s="1142">
        <f t="shared" ref="G127" si="107">IFERROR((F127-F126)/F126,0)</f>
        <v>0.3037815126050421</v>
      </c>
      <c r="H127" s="1153">
        <v>1.84</v>
      </c>
      <c r="I127" s="1152">
        <v>2.86</v>
      </c>
      <c r="J127" s="1152">
        <v>2.72</v>
      </c>
      <c r="K127" s="1152">
        <v>5.35</v>
      </c>
      <c r="L127" s="1152">
        <v>6.35</v>
      </c>
      <c r="M127" s="1152"/>
      <c r="N127" s="1152"/>
      <c r="O127" s="1152"/>
      <c r="P127" s="1152"/>
      <c r="Q127" s="1152"/>
      <c r="R127" s="1152"/>
      <c r="S127" s="1152"/>
      <c r="T127" s="1152"/>
      <c r="U127" s="1152"/>
      <c r="V127" s="1152"/>
      <c r="W127" s="1152"/>
      <c r="X127" s="1152"/>
      <c r="Y127" s="1152"/>
      <c r="Z127" s="1152"/>
      <c r="AA127" s="1152"/>
      <c r="AB127" s="1152"/>
      <c r="AC127" s="1152"/>
      <c r="AD127" s="1152"/>
      <c r="AE127" s="1152"/>
      <c r="AF127" s="1152"/>
      <c r="AG127" s="1152"/>
      <c r="AH127" s="1152"/>
      <c r="AI127" s="1152"/>
      <c r="AJ127" s="1152"/>
      <c r="AK127" s="1152"/>
      <c r="AL127" s="1152"/>
      <c r="AM127" s="95"/>
    </row>
    <row r="128" spans="2:39">
      <c r="B128" s="2719"/>
      <c r="C128" s="2848"/>
      <c r="D128" s="2825" t="s">
        <v>70</v>
      </c>
      <c r="E128" s="1147" t="s">
        <v>298</v>
      </c>
      <c r="F128" s="96">
        <f t="shared" ref="F128:F129" si="108">SUMIF($H$9:$AL$9,"&lt;="&amp;$C$7,H128:AL128)</f>
        <v>1.1677570093457943</v>
      </c>
      <c r="G128" s="1149"/>
      <c r="H128" s="1154">
        <f>+H126*H123/1000</f>
        <v>0.19462616822429904</v>
      </c>
      <c r="I128" s="1154">
        <f t="shared" ref="I128:AG128" si="109">+I126*I123/1000</f>
        <v>0.19462616822429904</v>
      </c>
      <c r="J128" s="1154">
        <f t="shared" si="109"/>
        <v>0.19462616822429904</v>
      </c>
      <c r="K128" s="1154">
        <f t="shared" si="109"/>
        <v>0.19462616822429904</v>
      </c>
      <c r="L128" s="1154">
        <f t="shared" si="109"/>
        <v>0.19462616822429904</v>
      </c>
      <c r="M128" s="1154">
        <f t="shared" si="109"/>
        <v>0.19462616822429904</v>
      </c>
      <c r="N128" s="1154">
        <f t="shared" si="109"/>
        <v>0.19462616822429904</v>
      </c>
      <c r="O128" s="1154">
        <f t="shared" si="109"/>
        <v>0.19462616822429904</v>
      </c>
      <c r="P128" s="1154">
        <f t="shared" si="109"/>
        <v>0.19462616822429904</v>
      </c>
      <c r="Q128" s="1154">
        <f t="shared" si="109"/>
        <v>0.19462616822429904</v>
      </c>
      <c r="R128" s="1154">
        <f t="shared" si="109"/>
        <v>0</v>
      </c>
      <c r="S128" s="1154">
        <f t="shared" si="109"/>
        <v>0</v>
      </c>
      <c r="T128" s="1154">
        <f t="shared" si="109"/>
        <v>0.19462616822429904</v>
      </c>
      <c r="U128" s="1154">
        <f t="shared" si="109"/>
        <v>0.19462616822429904</v>
      </c>
      <c r="V128" s="1154">
        <f t="shared" si="109"/>
        <v>0.19462616822429904</v>
      </c>
      <c r="W128" s="1154">
        <f t="shared" si="109"/>
        <v>0.19462616822429904</v>
      </c>
      <c r="X128" s="1154">
        <f t="shared" si="109"/>
        <v>0.19462616822429904</v>
      </c>
      <c r="Y128" s="1154">
        <f t="shared" si="109"/>
        <v>0.19462616822429904</v>
      </c>
      <c r="Z128" s="1154">
        <f t="shared" si="109"/>
        <v>0.19462616822429904</v>
      </c>
      <c r="AA128" s="1154">
        <f t="shared" si="109"/>
        <v>0.19462616822429904</v>
      </c>
      <c r="AB128" s="1154">
        <f t="shared" si="109"/>
        <v>0.19462616822429904</v>
      </c>
      <c r="AC128" s="1154">
        <f t="shared" si="109"/>
        <v>0.19462616822429904</v>
      </c>
      <c r="AD128" s="1154">
        <f t="shared" si="109"/>
        <v>0.19462616822429904</v>
      </c>
      <c r="AE128" s="1154">
        <f t="shared" si="109"/>
        <v>0.19462616822429904</v>
      </c>
      <c r="AF128" s="1154">
        <f t="shared" si="109"/>
        <v>0.19462616822429904</v>
      </c>
      <c r="AG128" s="1154">
        <f t="shared" si="109"/>
        <v>0.19462616822429904</v>
      </c>
      <c r="AH128" s="1154">
        <f>+AH126*AH123/1000</f>
        <v>0.19462616822429904</v>
      </c>
      <c r="AI128" s="1154">
        <f t="shared" ref="AI128:AL128" si="110">+AI126*AI123/1000</f>
        <v>0.19462616822429904</v>
      </c>
      <c r="AJ128" s="1154">
        <f t="shared" si="110"/>
        <v>0.19462616822429904</v>
      </c>
      <c r="AK128" s="1154">
        <f t="shared" si="110"/>
        <v>0.19462616822429904</v>
      </c>
      <c r="AL128" s="1154">
        <f t="shared" si="110"/>
        <v>0.19462616822429904</v>
      </c>
      <c r="AM128" s="97"/>
    </row>
    <row r="129" spans="2:39" ht="14.4" thickBot="1">
      <c r="B129" s="2720"/>
      <c r="C129" s="2849"/>
      <c r="D129" s="2851"/>
      <c r="E129" s="1049" t="s">
        <v>299</v>
      </c>
      <c r="F129" s="1004">
        <f t="shared" si="108"/>
        <v>0.67425000000000002</v>
      </c>
      <c r="G129" s="1105">
        <f t="shared" ref="G129" si="111">IFERROR((F129-F128)/F128,0)</f>
        <v>-0.42261104441776703</v>
      </c>
      <c r="H129" s="1158">
        <f>+H127*H124/1000</f>
        <v>5.5200000000000006E-2</v>
      </c>
      <c r="I129" s="1158">
        <f t="shared" ref="I129:AL129" si="112">+I127*I124/1000</f>
        <v>0.14157</v>
      </c>
      <c r="J129" s="1158">
        <f t="shared" si="112"/>
        <v>0.12648000000000001</v>
      </c>
      <c r="K129" s="1158">
        <f t="shared" si="112"/>
        <v>0.1605</v>
      </c>
      <c r="L129" s="1158">
        <f t="shared" si="112"/>
        <v>0.1905</v>
      </c>
      <c r="M129" s="1158">
        <f t="shared" si="112"/>
        <v>0</v>
      </c>
      <c r="N129" s="1158">
        <f t="shared" si="112"/>
        <v>0</v>
      </c>
      <c r="O129" s="1158">
        <f t="shared" si="112"/>
        <v>0</v>
      </c>
      <c r="P129" s="1158">
        <f t="shared" si="112"/>
        <v>0</v>
      </c>
      <c r="Q129" s="1158">
        <f t="shared" si="112"/>
        <v>0</v>
      </c>
      <c r="R129" s="1158">
        <f t="shared" si="112"/>
        <v>0</v>
      </c>
      <c r="S129" s="1158">
        <f t="shared" si="112"/>
        <v>0</v>
      </c>
      <c r="T129" s="1158">
        <f t="shared" si="112"/>
        <v>0</v>
      </c>
      <c r="U129" s="1158">
        <f t="shared" si="112"/>
        <v>0</v>
      </c>
      <c r="V129" s="1158">
        <f t="shared" si="112"/>
        <v>0</v>
      </c>
      <c r="W129" s="1158">
        <f t="shared" si="112"/>
        <v>0</v>
      </c>
      <c r="X129" s="1158">
        <f t="shared" si="112"/>
        <v>0</v>
      </c>
      <c r="Y129" s="1158">
        <f t="shared" si="112"/>
        <v>0</v>
      </c>
      <c r="Z129" s="1158">
        <f t="shared" si="112"/>
        <v>0</v>
      </c>
      <c r="AA129" s="1158">
        <f t="shared" si="112"/>
        <v>0</v>
      </c>
      <c r="AB129" s="1158">
        <f t="shared" si="112"/>
        <v>0</v>
      </c>
      <c r="AC129" s="1158">
        <f t="shared" si="112"/>
        <v>0</v>
      </c>
      <c r="AD129" s="1158">
        <f t="shared" si="112"/>
        <v>0</v>
      </c>
      <c r="AE129" s="1158">
        <f t="shared" si="112"/>
        <v>0</v>
      </c>
      <c r="AF129" s="1158">
        <f t="shared" si="112"/>
        <v>0</v>
      </c>
      <c r="AG129" s="1158">
        <f t="shared" si="112"/>
        <v>0</v>
      </c>
      <c r="AH129" s="1158">
        <f t="shared" si="112"/>
        <v>0</v>
      </c>
      <c r="AI129" s="1158">
        <f t="shared" si="112"/>
        <v>0</v>
      </c>
      <c r="AJ129" s="1158">
        <f t="shared" si="112"/>
        <v>0</v>
      </c>
      <c r="AK129" s="1158">
        <f t="shared" si="112"/>
        <v>0</v>
      </c>
      <c r="AL129" s="1158">
        <f t="shared" si="112"/>
        <v>0</v>
      </c>
      <c r="AM129" s="98"/>
    </row>
    <row r="136" spans="2:39">
      <c r="Y136" s="69">
        <v>8</v>
      </c>
    </row>
  </sheetData>
  <sheetProtection algorithmName="SHA-512" hashValue="n4dChGBTfxQAsRTXGs7uhXMVDNAdCWMCOawC8v5qBAdpPwPhbE/9AU6lx2z7fzbZTaSbss9T5IKLiM/hn7xlRw==" saltValue="u3DYQoCbalSbC3DhXSssHg==" spinCount="100000" sheet="1" objects="1" scenarios="1"/>
  <mergeCells count="88">
    <mergeCell ref="B123:B129"/>
    <mergeCell ref="C123:C129"/>
    <mergeCell ref="D123:D125"/>
    <mergeCell ref="D126:D127"/>
    <mergeCell ref="D128:D129"/>
    <mergeCell ref="B60:B66"/>
    <mergeCell ref="C60:C66"/>
    <mergeCell ref="D60:D62"/>
    <mergeCell ref="D63:D64"/>
    <mergeCell ref="D65:D66"/>
    <mergeCell ref="B116:B122"/>
    <mergeCell ref="C116:C122"/>
    <mergeCell ref="D116:D118"/>
    <mergeCell ref="D119:D120"/>
    <mergeCell ref="D121:D122"/>
    <mergeCell ref="B53:B59"/>
    <mergeCell ref="C53:C59"/>
    <mergeCell ref="D53:D55"/>
    <mergeCell ref="D56:D57"/>
    <mergeCell ref="D58:D59"/>
    <mergeCell ref="B46:B52"/>
    <mergeCell ref="C46:C52"/>
    <mergeCell ref="B25:B31"/>
    <mergeCell ref="C25:C31"/>
    <mergeCell ref="B32:B38"/>
    <mergeCell ref="C32:C38"/>
    <mergeCell ref="B39:B45"/>
    <mergeCell ref="C39:C45"/>
    <mergeCell ref="D51:D52"/>
    <mergeCell ref="D21:D22"/>
    <mergeCell ref="D23:D24"/>
    <mergeCell ref="D18:D20"/>
    <mergeCell ref="C18:C24"/>
    <mergeCell ref="D35:D36"/>
    <mergeCell ref="D37:D38"/>
    <mergeCell ref="D39:D41"/>
    <mergeCell ref="D42:D43"/>
    <mergeCell ref="D44:D45"/>
    <mergeCell ref="D46:D48"/>
    <mergeCell ref="D49:D50"/>
    <mergeCell ref="B18:B24"/>
    <mergeCell ref="D25:D27"/>
    <mergeCell ref="D28:D29"/>
    <mergeCell ref="D30:D31"/>
    <mergeCell ref="D32:D34"/>
    <mergeCell ref="B67:B73"/>
    <mergeCell ref="C67:C73"/>
    <mergeCell ref="D67:D69"/>
    <mergeCell ref="D70:D71"/>
    <mergeCell ref="D72:D73"/>
    <mergeCell ref="K5:N5"/>
    <mergeCell ref="K6:N6"/>
    <mergeCell ref="H2:I2"/>
    <mergeCell ref="H3:I3"/>
    <mergeCell ref="H4:I4"/>
    <mergeCell ref="K2:N2"/>
    <mergeCell ref="K3:N3"/>
    <mergeCell ref="K4:N4"/>
    <mergeCell ref="B74:B80"/>
    <mergeCell ref="C74:C80"/>
    <mergeCell ref="D74:D76"/>
    <mergeCell ref="D77:D78"/>
    <mergeCell ref="D79:D80"/>
    <mergeCell ref="B81:B87"/>
    <mergeCell ref="C81:C87"/>
    <mergeCell ref="D81:D83"/>
    <mergeCell ref="D84:D85"/>
    <mergeCell ref="D86:D87"/>
    <mergeCell ref="B88:B94"/>
    <mergeCell ref="C88:C94"/>
    <mergeCell ref="D88:D90"/>
    <mergeCell ref="D91:D92"/>
    <mergeCell ref="D93:D94"/>
    <mergeCell ref="B95:B101"/>
    <mergeCell ref="C95:C101"/>
    <mergeCell ref="D95:D97"/>
    <mergeCell ref="D98:D99"/>
    <mergeCell ref="D100:D101"/>
    <mergeCell ref="B102:B108"/>
    <mergeCell ref="C102:C108"/>
    <mergeCell ref="D102:D104"/>
    <mergeCell ref="D105:D106"/>
    <mergeCell ref="D107:D108"/>
    <mergeCell ref="B109:B115"/>
    <mergeCell ref="C109:C115"/>
    <mergeCell ref="D109:D111"/>
    <mergeCell ref="D112:D113"/>
    <mergeCell ref="D114:D115"/>
  </mergeCells>
  <phoneticPr fontId="52" type="noConversion"/>
  <conditionalFormatting sqref="B18 B25 B32 B39 B46 B53 B67">
    <cfRule type="cellIs" dxfId="665" priority="374" operator="equal">
      <formula>3</formula>
    </cfRule>
    <cfRule type="cellIs" dxfId="664" priority="376" operator="equal">
      <formula>2</formula>
    </cfRule>
    <cfRule type="cellIs" dxfId="663" priority="375" operator="equal">
      <formula>1</formula>
    </cfRule>
  </conditionalFormatting>
  <conditionalFormatting sqref="B60">
    <cfRule type="cellIs" dxfId="662" priority="44" operator="equal">
      <formula>2</formula>
    </cfRule>
    <cfRule type="cellIs" dxfId="661" priority="42" operator="equal">
      <formula>3</formula>
    </cfRule>
    <cfRule type="cellIs" dxfId="660" priority="43" operator="equal">
      <formula>1</formula>
    </cfRule>
  </conditionalFormatting>
  <conditionalFormatting sqref="B74">
    <cfRule type="cellIs" dxfId="659" priority="240" operator="equal">
      <formula>3</formula>
    </cfRule>
    <cfRule type="cellIs" dxfId="658" priority="242" operator="equal">
      <formula>2</formula>
    </cfRule>
    <cfRule type="cellIs" dxfId="657" priority="241" operator="equal">
      <formula>1</formula>
    </cfRule>
  </conditionalFormatting>
  <conditionalFormatting sqref="B81">
    <cfRule type="cellIs" dxfId="656" priority="215" operator="equal">
      <formula>1</formula>
    </cfRule>
    <cfRule type="cellIs" dxfId="655" priority="214" operator="equal">
      <formula>3</formula>
    </cfRule>
    <cfRule type="cellIs" dxfId="654" priority="216" operator="equal">
      <formula>2</formula>
    </cfRule>
  </conditionalFormatting>
  <conditionalFormatting sqref="B88">
    <cfRule type="cellIs" dxfId="653" priority="190" operator="equal">
      <formula>2</formula>
    </cfRule>
    <cfRule type="cellIs" dxfId="652" priority="188" operator="equal">
      <formula>3</formula>
    </cfRule>
    <cfRule type="cellIs" dxfId="651" priority="189" operator="equal">
      <formula>1</formula>
    </cfRule>
  </conditionalFormatting>
  <conditionalFormatting sqref="B95">
    <cfRule type="cellIs" dxfId="650" priority="164" operator="equal">
      <formula>2</formula>
    </cfRule>
    <cfRule type="cellIs" dxfId="649" priority="162" operator="equal">
      <formula>3</formula>
    </cfRule>
    <cfRule type="cellIs" dxfId="648" priority="163" operator="equal">
      <formula>1</formula>
    </cfRule>
  </conditionalFormatting>
  <conditionalFormatting sqref="B102">
    <cfRule type="cellIs" dxfId="647" priority="136" operator="equal">
      <formula>3</formula>
    </cfRule>
    <cfRule type="cellIs" dxfId="646" priority="138" operator="equal">
      <formula>2</formula>
    </cfRule>
    <cfRule type="cellIs" dxfId="645" priority="137" operator="equal">
      <formula>1</formula>
    </cfRule>
  </conditionalFormatting>
  <conditionalFormatting sqref="B109">
    <cfRule type="cellIs" dxfId="644" priority="110" operator="equal">
      <formula>3</formula>
    </cfRule>
    <cfRule type="cellIs" dxfId="643" priority="111" operator="equal">
      <formula>1</formula>
    </cfRule>
    <cfRule type="cellIs" dxfId="642" priority="112" operator="equal">
      <formula>2</formula>
    </cfRule>
  </conditionalFormatting>
  <conditionalFormatting sqref="B116">
    <cfRule type="cellIs" dxfId="641" priority="62" operator="equal">
      <formula>2</formula>
    </cfRule>
    <cfRule type="cellIs" dxfId="640" priority="61" operator="equal">
      <formula>1</formula>
    </cfRule>
    <cfRule type="cellIs" dxfId="639" priority="60" operator="equal">
      <formula>3</formula>
    </cfRule>
  </conditionalFormatting>
  <conditionalFormatting sqref="B123">
    <cfRule type="cellIs" dxfId="638" priority="16" operator="equal">
      <formula>3</formula>
    </cfRule>
    <cfRule type="cellIs" dxfId="637" priority="18" operator="equal">
      <formula>2</formula>
    </cfRule>
    <cfRule type="cellIs" dxfId="636" priority="17" operator="equal">
      <formula>1</formula>
    </cfRule>
  </conditionalFormatting>
  <conditionalFormatting sqref="D10:D12">
    <cfRule type="cellIs" dxfId="635" priority="246" stopIfTrue="1" operator="greaterThanOrEqual">
      <formula>C10</formula>
    </cfRule>
    <cfRule type="cellIs" dxfId="634" priority="245" stopIfTrue="1" operator="lessThan">
      <formula>C10</formula>
    </cfRule>
  </conditionalFormatting>
  <conditionalFormatting sqref="E10:E12">
    <cfRule type="cellIs" dxfId="633" priority="244" stopIfTrue="1" operator="greaterThanOrEqual">
      <formula>0</formula>
    </cfRule>
    <cfRule type="cellIs" dxfId="632" priority="243" stopIfTrue="1" operator="lessThan">
      <formula>0</formula>
    </cfRule>
  </conditionalFormatting>
  <conditionalFormatting sqref="F19">
    <cfRule type="cellIs" dxfId="631" priority="265" stopIfTrue="1" operator="lessThan">
      <formula>F18</formula>
    </cfRule>
    <cfRule type="cellIs" dxfId="630" priority="266" stopIfTrue="1" operator="greaterThanOrEqual">
      <formula>F18</formula>
    </cfRule>
  </conditionalFormatting>
  <conditionalFormatting sqref="F22 F24">
    <cfRule type="cellIs" dxfId="629" priority="261" stopIfTrue="1" operator="lessThan">
      <formula>F21</formula>
    </cfRule>
    <cfRule type="cellIs" dxfId="628" priority="262" stopIfTrue="1" operator="greaterThanOrEqual">
      <formula>F21</formula>
    </cfRule>
  </conditionalFormatting>
  <conditionalFormatting sqref="F26 F33 F40 F47 F54 F68">
    <cfRule type="cellIs" dxfId="627" priority="256" stopIfTrue="1" operator="greaterThanOrEqual">
      <formula>F25</formula>
    </cfRule>
    <cfRule type="cellIs" dxfId="626" priority="255" stopIfTrue="1" operator="lessThan">
      <formula>F25</formula>
    </cfRule>
  </conditionalFormatting>
  <conditionalFormatting sqref="F29 F31 F36 F38 F43 F45 F50 F52 F57 F59 F64 F66 F71 F73">
    <cfRule type="cellIs" dxfId="625" priority="251" stopIfTrue="1" operator="lessThan">
      <formula>F28</formula>
    </cfRule>
    <cfRule type="cellIs" dxfId="624" priority="252" stopIfTrue="1" operator="greaterThanOrEqual">
      <formula>F28</formula>
    </cfRule>
  </conditionalFormatting>
  <conditionalFormatting sqref="F61">
    <cfRule type="cellIs" dxfId="623" priority="31" stopIfTrue="1" operator="lessThan">
      <formula>F60</formula>
    </cfRule>
    <cfRule type="cellIs" dxfId="622" priority="32" stopIfTrue="1" operator="greaterThanOrEqual">
      <formula>F60</formula>
    </cfRule>
  </conditionalFormatting>
  <conditionalFormatting sqref="F75">
    <cfRule type="cellIs" dxfId="621" priority="225" stopIfTrue="1" operator="lessThan">
      <formula>F74</formula>
    </cfRule>
    <cfRule type="cellIs" dxfId="620" priority="226" stopIfTrue="1" operator="greaterThanOrEqual">
      <formula>F74</formula>
    </cfRule>
  </conditionalFormatting>
  <conditionalFormatting sqref="F78 F80">
    <cfRule type="cellIs" dxfId="619" priority="221" stopIfTrue="1" operator="lessThan">
      <formula>F77</formula>
    </cfRule>
    <cfRule type="cellIs" dxfId="618" priority="222" stopIfTrue="1" operator="greaterThanOrEqual">
      <formula>F77</formula>
    </cfRule>
  </conditionalFormatting>
  <conditionalFormatting sqref="F82">
    <cfRule type="cellIs" dxfId="617" priority="199" stopIfTrue="1" operator="lessThan">
      <formula>F81</formula>
    </cfRule>
    <cfRule type="cellIs" dxfId="616" priority="200" stopIfTrue="1" operator="greaterThanOrEqual">
      <formula>F81</formula>
    </cfRule>
  </conditionalFormatting>
  <conditionalFormatting sqref="F85 F87">
    <cfRule type="cellIs" dxfId="615" priority="195" stopIfTrue="1" operator="lessThan">
      <formula>F84</formula>
    </cfRule>
    <cfRule type="cellIs" dxfId="614" priority="196" stopIfTrue="1" operator="greaterThanOrEqual">
      <formula>F84</formula>
    </cfRule>
  </conditionalFormatting>
  <conditionalFormatting sqref="F89">
    <cfRule type="cellIs" dxfId="613" priority="173" stopIfTrue="1" operator="lessThan">
      <formula>F88</formula>
    </cfRule>
    <cfRule type="cellIs" dxfId="612" priority="174" stopIfTrue="1" operator="greaterThanOrEqual">
      <formula>F88</formula>
    </cfRule>
  </conditionalFormatting>
  <conditionalFormatting sqref="F92 F94">
    <cfRule type="cellIs" dxfId="611" priority="170" stopIfTrue="1" operator="greaterThanOrEqual">
      <formula>F91</formula>
    </cfRule>
    <cfRule type="cellIs" dxfId="610" priority="169" stopIfTrue="1" operator="lessThan">
      <formula>F91</formula>
    </cfRule>
  </conditionalFormatting>
  <conditionalFormatting sqref="F96">
    <cfRule type="cellIs" dxfId="609" priority="148" stopIfTrue="1" operator="greaterThanOrEqual">
      <formula>F95</formula>
    </cfRule>
    <cfRule type="cellIs" dxfId="608" priority="147" stopIfTrue="1" operator="lessThan">
      <formula>F95</formula>
    </cfRule>
  </conditionalFormatting>
  <conditionalFormatting sqref="F99 F101">
    <cfRule type="cellIs" dxfId="607" priority="144" stopIfTrue="1" operator="greaterThanOrEqual">
      <formula>F98</formula>
    </cfRule>
    <cfRule type="cellIs" dxfId="606" priority="143" stopIfTrue="1" operator="lessThan">
      <formula>F98</formula>
    </cfRule>
  </conditionalFormatting>
  <conditionalFormatting sqref="F103">
    <cfRule type="cellIs" dxfId="605" priority="122" stopIfTrue="1" operator="greaterThanOrEqual">
      <formula>F102</formula>
    </cfRule>
    <cfRule type="cellIs" dxfId="604" priority="121" stopIfTrue="1" operator="lessThan">
      <formula>F102</formula>
    </cfRule>
  </conditionalFormatting>
  <conditionalFormatting sqref="F106 F108">
    <cfRule type="cellIs" dxfId="603" priority="118" stopIfTrue="1" operator="greaterThanOrEqual">
      <formula>F105</formula>
    </cfRule>
    <cfRule type="cellIs" dxfId="602" priority="117" stopIfTrue="1" operator="lessThan">
      <formula>F105</formula>
    </cfRule>
  </conditionalFormatting>
  <conditionalFormatting sqref="F110">
    <cfRule type="cellIs" dxfId="601" priority="95" stopIfTrue="1" operator="lessThan">
      <formula>F109</formula>
    </cfRule>
    <cfRule type="cellIs" dxfId="600" priority="96" stopIfTrue="1" operator="greaterThanOrEqual">
      <formula>F109</formula>
    </cfRule>
  </conditionalFormatting>
  <conditionalFormatting sqref="F113 F115 F120 F122">
    <cfRule type="cellIs" dxfId="599" priority="92" stopIfTrue="1" operator="greaterThanOrEqual">
      <formula>F112</formula>
    </cfRule>
    <cfRule type="cellIs" dxfId="598" priority="91" stopIfTrue="1" operator="lessThan">
      <formula>F112</formula>
    </cfRule>
  </conditionalFormatting>
  <conditionalFormatting sqref="F117">
    <cfRule type="cellIs" dxfId="597" priority="50" stopIfTrue="1" operator="greaterThanOrEqual">
      <formula>F116</formula>
    </cfRule>
    <cfRule type="cellIs" dxfId="596" priority="49" stopIfTrue="1" operator="lessThan">
      <formula>F116</formula>
    </cfRule>
  </conditionalFormatting>
  <conditionalFormatting sqref="F124">
    <cfRule type="cellIs" dxfId="595" priority="5" stopIfTrue="1" operator="lessThan">
      <formula>F123</formula>
    </cfRule>
    <cfRule type="cellIs" dxfId="594" priority="6" stopIfTrue="1" operator="greaterThanOrEqual">
      <formula>F123</formula>
    </cfRule>
  </conditionalFormatting>
  <conditionalFormatting sqref="F127 F129">
    <cfRule type="cellIs" dxfId="593" priority="21" stopIfTrue="1" operator="lessThan">
      <formula>F126</formula>
    </cfRule>
    <cfRule type="cellIs" dxfId="592" priority="22" stopIfTrue="1" operator="greaterThanOrEqual">
      <formula>F126</formula>
    </cfRule>
  </conditionalFormatting>
  <conditionalFormatting sqref="G19">
    <cfRule type="cellIs" dxfId="591" priority="264" operator="lessThan">
      <formula>0</formula>
    </cfRule>
    <cfRule type="cellIs" dxfId="590" priority="263" operator="greaterThan">
      <formula>0</formula>
    </cfRule>
  </conditionalFormatting>
  <conditionalFormatting sqref="G22">
    <cfRule type="cellIs" dxfId="589" priority="260" operator="lessThan">
      <formula>0</formula>
    </cfRule>
    <cfRule type="cellIs" dxfId="588" priority="259" operator="greaterThan">
      <formula>0</formula>
    </cfRule>
  </conditionalFormatting>
  <conditionalFormatting sqref="G24">
    <cfRule type="cellIs" dxfId="587" priority="258" operator="lessThan">
      <formula>0</formula>
    </cfRule>
    <cfRule type="cellIs" dxfId="586" priority="257" operator="greaterThan">
      <formula>0</formula>
    </cfRule>
  </conditionalFormatting>
  <conditionalFormatting sqref="G26 G33 G40 G47 G54 G68">
    <cfRule type="cellIs" dxfId="585" priority="253" operator="greaterThan">
      <formula>0</formula>
    </cfRule>
    <cfRule type="cellIs" dxfId="584" priority="254" operator="lessThan">
      <formula>0</formula>
    </cfRule>
  </conditionalFormatting>
  <conditionalFormatting sqref="G29 G36 G43 G50 G57 G71">
    <cfRule type="cellIs" dxfId="583" priority="250" operator="lessThan">
      <formula>0</formula>
    </cfRule>
    <cfRule type="cellIs" dxfId="582" priority="249" operator="greaterThan">
      <formula>0</formula>
    </cfRule>
  </conditionalFormatting>
  <conditionalFormatting sqref="G31 G38 G45 G52 G59 G66 G73">
    <cfRule type="cellIs" dxfId="581" priority="247" operator="greaterThan">
      <formula>0</formula>
    </cfRule>
    <cfRule type="cellIs" dxfId="580" priority="248" operator="lessThan">
      <formula>0</formula>
    </cfRule>
  </conditionalFormatting>
  <conditionalFormatting sqref="G61">
    <cfRule type="cellIs" dxfId="579" priority="29" operator="greaterThan">
      <formula>0</formula>
    </cfRule>
    <cfRule type="cellIs" dxfId="578" priority="30" operator="lessThan">
      <formula>0</formula>
    </cfRule>
  </conditionalFormatting>
  <conditionalFormatting sqref="G64">
    <cfRule type="cellIs" dxfId="577" priority="28" operator="lessThan">
      <formula>0</formula>
    </cfRule>
    <cfRule type="cellIs" dxfId="576" priority="27" operator="greaterThan">
      <formula>0</formula>
    </cfRule>
  </conditionalFormatting>
  <conditionalFormatting sqref="G75">
    <cfRule type="cellIs" dxfId="575" priority="224" operator="lessThan">
      <formula>0</formula>
    </cfRule>
    <cfRule type="cellIs" dxfId="574" priority="223" operator="greaterThan">
      <formula>0</formula>
    </cfRule>
  </conditionalFormatting>
  <conditionalFormatting sqref="G78">
    <cfRule type="cellIs" dxfId="573" priority="220" operator="lessThan">
      <formula>0</formula>
    </cfRule>
    <cfRule type="cellIs" dxfId="572" priority="219" operator="greaterThan">
      <formula>0</formula>
    </cfRule>
  </conditionalFormatting>
  <conditionalFormatting sqref="G80">
    <cfRule type="cellIs" dxfId="571" priority="217" operator="greaterThan">
      <formula>0</formula>
    </cfRule>
    <cfRule type="cellIs" dxfId="570" priority="218" operator="lessThan">
      <formula>0</formula>
    </cfRule>
  </conditionalFormatting>
  <conditionalFormatting sqref="G82">
    <cfRule type="cellIs" dxfId="569" priority="197" operator="greaterThan">
      <formula>0</formula>
    </cfRule>
    <cfRule type="cellIs" dxfId="568" priority="198" operator="lessThan">
      <formula>0</formula>
    </cfRule>
  </conditionalFormatting>
  <conditionalFormatting sqref="G85">
    <cfRule type="cellIs" dxfId="567" priority="193" operator="greaterThan">
      <formula>0</formula>
    </cfRule>
    <cfRule type="cellIs" dxfId="566" priority="194" operator="lessThan">
      <formula>0</formula>
    </cfRule>
  </conditionalFormatting>
  <conditionalFormatting sqref="G87">
    <cfRule type="cellIs" dxfId="565" priority="191" operator="greaterThan">
      <formula>0</formula>
    </cfRule>
    <cfRule type="cellIs" dxfId="564" priority="192" operator="lessThan">
      <formula>0</formula>
    </cfRule>
  </conditionalFormatting>
  <conditionalFormatting sqref="G89">
    <cfRule type="cellIs" dxfId="563" priority="171" operator="greaterThan">
      <formula>0</formula>
    </cfRule>
    <cfRule type="cellIs" dxfId="562" priority="172" operator="lessThan">
      <formula>0</formula>
    </cfRule>
  </conditionalFormatting>
  <conditionalFormatting sqref="G92">
    <cfRule type="cellIs" dxfId="561" priority="167" operator="greaterThan">
      <formula>0</formula>
    </cfRule>
    <cfRule type="cellIs" dxfId="560" priority="168" operator="lessThan">
      <formula>0</formula>
    </cfRule>
  </conditionalFormatting>
  <conditionalFormatting sqref="G94">
    <cfRule type="cellIs" dxfId="559" priority="165" operator="greaterThan">
      <formula>0</formula>
    </cfRule>
    <cfRule type="cellIs" dxfId="558" priority="166" operator="lessThan">
      <formula>0</formula>
    </cfRule>
  </conditionalFormatting>
  <conditionalFormatting sqref="G96">
    <cfRule type="cellIs" dxfId="557" priority="145" operator="greaterThan">
      <formula>0</formula>
    </cfRule>
    <cfRule type="cellIs" dxfId="556" priority="146" operator="lessThan">
      <formula>0</formula>
    </cfRule>
  </conditionalFormatting>
  <conditionalFormatting sqref="G99">
    <cfRule type="cellIs" dxfId="555" priority="142" operator="lessThan">
      <formula>0</formula>
    </cfRule>
    <cfRule type="cellIs" dxfId="554" priority="141" operator="greaterThan">
      <formula>0</formula>
    </cfRule>
  </conditionalFormatting>
  <conditionalFormatting sqref="G101">
    <cfRule type="cellIs" dxfId="553" priority="140" operator="lessThan">
      <formula>0</formula>
    </cfRule>
    <cfRule type="cellIs" dxfId="552" priority="139" operator="greaterThan">
      <formula>0</formula>
    </cfRule>
  </conditionalFormatting>
  <conditionalFormatting sqref="G103">
    <cfRule type="cellIs" dxfId="551" priority="119" operator="greaterThan">
      <formula>0</formula>
    </cfRule>
    <cfRule type="cellIs" dxfId="550" priority="120" operator="lessThan">
      <formula>0</formula>
    </cfRule>
  </conditionalFormatting>
  <conditionalFormatting sqref="G106">
    <cfRule type="cellIs" dxfId="549" priority="116" operator="lessThan">
      <formula>0</formula>
    </cfRule>
    <cfRule type="cellIs" dxfId="548" priority="115" operator="greaterThan">
      <formula>0</formula>
    </cfRule>
  </conditionalFormatting>
  <conditionalFormatting sqref="G108">
    <cfRule type="cellIs" dxfId="547" priority="113" operator="greaterThan">
      <formula>0</formula>
    </cfRule>
    <cfRule type="cellIs" dxfId="546" priority="114" operator="lessThan">
      <formula>0</formula>
    </cfRule>
  </conditionalFormatting>
  <conditionalFormatting sqref="G110">
    <cfRule type="cellIs" dxfId="545" priority="93" operator="greaterThan">
      <formula>0</formula>
    </cfRule>
    <cfRule type="cellIs" dxfId="544" priority="94" operator="lessThan">
      <formula>0</formula>
    </cfRule>
  </conditionalFormatting>
  <conditionalFormatting sqref="G113">
    <cfRule type="cellIs" dxfId="543" priority="90" operator="lessThan">
      <formula>0</formula>
    </cfRule>
    <cfRule type="cellIs" dxfId="542" priority="89" operator="greaterThan">
      <formula>0</formula>
    </cfRule>
  </conditionalFormatting>
  <conditionalFormatting sqref="G115 G122">
    <cfRule type="cellIs" dxfId="541" priority="88" operator="lessThan">
      <formula>0</formula>
    </cfRule>
    <cfRule type="cellIs" dxfId="540" priority="87" operator="greaterThan">
      <formula>0</formula>
    </cfRule>
  </conditionalFormatting>
  <conditionalFormatting sqref="G117">
    <cfRule type="cellIs" dxfId="539" priority="48" operator="lessThan">
      <formula>0</formula>
    </cfRule>
    <cfRule type="cellIs" dxfId="538" priority="47" operator="greaterThan">
      <formula>0</formula>
    </cfRule>
  </conditionalFormatting>
  <conditionalFormatting sqref="G120">
    <cfRule type="cellIs" dxfId="537" priority="45" operator="greaterThan">
      <formula>0</formula>
    </cfRule>
    <cfRule type="cellIs" dxfId="536" priority="46" operator="lessThan">
      <formula>0</formula>
    </cfRule>
  </conditionalFormatting>
  <conditionalFormatting sqref="G124">
    <cfRule type="cellIs" dxfId="535" priority="4" operator="lessThan">
      <formula>0</formula>
    </cfRule>
    <cfRule type="cellIs" dxfId="534" priority="3" operator="greaterThan">
      <formula>0</formula>
    </cfRule>
  </conditionalFormatting>
  <conditionalFormatting sqref="G127">
    <cfRule type="cellIs" dxfId="533" priority="2" operator="lessThan">
      <formula>0</formula>
    </cfRule>
    <cfRule type="cellIs" dxfId="532" priority="1" operator="greaterThan">
      <formula>0</formula>
    </cfRule>
  </conditionalFormatting>
  <conditionalFormatting sqref="G129">
    <cfRule type="cellIs" dxfId="531" priority="20" operator="lessThan">
      <formula>0</formula>
    </cfRule>
    <cfRule type="cellIs" dxfId="530" priority="19" operator="greaterThan">
      <formula>0</formula>
    </cfRule>
  </conditionalFormatting>
  <conditionalFormatting sqref="H13">
    <cfRule type="cellIs" dxfId="529" priority="78" operator="greaterThanOrEqual">
      <formula>0.6</formula>
    </cfRule>
  </conditionalFormatting>
  <conditionalFormatting sqref="H15">
    <cfRule type="cellIs" dxfId="528" priority="68" operator="lessThan">
      <formula>H14</formula>
    </cfRule>
    <cfRule type="cellIs" dxfId="527" priority="69" operator="greaterThanOrEqual">
      <formula>H14</formula>
    </cfRule>
  </conditionalFormatting>
  <conditionalFormatting sqref="H103:T103 V103:AL103 H106:AL106 H108:AL108">
    <cfRule type="expression" dxfId="526" priority="123">
      <formula>H$9&gt;$C$7</formula>
    </cfRule>
  </conditionalFormatting>
  <conditionalFormatting sqref="H103:T103 V103:AL103">
    <cfRule type="cellIs" dxfId="525" priority="134" operator="lessThan">
      <formula>H102</formula>
    </cfRule>
    <cfRule type="expression" dxfId="524" priority="133">
      <formula>H102=""</formula>
    </cfRule>
    <cfRule type="cellIs" dxfId="523" priority="135" operator="greaterThanOrEqual">
      <formula>H102</formula>
    </cfRule>
  </conditionalFormatting>
  <conditionalFormatting sqref="H11:AL11">
    <cfRule type="cellIs" dxfId="522" priority="79" operator="greaterThanOrEqual">
      <formula>H10</formula>
    </cfRule>
    <cfRule type="cellIs" dxfId="521" priority="77" operator="lessThan">
      <formula>H10</formula>
    </cfRule>
    <cfRule type="expression" dxfId="520" priority="377">
      <formula>H10=""</formula>
    </cfRule>
  </conditionalFormatting>
  <conditionalFormatting sqref="H13:AL13">
    <cfRule type="cellIs" dxfId="519" priority="76" operator="greaterThanOrEqual">
      <formula>2</formula>
    </cfRule>
    <cfRule type="cellIs" dxfId="518" priority="364" operator="between">
      <formula>1.6</formula>
      <formula>2</formula>
    </cfRule>
    <cfRule type="expression" dxfId="517" priority="73">
      <formula>H12=""</formula>
    </cfRule>
    <cfRule type="cellIs" dxfId="516" priority="75" operator="greaterThanOrEqual">
      <formula>H12</formula>
    </cfRule>
    <cfRule type="cellIs" dxfId="515" priority="74" operator="lessThan">
      <formula>H12</formula>
    </cfRule>
  </conditionalFormatting>
  <conditionalFormatting sqref="H15:AL15 H11:AL11 H13:AL13">
    <cfRule type="expression" dxfId="514" priority="70">
      <formula>H$9&gt;$C$7</formula>
    </cfRule>
  </conditionalFormatting>
  <conditionalFormatting sqref="H15:AL15">
    <cfRule type="expression" dxfId="513" priority="67">
      <formula>H14=""</formula>
    </cfRule>
  </conditionalFormatting>
  <conditionalFormatting sqref="H19:AL19 H26:AL26 H33:AL33 H40:AL40 H47:AL47 H54:AL54 H68:AL68">
    <cfRule type="cellIs" dxfId="512" priority="356" operator="greaterThanOrEqual">
      <formula>H18</formula>
    </cfRule>
    <cfRule type="cellIs" dxfId="511" priority="321" operator="lessThan">
      <formula>H18</formula>
    </cfRule>
    <cfRule type="expression" dxfId="510" priority="320">
      <formula>H18=""</formula>
    </cfRule>
  </conditionalFormatting>
  <conditionalFormatting sqref="H22:AL22 H29:AL29 H36:AL36 H43:AL43 H50:AL50 H57:AL57 H71:AL71">
    <cfRule type="cellIs" dxfId="509" priority="318" operator="between">
      <formula>1.6</formula>
      <formula>2</formula>
    </cfRule>
    <cfRule type="cellIs" dxfId="508" priority="319" operator="greaterThanOrEqual">
      <formula>0.6</formula>
    </cfRule>
    <cfRule type="cellIs" dxfId="507" priority="317" operator="greaterThanOrEqual">
      <formula>2</formula>
    </cfRule>
    <cfRule type="cellIs" dxfId="506" priority="316" operator="greaterThanOrEqual">
      <formula>H21</formula>
    </cfRule>
    <cfRule type="cellIs" dxfId="505" priority="315" operator="lessThan">
      <formula>H21</formula>
    </cfRule>
    <cfRule type="expression" dxfId="504" priority="311">
      <formula>H21=""</formula>
    </cfRule>
  </conditionalFormatting>
  <conditionalFormatting sqref="H24:AL24 H31:AL31 H38:AL38 H45:AL45 H52:AL52 H59:AL59 H66:AL66 H73:AL73">
    <cfRule type="cellIs" dxfId="503" priority="313" operator="lessThan">
      <formula>H23</formula>
    </cfRule>
    <cfRule type="expression" dxfId="502" priority="312">
      <formula>H23=""</formula>
    </cfRule>
    <cfRule type="cellIs" dxfId="501" priority="314" operator="greaterThanOrEqual">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500" priority="310">
      <formula>H$9&gt;$C$7</formula>
    </cfRule>
  </conditionalFormatting>
  <conditionalFormatting sqref="H61:AL61">
    <cfRule type="expression" dxfId="499" priority="39">
      <formula>H60=""</formula>
    </cfRule>
    <cfRule type="cellIs" dxfId="498" priority="40" operator="lessThan">
      <formula>H60</formula>
    </cfRule>
    <cfRule type="cellIs" dxfId="497" priority="41" operator="greaterThanOrEqual">
      <formula>H60</formula>
    </cfRule>
  </conditionalFormatting>
  <conditionalFormatting sqref="H64:AL64">
    <cfRule type="cellIs" dxfId="496" priority="35" operator="greaterThanOrEqual">
      <formula>H63</formula>
    </cfRule>
    <cfRule type="cellIs" dxfId="495" priority="38" operator="greaterThanOrEqual">
      <formula>0.6</formula>
    </cfRule>
    <cfRule type="expression" dxfId="494" priority="33">
      <formula>H63=""</formula>
    </cfRule>
    <cfRule type="cellIs" dxfId="493" priority="34" operator="lessThan">
      <formula>H63</formula>
    </cfRule>
    <cfRule type="cellIs" dxfId="492" priority="36" operator="greaterThanOrEqual">
      <formula>2</formula>
    </cfRule>
    <cfRule type="cellIs" dxfId="491" priority="37" operator="between">
      <formula>1.6</formula>
      <formula>2</formula>
    </cfRule>
  </conditionalFormatting>
  <conditionalFormatting sqref="H75:AL75 H78:AL78 H80:AL80">
    <cfRule type="expression" dxfId="490" priority="227">
      <formula>H$9&gt;$C$7</formula>
    </cfRule>
  </conditionalFormatting>
  <conditionalFormatting sqref="H75:AL75">
    <cfRule type="cellIs" dxfId="489" priority="238" operator="lessThan">
      <formula>H74</formula>
    </cfRule>
    <cfRule type="expression" dxfId="488" priority="237">
      <formula>H74=""</formula>
    </cfRule>
    <cfRule type="cellIs" dxfId="487" priority="239" operator="greaterThanOrEqual">
      <formula>H74</formula>
    </cfRule>
  </conditionalFormatting>
  <conditionalFormatting sqref="H78:AL78">
    <cfRule type="cellIs" dxfId="486" priority="232" operator="lessThan">
      <formula>H77</formula>
    </cfRule>
    <cfRule type="cellIs" dxfId="485" priority="236" operator="greaterThanOrEqual">
      <formula>0.6</formula>
    </cfRule>
    <cfRule type="cellIs" dxfId="484" priority="235" operator="between">
      <formula>1.6</formula>
      <formula>2</formula>
    </cfRule>
    <cfRule type="cellIs" dxfId="483" priority="234" operator="greaterThanOrEqual">
      <formula>2</formula>
    </cfRule>
    <cfRule type="cellIs" dxfId="482" priority="233" operator="greaterThanOrEqual">
      <formula>H77</formula>
    </cfRule>
    <cfRule type="expression" dxfId="481" priority="228">
      <formula>H77=""</formula>
    </cfRule>
  </conditionalFormatting>
  <conditionalFormatting sqref="H80:AL80">
    <cfRule type="cellIs" dxfId="480" priority="231" operator="greaterThanOrEqual">
      <formula>H79</formula>
    </cfRule>
    <cfRule type="cellIs" dxfId="479" priority="230" operator="lessThan">
      <formula>H79</formula>
    </cfRule>
    <cfRule type="expression" dxfId="478" priority="229">
      <formula>H79=""</formula>
    </cfRule>
  </conditionalFormatting>
  <conditionalFormatting sqref="H82:AL82 H85:AL85 H87:AL87">
    <cfRule type="expression" dxfId="477" priority="201">
      <formula>H$9&gt;$C$7</formula>
    </cfRule>
  </conditionalFormatting>
  <conditionalFormatting sqref="H82:AL82">
    <cfRule type="expression" dxfId="476" priority="211">
      <formula>H81=""</formula>
    </cfRule>
    <cfRule type="cellIs" dxfId="475" priority="212" operator="lessThan">
      <formula>H81</formula>
    </cfRule>
    <cfRule type="cellIs" dxfId="474" priority="213" operator="greaterThanOrEqual">
      <formula>H81</formula>
    </cfRule>
  </conditionalFormatting>
  <conditionalFormatting sqref="H85:AL85">
    <cfRule type="cellIs" dxfId="473" priority="207" operator="greaterThanOrEqual">
      <formula>H84</formula>
    </cfRule>
    <cfRule type="expression" dxfId="472" priority="202">
      <formula>H84=""</formula>
    </cfRule>
    <cfRule type="cellIs" dxfId="471" priority="206" operator="lessThan">
      <formula>H84</formula>
    </cfRule>
    <cfRule type="cellIs" dxfId="470" priority="208" operator="greaterThanOrEqual">
      <formula>2</formula>
    </cfRule>
    <cfRule type="cellIs" dxfId="469" priority="209" operator="between">
      <formula>1.6</formula>
      <formula>2</formula>
    </cfRule>
    <cfRule type="cellIs" dxfId="468" priority="210" operator="greaterThanOrEqual">
      <formula>0.6</formula>
    </cfRule>
  </conditionalFormatting>
  <conditionalFormatting sqref="H87:AL87">
    <cfRule type="expression" dxfId="467" priority="203">
      <formula>H86=""</formula>
    </cfRule>
    <cfRule type="cellIs" dxfId="466" priority="204" operator="lessThan">
      <formula>H86</formula>
    </cfRule>
    <cfRule type="cellIs" dxfId="465" priority="205" operator="greaterThanOrEqual">
      <formula>H86</formula>
    </cfRule>
  </conditionalFormatting>
  <conditionalFormatting sqref="H89:AL89 H92:AL92 H94:AL94">
    <cfRule type="expression" dxfId="464" priority="175">
      <formula>H$9&gt;$C$7</formula>
    </cfRule>
  </conditionalFormatting>
  <conditionalFormatting sqref="H89:AL89">
    <cfRule type="cellIs" dxfId="463" priority="187" operator="greaterThanOrEqual">
      <formula>H88</formula>
    </cfRule>
    <cfRule type="cellIs" dxfId="462" priority="186" operator="lessThan">
      <formula>H88</formula>
    </cfRule>
    <cfRule type="expression" dxfId="461" priority="185">
      <formula>H88=""</formula>
    </cfRule>
  </conditionalFormatting>
  <conditionalFormatting sqref="H92:AL92">
    <cfRule type="cellIs" dxfId="460" priority="183" operator="between">
      <formula>1.6</formula>
      <formula>2</formula>
    </cfRule>
    <cfRule type="cellIs" dxfId="459" priority="182" operator="greaterThanOrEqual">
      <formula>2</formula>
    </cfRule>
    <cfRule type="cellIs" dxfId="458" priority="181" operator="greaterThanOrEqual">
      <formula>H91</formula>
    </cfRule>
    <cfRule type="expression" dxfId="457" priority="176">
      <formula>H91=""</formula>
    </cfRule>
    <cfRule type="cellIs" dxfId="456" priority="180" operator="lessThan">
      <formula>H91</formula>
    </cfRule>
    <cfRule type="cellIs" dxfId="455" priority="184" operator="greaterThanOrEqual">
      <formula>0.6</formula>
    </cfRule>
  </conditionalFormatting>
  <conditionalFormatting sqref="H94:AL94">
    <cfRule type="cellIs" dxfId="454" priority="179" operator="greaterThanOrEqual">
      <formula>H93</formula>
    </cfRule>
    <cfRule type="cellIs" dxfId="453" priority="178" operator="lessThan">
      <formula>H93</formula>
    </cfRule>
    <cfRule type="expression" dxfId="452" priority="177">
      <formula>H93=""</formula>
    </cfRule>
  </conditionalFormatting>
  <conditionalFormatting sqref="H96:AL96 H101:AL101">
    <cfRule type="expression" dxfId="451" priority="149">
      <formula>H$9&gt;$C$7</formula>
    </cfRule>
  </conditionalFormatting>
  <conditionalFormatting sqref="H96:AL96">
    <cfRule type="cellIs" dxfId="450" priority="161" operator="greaterThanOrEqual">
      <formula>H95</formula>
    </cfRule>
    <cfRule type="cellIs" dxfId="449" priority="160" operator="lessThan">
      <formula>H95</formula>
    </cfRule>
    <cfRule type="expression" dxfId="448" priority="159">
      <formula>H95=""</formula>
    </cfRule>
  </conditionalFormatting>
  <conditionalFormatting sqref="H99:AL99">
    <cfRule type="cellIs" dxfId="447" priority="84" operator="greaterThanOrEqual">
      <formula>2</formula>
    </cfRule>
    <cfRule type="cellIs" dxfId="446" priority="85" operator="between">
      <formula>1.6</formula>
      <formula>2</formula>
    </cfRule>
    <cfRule type="cellIs" dxfId="445" priority="86" operator="greaterThanOrEqual">
      <formula>0.6</formula>
    </cfRule>
    <cfRule type="expression" dxfId="444" priority="80">
      <formula>H$9&gt;$C$7</formula>
    </cfRule>
    <cfRule type="expression" dxfId="443" priority="81">
      <formula>H98=""</formula>
    </cfRule>
    <cfRule type="cellIs" dxfId="442" priority="82" operator="lessThan">
      <formula>H98</formula>
    </cfRule>
    <cfRule type="cellIs" dxfId="441" priority="83" operator="greaterThanOrEqual">
      <formula>H98</formula>
    </cfRule>
  </conditionalFormatting>
  <conditionalFormatting sqref="H101:AL101">
    <cfRule type="cellIs" dxfId="440" priority="153" operator="greaterThanOrEqual">
      <formula>H100</formula>
    </cfRule>
    <cfRule type="cellIs" dxfId="439" priority="152" operator="lessThan">
      <formula>H100</formula>
    </cfRule>
    <cfRule type="expression" dxfId="438" priority="151">
      <formula>H100=""</formula>
    </cfRule>
  </conditionalFormatting>
  <conditionalFormatting sqref="H106:AL106">
    <cfRule type="cellIs" dxfId="437" priority="129" operator="greaterThanOrEqual">
      <formula>H105</formula>
    </cfRule>
    <cfRule type="cellIs" dxfId="436" priority="128" operator="lessThan">
      <formula>H105</formula>
    </cfRule>
    <cfRule type="expression" dxfId="435" priority="124">
      <formula>H105=""</formula>
    </cfRule>
    <cfRule type="cellIs" dxfId="434" priority="131" operator="between">
      <formula>1.6</formula>
      <formula>2</formula>
    </cfRule>
    <cfRule type="cellIs" dxfId="433" priority="132" operator="greaterThanOrEqual">
      <formula>0.6</formula>
    </cfRule>
    <cfRule type="cellIs" dxfId="432" priority="130" operator="greaterThanOrEqual">
      <formula>2</formula>
    </cfRule>
  </conditionalFormatting>
  <conditionalFormatting sqref="H108:AL108">
    <cfRule type="cellIs" dxfId="431" priority="127" operator="greaterThanOrEqual">
      <formula>H107</formula>
    </cfRule>
    <cfRule type="expression" dxfId="430" priority="125">
      <formula>H107=""</formula>
    </cfRule>
    <cfRule type="cellIs" dxfId="429" priority="126" operator="lessThan">
      <formula>H107</formula>
    </cfRule>
  </conditionalFormatting>
  <conditionalFormatting sqref="H110:AL110">
    <cfRule type="cellIs" dxfId="428" priority="108" operator="lessThan">
      <formula>H109</formula>
    </cfRule>
    <cfRule type="cellIs" dxfId="427" priority="109" operator="greaterThanOrEqual">
      <formula>H109</formula>
    </cfRule>
    <cfRule type="expression" dxfId="426" priority="107">
      <formula>H109=""</formula>
    </cfRule>
  </conditionalFormatting>
  <conditionalFormatting sqref="H113:AL113">
    <cfRule type="cellIs" dxfId="425" priority="106" operator="greaterThanOrEqual">
      <formula>0.6</formula>
    </cfRule>
    <cfRule type="cellIs" dxfId="424" priority="105" operator="between">
      <formula>1.6</formula>
      <formula>2</formula>
    </cfRule>
    <cfRule type="cellIs" dxfId="423" priority="104" operator="greaterThanOrEqual">
      <formula>2</formula>
    </cfRule>
    <cfRule type="cellIs" dxfId="422" priority="102" operator="lessThan">
      <formula>H112</formula>
    </cfRule>
    <cfRule type="expression" dxfId="421" priority="98">
      <formula>H112=""</formula>
    </cfRule>
    <cfRule type="cellIs" dxfId="420" priority="103" operator="greaterThanOrEqual">
      <formula>H112</formula>
    </cfRule>
  </conditionalFormatting>
  <conditionalFormatting sqref="H115:AL115 H122:AL122">
    <cfRule type="cellIs" dxfId="419" priority="101" operator="greaterThanOrEqual">
      <formula>H114</formula>
    </cfRule>
    <cfRule type="cellIs" dxfId="418" priority="100" operator="lessThan">
      <formula>H114</formula>
    </cfRule>
    <cfRule type="expression" dxfId="417" priority="99">
      <formula>H114=""</formula>
    </cfRule>
  </conditionalFormatting>
  <conditionalFormatting sqref="H117:AL117 H120:AL120 H110:AL110 H113:AL113 H115:AL115 H122:AL122">
    <cfRule type="expression" dxfId="416" priority="97">
      <formula>H$9&gt;$C$7</formula>
    </cfRule>
  </conditionalFormatting>
  <conditionalFormatting sqref="H117:AL117">
    <cfRule type="cellIs" dxfId="415" priority="59" operator="greaterThanOrEqual">
      <formula>H116</formula>
    </cfRule>
    <cfRule type="expression" dxfId="414" priority="57">
      <formula>H116=""</formula>
    </cfRule>
    <cfRule type="cellIs" dxfId="413" priority="58" operator="lessThan">
      <formula>H116</formula>
    </cfRule>
  </conditionalFormatting>
  <conditionalFormatting sqref="H120:AL120">
    <cfRule type="cellIs" dxfId="412" priority="55" operator="between">
      <formula>1.6</formula>
      <formula>2</formula>
    </cfRule>
    <cfRule type="cellIs" dxfId="411" priority="53" operator="greaterThanOrEqual">
      <formula>H119</formula>
    </cfRule>
    <cfRule type="cellIs" dxfId="410" priority="52" operator="lessThan">
      <formula>H119</formula>
    </cfRule>
    <cfRule type="expression" dxfId="409" priority="51">
      <formula>H119=""</formula>
    </cfRule>
    <cfRule type="cellIs" dxfId="408" priority="56" operator="greaterThanOrEqual">
      <formula>0.6</formula>
    </cfRule>
    <cfRule type="cellIs" dxfId="407" priority="54" operator="greaterThanOrEqual">
      <formula>2</formula>
    </cfRule>
  </conditionalFormatting>
  <conditionalFormatting sqref="H124:AL124 H127:AL127 H129:AL129">
    <cfRule type="expression" dxfId="406" priority="23">
      <formula>H$9&gt;$C$7</formula>
    </cfRule>
  </conditionalFormatting>
  <conditionalFormatting sqref="H124:AL124">
    <cfRule type="cellIs" dxfId="405" priority="15" operator="greaterThanOrEqual">
      <formula>H123</formula>
    </cfRule>
    <cfRule type="cellIs" dxfId="404" priority="14" operator="lessThan">
      <formula>H123</formula>
    </cfRule>
    <cfRule type="expression" dxfId="403" priority="13">
      <formula>H123=""</formula>
    </cfRule>
  </conditionalFormatting>
  <conditionalFormatting sqref="H127:AL127">
    <cfRule type="cellIs" dxfId="402" priority="12" operator="greaterThanOrEqual">
      <formula>0.6</formula>
    </cfRule>
    <cfRule type="cellIs" dxfId="401" priority="11" operator="between">
      <formula>1.6</formula>
      <formula>2</formula>
    </cfRule>
    <cfRule type="cellIs" dxfId="400" priority="10" operator="greaterThanOrEqual">
      <formula>2</formula>
    </cfRule>
    <cfRule type="cellIs" dxfId="399" priority="9" operator="greaterThanOrEqual">
      <formula>H126</formula>
    </cfRule>
    <cfRule type="cellIs" dxfId="398" priority="8" operator="lessThan">
      <formula>H126</formula>
    </cfRule>
    <cfRule type="expression" dxfId="397" priority="7">
      <formula>H126=""</formula>
    </cfRule>
  </conditionalFormatting>
  <conditionalFormatting sqref="H129:AL129">
    <cfRule type="cellIs" dxfId="396" priority="25" operator="lessThan">
      <formula>H128</formula>
    </cfRule>
    <cfRule type="cellIs" dxfId="395" priority="26" operator="greaterThanOrEqual">
      <formula>H128</formula>
    </cfRule>
    <cfRule type="expression" dxfId="394" priority="24">
      <formula>H128=""</formula>
    </cfRule>
  </conditionalFormatting>
  <conditionalFormatting sqref="I13:AL13">
    <cfRule type="cellIs" dxfId="393" priority="366" operator="greaterThanOrEqual">
      <formula>0.6</formula>
    </cfRule>
  </conditionalFormatting>
  <conditionalFormatting sqref="I15:AL15">
    <cfRule type="cellIs" dxfId="392" priority="359" operator="greaterThanOrEqual">
      <formula>I14</formula>
    </cfRule>
    <cfRule type="cellIs" dxfId="391" priority="358" operator="lessThan">
      <formula>I14</formula>
    </cfRule>
  </conditionalFormatting>
  <pageMargins left="0.7" right="0.7" top="0.75" bottom="0.75" header="0.3" footer="0.3"/>
  <pageSetup paperSize="9" orientation="portrait" r:id="rId1"/>
  <ignoredErrors>
    <ignoredError sqref="V100 AG107" unlockedFormula="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B1:AM53"/>
  <sheetViews>
    <sheetView showGridLines="0" zoomScale="80" zoomScaleNormal="80" workbookViewId="0">
      <pane xSplit="7" ySplit="14" topLeftCell="H21" activePane="bottomRight" state="frozen"/>
      <selection pane="topRight" activeCell="H1" sqref="H1"/>
      <selection pane="bottomLeft" activeCell="A15" sqref="A15"/>
      <selection pane="bottomRight" activeCell="K13" sqref="K13"/>
    </sheetView>
  </sheetViews>
  <sheetFormatPr defaultColWidth="10.21875" defaultRowHeight="10.8"/>
  <cols>
    <col min="1" max="1" width="1.77734375" style="119" customWidth="1"/>
    <col min="2" max="2" width="8.21875" style="119" customWidth="1"/>
    <col min="3" max="3" width="11.21875" style="115" customWidth="1"/>
    <col min="4" max="4" width="19.77734375" style="1355" bestFit="1" customWidth="1"/>
    <col min="5" max="5" width="11.109375" style="115" customWidth="1"/>
    <col min="6" max="6" width="10.21875" style="115" customWidth="1"/>
    <col min="7" max="7" width="10.21875" style="119" customWidth="1"/>
    <col min="8" max="8" width="7.77734375" style="129" bestFit="1" customWidth="1"/>
    <col min="9" max="9" width="7.77734375" style="130" bestFit="1" customWidth="1"/>
    <col min="10" max="10" width="7.21875" style="131" customWidth="1"/>
    <col min="11" max="11" width="7.21875" style="119" bestFit="1" customWidth="1"/>
    <col min="12" max="12" width="7.21875" style="119" customWidth="1"/>
    <col min="13" max="13" width="7.21875" style="119" bestFit="1" customWidth="1"/>
    <col min="14" max="17" width="7.21875" style="119" customWidth="1"/>
    <col min="18" max="18" width="7.109375" style="119" customWidth="1"/>
    <col min="19" max="22" width="7.21875" style="119" customWidth="1"/>
    <col min="23" max="23" width="7.21875" style="119" bestFit="1" customWidth="1"/>
    <col min="24" max="38" width="7.21875" style="119" customWidth="1"/>
    <col min="39" max="39" width="31.88671875" style="119" customWidth="1"/>
    <col min="40" max="16384" width="10.21875" style="119"/>
  </cols>
  <sheetData>
    <row r="1" spans="2:38" s="408" customFormat="1" ht="11.4" thickBot="1">
      <c r="C1" s="409"/>
      <c r="D1" s="1358"/>
      <c r="E1" s="409"/>
      <c r="F1" s="409"/>
      <c r="H1" s="410"/>
      <c r="I1" s="411"/>
      <c r="J1" s="412"/>
      <c r="T1" s="1399"/>
      <c r="U1" s="1399"/>
      <c r="V1" s="1399"/>
      <c r="W1" s="1399"/>
    </row>
    <row r="2" spans="2:38" s="302" customFormat="1" ht="15" thickBot="1">
      <c r="B2" s="295" t="s">
        <v>0</v>
      </c>
      <c r="D2" s="1359"/>
      <c r="E2" s="355"/>
      <c r="G2" s="342"/>
      <c r="H2" s="2696" t="s">
        <v>6</v>
      </c>
      <c r="I2" s="2697"/>
      <c r="K2" s="2696" t="s">
        <v>5</v>
      </c>
      <c r="L2" s="2803"/>
      <c r="M2" s="2803"/>
      <c r="N2" s="2697"/>
      <c r="O2" s="393"/>
      <c r="P2" s="344" t="s">
        <v>199</v>
      </c>
      <c r="Q2" s="345"/>
      <c r="R2" s="345"/>
      <c r="S2" s="346"/>
      <c r="T2" s="1400"/>
      <c r="U2" s="1401" t="s">
        <v>311</v>
      </c>
      <c r="V2" s="1402">
        <v>1.68</v>
      </c>
      <c r="W2" s="1400"/>
    </row>
    <row r="3" spans="2:38" s="302" customFormat="1" ht="14.4">
      <c r="B3" s="64" t="s">
        <v>52</v>
      </c>
      <c r="D3" s="1360"/>
      <c r="E3" s="354"/>
      <c r="G3" s="342"/>
      <c r="H3" s="2733" t="s">
        <v>8</v>
      </c>
      <c r="I3" s="2763"/>
      <c r="K3" s="2852" t="s">
        <v>7</v>
      </c>
      <c r="L3" s="2853"/>
      <c r="M3" s="2853"/>
      <c r="N3" s="2854"/>
      <c r="O3" s="393"/>
      <c r="P3" s="413" t="s">
        <v>303</v>
      </c>
      <c r="Q3" s="348"/>
      <c r="R3" s="348"/>
      <c r="S3" s="349"/>
      <c r="T3" s="379"/>
      <c r="U3" s="379"/>
      <c r="V3" s="379"/>
      <c r="W3" s="379"/>
    </row>
    <row r="4" spans="2:38" s="302" customFormat="1" ht="14.4" thickBot="1">
      <c r="B4" s="297" t="s">
        <v>31</v>
      </c>
      <c r="D4" s="1360"/>
      <c r="E4" s="354"/>
      <c r="G4" s="342"/>
      <c r="H4" s="2737" t="s">
        <v>10</v>
      </c>
      <c r="I4" s="2764"/>
      <c r="K4" s="2807" t="s">
        <v>9</v>
      </c>
      <c r="L4" s="2808"/>
      <c r="M4" s="2808"/>
      <c r="N4" s="2809"/>
      <c r="O4" s="393"/>
      <c r="P4" s="414" t="s">
        <v>302</v>
      </c>
      <c r="S4" s="351"/>
    </row>
    <row r="5" spans="2:38" s="302" customFormat="1" ht="13.8">
      <c r="B5" s="65"/>
      <c r="D5" s="1360"/>
      <c r="E5" s="354"/>
      <c r="G5" s="356"/>
      <c r="K5" s="2818" t="s">
        <v>11</v>
      </c>
      <c r="L5" s="2819"/>
      <c r="M5" s="2819"/>
      <c r="N5" s="2820"/>
      <c r="O5" s="393"/>
      <c r="P5" s="350"/>
      <c r="S5" s="351"/>
    </row>
    <row r="6" spans="2:38" s="302" customFormat="1" ht="14.4" thickBot="1">
      <c r="B6" s="294" t="s">
        <v>3</v>
      </c>
      <c r="C6" s="298">
        <f>SUMMARY!$C$6</f>
        <v>45870</v>
      </c>
      <c r="D6" s="1360"/>
      <c r="E6" s="354"/>
      <c r="G6" s="356"/>
      <c r="K6" s="2821" t="s">
        <v>12</v>
      </c>
      <c r="L6" s="2822"/>
      <c r="M6" s="2822"/>
      <c r="N6" s="2823"/>
      <c r="O6" s="393"/>
      <c r="P6" s="415" t="s">
        <v>312</v>
      </c>
      <c r="Q6" s="352"/>
      <c r="R6" s="352"/>
      <c r="S6" s="353"/>
    </row>
    <row r="7" spans="2:38" s="302" customFormat="1" ht="13.8">
      <c r="B7" s="294" t="s">
        <v>4</v>
      </c>
      <c r="C7" s="1636">
        <f>+SUMMARY!C7</f>
        <v>6</v>
      </c>
      <c r="D7" s="1360"/>
      <c r="E7" s="354"/>
      <c r="G7" s="356"/>
      <c r="H7" s="342"/>
      <c r="I7" s="342"/>
    </row>
    <row r="8" spans="2:38" s="302" customFormat="1" ht="14.4" thickBot="1">
      <c r="B8" s="294"/>
      <c r="C8" s="294"/>
      <c r="D8" s="1361"/>
      <c r="E8" s="354"/>
      <c r="G8" s="356"/>
      <c r="H8" s="342"/>
      <c r="I8" s="342"/>
    </row>
    <row r="9" spans="2:38" s="342" customFormat="1" ht="14.4" thickBot="1">
      <c r="B9" s="362" t="s">
        <v>14</v>
      </c>
      <c r="C9" s="363" t="s">
        <v>206</v>
      </c>
      <c r="D9" s="1362" t="s">
        <v>16</v>
      </c>
      <c r="E9" s="365" t="s">
        <v>207</v>
      </c>
      <c r="G9" s="196" t="s">
        <v>13</v>
      </c>
      <c r="H9" s="380">
        <v>1</v>
      </c>
      <c r="I9" s="381">
        <v>2</v>
      </c>
      <c r="J9" s="381">
        <v>3</v>
      </c>
      <c r="K9" s="381">
        <v>4</v>
      </c>
      <c r="L9" s="381">
        <v>5</v>
      </c>
      <c r="M9" s="381">
        <v>6</v>
      </c>
      <c r="N9" s="381">
        <v>7</v>
      </c>
      <c r="O9" s="381">
        <v>8</v>
      </c>
      <c r="P9" s="381">
        <v>9</v>
      </c>
      <c r="Q9" s="381">
        <v>10</v>
      </c>
      <c r="R9" s="381">
        <v>11</v>
      </c>
      <c r="S9" s="381">
        <v>12</v>
      </c>
      <c r="T9" s="381">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ht="13.8">
      <c r="B10" s="366" t="s">
        <v>313</v>
      </c>
      <c r="C10" s="86">
        <f>SUM(H10:AL10)</f>
        <v>4990</v>
      </c>
      <c r="D10" s="1363">
        <f>SUM(H11:AL11)</f>
        <v>5350</v>
      </c>
      <c r="E10" s="101">
        <f>IFERROR((D10-C10)/C10,0)</f>
        <v>7.2144288577154311E-2</v>
      </c>
      <c r="G10" s="198" t="s">
        <v>287</v>
      </c>
      <c r="H10" s="102">
        <f>IF(H$9&gt;$C$7,"",SUMIF($E$22:$E30,"Budget (t)",H$22:H30))</f>
        <v>740</v>
      </c>
      <c r="I10" s="642">
        <f>IF(I$9&gt;$C$7,"",SUMIF($E$22:$E30,"Budget (t)",I$22:I30))</f>
        <v>850</v>
      </c>
      <c r="J10" s="642">
        <f>IF(J$9&gt;$C$7,"",SUMIF($E$22:$E30,"Budget (t)",J$22:J30))</f>
        <v>850</v>
      </c>
      <c r="K10" s="642">
        <f>IF(K$9&gt;$C$7,"",SUMIF($E$22:$E30,"Budget (t)",K$22:K30))</f>
        <v>850</v>
      </c>
      <c r="L10" s="642">
        <f>IF(L$9&gt;$C$7,"",SUMIF($E$22:$E30,"Budget (t)",L$22:L30))</f>
        <v>850</v>
      </c>
      <c r="M10" s="642">
        <f>IF(M$9&gt;$C$7,"",SUMIF($E$22:$E30,"Budget (t)",M$22:M30))</f>
        <v>850</v>
      </c>
      <c r="N10" s="642" t="str">
        <f>IF(N$9&gt;$C$7,"",SUMIF($E$22:$E30,"Budget (t)",N$22:N30))</f>
        <v/>
      </c>
      <c r="O10" s="642" t="str">
        <f>IF(O$9&gt;$C$7,"",SUMIF($E$22:$E30,"Budget (t)",O$22:O30))</f>
        <v/>
      </c>
      <c r="P10" s="642" t="str">
        <f>IF(P$9&gt;$C$7,"",SUMIF($E$22:$E30,"Budget (t)",P$22:P30))</f>
        <v/>
      </c>
      <c r="Q10" s="459" t="str">
        <f>IF(Q$9&gt;$C$7,"",SUMIF($E$22:$E30,"Budget (t)",Q$22:Q30))</f>
        <v/>
      </c>
      <c r="R10" s="459" t="str">
        <f>IF(R$9&gt;$C$7,"",SUMIF($E$22:$E30,"Budget (t)",R$22:R30))</f>
        <v/>
      </c>
      <c r="S10" s="459" t="str">
        <f>IF(S$9&gt;$C$7,"",SUMIF($E$22:$E30,"Budget (t)",S$22:S30))</f>
        <v/>
      </c>
      <c r="T10" s="459" t="str">
        <f>IF(T$9&gt;$C$7,"",SUMIF($E$22:$E30,"Budget (t)",T$22:T30))</f>
        <v/>
      </c>
      <c r="U10" s="459" t="str">
        <f>IF(U$9&gt;$C$7,"",SUMIF($E$22:$E30,"Budget (t)",U$22:U30))</f>
        <v/>
      </c>
      <c r="V10" s="459" t="str">
        <f>IF(V$9&gt;$C$7,"",SUMIF($E$22:$E30,"Budget (t)",V$22:V30))</f>
        <v/>
      </c>
      <c r="W10" s="459" t="str">
        <f>IF(W$9&gt;$C$7,"",SUMIF($E$22:$E30,"Budget (t)",W$22:W30))</f>
        <v/>
      </c>
      <c r="X10" s="459" t="str">
        <f>IF(X$9&gt;$C$7,"",SUMIF($E$22:$E30,"Budget (t)",X$22:X30))</f>
        <v/>
      </c>
      <c r="Y10" s="459" t="str">
        <f>IF(Y$9&gt;$C$7,"",SUMIF($E$22:$E30,"Budget (t)",Y$22:Y30))</f>
        <v/>
      </c>
      <c r="Z10" s="459" t="str">
        <f>IF(Z$9&gt;$C$7,"",SUMIF($E$22:$E30,"Budget (t)",Z$22:Z30))</f>
        <v/>
      </c>
      <c r="AA10" s="459" t="str">
        <f>IF(AA$9&gt;$C$7,"",SUMIF($E$22:$E30,"Budget (t)",AA$22:AA30))</f>
        <v/>
      </c>
      <c r="AB10" s="459" t="str">
        <f>IF(AB$9&gt;$C$7,"",SUMIF($E$22:$E30,"Budget (t)",AB$22:AB30))</f>
        <v/>
      </c>
      <c r="AC10" s="459" t="str">
        <f>IF(AC$9&gt;$C$7,"",SUMIF($E$22:$E30,"Budget (t)",AC$22:AC30))</f>
        <v/>
      </c>
      <c r="AD10" s="459" t="str">
        <f>IF(AD$9&gt;$C$7,"",SUMIF($E$22:$E30,"Budget (t)",AD$22:AD30))</f>
        <v/>
      </c>
      <c r="AE10" s="459" t="str">
        <f>IF(AE$9&gt;$C$7,"",SUMIF($E$22:$E30,"Budget (t)",AE$22:AE30))</f>
        <v/>
      </c>
      <c r="AF10" s="459" t="str">
        <f>IF(AF$9&gt;$C$7,"",SUMIF($E$22:$E30,"Budget (t)",AF$22:AF30))</f>
        <v/>
      </c>
      <c r="AG10" s="459" t="str">
        <f>IF(AG$9&gt;$C$7,"",SUMIF($E$22:$E30,"Budget (t)",AG$22:AG30))</f>
        <v/>
      </c>
      <c r="AH10" s="459" t="str">
        <f>IF(AH$9&gt;$C$7,"",SUMIF($E$22:$E30,"Budget (t)",AH$22:AH30))</f>
        <v/>
      </c>
      <c r="AI10" s="459" t="str">
        <f>IF(AI$9&gt;$C$7,"",SUMIF($E$22:$E30,"Budget (t)",AI$22:AI30))</f>
        <v/>
      </c>
      <c r="AJ10" s="459" t="str">
        <f>IF(AJ$9&gt;$C$7,"",SUMIF($E$22:$E30,"Budget (t)",AJ$22:AJ30))</f>
        <v/>
      </c>
      <c r="AK10" s="642" t="str">
        <f>IF(AK$9&gt;$C$7,"",SUMIF($E$22:$E30,"Budget (t)",AK$22:AK30))</f>
        <v/>
      </c>
      <c r="AL10" s="458" t="str">
        <f>IF(AL$9&gt;$C$7,"",SUMIF($E$22:$E30,"Budget (t)",AL$22:AL30))</f>
        <v/>
      </c>
    </row>
    <row r="11" spans="2:38" s="343" customFormat="1" ht="14.4" thickBot="1">
      <c r="B11" s="1477" t="s">
        <v>28</v>
      </c>
      <c r="C11" s="1478">
        <f>IFERROR(C12*1000/C10,0)</f>
        <v>2.234383193958009</v>
      </c>
      <c r="D11" s="1479">
        <f>IFERROR(D12*1000/D10,0)</f>
        <v>1.7739252336448599</v>
      </c>
      <c r="E11" s="1473">
        <f t="shared" ref="E11" si="0">IFERROR((D11-C11)/C11,0)</f>
        <v>-0.20607833139735052</v>
      </c>
      <c r="G11" s="196" t="s">
        <v>288</v>
      </c>
      <c r="H11" s="1050">
        <f>IF(H$9&gt;$C$7,"",SUMIF($E$22:$E30,"Actual (t)",H$22:H30))</f>
        <v>782</v>
      </c>
      <c r="I11" s="1005">
        <f>IF(I$9&gt;$C$7,"",SUMIF($E$22:$E30,"Actual (t)",I$22:I30))</f>
        <v>952</v>
      </c>
      <c r="J11" s="1005">
        <f>IF(J$9&gt;$C$7,"",SUMIF($E$22:$E30,"Actual (t)",J$22:J30))</f>
        <v>907</v>
      </c>
      <c r="K11" s="1005">
        <f>IF(K$9&gt;$C$7,"",SUMIF($E$22:$E30,"Actual (t)",K$22:K30))</f>
        <v>812</v>
      </c>
      <c r="L11" s="1005">
        <f>IF(L$9&gt;$C$7,"",SUMIF($E$22:$E30,"Actual (t)",L$22:L30))</f>
        <v>931</v>
      </c>
      <c r="M11" s="1005">
        <f>IF(M$9&gt;$C$7,"",SUMIF($E$22:$E30,"Actual (t)",M$22:M30))</f>
        <v>966</v>
      </c>
      <c r="N11" s="1005" t="str">
        <f>IF(N$9&gt;$C$7,"",SUMIF($E$22:$E30,"Actual (t)",N$22:N30))</f>
        <v/>
      </c>
      <c r="O11" s="1005" t="str">
        <f>IF(O$9&gt;$C$7,"",SUMIF($E$22:$E30,"Actual (t)",O$22:O30))</f>
        <v/>
      </c>
      <c r="P11" s="1005" t="str">
        <f>IF(P$9&gt;$C$7,"",SUMIF($E$22:$E30,"Actual (t)",P$22:P30))</f>
        <v/>
      </c>
      <c r="Q11" s="1005" t="str">
        <f>IF(Q$9&gt;$C$7,"",SUMIF($E$22:$E30,"Actual (t)",Q$22:Q30))</f>
        <v/>
      </c>
      <c r="R11" s="1005" t="str">
        <f>IF(R$9&gt;$C$7,"",SUMIF($E$22:$E30,"Actual (t)",R$22:R30))</f>
        <v/>
      </c>
      <c r="S11" s="1005" t="str">
        <f>IF(S$9&gt;$C$7,"",SUMIF($E$22:$E30,"Actual (t)",S$22:S30))</f>
        <v/>
      </c>
      <c r="T11" s="1005" t="str">
        <f>IF(T$9&gt;$C$7,"",SUMIF($E$22:$E30,"Actual (t)",T$22:T30))</f>
        <v/>
      </c>
      <c r="U11" s="1005" t="str">
        <f>IF(U$9&gt;$C$7,"",SUMIF($E$22:$E30,"Actual (t)",U$22:U30))</f>
        <v/>
      </c>
      <c r="V11" s="1005" t="str">
        <f>IF(V$9&gt;$C$7,"",SUMIF($E$22:$E30,"Actual (t)",V$22:V30))</f>
        <v/>
      </c>
      <c r="W11" s="1005" t="str">
        <f>IF(W$9&gt;$C$7,"",SUMIF($E$22:$E30,"Actual (t)",W$22:W30))</f>
        <v/>
      </c>
      <c r="X11" s="1005" t="str">
        <f>IF(X$9&gt;$C$7,"",SUMIF($E$22:$E30,"Actual (t)",X$22:X30))</f>
        <v/>
      </c>
      <c r="Y11" s="1005" t="str">
        <f>IF(Y$9&gt;$C$7,"",SUMIF($E$22:$E30,"Actual (t)",Y$22:Y30))</f>
        <v/>
      </c>
      <c r="Z11" s="1005" t="str">
        <f>IF(Z$9&gt;$C$7,"",SUMIF($E$22:$E30,"Actual (t)",Z$22:Z30))</f>
        <v/>
      </c>
      <c r="AA11" s="1005" t="str">
        <f>IF(AA$9&gt;$C$7,"",SUMIF($E$22:$E30,"Actual (t)",AA$22:AA30))</f>
        <v/>
      </c>
      <c r="AB11" s="1005" t="str">
        <f>IF(AB$9&gt;$C$7,"",SUMIF($E$22:$E30,"Actual (t)",AB$22:AB30))</f>
        <v/>
      </c>
      <c r="AC11" s="1005" t="str">
        <f>IF(AC$9&gt;$C$7,"",SUMIF($E$22:$E30,"Actual (t)",AC$22:AC30))</f>
        <v/>
      </c>
      <c r="AD11" s="1005" t="str">
        <f>IF(AD$9&gt;$C$7,"",SUMIF($E$22:$E30,"Actual (t)",AD$22:AD30))</f>
        <v/>
      </c>
      <c r="AE11" s="1005" t="str">
        <f>IF(AE$9&gt;$C$7,"",SUMIF($E$22:$E30,"Actual (t)",AE$22:AE30))</f>
        <v/>
      </c>
      <c r="AF11" s="1005" t="str">
        <f>IF(AF$9&gt;$C$7,"",SUMIF($E$22:$E30,"Actual (t)",AF$22:AF30))</f>
        <v/>
      </c>
      <c r="AG11" s="1005" t="str">
        <f>IF(AG$9&gt;$C$7,"",SUMIF($E$22:$E30,"Actual (t)",AG$22:AG30))</f>
        <v/>
      </c>
      <c r="AH11" s="1005" t="str">
        <f>IF(AH$9&gt;$C$7,"",SUMIF($E$22:$E30,"Actual (t)",AH$22:AH30))</f>
        <v/>
      </c>
      <c r="AI11" s="1005" t="str">
        <f>IF(AI$9&gt;$C$7,"",SUMIF($E$22:$E30,"Actual (t)",AI$22:AI30))</f>
        <v/>
      </c>
      <c r="AJ11" s="1005" t="str">
        <f>IF(AJ$9&gt;$C$7,"",SUMIF($E$22:$E30,"Actual (t)",AJ$22:AJ30))</f>
        <v/>
      </c>
      <c r="AK11" s="1005" t="str">
        <f>IF(AK$9&gt;$C$7,"",SUMIF($E$22:$E30,"Actual (t)",AK$22:AK30))</f>
        <v/>
      </c>
      <c r="AL11" s="1006" t="str">
        <f>IF(AL$9&gt;$C$7,"",SUMIF($E$22:$E30,"Actual (t)",AL$22:AL30))</f>
        <v/>
      </c>
    </row>
    <row r="12" spans="2:38" s="105" customFormat="1" ht="14.85" customHeight="1" thickBot="1">
      <c r="B12" s="1035" t="s">
        <v>29</v>
      </c>
      <c r="C12" s="1048">
        <f>SUM(H14:AL14)</f>
        <v>11.149572137850466</v>
      </c>
      <c r="D12" s="1364">
        <f>SUM(H15:AL15)</f>
        <v>9.4905000000000008</v>
      </c>
      <c r="E12" s="1137">
        <f>IFERROR((D12-C12)/C12,0)</f>
        <v>-0.14880141743002517</v>
      </c>
      <c r="G12" s="198" t="s">
        <v>289</v>
      </c>
      <c r="H12" s="140">
        <f t="shared" ref="H12:AL12" si="1">IFERROR(H14*1000/H10,"")</f>
        <v>2.2027283562768369</v>
      </c>
      <c r="I12" s="641">
        <f t="shared" si="1"/>
        <v>2.2398948598130839</v>
      </c>
      <c r="J12" s="641">
        <f t="shared" si="1"/>
        <v>2.2398948598130839</v>
      </c>
      <c r="K12" s="641">
        <f t="shared" si="1"/>
        <v>2.2398948598130839</v>
      </c>
      <c r="L12" s="641">
        <f t="shared" si="1"/>
        <v>2.2398948598130839</v>
      </c>
      <c r="M12" s="641">
        <f t="shared" si="1"/>
        <v>2.2398948598130839</v>
      </c>
      <c r="N12" s="641" t="str">
        <f t="shared" si="1"/>
        <v/>
      </c>
      <c r="O12" s="641" t="str">
        <f t="shared" si="1"/>
        <v/>
      </c>
      <c r="P12" s="641" t="str">
        <f t="shared" si="1"/>
        <v/>
      </c>
      <c r="Q12" s="457" t="str">
        <f t="shared" si="1"/>
        <v/>
      </c>
      <c r="R12" s="457" t="str">
        <f t="shared" si="1"/>
        <v/>
      </c>
      <c r="S12" s="457" t="str">
        <f t="shared" si="1"/>
        <v/>
      </c>
      <c r="T12" s="457" t="str">
        <f t="shared" si="1"/>
        <v/>
      </c>
      <c r="U12" s="457" t="str">
        <f t="shared" si="1"/>
        <v/>
      </c>
      <c r="V12" s="457" t="str">
        <f t="shared" si="1"/>
        <v/>
      </c>
      <c r="W12" s="457" t="str">
        <f t="shared" si="1"/>
        <v/>
      </c>
      <c r="X12" s="457" t="str">
        <f t="shared" si="1"/>
        <v/>
      </c>
      <c r="Y12" s="457" t="str">
        <f t="shared" si="1"/>
        <v/>
      </c>
      <c r="Z12" s="457" t="str">
        <f t="shared" si="1"/>
        <v/>
      </c>
      <c r="AA12" s="457" t="str">
        <f>IFERROR(AA14*1000/AA10,"")</f>
        <v/>
      </c>
      <c r="AB12" s="457" t="str">
        <f>IFERROR(AB14*1000/AB10,"")</f>
        <v/>
      </c>
      <c r="AC12" s="457" t="str">
        <f t="shared" si="1"/>
        <v/>
      </c>
      <c r="AD12" s="457" t="str">
        <f t="shared" si="1"/>
        <v/>
      </c>
      <c r="AE12" s="457" t="str">
        <f t="shared" si="1"/>
        <v/>
      </c>
      <c r="AF12" s="457" t="str">
        <f t="shared" si="1"/>
        <v/>
      </c>
      <c r="AG12" s="457" t="str">
        <f t="shared" si="1"/>
        <v/>
      </c>
      <c r="AH12" s="457" t="str">
        <f t="shared" si="1"/>
        <v/>
      </c>
      <c r="AI12" s="457" t="str">
        <f t="shared" si="1"/>
        <v/>
      </c>
      <c r="AJ12" s="457" t="str">
        <f t="shared" si="1"/>
        <v/>
      </c>
      <c r="AK12" s="641" t="str">
        <f t="shared" si="1"/>
        <v/>
      </c>
      <c r="AL12" s="456" t="str">
        <f t="shared" si="1"/>
        <v/>
      </c>
    </row>
    <row r="13" spans="2:38" s="109" customFormat="1" ht="15" customHeight="1" thickBot="1">
      <c r="B13" s="343"/>
      <c r="C13" s="343"/>
      <c r="D13" s="1365"/>
      <c r="G13" s="197" t="s">
        <v>290</v>
      </c>
      <c r="H13" s="1051">
        <f t="shared" ref="H13:AL13" si="2">IFERROR(H15*1000/H11,"")</f>
        <v>1.99</v>
      </c>
      <c r="I13" s="1007">
        <f t="shared" si="2"/>
        <v>2.13</v>
      </c>
      <c r="J13" s="1007">
        <f t="shared" si="2"/>
        <v>1.6699999999999997</v>
      </c>
      <c r="K13" s="1007">
        <f t="shared" si="2"/>
        <v>1.8200000000000003</v>
      </c>
      <c r="L13" s="1007">
        <f t="shared" si="2"/>
        <v>3.13</v>
      </c>
      <c r="M13" s="1007">
        <f>IFERROR(M15*1000/M11,"")</f>
        <v>0</v>
      </c>
      <c r="N13" s="1007" t="str">
        <f t="shared" si="2"/>
        <v/>
      </c>
      <c r="O13" s="1007" t="str">
        <f t="shared" si="2"/>
        <v/>
      </c>
      <c r="P13" s="1007" t="str">
        <f t="shared" si="2"/>
        <v/>
      </c>
      <c r="Q13" s="1007" t="str">
        <f t="shared" si="2"/>
        <v/>
      </c>
      <c r="R13" s="1007" t="str">
        <f t="shared" si="2"/>
        <v/>
      </c>
      <c r="S13" s="1007" t="str">
        <f t="shared" si="2"/>
        <v/>
      </c>
      <c r="T13" s="1007" t="str">
        <f t="shared" si="2"/>
        <v/>
      </c>
      <c r="U13" s="1007" t="str">
        <f t="shared" si="2"/>
        <v/>
      </c>
      <c r="V13" s="1007" t="str">
        <f t="shared" si="2"/>
        <v/>
      </c>
      <c r="W13" s="1007" t="str">
        <f>IFERROR(W15*1000/W11,"")</f>
        <v/>
      </c>
      <c r="X13" s="1007" t="str">
        <f>IFERROR(X15*1000/X11,"")</f>
        <v/>
      </c>
      <c r="Y13" s="1007" t="str">
        <f t="shared" si="2"/>
        <v/>
      </c>
      <c r="Z13" s="1007" t="str">
        <f t="shared" si="2"/>
        <v/>
      </c>
      <c r="AA13" s="1331" t="str">
        <f>IFERROR(AA15*1000/AA11,"")</f>
        <v/>
      </c>
      <c r="AB13" s="1331" t="str">
        <f>IFERROR(AB15*1000/AB11,"")</f>
        <v/>
      </c>
      <c r="AC13" s="1331" t="str">
        <f>IFERROR(AC15*1000/AC11,"")</f>
        <v/>
      </c>
      <c r="AD13" s="1331" t="str">
        <f>IFERROR(AD15*1000/AD11,"")</f>
        <v/>
      </c>
      <c r="AE13" s="1331" t="str">
        <f>IFERROR(AE15*1000/AE11,"")</f>
        <v/>
      </c>
      <c r="AF13" s="1331" t="str">
        <f>IFERROR(AF15*1000/AF11,"")</f>
        <v/>
      </c>
      <c r="AG13" s="1007" t="str">
        <f t="shared" si="2"/>
        <v/>
      </c>
      <c r="AH13" s="1007" t="str">
        <f t="shared" si="2"/>
        <v/>
      </c>
      <c r="AI13" s="1007" t="str">
        <f t="shared" si="2"/>
        <v/>
      </c>
      <c r="AJ13" s="1007" t="str">
        <f t="shared" si="2"/>
        <v/>
      </c>
      <c r="AK13" s="1007" t="str">
        <f t="shared" si="2"/>
        <v/>
      </c>
      <c r="AL13" s="1009" t="str">
        <f t="shared" si="2"/>
        <v/>
      </c>
    </row>
    <row r="14" spans="2:38" s="110" customFormat="1" ht="14.85" customHeight="1">
      <c r="B14" s="343"/>
      <c r="C14" s="343"/>
      <c r="D14" s="1365"/>
      <c r="G14" s="199" t="s">
        <v>291</v>
      </c>
      <c r="H14" s="111">
        <f>IF(H$9&gt;$C$7,"",SUMIF($E$22:$E30,"Budget (kg)",H$22:H30))</f>
        <v>1.6300189836448593</v>
      </c>
      <c r="I14" s="491">
        <f>IF(I$9&gt;$C$7,"",SUMIF($E$22:$E30,"Budget (kg)",I$22:I30))</f>
        <v>1.9039106308411213</v>
      </c>
      <c r="J14" s="491">
        <f>IF(J$9&gt;$C$7,"",SUMIF($E$22:$E30,"Budget (kg)",J$22:J30))</f>
        <v>1.9039106308411213</v>
      </c>
      <c r="K14" s="491">
        <f>IF(K$9&gt;$C$7,"",SUMIF($E$22:$E30,"Budget (kg)",K$22:K30))</f>
        <v>1.9039106308411213</v>
      </c>
      <c r="L14" s="491">
        <f>IF(L$9&gt;$C$7,"",SUMIF($E$22:$E30,"Budget (kg)",L$22:L30))</f>
        <v>1.9039106308411213</v>
      </c>
      <c r="M14" s="491">
        <f>IF(M$9&gt;$C$7,"",SUMIF($E$22:$E30,"Budget (kg)",M$22:M30))</f>
        <v>1.9039106308411213</v>
      </c>
      <c r="N14" s="491" t="str">
        <f>IF(N$9&gt;$C$7,"",SUMIF($E$22:$E30,"Budget (kg)",N$22:N30))</f>
        <v/>
      </c>
      <c r="O14" s="491" t="str">
        <f>IF(O$9&gt;$C$7,"",SUMIF($E$22:$E30,"Budget (kg)",O$22:O30))</f>
        <v/>
      </c>
      <c r="P14" s="491" t="str">
        <f>IF(P$9&gt;$C$7,"",SUMIF($E$22:$E30,"Budget (kg)",P$22:P30))</f>
        <v/>
      </c>
      <c r="Q14" s="455" t="str">
        <f>IF(Q$9&gt;$C$7,"",SUMIF($E$22:$E30,"Budget (kg)",Q$22:Q30))</f>
        <v/>
      </c>
      <c r="R14" s="455" t="str">
        <f>IF(R$9&gt;$C$7,"",SUMIF($E$22:$E30,"Budget (kg)",R$22:R30))</f>
        <v/>
      </c>
      <c r="S14" s="455" t="str">
        <f>IF(S$9&gt;$C$7,"",SUMIF($E$22:$E30,"Budget (kg)",S$22:S30))</f>
        <v/>
      </c>
      <c r="T14" s="455" t="str">
        <f>IF(T$9&gt;$C$7,"",SUMIF($E$22:$E30,"Budget (kg)",T$22:T30))</f>
        <v/>
      </c>
      <c r="U14" s="455" t="str">
        <f>IF(U$9&gt;$C$7,"",SUMIF($E$22:$E30,"Budget (kg)",U$22:U30))</f>
        <v/>
      </c>
      <c r="V14" s="455" t="str">
        <f>IF(V$9&gt;$C$7,"",SUMIF($E$22:$E30,"Budget (kg)",V$22:V30))</f>
        <v/>
      </c>
      <c r="W14" s="455" t="str">
        <f>IF(W$9&gt;$C$7,"",SUMIF($E$22:$E30,"Budget (kg)",W$22:W30))</f>
        <v/>
      </c>
      <c r="X14" s="455" t="str">
        <f>IF(X$9&gt;$C$7,"",SUMIF($E$22:$E30,"Budget (kg)",X$22:X30))</f>
        <v/>
      </c>
      <c r="Y14" s="455" t="str">
        <f>IF(Y$9&gt;$C$7,"",SUMIF($E$22:$E30,"Budget (kg)",Y$22:Y30))</f>
        <v/>
      </c>
      <c r="Z14" s="455" t="str">
        <f>IF(Z$9&gt;$C$7,"",SUMIF($E$22:$E30,"Budget (kg)",Z$22:Z30))</f>
        <v/>
      </c>
      <c r="AA14" s="455" t="str">
        <f>IF(AA$9&gt;$C$7,"",SUMIF($E$22:$E30,"Budget (kg)",AA$22:AA30))</f>
        <v/>
      </c>
      <c r="AB14" s="455" t="str">
        <f>IF(AB$9&gt;$C$7,"",SUMIF($E$22:$E30,"Budget (kg)",AB$22:AB30))</f>
        <v/>
      </c>
      <c r="AC14" s="455" t="str">
        <f>IF(AC$9&gt;$C$7,"",SUMIF($E$22:$E30,"Budget (kg)",AC$22:AC30))</f>
        <v/>
      </c>
      <c r="AD14" s="455" t="str">
        <f>IF(AD$9&gt;$C$7,"",SUMIF($E$22:$E30,"Budget (kg)",AD$22:AD30))</f>
        <v/>
      </c>
      <c r="AE14" s="455" t="str">
        <f>IF(AE$9&gt;$C$7,"",SUMIF($E$22:$E30,"Budget (kg)",AE$22:AE30))</f>
        <v/>
      </c>
      <c r="AF14" s="455" t="str">
        <f>IF(AF$9&gt;$C$7,"",SUMIF($E$22:$E30,"Budget (kg)",AF$22:AF30))</f>
        <v/>
      </c>
      <c r="AG14" s="455" t="str">
        <f>IF(AG$9&gt;$C$7,"",SUMIF($E$22:$E30,"Budget (kg)",AG$22:AG30))</f>
        <v/>
      </c>
      <c r="AH14" s="455" t="str">
        <f>IF(AH$9&gt;$C$7,"",SUMIF($E$22:$E30,"Budget (kg)",AH$22:AH30))</f>
        <v/>
      </c>
      <c r="AI14" s="455" t="str">
        <f>IF(AI$9&gt;$C$7,"",SUMIF($E$22:$E30,"Budget (kg)",AI$22:AI30))</f>
        <v/>
      </c>
      <c r="AJ14" s="455" t="str">
        <f>IF(AJ$9&gt;$C$7,"",SUMIF($E$22:$E30,"Budget (kg)",AJ$22:AJ30))</f>
        <v/>
      </c>
      <c r="AK14" s="491" t="str">
        <f>IF(AK$9&gt;$C$7,"",SUMIF($E$22:$E30,"Budget (kg)",AK$22:AK30))</f>
        <v/>
      </c>
      <c r="AL14" s="454" t="str">
        <f>IF(AL$9&gt;$C$7,"",SUMIF($E$22:$E30,"Budget (kg)",AL$22:AL30))</f>
        <v/>
      </c>
    </row>
    <row r="15" spans="2:38" s="114" customFormat="1" ht="15" customHeight="1" thickBot="1">
      <c r="B15" s="343"/>
      <c r="C15" s="343"/>
      <c r="D15" s="1365"/>
      <c r="G15" s="200" t="s">
        <v>292</v>
      </c>
      <c r="H15" s="1052">
        <f>IF(H$9&gt;$C$7,"",SUMIF($E$22:$E30,"Actual (kg)",H$22:H30))</f>
        <v>1.5561800000000001</v>
      </c>
      <c r="I15" s="995">
        <f>IF(I$9&gt;$C$7,"",SUMIF($E$22:$E30,"Actual (kg)",I$22:I30))</f>
        <v>2.0277599999999998</v>
      </c>
      <c r="J15" s="995">
        <f>IF(J$9&gt;$C$7,"",SUMIF($E$22:$E30,"Actual (kg)",J$22:J30))</f>
        <v>1.5146899999999999</v>
      </c>
      <c r="K15" s="995">
        <f>IF(K$9&gt;$C$7,"",SUMIF($E$22:$E30,"Actual (kg)",K$22:K30))</f>
        <v>1.47784</v>
      </c>
      <c r="L15" s="995">
        <f>IF(L$9&gt;$C$7,"",SUMIF($E$22:$E30,"Actual (kg)",L$22:L30))</f>
        <v>2.9140299999999999</v>
      </c>
      <c r="M15" s="995">
        <f>IF(M$9&gt;$C$7,"",SUMIF($E$22:$E30,"Actual (kg)",M$22:M30))</f>
        <v>0</v>
      </c>
      <c r="N15" s="995" t="str">
        <f>IF(N$9&gt;$C$7,"",SUMIF($E$22:$E30,"Actual (kg)",N$22:N30))</f>
        <v/>
      </c>
      <c r="O15" s="995" t="str">
        <f>IF(O$9&gt;$C$7,"",SUMIF($E$22:$E30,"Actual (kg)",O$22:O30))</f>
        <v/>
      </c>
      <c r="P15" s="995" t="str">
        <f>IF(P$9&gt;$C$7,"",SUMIF($E$22:$E30,"Actual (kg)",P$22:P30))</f>
        <v/>
      </c>
      <c r="Q15" s="995" t="str">
        <f>IF(Q$9&gt;$C$7,"",SUMIF($E$22:$E30,"Actual (kg)",Q$22:Q30))</f>
        <v/>
      </c>
      <c r="R15" s="995" t="str">
        <f>IF(R$9&gt;$C$7,"",SUMIF($E$22:$E30,"Actual (kg)",R$22:R30))</f>
        <v/>
      </c>
      <c r="S15" s="995" t="str">
        <f>IF(S$9&gt;$C$7,"",SUMIF($E$22:$E30,"Actual (kg)",S$22:S30))</f>
        <v/>
      </c>
      <c r="T15" s="995" t="str">
        <f>IF(T$9&gt;$C$7,"",SUMIF($E$22:$E30,"Actual (kg)",T$22:T30))</f>
        <v/>
      </c>
      <c r="U15" s="995" t="str">
        <f>IF(U$9&gt;$C$7,"",SUMIF($E$22:$E30,"Actual (kg)",U$22:U30))</f>
        <v/>
      </c>
      <c r="V15" s="995" t="str">
        <f>IF(V$9&gt;$C$7,"",SUMIF($E$22:$E30,"Actual (kg)",V$22:V30))</f>
        <v/>
      </c>
      <c r="W15" s="995" t="str">
        <f>IF(W$9&gt;$C$7,"",SUMIF($E$22:$E30,"Actual (kg)",W$22:W30))</f>
        <v/>
      </c>
      <c r="X15" s="995" t="str">
        <f>IF(X$9&gt;$C$7,"",SUMIF($E$22:$E30,"Actual (kg)",X$22:X30))</f>
        <v/>
      </c>
      <c r="Y15" s="995" t="str">
        <f>IF(Y$9&gt;$C$7,"",SUMIF($E$22:$E30,"Actual (kg)",Y$22:Y30))</f>
        <v/>
      </c>
      <c r="Z15" s="995" t="str">
        <f>IF(Z$9&gt;$C$7,"",SUMIF($E$22:$E30,"Actual (kg)",Z$22:Z30))</f>
        <v/>
      </c>
      <c r="AA15" s="995" t="str">
        <f>IF(AA$9&gt;$C$7,"",SUMIF($E$22:$E30,"Actual (kg)",AA$22:AA30))</f>
        <v/>
      </c>
      <c r="AB15" s="995" t="str">
        <f>IF(AB$9&gt;$C$7,"",SUMIF($E$22:$E30,"Actual (kg)",AB$22:AB30))</f>
        <v/>
      </c>
      <c r="AC15" s="995" t="str">
        <f>IF(AC$9&gt;$C$7,"",SUMIF($E$22:$E30,"Actual (kg)",AC$22:AC30))</f>
        <v/>
      </c>
      <c r="AD15" s="995" t="str">
        <f>IF(AD$9&gt;$C$7,"",SUMIF($E$22:$E30,"Actual (kg)",AD$22:AD30))</f>
        <v/>
      </c>
      <c r="AE15" s="995" t="str">
        <f>IF(AE$9&gt;$C$7,"",SUMIF($E$22:$E30,"Actual (kg)",AE$22:AE30))</f>
        <v/>
      </c>
      <c r="AF15" s="995" t="str">
        <f>IF(AF$9&gt;$C$7,"",SUMIF($E$22:$E30,"Actual (kg)",AF$22:AF30))</f>
        <v/>
      </c>
      <c r="AG15" s="995" t="str">
        <f>IF(AG$9&gt;$C$7,"",SUMIF($E$22:$E30,"Actual (kg)",AG$22:AG30))</f>
        <v/>
      </c>
      <c r="AH15" s="995" t="str">
        <f>IF(AH$9&gt;$C$7,"",SUMIF($E$22:$E30,"Actual (kg)",AH$22:AH30))</f>
        <v/>
      </c>
      <c r="AI15" s="995" t="str">
        <f>IF(AI$9&gt;$C$7,"",SUMIF($E$22:$E30,"Actual (kg)",AI$22:AI30))</f>
        <v/>
      </c>
      <c r="AJ15" s="995" t="str">
        <f>IF(AJ$9&gt;$C$7,"",SUMIF($E$22:$E30,"Actual (kg)",AJ$22:AJ30))</f>
        <v/>
      </c>
      <c r="AK15" s="995" t="str">
        <f>IF(AK$9&gt;$C$7,"",SUMIF($E$22:$E30,"Actual (kg)",AK$22:AK30))</f>
        <v/>
      </c>
      <c r="AL15" s="996" t="str">
        <f>IF(AL$9&gt;$C$7,"",SUMIF($E$22:$E30,"Actual (kg)",AL$22:AL30))</f>
        <v/>
      </c>
    </row>
    <row r="16" spans="2:38" s="408" customFormat="1" ht="11.4" thickBot="1">
      <c r="C16" s="409"/>
      <c r="D16" s="1358"/>
      <c r="E16" s="409"/>
      <c r="F16" s="409"/>
      <c r="H16" s="410"/>
      <c r="I16" s="411"/>
      <c r="J16" s="412"/>
    </row>
    <row r="17" spans="3:39" s="343" customFormat="1" ht="14.4" thickBot="1">
      <c r="C17" s="654" t="s">
        <v>314</v>
      </c>
      <c r="D17" s="1366"/>
      <c r="E17" s="655"/>
      <c r="F17" s="656" t="s">
        <v>14</v>
      </c>
      <c r="G17" s="657" t="s">
        <v>220</v>
      </c>
      <c r="H17" s="658">
        <f>SUMMARY!I16</f>
        <v>45870</v>
      </c>
      <c r="I17" s="659">
        <f>SUMMARY!J16</f>
        <v>45871</v>
      </c>
      <c r="J17" s="659">
        <f>SUMMARY!K16</f>
        <v>45872</v>
      </c>
      <c r="K17" s="659">
        <f>SUMMARY!L16</f>
        <v>45873</v>
      </c>
      <c r="L17" s="659">
        <f>SUMMARY!M16</f>
        <v>45874</v>
      </c>
      <c r="M17" s="659">
        <f>SUMMARY!N16</f>
        <v>45875</v>
      </c>
      <c r="N17" s="659">
        <f>SUMMARY!O16</f>
        <v>45876</v>
      </c>
      <c r="O17" s="659">
        <f>SUMMARY!P16</f>
        <v>45877</v>
      </c>
      <c r="P17" s="659">
        <f>SUMMARY!Q16</f>
        <v>45878</v>
      </c>
      <c r="Q17" s="659">
        <f>SUMMARY!R16</f>
        <v>45879</v>
      </c>
      <c r="R17" s="659">
        <f>SUMMARY!S16</f>
        <v>45880</v>
      </c>
      <c r="S17" s="659">
        <f>SUMMARY!T16</f>
        <v>45881</v>
      </c>
      <c r="T17" s="659">
        <f>SUMMARY!U16</f>
        <v>45882</v>
      </c>
      <c r="U17" s="659">
        <f>SUMMARY!V16</f>
        <v>45883</v>
      </c>
      <c r="V17" s="659">
        <f>SUMMARY!W16</f>
        <v>45884</v>
      </c>
      <c r="W17" s="659">
        <f>SUMMARY!X16</f>
        <v>45885</v>
      </c>
      <c r="X17" s="659">
        <f>SUMMARY!Y16</f>
        <v>45886</v>
      </c>
      <c r="Y17" s="659">
        <f>SUMMARY!Z16</f>
        <v>45887</v>
      </c>
      <c r="Z17" s="659">
        <f>SUMMARY!AA16</f>
        <v>45888</v>
      </c>
      <c r="AA17" s="659">
        <f>SUMMARY!AB16</f>
        <v>45889</v>
      </c>
      <c r="AB17" s="659">
        <f>SUMMARY!AC16</f>
        <v>45890</v>
      </c>
      <c r="AC17" s="659">
        <f>SUMMARY!AD16</f>
        <v>45891</v>
      </c>
      <c r="AD17" s="659">
        <f>SUMMARY!AE16</f>
        <v>45892</v>
      </c>
      <c r="AE17" s="659">
        <f>SUMMARY!AF16</f>
        <v>45893</v>
      </c>
      <c r="AF17" s="659">
        <f>SUMMARY!AG16</f>
        <v>45894</v>
      </c>
      <c r="AG17" s="659">
        <f>SUMMARY!AH16</f>
        <v>45895</v>
      </c>
      <c r="AH17" s="659">
        <f>SUMMARY!AI16</f>
        <v>45896</v>
      </c>
      <c r="AI17" s="659">
        <f>SUMMARY!AJ16</f>
        <v>45897</v>
      </c>
      <c r="AJ17" s="659">
        <f>SUMMARY!AK16</f>
        <v>45898</v>
      </c>
      <c r="AK17" s="659">
        <f>SUMMARY!AL16</f>
        <v>45899</v>
      </c>
      <c r="AL17" s="660">
        <f>SUMMARY!AM16</f>
        <v>45900</v>
      </c>
      <c r="AM17" s="661" t="s">
        <v>307</v>
      </c>
    </row>
    <row r="18" spans="3:39" s="126" customFormat="1" ht="13.8">
      <c r="C18" s="2847" t="s">
        <v>315</v>
      </c>
      <c r="D18" s="2865" t="s">
        <v>316</v>
      </c>
      <c r="E18" s="728" t="s">
        <v>317</v>
      </c>
      <c r="F18" s="1653">
        <f>SUMIF($H$9:$AL$9,"&lt;="&amp;$C$7,H18:AL18)</f>
        <v>186</v>
      </c>
      <c r="G18" s="275"/>
      <c r="H18" s="201">
        <v>29</v>
      </c>
      <c r="I18" s="202">
        <v>34</v>
      </c>
      <c r="J18" s="202">
        <v>32</v>
      </c>
      <c r="K18" s="202">
        <v>28</v>
      </c>
      <c r="L18" s="202">
        <v>31</v>
      </c>
      <c r="M18" s="202">
        <v>32</v>
      </c>
      <c r="N18" s="202"/>
      <c r="O18" s="202"/>
      <c r="P18" s="202"/>
      <c r="Q18" s="202"/>
      <c r="R18" s="202"/>
      <c r="S18" s="202"/>
      <c r="T18" s="202"/>
      <c r="U18" s="202"/>
      <c r="V18" s="202"/>
      <c r="W18" s="202"/>
      <c r="X18" s="202"/>
      <c r="Y18" s="202"/>
      <c r="Z18" s="202"/>
      <c r="AA18" s="202"/>
      <c r="AB18" s="202"/>
      <c r="AC18" s="202"/>
      <c r="AD18" s="202"/>
      <c r="AE18" s="202"/>
      <c r="AF18" s="202"/>
      <c r="AG18" s="202"/>
      <c r="AH18" s="202"/>
      <c r="AI18" s="202"/>
      <c r="AJ18" s="202"/>
      <c r="AK18" s="202"/>
      <c r="AL18" s="203"/>
      <c r="AM18" s="722"/>
    </row>
    <row r="19" spans="3:39" s="611" customFormat="1" ht="14.85" customHeight="1">
      <c r="C19" s="2848"/>
      <c r="D19" s="2863"/>
      <c r="E19" s="727" t="s">
        <v>318</v>
      </c>
      <c r="F19" s="1654">
        <f>SUMIF($H$9:$AL$9,"&lt;="&amp;$C$7,H19:AL19)</f>
        <v>0</v>
      </c>
      <c r="G19" s="723"/>
      <c r="H19" s="724"/>
      <c r="I19" s="725"/>
      <c r="J19" s="725"/>
      <c r="K19" s="725"/>
      <c r="L19" s="725"/>
      <c r="M19" s="725"/>
      <c r="N19" s="725"/>
      <c r="O19" s="725"/>
      <c r="P19" s="725"/>
      <c r="Q19" s="725"/>
      <c r="R19" s="725"/>
      <c r="S19" s="725"/>
      <c r="T19" s="725"/>
      <c r="U19" s="725">
        <v>0</v>
      </c>
      <c r="V19" s="725">
        <v>0</v>
      </c>
      <c r="W19" s="725">
        <v>0</v>
      </c>
      <c r="X19" s="725"/>
      <c r="Y19" s="725">
        <v>0</v>
      </c>
      <c r="Z19" s="725">
        <v>0</v>
      </c>
      <c r="AA19" s="725">
        <v>0</v>
      </c>
      <c r="AB19" s="725">
        <v>0</v>
      </c>
      <c r="AC19" s="725">
        <v>0</v>
      </c>
      <c r="AD19" s="1650">
        <v>0</v>
      </c>
      <c r="AE19" s="725">
        <v>0</v>
      </c>
      <c r="AF19" s="725">
        <v>0</v>
      </c>
      <c r="AG19" s="725">
        <v>0</v>
      </c>
      <c r="AH19" s="725">
        <v>0</v>
      </c>
      <c r="AI19" s="725">
        <v>0</v>
      </c>
      <c r="AJ19" s="725">
        <v>0</v>
      </c>
      <c r="AK19" s="725">
        <v>0</v>
      </c>
      <c r="AL19" s="726">
        <v>0</v>
      </c>
      <c r="AM19" s="663"/>
    </row>
    <row r="20" spans="3:39" s="126" customFormat="1" ht="14.85" customHeight="1">
      <c r="C20" s="2848"/>
      <c r="D20" s="2863"/>
      <c r="E20" s="1167" t="s">
        <v>63</v>
      </c>
      <c r="F20" s="1168">
        <f t="shared" ref="F20" si="3">SUMIF($H$9:$AL$9,"&lt;="&amp;$C$7,H20:AL20)</f>
        <v>186</v>
      </c>
      <c r="G20" s="1169"/>
      <c r="H20" s="1170">
        <f>SUM(H18:H19)</f>
        <v>29</v>
      </c>
      <c r="I20" s="1171">
        <f t="shared" ref="I20:AL20" si="4">SUM(I18:I19)</f>
        <v>34</v>
      </c>
      <c r="J20" s="1171">
        <f t="shared" si="4"/>
        <v>32</v>
      </c>
      <c r="K20" s="1171">
        <f t="shared" si="4"/>
        <v>28</v>
      </c>
      <c r="L20" s="1171">
        <f t="shared" si="4"/>
        <v>31</v>
      </c>
      <c r="M20" s="1171">
        <f>SUM(M18:M19)</f>
        <v>32</v>
      </c>
      <c r="N20" s="1171">
        <f t="shared" si="4"/>
        <v>0</v>
      </c>
      <c r="O20" s="1171">
        <f t="shared" si="4"/>
        <v>0</v>
      </c>
      <c r="P20" s="1171">
        <f t="shared" si="4"/>
        <v>0</v>
      </c>
      <c r="Q20" s="1171">
        <f t="shared" si="4"/>
        <v>0</v>
      </c>
      <c r="R20" s="1171">
        <f t="shared" si="4"/>
        <v>0</v>
      </c>
      <c r="S20" s="1171">
        <f t="shared" si="4"/>
        <v>0</v>
      </c>
      <c r="T20" s="1171">
        <f t="shared" si="4"/>
        <v>0</v>
      </c>
      <c r="U20" s="1171">
        <f t="shared" si="4"/>
        <v>0</v>
      </c>
      <c r="V20" s="1171">
        <f t="shared" si="4"/>
        <v>0</v>
      </c>
      <c r="W20" s="1171">
        <f t="shared" si="4"/>
        <v>0</v>
      </c>
      <c r="X20" s="1171">
        <f t="shared" si="4"/>
        <v>0</v>
      </c>
      <c r="Y20" s="1171">
        <f t="shared" si="4"/>
        <v>0</v>
      </c>
      <c r="Z20" s="1171">
        <f t="shared" si="4"/>
        <v>0</v>
      </c>
      <c r="AA20" s="1171">
        <f t="shared" si="4"/>
        <v>0</v>
      </c>
      <c r="AB20" s="1171">
        <f t="shared" si="4"/>
        <v>0</v>
      </c>
      <c r="AC20" s="1171">
        <f t="shared" si="4"/>
        <v>0</v>
      </c>
      <c r="AD20" s="1171">
        <f t="shared" si="4"/>
        <v>0</v>
      </c>
      <c r="AE20" s="1171">
        <f t="shared" si="4"/>
        <v>0</v>
      </c>
      <c r="AF20" s="1171">
        <f t="shared" si="4"/>
        <v>0</v>
      </c>
      <c r="AG20" s="1171">
        <f t="shared" si="4"/>
        <v>0</v>
      </c>
      <c r="AH20" s="1171">
        <f t="shared" si="4"/>
        <v>0</v>
      </c>
      <c r="AI20" s="1171">
        <f t="shared" si="4"/>
        <v>0</v>
      </c>
      <c r="AJ20" s="1171">
        <f t="shared" si="4"/>
        <v>0</v>
      </c>
      <c r="AK20" s="1171">
        <f t="shared" si="4"/>
        <v>0</v>
      </c>
      <c r="AL20" s="1172">
        <f t="shared" si="4"/>
        <v>0</v>
      </c>
      <c r="AM20" s="1480"/>
    </row>
    <row r="21" spans="3:39" ht="14.85" customHeight="1" thickBot="1">
      <c r="C21" s="2848"/>
      <c r="D21" s="1367"/>
      <c r="E21" s="1173" t="s">
        <v>319</v>
      </c>
      <c r="F21" s="1168">
        <f t="shared" ref="F21" si="5">SUMIF($H$9:$AL$9,"&lt;="&amp;$C$7,H21:AL21)</f>
        <v>2715.6</v>
      </c>
      <c r="G21" s="1174"/>
      <c r="H21" s="1175">
        <f t="shared" ref="H21:AL21" si="6">+H20*14.6</f>
        <v>423.4</v>
      </c>
      <c r="I21" s="1176">
        <f>+I20*14.6</f>
        <v>496.4</v>
      </c>
      <c r="J21" s="1176">
        <f t="shared" si="6"/>
        <v>467.2</v>
      </c>
      <c r="K21" s="1176">
        <f t="shared" si="6"/>
        <v>408.8</v>
      </c>
      <c r="L21" s="1176">
        <f t="shared" si="6"/>
        <v>452.59999999999997</v>
      </c>
      <c r="M21" s="1176">
        <f t="shared" si="6"/>
        <v>467.2</v>
      </c>
      <c r="N21" s="1176">
        <f t="shared" si="6"/>
        <v>0</v>
      </c>
      <c r="O21" s="1176">
        <f t="shared" si="6"/>
        <v>0</v>
      </c>
      <c r="P21" s="1176">
        <f t="shared" si="6"/>
        <v>0</v>
      </c>
      <c r="Q21" s="1176">
        <f t="shared" si="6"/>
        <v>0</v>
      </c>
      <c r="R21" s="1176">
        <f t="shared" si="6"/>
        <v>0</v>
      </c>
      <c r="S21" s="1176">
        <f t="shared" si="6"/>
        <v>0</v>
      </c>
      <c r="T21" s="1176">
        <f t="shared" si="6"/>
        <v>0</v>
      </c>
      <c r="U21" s="1176">
        <f t="shared" si="6"/>
        <v>0</v>
      </c>
      <c r="V21" s="1176">
        <f t="shared" si="6"/>
        <v>0</v>
      </c>
      <c r="W21" s="1176">
        <f t="shared" si="6"/>
        <v>0</v>
      </c>
      <c r="X21" s="1176">
        <f t="shared" si="6"/>
        <v>0</v>
      </c>
      <c r="Y21" s="1176">
        <f t="shared" si="6"/>
        <v>0</v>
      </c>
      <c r="Z21" s="1176">
        <f t="shared" si="6"/>
        <v>0</v>
      </c>
      <c r="AA21" s="1176">
        <f t="shared" si="6"/>
        <v>0</v>
      </c>
      <c r="AB21" s="1176">
        <f>+AB20*14.6</f>
        <v>0</v>
      </c>
      <c r="AC21" s="1176">
        <f t="shared" si="6"/>
        <v>0</v>
      </c>
      <c r="AD21" s="1176">
        <f>+AD20*14.6</f>
        <v>0</v>
      </c>
      <c r="AE21" s="1176">
        <f t="shared" si="6"/>
        <v>0</v>
      </c>
      <c r="AF21" s="1176">
        <f t="shared" si="6"/>
        <v>0</v>
      </c>
      <c r="AG21" s="1176">
        <f t="shared" si="6"/>
        <v>0</v>
      </c>
      <c r="AH21" s="1176">
        <f t="shared" si="6"/>
        <v>0</v>
      </c>
      <c r="AI21" s="1176">
        <f t="shared" si="6"/>
        <v>0</v>
      </c>
      <c r="AJ21" s="1176">
        <f t="shared" si="6"/>
        <v>0</v>
      </c>
      <c r="AK21" s="1176">
        <f>+AK20*14.6</f>
        <v>0</v>
      </c>
      <c r="AL21" s="1177">
        <f t="shared" si="6"/>
        <v>0</v>
      </c>
      <c r="AM21" s="120"/>
    </row>
    <row r="22" spans="3:39" ht="14.85" customHeight="1">
      <c r="C22" s="2848"/>
      <c r="D22" s="1368" t="s">
        <v>320</v>
      </c>
      <c r="E22" s="116" t="s">
        <v>294</v>
      </c>
      <c r="F22" s="146">
        <f>SUMIF($H$9:$AL$9,"&lt;="&amp;$C$7,H22:AL22)</f>
        <v>4990</v>
      </c>
      <c r="G22" s="275"/>
      <c r="H22" s="630">
        <f>Schedule!C41</f>
        <v>740</v>
      </c>
      <c r="I22" s="631">
        <f>Schedule!D41</f>
        <v>850</v>
      </c>
      <c r="J22" s="631">
        <f>Schedule!E41</f>
        <v>850</v>
      </c>
      <c r="K22" s="631">
        <f>Schedule!F41</f>
        <v>850</v>
      </c>
      <c r="L22" s="631">
        <f>Schedule!G41</f>
        <v>850</v>
      </c>
      <c r="M22" s="631">
        <f>Schedule!H41</f>
        <v>850</v>
      </c>
      <c r="N22" s="631">
        <f>Schedule!I41</f>
        <v>850</v>
      </c>
      <c r="O22" s="631">
        <f>Schedule!J41</f>
        <v>740</v>
      </c>
      <c r="P22" s="631">
        <f>Schedule!K41</f>
        <v>850</v>
      </c>
      <c r="Q22" s="631">
        <f>Schedule!L41</f>
        <v>850</v>
      </c>
      <c r="R22" s="631">
        <f>Schedule!M41</f>
        <v>0</v>
      </c>
      <c r="S22" s="631">
        <f>Schedule!N41</f>
        <v>0</v>
      </c>
      <c r="T22" s="631">
        <f>Schedule!O41</f>
        <v>850</v>
      </c>
      <c r="U22" s="631">
        <f>Schedule!P41</f>
        <v>850</v>
      </c>
      <c r="V22" s="631">
        <f>Schedule!Q41</f>
        <v>705</v>
      </c>
      <c r="W22" s="631">
        <f>Schedule!R41</f>
        <v>815</v>
      </c>
      <c r="X22" s="631">
        <f>Schedule!S41</f>
        <v>815</v>
      </c>
      <c r="Y22" s="631">
        <f>Schedule!T41</f>
        <v>815</v>
      </c>
      <c r="Z22" s="631">
        <f>Schedule!U41</f>
        <v>705</v>
      </c>
      <c r="AA22" s="631">
        <f>Schedule!V41</f>
        <v>815</v>
      </c>
      <c r="AB22" s="631">
        <f>Schedule!W41</f>
        <v>815</v>
      </c>
      <c r="AC22" s="631">
        <f>Schedule!X41</f>
        <v>955</v>
      </c>
      <c r="AD22" s="631">
        <f>Schedule!Y41</f>
        <v>955</v>
      </c>
      <c r="AE22" s="631">
        <f>Schedule!Z41</f>
        <v>955</v>
      </c>
      <c r="AF22" s="631">
        <f>Schedule!AA41</f>
        <v>955</v>
      </c>
      <c r="AG22" s="631">
        <f>Schedule!AB41</f>
        <v>955</v>
      </c>
      <c r="AH22" s="631">
        <f>Schedule!AC41</f>
        <v>955</v>
      </c>
      <c r="AI22" s="631">
        <f>Schedule!AD41</f>
        <v>955</v>
      </c>
      <c r="AJ22" s="631">
        <f>Schedule!AE41</f>
        <v>845</v>
      </c>
      <c r="AK22" s="634">
        <f>Schedule!AF41</f>
        <v>955</v>
      </c>
      <c r="AL22" s="632">
        <f>Schedule!AG41</f>
        <v>955</v>
      </c>
      <c r="AM22" s="118"/>
    </row>
    <row r="23" spans="3:39" ht="14.85" customHeight="1">
      <c r="C23" s="2848"/>
      <c r="D23" s="1369"/>
      <c r="E23" s="1141" t="s">
        <v>295</v>
      </c>
      <c r="F23" s="1095">
        <f>SUMIF($H$9:$AL$9,"&lt;="&amp;$C$7,H23:AL23)</f>
        <v>5350</v>
      </c>
      <c r="G23" s="1178">
        <f>IFERROR((F23-F22)/F22,0)</f>
        <v>7.2144288577154311E-2</v>
      </c>
      <c r="H23" s="1095">
        <v>782</v>
      </c>
      <c r="I23" s="1095">
        <v>952</v>
      </c>
      <c r="J23" s="1095">
        <v>907</v>
      </c>
      <c r="K23" s="1095">
        <v>812</v>
      </c>
      <c r="L23" s="1095">
        <v>931</v>
      </c>
      <c r="M23" s="1095">
        <v>966</v>
      </c>
      <c r="N23" s="1095"/>
      <c r="O23" s="1095"/>
      <c r="P23" s="1095"/>
      <c r="Q23" s="1095"/>
      <c r="R23" s="1095"/>
      <c r="S23" s="1095"/>
      <c r="T23" s="1095"/>
      <c r="U23" s="1095"/>
      <c r="V23" s="1095"/>
      <c r="W23" s="1095"/>
      <c r="X23" s="1095"/>
      <c r="Y23" s="1095"/>
      <c r="Z23" s="1095"/>
      <c r="AA23" s="1095"/>
      <c r="AB23" s="1095"/>
      <c r="AC23" s="1095"/>
      <c r="AD23" s="1095"/>
      <c r="AE23" s="1095"/>
      <c r="AF23" s="1095"/>
      <c r="AG23" s="1095"/>
      <c r="AH23" s="1095"/>
      <c r="AI23" s="1095"/>
      <c r="AJ23" s="1095"/>
      <c r="AK23" s="1095"/>
      <c r="AL23" s="1095"/>
      <c r="AM23" s="120"/>
    </row>
    <row r="24" spans="3:39" s="126" customFormat="1" ht="14.85" customHeight="1">
      <c r="C24" s="2848"/>
      <c r="D24" s="1370"/>
      <c r="E24" s="1159" t="s">
        <v>199</v>
      </c>
      <c r="F24" s="1159"/>
      <c r="G24" s="1181"/>
      <c r="H24" s="127"/>
      <c r="I24" s="1182"/>
      <c r="J24" s="1182"/>
      <c r="K24" s="1182"/>
      <c r="L24" s="1182"/>
      <c r="M24" s="1182"/>
      <c r="N24" s="1182"/>
      <c r="O24" s="1182"/>
      <c r="P24" s="1182"/>
      <c r="Q24" s="1182"/>
      <c r="R24" s="1182"/>
      <c r="S24" s="1182"/>
      <c r="T24" s="1182"/>
      <c r="U24" s="1182"/>
      <c r="V24" s="1182"/>
      <c r="W24" s="1182"/>
      <c r="X24" s="1182"/>
      <c r="Y24" s="1182"/>
      <c r="Z24" s="1182"/>
      <c r="AA24" s="1182"/>
      <c r="AB24" s="1182"/>
      <c r="AC24" s="1182"/>
      <c r="AD24" s="1182"/>
      <c r="AE24" s="1182"/>
      <c r="AF24" s="1182"/>
      <c r="AG24" s="1182"/>
      <c r="AH24" s="1182"/>
      <c r="AI24" s="1182"/>
      <c r="AJ24" s="1182"/>
      <c r="AK24" s="1183"/>
      <c r="AL24" s="1184"/>
      <c r="AM24" s="608"/>
    </row>
    <row r="25" spans="3:39" ht="14.85" customHeight="1">
      <c r="C25" s="2848"/>
      <c r="D25" s="1369" t="s">
        <v>321</v>
      </c>
      <c r="E25" s="122" t="s">
        <v>296</v>
      </c>
      <c r="F25" s="1148">
        <f>IFERROR(F29*1000/F22,0)</f>
        <v>2.234383193958009</v>
      </c>
      <c r="G25" s="1185"/>
      <c r="H25" s="1186">
        <f>Schedule!C42</f>
        <v>2.2027283562768369</v>
      </c>
      <c r="I25" s="1150">
        <f>Schedule!D42</f>
        <v>2.2398948598130839</v>
      </c>
      <c r="J25" s="1150">
        <f>Schedule!E42</f>
        <v>2.2398948598130839</v>
      </c>
      <c r="K25" s="1164">
        <f>Schedule!F42</f>
        <v>2.2398948598130839</v>
      </c>
      <c r="L25" s="1164">
        <f>Schedule!G42</f>
        <v>2.2398948598130839</v>
      </c>
      <c r="M25" s="1164">
        <f>Schedule!H42</f>
        <v>2.2398948598130839</v>
      </c>
      <c r="N25" s="1164">
        <f>Schedule!I42</f>
        <v>2.2398948598130839</v>
      </c>
      <c r="O25" s="1164">
        <f>Schedule!J42</f>
        <v>2.2027283562768369</v>
      </c>
      <c r="P25" s="1165">
        <f>Schedule!K42</f>
        <v>2.2398948598130839</v>
      </c>
      <c r="Q25" s="1164">
        <f>Schedule!L42</f>
        <v>2.2398948598130839</v>
      </c>
      <c r="R25" s="1164">
        <f>Schedule!M42</f>
        <v>0</v>
      </c>
      <c r="S25" s="1164">
        <f>Schedule!N42</f>
        <v>0</v>
      </c>
      <c r="T25" s="1164">
        <f>Schedule!O42</f>
        <v>2.2398948598130839</v>
      </c>
      <c r="U25" s="1164">
        <f>Schedule!P42</f>
        <v>2.2398948598130839</v>
      </c>
      <c r="V25" s="1164">
        <f>Schedule!Q42</f>
        <v>2.2134888480148471</v>
      </c>
      <c r="W25" s="1164">
        <f>Schedule!R42</f>
        <v>2.2507991227567223</v>
      </c>
      <c r="X25" s="1164">
        <f>Schedule!S42</f>
        <v>2.2507991227567223</v>
      </c>
      <c r="Y25" s="1164">
        <f>Schedule!T42</f>
        <v>2.2507991227567223</v>
      </c>
      <c r="Z25" s="1164">
        <f>Schedule!U42</f>
        <v>2.2134888480148471</v>
      </c>
      <c r="AA25" s="1164">
        <f>Schedule!V42</f>
        <v>2.2507991227567223</v>
      </c>
      <c r="AB25" s="1164">
        <f>Schedule!W42</f>
        <v>2.2507991227567223</v>
      </c>
      <c r="AC25" s="1164">
        <f>Schedule!X42</f>
        <v>2.2119776630620933</v>
      </c>
      <c r="AD25" s="1164">
        <f>Schedule!Y42</f>
        <v>2.2119776630620933</v>
      </c>
      <c r="AE25" s="1164">
        <f>Schedule!Z42</f>
        <v>2.2119776630620933</v>
      </c>
      <c r="AF25" s="1164">
        <f>Schedule!AA42</f>
        <v>2.2119776630620933</v>
      </c>
      <c r="AG25" s="1164">
        <f>Schedule!AB42</f>
        <v>2.2119776630620933</v>
      </c>
      <c r="AH25" s="1164">
        <f>Schedule!AC42</f>
        <v>2.2119776630620933</v>
      </c>
      <c r="AI25" s="1164">
        <f>Schedule!AD42</f>
        <v>2.2119776630620933</v>
      </c>
      <c r="AJ25" s="1164">
        <f>Schedule!AE42</f>
        <v>2.1757952911574407</v>
      </c>
      <c r="AK25" s="1163">
        <f>Schedule!AF42</f>
        <v>2.2119776630620933</v>
      </c>
      <c r="AL25" s="1187">
        <f>Schedule!AG42</f>
        <v>2.2119776630620933</v>
      </c>
      <c r="AM25" s="120"/>
    </row>
    <row r="26" spans="3:39" ht="14.85" customHeight="1">
      <c r="C26" s="2848"/>
      <c r="D26" s="1369"/>
      <c r="E26" s="1141" t="s">
        <v>297</v>
      </c>
      <c r="F26" s="1152">
        <f>IFERROR(F30*1000/F23,0)</f>
        <v>1.7739252336448599</v>
      </c>
      <c r="G26" s="1178">
        <f>IFERROR((F26-F25)/F25,0)</f>
        <v>-0.20607833139735052</v>
      </c>
      <c r="H26" s="1188">
        <v>1.99</v>
      </c>
      <c r="I26" s="1152">
        <v>2.13</v>
      </c>
      <c r="J26" s="1152">
        <v>1.67</v>
      </c>
      <c r="K26" s="1152">
        <v>1.82</v>
      </c>
      <c r="L26" s="1152">
        <v>3.13</v>
      </c>
      <c r="M26" s="1152"/>
      <c r="N26" s="1152"/>
      <c r="O26" s="1152"/>
      <c r="P26" s="1152"/>
      <c r="Q26" s="1152"/>
      <c r="R26" s="1152"/>
      <c r="S26" s="1152"/>
      <c r="T26" s="1152"/>
      <c r="U26" s="1152"/>
      <c r="V26" s="1152"/>
      <c r="W26" s="1152"/>
      <c r="X26" s="1152"/>
      <c r="Y26" s="1152"/>
      <c r="Z26" s="1152"/>
      <c r="AA26" s="1152"/>
      <c r="AB26" s="1152"/>
      <c r="AC26" s="1152"/>
      <c r="AD26" s="1152"/>
      <c r="AE26" s="1152"/>
      <c r="AF26" s="1152"/>
      <c r="AG26" s="1152"/>
      <c r="AH26" s="1152"/>
      <c r="AI26" s="1152"/>
      <c r="AJ26" s="1152"/>
      <c r="AK26" s="1189"/>
      <c r="AL26" s="1190"/>
      <c r="AM26" s="120"/>
    </row>
    <row r="27" spans="3:39" s="126" customFormat="1" ht="14.85" customHeight="1">
      <c r="C27" s="2848"/>
      <c r="D27" s="1370"/>
      <c r="E27" s="1159" t="s">
        <v>199</v>
      </c>
      <c r="F27" s="1159"/>
      <c r="G27" s="1181"/>
      <c r="H27" s="127"/>
      <c r="I27" s="1182"/>
      <c r="J27" s="1182"/>
      <c r="K27" s="1182"/>
      <c r="L27" s="1191"/>
      <c r="M27" s="1191"/>
      <c r="N27" s="1191"/>
      <c r="O27" s="1182"/>
      <c r="P27" s="1182"/>
      <c r="Q27" s="1182"/>
      <c r="R27" s="1182"/>
      <c r="S27" s="1182"/>
      <c r="T27" s="1182"/>
      <c r="U27" s="1182"/>
      <c r="V27" s="1182"/>
      <c r="W27" s="1182"/>
      <c r="X27" s="1182"/>
      <c r="Y27" s="1182"/>
      <c r="Z27" s="1182"/>
      <c r="AA27" s="1182"/>
      <c r="AB27" s="1182"/>
      <c r="AC27" s="1182"/>
      <c r="AE27" s="1182"/>
      <c r="AF27" s="1182"/>
      <c r="AG27" s="1182"/>
      <c r="AH27" s="1182"/>
      <c r="AI27" s="1182"/>
      <c r="AJ27" s="1182"/>
      <c r="AK27" s="1183"/>
      <c r="AL27" s="1184"/>
      <c r="AM27" s="608"/>
    </row>
    <row r="28" spans="3:39" s="126" customFormat="1" ht="14.85" customHeight="1">
      <c r="C28" s="2848"/>
      <c r="D28" s="1371"/>
      <c r="E28" s="1159"/>
      <c r="F28" s="1160"/>
      <c r="G28" s="1181"/>
      <c r="H28" s="1319"/>
      <c r="I28" s="1320"/>
      <c r="J28" s="1320"/>
      <c r="K28" s="1320"/>
      <c r="L28" s="1321"/>
      <c r="M28" s="1321"/>
      <c r="N28" s="1321"/>
      <c r="O28" s="1320"/>
      <c r="P28" s="1182"/>
      <c r="Q28" s="1320"/>
      <c r="R28" s="1320"/>
      <c r="S28" s="1320"/>
      <c r="T28" s="1320"/>
      <c r="U28" s="1320"/>
      <c r="V28" s="1320"/>
      <c r="W28" s="1320"/>
      <c r="X28" s="1320"/>
      <c r="Y28" s="1320"/>
      <c r="Z28" s="1320"/>
      <c r="AA28" s="1320"/>
      <c r="AB28" s="1320"/>
      <c r="AC28" s="1320"/>
      <c r="AD28" s="1320"/>
      <c r="AE28" s="1320"/>
      <c r="AF28" s="1320"/>
      <c r="AG28" s="1320"/>
      <c r="AH28" s="1320"/>
      <c r="AI28" s="1320"/>
      <c r="AJ28" s="1320"/>
      <c r="AK28" s="1322"/>
      <c r="AL28" s="1184"/>
      <c r="AM28" s="608"/>
    </row>
    <row r="29" spans="3:39" s="69" customFormat="1" ht="14.85" customHeight="1">
      <c r="C29" s="2848"/>
      <c r="D29" s="1481" t="s">
        <v>322</v>
      </c>
      <c r="E29" s="1147" t="s">
        <v>298</v>
      </c>
      <c r="F29" s="1192">
        <f>SUMIF($H$9:$AL$9,"&lt;="&amp;$C$7,H29:AL29)</f>
        <v>11.149572137850466</v>
      </c>
      <c r="G29" s="1149"/>
      <c r="H29" s="1154">
        <f>IFERROR(H25*H22/1000,0)</f>
        <v>1.6300189836448593</v>
      </c>
      <c r="I29" s="1154">
        <f t="shared" ref="I29:AL29" si="7">IFERROR(I25*I22/1000,0)</f>
        <v>1.9039106308411213</v>
      </c>
      <c r="J29" s="1154">
        <f t="shared" si="7"/>
        <v>1.9039106308411213</v>
      </c>
      <c r="K29" s="1155">
        <f t="shared" si="7"/>
        <v>1.9039106308411213</v>
      </c>
      <c r="L29" s="1155">
        <f t="shared" si="7"/>
        <v>1.9039106308411213</v>
      </c>
      <c r="M29" s="1155">
        <f>IFERROR(M25*M22/1000,0)</f>
        <v>1.9039106308411213</v>
      </c>
      <c r="N29" s="1155">
        <f t="shared" si="7"/>
        <v>1.9039106308411213</v>
      </c>
      <c r="O29" s="1155">
        <f t="shared" si="7"/>
        <v>1.6300189836448593</v>
      </c>
      <c r="P29" s="1156">
        <f t="shared" si="7"/>
        <v>1.9039106308411213</v>
      </c>
      <c r="Q29" s="1155">
        <f>IFERROR(Q25*Q22/1000,0)</f>
        <v>1.9039106308411213</v>
      </c>
      <c r="R29" s="1155">
        <f t="shared" si="7"/>
        <v>0</v>
      </c>
      <c r="S29" s="1155">
        <f t="shared" si="7"/>
        <v>0</v>
      </c>
      <c r="T29" s="1155">
        <f t="shared" si="7"/>
        <v>1.9039106308411213</v>
      </c>
      <c r="U29" s="1155">
        <f t="shared" si="7"/>
        <v>1.9039106308411213</v>
      </c>
      <c r="V29" s="1155">
        <f t="shared" si="7"/>
        <v>1.5605096378504673</v>
      </c>
      <c r="W29" s="1155">
        <f t="shared" si="7"/>
        <v>1.8344012850467286</v>
      </c>
      <c r="X29" s="1155">
        <f>IFERROR(X25*X22/1000,0)</f>
        <v>1.8344012850467286</v>
      </c>
      <c r="Y29" s="1155">
        <f t="shared" si="7"/>
        <v>1.8344012850467286</v>
      </c>
      <c r="Z29" s="1155">
        <f t="shared" si="7"/>
        <v>1.5605096378504673</v>
      </c>
      <c r="AA29" s="1155">
        <f t="shared" si="7"/>
        <v>1.8344012850467286</v>
      </c>
      <c r="AB29" s="1155">
        <f t="shared" si="7"/>
        <v>1.8344012850467286</v>
      </c>
      <c r="AC29" s="1155">
        <f t="shared" si="7"/>
        <v>2.112438668224299</v>
      </c>
      <c r="AD29" s="1155">
        <f t="shared" si="7"/>
        <v>2.112438668224299</v>
      </c>
      <c r="AE29" s="1155">
        <f t="shared" si="7"/>
        <v>2.112438668224299</v>
      </c>
      <c r="AF29" s="1155">
        <f t="shared" si="7"/>
        <v>2.112438668224299</v>
      </c>
      <c r="AG29" s="1155">
        <f t="shared" si="7"/>
        <v>2.112438668224299</v>
      </c>
      <c r="AH29" s="1155">
        <f t="shared" si="7"/>
        <v>2.112438668224299</v>
      </c>
      <c r="AI29" s="1155">
        <f t="shared" si="7"/>
        <v>2.112438668224299</v>
      </c>
      <c r="AJ29" s="1155">
        <f t="shared" si="7"/>
        <v>1.8385470210280375</v>
      </c>
      <c r="AK29" s="1157">
        <f t="shared" si="7"/>
        <v>2.112438668224299</v>
      </c>
      <c r="AL29" s="1193">
        <f t="shared" si="7"/>
        <v>2.112438668224299</v>
      </c>
      <c r="AM29" s="609"/>
    </row>
    <row r="30" spans="3:39" s="69" customFormat="1" ht="14.85" customHeight="1" thickBot="1">
      <c r="C30" s="2849"/>
      <c r="D30" s="1372"/>
      <c r="E30" s="1049" t="s">
        <v>299</v>
      </c>
      <c r="F30" s="1004">
        <f>SUMIF($H$9:$AL$9,"&lt;="&amp;$C$7,H30:AL30)</f>
        <v>9.4905000000000008</v>
      </c>
      <c r="G30" s="1105">
        <f>IFERROR((F30-F29)/F29,0)</f>
        <v>-0.14880141743002517</v>
      </c>
      <c r="H30" s="1158">
        <f>IFERROR(H26*H23/1000,0)</f>
        <v>1.5561800000000001</v>
      </c>
      <c r="I30" s="1004">
        <f t="shared" ref="I30:AL30" si="8">IFERROR(I26*I23/1000,0)</f>
        <v>2.0277599999999998</v>
      </c>
      <c r="J30" s="1004">
        <f t="shared" si="8"/>
        <v>1.5146899999999999</v>
      </c>
      <c r="K30" s="1004">
        <f t="shared" si="8"/>
        <v>1.47784</v>
      </c>
      <c r="L30" s="1004">
        <f t="shared" si="8"/>
        <v>2.9140299999999999</v>
      </c>
      <c r="M30" s="1004">
        <f>IFERROR(M26*M23/1000,0)</f>
        <v>0</v>
      </c>
      <c r="N30" s="1004">
        <f t="shared" si="8"/>
        <v>0</v>
      </c>
      <c r="O30" s="1004">
        <f t="shared" si="8"/>
        <v>0</v>
      </c>
      <c r="P30" s="1004">
        <f t="shared" si="8"/>
        <v>0</v>
      </c>
      <c r="Q30" s="1004">
        <f t="shared" si="8"/>
        <v>0</v>
      </c>
      <c r="R30" s="1004">
        <f>IFERROR(R26*R23/1000,0)</f>
        <v>0</v>
      </c>
      <c r="S30" s="1004">
        <f t="shared" si="8"/>
        <v>0</v>
      </c>
      <c r="T30" s="1004">
        <f t="shared" si="8"/>
        <v>0</v>
      </c>
      <c r="U30" s="1004">
        <f t="shared" si="8"/>
        <v>0</v>
      </c>
      <c r="V30" s="1004">
        <f t="shared" si="8"/>
        <v>0</v>
      </c>
      <c r="W30" s="1004">
        <f t="shared" si="8"/>
        <v>0</v>
      </c>
      <c r="X30" s="1004">
        <f t="shared" si="8"/>
        <v>0</v>
      </c>
      <c r="Y30" s="1004">
        <f t="shared" si="8"/>
        <v>0</v>
      </c>
      <c r="Z30" s="1004">
        <f t="shared" si="8"/>
        <v>0</v>
      </c>
      <c r="AA30" s="1004">
        <f t="shared" si="8"/>
        <v>0</v>
      </c>
      <c r="AB30" s="1004">
        <f t="shared" si="8"/>
        <v>0</v>
      </c>
      <c r="AC30" s="1004">
        <f t="shared" si="8"/>
        <v>0</v>
      </c>
      <c r="AD30" s="1004">
        <f>IFERROR(AD26*AD23/1000,0)</f>
        <v>0</v>
      </c>
      <c r="AE30" s="1004">
        <f t="shared" si="8"/>
        <v>0</v>
      </c>
      <c r="AF30" s="1004">
        <f t="shared" si="8"/>
        <v>0</v>
      </c>
      <c r="AG30" s="1004">
        <f t="shared" si="8"/>
        <v>0</v>
      </c>
      <c r="AH30" s="1004">
        <f t="shared" si="8"/>
        <v>0</v>
      </c>
      <c r="AI30" s="1004">
        <f t="shared" si="8"/>
        <v>0</v>
      </c>
      <c r="AJ30" s="1004">
        <f t="shared" si="8"/>
        <v>0</v>
      </c>
      <c r="AK30" s="1053">
        <f t="shared" si="8"/>
        <v>0</v>
      </c>
      <c r="AL30" s="1010">
        <f t="shared" si="8"/>
        <v>0</v>
      </c>
      <c r="AM30" s="121"/>
    </row>
    <row r="31" spans="3:39" ht="11.4" thickBot="1">
      <c r="C31" s="1355"/>
      <c r="I31" s="610"/>
      <c r="AJ31" s="119" t="s">
        <v>195</v>
      </c>
    </row>
    <row r="32" spans="3:39" ht="14.85" customHeight="1">
      <c r="C32" s="2847" t="s">
        <v>323</v>
      </c>
      <c r="D32" s="2865" t="s">
        <v>324</v>
      </c>
      <c r="E32" s="116" t="s">
        <v>294</v>
      </c>
      <c r="F32" s="146">
        <f t="shared" ref="F32" si="9">SUMIF($H$9:$AL$9,"&lt;="&amp;$C$7,H32:AL32)</f>
        <v>0</v>
      </c>
      <c r="G32" s="275"/>
      <c r="H32" s="630">
        <f>Breaking.!D11</f>
        <v>0</v>
      </c>
      <c r="I32" s="631">
        <f>Breaking.!E11</f>
        <v>0</v>
      </c>
      <c r="J32" s="631">
        <f>Breaking.!F11</f>
        <v>0</v>
      </c>
      <c r="K32" s="631">
        <f>Breaking.!G11</f>
        <v>0</v>
      </c>
      <c r="L32" s="631">
        <f>Breaking.!H11</f>
        <v>0</v>
      </c>
      <c r="M32" s="631">
        <f>Breaking.!I11</f>
        <v>0</v>
      </c>
      <c r="N32" s="631">
        <f>Breaking.!J11</f>
        <v>0</v>
      </c>
      <c r="O32" s="631">
        <f>Breaking.!K11</f>
        <v>0</v>
      </c>
      <c r="P32" s="631">
        <f>Breaking.!L11</f>
        <v>0</v>
      </c>
      <c r="Q32" s="631">
        <f>Breaking.!M11</f>
        <v>0</v>
      </c>
      <c r="R32" s="631">
        <f>Breaking.!N11</f>
        <v>0</v>
      </c>
      <c r="S32" s="631">
        <f>Breaking.!O11</f>
        <v>0</v>
      </c>
      <c r="T32" s="631">
        <f>Breaking.!P11</f>
        <v>0</v>
      </c>
      <c r="U32" s="631">
        <f>Breaking.!Q11</f>
        <v>0</v>
      </c>
      <c r="V32" s="631">
        <f>Breaking.!R11</f>
        <v>0</v>
      </c>
      <c r="W32" s="631">
        <f>Breaking.!S11</f>
        <v>0</v>
      </c>
      <c r="X32" s="631">
        <f>Breaking.!T11</f>
        <v>0</v>
      </c>
      <c r="Y32" s="631">
        <f>Breaking.!U11</f>
        <v>0</v>
      </c>
      <c r="Z32" s="631">
        <f>Breaking.!V11</f>
        <v>0</v>
      </c>
      <c r="AA32" s="631">
        <f>Breaking.!W11</f>
        <v>0</v>
      </c>
      <c r="AB32" s="631">
        <f>Breaking.!X11</f>
        <v>0</v>
      </c>
      <c r="AC32" s="631">
        <f>Breaking.!Y11</f>
        <v>0</v>
      </c>
      <c r="AD32" s="631">
        <f>Breaking.!Z11</f>
        <v>0</v>
      </c>
      <c r="AE32" s="631">
        <f>Breaking.!AA11</f>
        <v>0</v>
      </c>
      <c r="AF32" s="631">
        <f>Breaking.!AB11</f>
        <v>0</v>
      </c>
      <c r="AG32" s="631">
        <f>Breaking.!AC11</f>
        <v>0</v>
      </c>
      <c r="AH32" s="631">
        <f>Breaking.!AD11</f>
        <v>0</v>
      </c>
      <c r="AI32" s="631">
        <f>Breaking.!AE11</f>
        <v>0</v>
      </c>
      <c r="AJ32" s="631">
        <f>Breaking.!AF11</f>
        <v>0</v>
      </c>
      <c r="AK32" s="631">
        <f>Breaking.!AG11</f>
        <v>0</v>
      </c>
      <c r="AL32" s="632">
        <f>Breaking.!AH11</f>
        <v>0</v>
      </c>
      <c r="AM32" s="118"/>
    </row>
    <row r="33" spans="3:39" ht="14.85" customHeight="1">
      <c r="C33" s="2848"/>
      <c r="D33" s="2863"/>
      <c r="E33" s="1141" t="s">
        <v>295</v>
      </c>
      <c r="F33" s="1095">
        <f>SUMIF($H$9:$AL$9,"&lt;="&amp;$C$7,H33:AL33)</f>
        <v>0</v>
      </c>
      <c r="G33" s="1178">
        <f>IFERROR((F33-F32)/F32,0)</f>
        <v>0</v>
      </c>
      <c r="H33" s="1095"/>
      <c r="I33" s="1095"/>
      <c r="J33" s="1095"/>
      <c r="K33" s="1095"/>
      <c r="L33" s="1095"/>
      <c r="M33" s="1095"/>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8"/>
      <c r="AM33" s="120"/>
    </row>
    <row r="34" spans="3:39" s="126" customFormat="1" ht="14.85" customHeight="1" thickBot="1">
      <c r="C34" s="2849"/>
      <c r="D34" s="2868"/>
      <c r="E34" s="1054" t="s">
        <v>199</v>
      </c>
      <c r="F34" s="1054"/>
      <c r="G34" s="1194"/>
      <c r="H34" s="633"/>
      <c r="I34" s="1011"/>
      <c r="J34" s="1011"/>
      <c r="K34" s="1011"/>
      <c r="L34" s="1011"/>
      <c r="M34" s="1011"/>
      <c r="N34" s="1011"/>
      <c r="O34" s="1011"/>
      <c r="P34" s="1011"/>
      <c r="Q34" s="1011"/>
      <c r="R34" s="1011"/>
      <c r="S34" s="1011"/>
      <c r="T34" s="1011"/>
      <c r="U34" s="1011"/>
      <c r="V34" s="1011"/>
      <c r="W34" s="1011"/>
      <c r="X34" s="1011"/>
      <c r="Y34" s="1011"/>
      <c r="Z34" s="1011"/>
      <c r="AA34" s="1011"/>
      <c r="AB34" s="1011"/>
      <c r="AC34" s="1011"/>
      <c r="AD34" s="1011"/>
      <c r="AE34" s="1011"/>
      <c r="AF34" s="1011"/>
      <c r="AG34" s="1011"/>
      <c r="AH34" s="1011"/>
      <c r="AI34" s="1011"/>
      <c r="AJ34" s="1011"/>
      <c r="AK34" s="1011"/>
      <c r="AL34" s="1055"/>
      <c r="AM34" s="635"/>
    </row>
    <row r="35" spans="3:39" ht="11.1" customHeight="1" thickBot="1">
      <c r="C35" s="1356"/>
      <c r="D35" s="1356"/>
      <c r="I35" s="610"/>
    </row>
    <row r="36" spans="3:39" ht="14.85" customHeight="1">
      <c r="C36" s="2847" t="s">
        <v>325</v>
      </c>
      <c r="D36" s="2865" t="s">
        <v>326</v>
      </c>
      <c r="E36" s="116" t="s">
        <v>327</v>
      </c>
      <c r="F36" s="146">
        <f t="shared" ref="F36" si="10">SUMIF($H$9:$AL$9,"&lt;="&amp;$C$7,H36:AL36)</f>
        <v>825.71428571428578</v>
      </c>
      <c r="G36" s="275"/>
      <c r="H36" s="630">
        <f>H38/3.5</f>
        <v>111.42857142857143</v>
      </c>
      <c r="I36" s="631">
        <f t="shared" ref="I36:AL36" si="11">I38/3.5</f>
        <v>142.85714285714286</v>
      </c>
      <c r="J36" s="631">
        <f t="shared" si="11"/>
        <v>142.85714285714286</v>
      </c>
      <c r="K36" s="631">
        <f t="shared" si="11"/>
        <v>142.85714285714286</v>
      </c>
      <c r="L36" s="631">
        <f t="shared" si="11"/>
        <v>142.85714285714286</v>
      </c>
      <c r="M36" s="631">
        <f t="shared" si="11"/>
        <v>142.85714285714286</v>
      </c>
      <c r="N36" s="631">
        <f t="shared" si="11"/>
        <v>142.85714285714286</v>
      </c>
      <c r="O36" s="631">
        <f t="shared" si="11"/>
        <v>111.42857142857143</v>
      </c>
      <c r="P36" s="631">
        <f t="shared" si="11"/>
        <v>142.85714285714286</v>
      </c>
      <c r="Q36" s="631">
        <f t="shared" si="11"/>
        <v>142.85714285714286</v>
      </c>
      <c r="R36" s="631">
        <f t="shared" si="11"/>
        <v>0</v>
      </c>
      <c r="S36" s="631">
        <f t="shared" si="11"/>
        <v>0</v>
      </c>
      <c r="T36" s="631">
        <f t="shared" si="11"/>
        <v>142.85714285714286</v>
      </c>
      <c r="U36" s="631">
        <f t="shared" si="11"/>
        <v>142.85714285714286</v>
      </c>
      <c r="V36" s="631">
        <f t="shared" si="11"/>
        <v>111.42857142857143</v>
      </c>
      <c r="W36" s="631">
        <f t="shared" si="11"/>
        <v>142.85714285714286</v>
      </c>
      <c r="X36" s="631">
        <f t="shared" si="11"/>
        <v>142.85714285714286</v>
      </c>
      <c r="Y36" s="631">
        <f t="shared" si="11"/>
        <v>142.85714285714286</v>
      </c>
      <c r="Z36" s="631">
        <f t="shared" si="11"/>
        <v>111.42857142857143</v>
      </c>
      <c r="AA36" s="631">
        <f t="shared" si="11"/>
        <v>142.85714285714286</v>
      </c>
      <c r="AB36" s="631">
        <f t="shared" si="11"/>
        <v>142.85714285714286</v>
      </c>
      <c r="AC36" s="631">
        <f t="shared" si="11"/>
        <v>142.85714285714286</v>
      </c>
      <c r="AD36" s="631">
        <f t="shared" si="11"/>
        <v>142.85714285714286</v>
      </c>
      <c r="AE36" s="631">
        <f t="shared" si="11"/>
        <v>142.85714285714286</v>
      </c>
      <c r="AF36" s="631">
        <f t="shared" si="11"/>
        <v>142.85714285714286</v>
      </c>
      <c r="AG36" s="631">
        <f t="shared" si="11"/>
        <v>142.85714285714286</v>
      </c>
      <c r="AH36" s="631">
        <v>111</v>
      </c>
      <c r="AI36" s="631">
        <f t="shared" si="11"/>
        <v>142.85714285714286</v>
      </c>
      <c r="AJ36" s="631">
        <f t="shared" si="11"/>
        <v>111.42857142857143</v>
      </c>
      <c r="AK36" s="631">
        <f t="shared" si="11"/>
        <v>142.85714285714286</v>
      </c>
      <c r="AL36" s="632">
        <f t="shared" si="11"/>
        <v>142.85714285714286</v>
      </c>
      <c r="AM36" s="118"/>
    </row>
    <row r="37" spans="3:39" ht="14.85" customHeight="1">
      <c r="C37" s="2848"/>
      <c r="D37" s="2864"/>
      <c r="E37" s="1141" t="s">
        <v>328</v>
      </c>
      <c r="F37" s="1482">
        <f t="shared" ref="F37:F38" si="12">SUMIF($H$9:$AL$9,"&lt;="&amp;$C$7,H37:AL37)</f>
        <v>817</v>
      </c>
      <c r="G37" s="1483">
        <f>IFERROR((F37-F36)/F36,0)</f>
        <v>-1.0553633217993158E-2</v>
      </c>
      <c r="H37" s="1097">
        <v>96</v>
      </c>
      <c r="I37" s="1095">
        <v>166</v>
      </c>
      <c r="J37" s="1095">
        <v>150</v>
      </c>
      <c r="K37" s="1095">
        <v>104</v>
      </c>
      <c r="L37" s="1095">
        <v>153</v>
      </c>
      <c r="M37" s="1095">
        <v>148</v>
      </c>
      <c r="N37" s="1095"/>
      <c r="O37" s="1095"/>
      <c r="P37" s="1095"/>
      <c r="Q37" s="1095"/>
      <c r="R37" s="1095"/>
      <c r="S37" s="1095"/>
      <c r="T37" s="1095"/>
      <c r="U37" s="1095"/>
      <c r="V37" s="1095"/>
      <c r="W37" s="1095"/>
      <c r="X37" s="1095"/>
      <c r="Y37" s="1095"/>
      <c r="Z37" s="1095"/>
      <c r="AA37" s="1095"/>
      <c r="AB37" s="1095"/>
      <c r="AC37" s="1095"/>
      <c r="AD37" s="1095"/>
      <c r="AE37" s="1095"/>
      <c r="AF37" s="1095"/>
      <c r="AG37" s="1095"/>
      <c r="AH37" s="1095"/>
      <c r="AI37" s="1095"/>
      <c r="AJ37" s="1095"/>
      <c r="AK37" s="1095"/>
      <c r="AL37" s="1098"/>
      <c r="AM37" s="120"/>
    </row>
    <row r="38" spans="3:39" ht="14.85" customHeight="1">
      <c r="C38" s="2848"/>
      <c r="D38" s="2863" t="s">
        <v>329</v>
      </c>
      <c r="E38" s="122" t="s">
        <v>294</v>
      </c>
      <c r="F38" s="1174">
        <f t="shared" si="12"/>
        <v>2890</v>
      </c>
      <c r="G38" s="1169"/>
      <c r="H38" s="123">
        <f>UG_Hoisting!D25</f>
        <v>390</v>
      </c>
      <c r="I38" s="124">
        <f>UG_Hoisting!E25</f>
        <v>500</v>
      </c>
      <c r="J38" s="124">
        <f>UG_Hoisting!F25</f>
        <v>500</v>
      </c>
      <c r="K38" s="124">
        <f>UG_Hoisting!G25</f>
        <v>500</v>
      </c>
      <c r="L38" s="124">
        <f>UG_Hoisting!H25</f>
        <v>500</v>
      </c>
      <c r="M38" s="124">
        <f>UG_Hoisting!I25</f>
        <v>500</v>
      </c>
      <c r="N38" s="124">
        <f>UG_Hoisting!J25</f>
        <v>500</v>
      </c>
      <c r="O38" s="124">
        <f>UG_Hoisting!K25</f>
        <v>390</v>
      </c>
      <c r="P38" s="124">
        <f>UG_Hoisting!L25</f>
        <v>500</v>
      </c>
      <c r="Q38" s="124">
        <f>UG_Hoisting!M25</f>
        <v>500</v>
      </c>
      <c r="R38" s="124">
        <f>UG_Hoisting!N25</f>
        <v>0</v>
      </c>
      <c r="S38" s="124">
        <f>UG_Hoisting!O25</f>
        <v>0</v>
      </c>
      <c r="T38" s="124">
        <f>UG_Hoisting!P25</f>
        <v>500</v>
      </c>
      <c r="U38" s="124">
        <f>UG_Hoisting!Q25</f>
        <v>500</v>
      </c>
      <c r="V38" s="124">
        <f>UG_Hoisting!R25</f>
        <v>390</v>
      </c>
      <c r="W38" s="124">
        <f>UG_Hoisting!S25</f>
        <v>500</v>
      </c>
      <c r="X38" s="124">
        <f>UG_Hoisting!T25</f>
        <v>500</v>
      </c>
      <c r="Y38" s="124">
        <f>UG_Hoisting!U25</f>
        <v>500</v>
      </c>
      <c r="Z38" s="124">
        <f>UG_Hoisting!V25</f>
        <v>390</v>
      </c>
      <c r="AA38" s="124">
        <f>UG_Hoisting!W25</f>
        <v>500</v>
      </c>
      <c r="AB38" s="124">
        <f>UG_Hoisting!X25</f>
        <v>500</v>
      </c>
      <c r="AC38" s="124">
        <f>UG_Hoisting!Y25</f>
        <v>500</v>
      </c>
      <c r="AD38" s="124">
        <f>UG_Hoisting!Z25</f>
        <v>500</v>
      </c>
      <c r="AE38" s="124">
        <f>UG_Hoisting!AA25</f>
        <v>500</v>
      </c>
      <c r="AF38" s="124">
        <f>UG_Hoisting!AB25</f>
        <v>500</v>
      </c>
      <c r="AG38" s="124">
        <f>UG_Hoisting!AC25</f>
        <v>500</v>
      </c>
      <c r="AH38" s="124">
        <f>UG_Hoisting!AD25</f>
        <v>500</v>
      </c>
      <c r="AI38" s="124">
        <f>UG_Hoisting!AE25</f>
        <v>500</v>
      </c>
      <c r="AJ38" s="124">
        <f>UG_Hoisting!AF25</f>
        <v>390</v>
      </c>
      <c r="AK38" s="124">
        <f>UG_Hoisting!AG25</f>
        <v>500</v>
      </c>
      <c r="AL38" s="125">
        <f>UG_Hoisting!AH25</f>
        <v>500</v>
      </c>
      <c r="AM38" s="120"/>
    </row>
    <row r="39" spans="3:39" ht="14.85" customHeight="1">
      <c r="C39" s="2848"/>
      <c r="D39" s="2863"/>
      <c r="E39" s="1141" t="s">
        <v>295</v>
      </c>
      <c r="F39" s="1095">
        <f>SUMIF($H$9:$AL$9,"&lt;="&amp;$C$7,H39:AL39)</f>
        <v>2859.5</v>
      </c>
      <c r="G39" s="1178">
        <f>IFERROR((F39-F38)/F38,0)</f>
        <v>-1.055363321799308E-2</v>
      </c>
      <c r="H39" s="1179">
        <f>H37*3.5</f>
        <v>336</v>
      </c>
      <c r="I39" s="1095">
        <f t="shared" ref="I39:AL39" si="13">I37*3.5</f>
        <v>581</v>
      </c>
      <c r="J39" s="1095">
        <f t="shared" si="13"/>
        <v>525</v>
      </c>
      <c r="K39" s="1095">
        <f t="shared" si="13"/>
        <v>364</v>
      </c>
      <c r="L39" s="1095">
        <f>L37*3.5</f>
        <v>535.5</v>
      </c>
      <c r="M39" s="1095">
        <f t="shared" si="13"/>
        <v>518</v>
      </c>
      <c r="N39" s="1095">
        <f t="shared" si="13"/>
        <v>0</v>
      </c>
      <c r="O39" s="1095">
        <f t="shared" si="13"/>
        <v>0</v>
      </c>
      <c r="P39" s="1095">
        <f t="shared" si="13"/>
        <v>0</v>
      </c>
      <c r="Q39" s="1095">
        <f t="shared" si="13"/>
        <v>0</v>
      </c>
      <c r="R39" s="1095">
        <f t="shared" si="13"/>
        <v>0</v>
      </c>
      <c r="S39" s="1095">
        <f t="shared" si="13"/>
        <v>0</v>
      </c>
      <c r="T39" s="1095">
        <f t="shared" si="13"/>
        <v>0</v>
      </c>
      <c r="U39" s="1095">
        <f t="shared" si="13"/>
        <v>0</v>
      </c>
      <c r="V39" s="1095">
        <f>V37*3.5</f>
        <v>0</v>
      </c>
      <c r="W39" s="1095">
        <f t="shared" si="13"/>
        <v>0</v>
      </c>
      <c r="X39" s="1095">
        <f t="shared" si="13"/>
        <v>0</v>
      </c>
      <c r="Y39" s="1095">
        <f>Y37*3.5</f>
        <v>0</v>
      </c>
      <c r="Z39" s="1095">
        <f>Z37*3.5</f>
        <v>0</v>
      </c>
      <c r="AA39" s="1095">
        <f t="shared" ref="AA39:AJ39" si="14">AA37*3.5</f>
        <v>0</v>
      </c>
      <c r="AB39" s="1095">
        <f t="shared" si="14"/>
        <v>0</v>
      </c>
      <c r="AC39" s="1095">
        <f t="shared" si="14"/>
        <v>0</v>
      </c>
      <c r="AD39" s="1095">
        <f t="shared" si="14"/>
        <v>0</v>
      </c>
      <c r="AE39" s="1095">
        <f t="shared" si="14"/>
        <v>0</v>
      </c>
      <c r="AF39" s="1095">
        <f t="shared" si="14"/>
        <v>0</v>
      </c>
      <c r="AG39" s="1095">
        <f t="shared" si="14"/>
        <v>0</v>
      </c>
      <c r="AH39" s="1095">
        <f t="shared" si="14"/>
        <v>0</v>
      </c>
      <c r="AI39" s="1095">
        <f t="shared" si="14"/>
        <v>0</v>
      </c>
      <c r="AJ39" s="1095">
        <f t="shared" si="14"/>
        <v>0</v>
      </c>
      <c r="AK39" s="1095">
        <f t="shared" si="13"/>
        <v>0</v>
      </c>
      <c r="AL39" s="1098">
        <f t="shared" si="13"/>
        <v>0</v>
      </c>
      <c r="AM39" s="120"/>
    </row>
    <row r="40" spans="3:39" s="126" customFormat="1" ht="14.85" customHeight="1" thickBot="1">
      <c r="C40" s="2849"/>
      <c r="D40" s="2868"/>
      <c r="E40" s="1054" t="s">
        <v>199</v>
      </c>
      <c r="F40" s="1054"/>
      <c r="G40" s="1194"/>
      <c r="H40" s="633"/>
      <c r="I40" s="1011"/>
      <c r="J40" s="1011"/>
      <c r="K40" s="1011"/>
      <c r="L40" s="1011"/>
      <c r="M40" s="1011"/>
      <c r="N40" s="1011"/>
      <c r="O40" s="1011"/>
      <c r="P40" s="1011"/>
      <c r="Q40" s="1011"/>
      <c r="R40" s="1011"/>
      <c r="S40" s="1011"/>
      <c r="T40" s="1011"/>
      <c r="U40" s="1011"/>
      <c r="V40" s="1011"/>
      <c r="W40" s="1011"/>
      <c r="X40" s="1011"/>
      <c r="Y40" s="1011"/>
      <c r="Z40" s="1011"/>
      <c r="AA40" s="1011"/>
      <c r="AB40" s="1011"/>
      <c r="AC40" s="1011"/>
      <c r="AD40" s="1011"/>
      <c r="AE40" s="1011"/>
      <c r="AF40" s="1011"/>
      <c r="AG40" s="1011"/>
      <c r="AH40" s="1011"/>
      <c r="AI40" s="1011"/>
      <c r="AJ40" s="1011"/>
      <c r="AK40" s="1011"/>
      <c r="AL40" s="1055"/>
      <c r="AM40" s="635"/>
    </row>
    <row r="41" spans="3:39" s="126" customFormat="1" ht="14.85" customHeight="1" thickBot="1">
      <c r="C41" s="1357"/>
      <c r="D41" s="1357"/>
    </row>
    <row r="42" spans="3:39" ht="14.85" customHeight="1">
      <c r="C42" s="2869" t="s">
        <v>59</v>
      </c>
      <c r="D42" s="2865" t="s">
        <v>326</v>
      </c>
      <c r="E42" s="116" t="s">
        <v>327</v>
      </c>
      <c r="F42" s="146">
        <f>SUMIF($H$9:$AL$9,"&lt;="&amp;$C$7,H42:AL42)</f>
        <v>1108.8888888888889</v>
      </c>
      <c r="G42" s="81"/>
      <c r="H42" s="147">
        <f>H44/4.5</f>
        <v>164.44444444444446</v>
      </c>
      <c r="I42" s="147">
        <f t="shared" ref="I42:AL42" si="15">I44/4.5</f>
        <v>188.88888888888889</v>
      </c>
      <c r="J42" s="147">
        <f t="shared" si="15"/>
        <v>188.88888888888889</v>
      </c>
      <c r="K42" s="147">
        <f t="shared" si="15"/>
        <v>188.88888888888889</v>
      </c>
      <c r="L42" s="147">
        <f t="shared" si="15"/>
        <v>188.88888888888889</v>
      </c>
      <c r="M42" s="147">
        <f t="shared" si="15"/>
        <v>188.88888888888889</v>
      </c>
      <c r="N42" s="147">
        <f t="shared" si="15"/>
        <v>188.88888888888889</v>
      </c>
      <c r="O42" s="147">
        <f t="shared" si="15"/>
        <v>164.44444444444446</v>
      </c>
      <c r="P42" s="147">
        <f t="shared" si="15"/>
        <v>188.88888888888889</v>
      </c>
      <c r="Q42" s="147">
        <f t="shared" si="15"/>
        <v>188.88888888888889</v>
      </c>
      <c r="R42" s="147">
        <f t="shared" si="15"/>
        <v>0</v>
      </c>
      <c r="S42" s="147">
        <v>186</v>
      </c>
      <c r="T42" s="147">
        <f t="shared" si="15"/>
        <v>188.88888888888889</v>
      </c>
      <c r="U42" s="147">
        <f t="shared" si="15"/>
        <v>188.88888888888889</v>
      </c>
      <c r="V42" s="147">
        <f t="shared" si="15"/>
        <v>156.66666666666666</v>
      </c>
      <c r="W42" s="147">
        <f t="shared" si="15"/>
        <v>181.11111111111111</v>
      </c>
      <c r="X42" s="147">
        <f t="shared" si="15"/>
        <v>181.11111111111111</v>
      </c>
      <c r="Y42" s="147">
        <f t="shared" si="15"/>
        <v>181.11111111111111</v>
      </c>
      <c r="Z42" s="147">
        <f t="shared" si="15"/>
        <v>156.66666666666666</v>
      </c>
      <c r="AA42" s="147">
        <f t="shared" si="15"/>
        <v>181.11111111111111</v>
      </c>
      <c r="AB42" s="147">
        <f t="shared" si="15"/>
        <v>181.11111111111111</v>
      </c>
      <c r="AC42" s="147">
        <f t="shared" si="15"/>
        <v>212.22222222222223</v>
      </c>
      <c r="AD42" s="147">
        <f t="shared" si="15"/>
        <v>212.22222222222223</v>
      </c>
      <c r="AE42" s="147">
        <f t="shared" si="15"/>
        <v>212.22222222222223</v>
      </c>
      <c r="AF42" s="147">
        <f t="shared" si="15"/>
        <v>212.22222222222223</v>
      </c>
      <c r="AG42" s="147">
        <f t="shared" si="15"/>
        <v>212.22222222222223</v>
      </c>
      <c r="AH42" s="147">
        <f t="shared" si="15"/>
        <v>212.22222222222223</v>
      </c>
      <c r="AI42" s="147">
        <f t="shared" si="15"/>
        <v>212.22222222222223</v>
      </c>
      <c r="AJ42" s="147">
        <f t="shared" si="15"/>
        <v>187.77777777777777</v>
      </c>
      <c r="AK42" s="147">
        <f t="shared" si="15"/>
        <v>212.22222222222223</v>
      </c>
      <c r="AL42" s="845">
        <f t="shared" si="15"/>
        <v>212.22222222222223</v>
      </c>
      <c r="AM42" s="841"/>
    </row>
    <row r="43" spans="3:39" ht="14.85" customHeight="1">
      <c r="C43" s="2870"/>
      <c r="D43" s="2864"/>
      <c r="E43" s="1141" t="s">
        <v>328</v>
      </c>
      <c r="F43" s="1482">
        <f>SUMIF($H$9:$AL$9,"&lt;="&amp;$C$7,H43:AL43)</f>
        <v>1013</v>
      </c>
      <c r="G43" s="1476">
        <f>IFERROR((F43-F42)/F42,0)</f>
        <v>-8.6472945891783587E-2</v>
      </c>
      <c r="H43" s="1143">
        <v>174</v>
      </c>
      <c r="I43" s="1095">
        <v>217</v>
      </c>
      <c r="J43" s="1095">
        <v>206</v>
      </c>
      <c r="K43" s="1095"/>
      <c r="L43" s="1095">
        <v>199</v>
      </c>
      <c r="M43" s="1095">
        <v>217</v>
      </c>
      <c r="N43" s="1095"/>
      <c r="O43" s="1095"/>
      <c r="P43" s="1095"/>
      <c r="Q43" s="1095"/>
      <c r="R43" s="1095"/>
      <c r="S43" s="1095"/>
      <c r="T43" s="1095"/>
      <c r="U43" s="1095"/>
      <c r="V43" s="1095"/>
      <c r="W43" s="1095"/>
      <c r="X43" s="1095"/>
      <c r="Y43" s="1095"/>
      <c r="Z43" s="1095"/>
      <c r="AA43" s="1095"/>
      <c r="AB43" s="1095"/>
      <c r="AC43" s="1095"/>
      <c r="AD43" s="1095"/>
      <c r="AE43" s="1095"/>
      <c r="AF43" s="1095"/>
      <c r="AG43" s="1095"/>
      <c r="AH43" s="1095"/>
      <c r="AI43" s="1095"/>
      <c r="AJ43" s="1095"/>
      <c r="AK43" s="1095"/>
      <c r="AL43" s="1180"/>
      <c r="AM43" s="95"/>
    </row>
    <row r="44" spans="3:39" ht="14.85" customHeight="1">
      <c r="C44" s="2870"/>
      <c r="D44" s="2862" t="s">
        <v>329</v>
      </c>
      <c r="E44" s="122" t="s">
        <v>294</v>
      </c>
      <c r="F44" s="1174">
        <f>SUMIF($H$9:$AL$9,"&lt;="&amp;$C$7,H44:AL44)</f>
        <v>4990</v>
      </c>
      <c r="G44" s="1195"/>
      <c r="H44" s="492">
        <f>Schedule!C41-H32</f>
        <v>740</v>
      </c>
      <c r="I44" s="124">
        <f>Schedule!D41-I32</f>
        <v>850</v>
      </c>
      <c r="J44" s="124">
        <f>Schedule!E41-J32</f>
        <v>850</v>
      </c>
      <c r="K44" s="124">
        <f>Schedule!F41-K32</f>
        <v>850</v>
      </c>
      <c r="L44" s="124">
        <f>Schedule!G41-L32</f>
        <v>850</v>
      </c>
      <c r="M44" s="124">
        <f>Schedule!H41-M32</f>
        <v>850</v>
      </c>
      <c r="N44" s="124">
        <f>Schedule!I41-N32</f>
        <v>850</v>
      </c>
      <c r="O44" s="124">
        <f>Schedule!J41-O32</f>
        <v>740</v>
      </c>
      <c r="P44" s="124">
        <v>850</v>
      </c>
      <c r="Q44" s="124">
        <f>Schedule!L41-Q32</f>
        <v>850</v>
      </c>
      <c r="R44" s="124">
        <f>Schedule!M41-R32</f>
        <v>0</v>
      </c>
      <c r="S44" s="124">
        <v>835</v>
      </c>
      <c r="T44" s="124">
        <f>Schedule!O41-T32</f>
        <v>850</v>
      </c>
      <c r="U44" s="124">
        <f>Schedule!P41-U32</f>
        <v>850</v>
      </c>
      <c r="V44" s="124">
        <f>Schedule!Q41-V32</f>
        <v>705</v>
      </c>
      <c r="W44" s="124">
        <f>Schedule!R41-W32</f>
        <v>815</v>
      </c>
      <c r="X44" s="124">
        <f>Schedule!S41-X32</f>
        <v>815</v>
      </c>
      <c r="Y44" s="124">
        <f>Schedule!T41-Y32</f>
        <v>815</v>
      </c>
      <c r="Z44" s="124">
        <f>Schedule!U41-Z32</f>
        <v>705</v>
      </c>
      <c r="AA44" s="124">
        <f>Schedule!V41-AA32</f>
        <v>815</v>
      </c>
      <c r="AB44" s="124">
        <f>Schedule!W41-AB32</f>
        <v>815</v>
      </c>
      <c r="AC44" s="124">
        <f>Schedule!X41-AC32</f>
        <v>955</v>
      </c>
      <c r="AD44" s="124">
        <f>Schedule!Y41-AD32</f>
        <v>955</v>
      </c>
      <c r="AE44" s="124">
        <f>Schedule!Z41-AE32</f>
        <v>955</v>
      </c>
      <c r="AF44" s="124">
        <f>Schedule!AA41-AF32</f>
        <v>955</v>
      </c>
      <c r="AG44" s="124">
        <f>Schedule!AB41-AG32</f>
        <v>955</v>
      </c>
      <c r="AH44" s="124">
        <f>Schedule!AC41-AH32</f>
        <v>955</v>
      </c>
      <c r="AI44" s="124">
        <f>Schedule!AD41-AI32</f>
        <v>955</v>
      </c>
      <c r="AJ44" s="124">
        <f>Schedule!AE41-AJ32</f>
        <v>845</v>
      </c>
      <c r="AK44" s="124">
        <f>Schedule!AF41-AK32</f>
        <v>955</v>
      </c>
      <c r="AL44" s="425">
        <f>Schedule!AG41-AL32</f>
        <v>955</v>
      </c>
      <c r="AM44" s="95"/>
    </row>
    <row r="45" spans="3:39" ht="14.85" customHeight="1">
      <c r="C45" s="2870"/>
      <c r="D45" s="2863"/>
      <c r="E45" s="1141" t="s">
        <v>295</v>
      </c>
      <c r="F45" s="1095">
        <f>SUMIF($H$9:$AL$9,"&lt;="&amp;$C$7,H45:AL45)</f>
        <v>4558.5</v>
      </c>
      <c r="G45" s="1142">
        <f>IFERROR((F45-F44)/F44,0)</f>
        <v>-8.6472945891783573E-2</v>
      </c>
      <c r="H45" s="1196">
        <f>H43*4.5</f>
        <v>783</v>
      </c>
      <c r="I45" s="1095">
        <f t="shared" ref="I45:AL45" si="16">I43*4.5</f>
        <v>976.5</v>
      </c>
      <c r="J45" s="1095">
        <f t="shared" si="16"/>
        <v>927</v>
      </c>
      <c r="K45" s="1095">
        <f t="shared" si="16"/>
        <v>0</v>
      </c>
      <c r="L45" s="1095">
        <f t="shared" si="16"/>
        <v>895.5</v>
      </c>
      <c r="M45" s="1095">
        <f t="shared" si="16"/>
        <v>976.5</v>
      </c>
      <c r="N45" s="1095">
        <f t="shared" si="16"/>
        <v>0</v>
      </c>
      <c r="O45" s="1095">
        <f t="shared" si="16"/>
        <v>0</v>
      </c>
      <c r="P45" s="1095">
        <f t="shared" si="16"/>
        <v>0</v>
      </c>
      <c r="Q45" s="1095">
        <f t="shared" si="16"/>
        <v>0</v>
      </c>
      <c r="R45" s="1095">
        <f t="shared" si="16"/>
        <v>0</v>
      </c>
      <c r="S45" s="1095">
        <f t="shared" si="16"/>
        <v>0</v>
      </c>
      <c r="T45" s="1095">
        <f t="shared" si="16"/>
        <v>0</v>
      </c>
      <c r="U45" s="1095">
        <f t="shared" si="16"/>
        <v>0</v>
      </c>
      <c r="V45" s="1095">
        <f t="shared" si="16"/>
        <v>0</v>
      </c>
      <c r="W45" s="1095">
        <f t="shared" si="16"/>
        <v>0</v>
      </c>
      <c r="X45" s="1095">
        <f t="shared" si="16"/>
        <v>0</v>
      </c>
      <c r="Y45" s="1095">
        <f>Y43*4.5</f>
        <v>0</v>
      </c>
      <c r="Z45" s="1095">
        <f>Z43*4.5</f>
        <v>0</v>
      </c>
      <c r="AA45" s="1095">
        <f t="shared" si="16"/>
        <v>0</v>
      </c>
      <c r="AB45" s="1095">
        <f t="shared" si="16"/>
        <v>0</v>
      </c>
      <c r="AC45" s="1095">
        <f t="shared" si="16"/>
        <v>0</v>
      </c>
      <c r="AD45" s="1095">
        <f t="shared" si="16"/>
        <v>0</v>
      </c>
      <c r="AE45" s="1095">
        <f t="shared" si="16"/>
        <v>0</v>
      </c>
      <c r="AF45" s="1095">
        <f t="shared" si="16"/>
        <v>0</v>
      </c>
      <c r="AG45" s="1095">
        <f t="shared" si="16"/>
        <v>0</v>
      </c>
      <c r="AH45" s="1095">
        <f t="shared" si="16"/>
        <v>0</v>
      </c>
      <c r="AI45" s="1095">
        <f t="shared" si="16"/>
        <v>0</v>
      </c>
      <c r="AJ45" s="1095">
        <f t="shared" si="16"/>
        <v>0</v>
      </c>
      <c r="AK45" s="1095">
        <f t="shared" si="16"/>
        <v>0</v>
      </c>
      <c r="AL45" s="1180">
        <f t="shared" si="16"/>
        <v>0</v>
      </c>
      <c r="AM45" s="95"/>
    </row>
    <row r="46" spans="3:39" s="126" customFormat="1" ht="14.85" customHeight="1">
      <c r="C46" s="2870"/>
      <c r="D46" s="2864"/>
      <c r="E46" s="1484" t="s">
        <v>199</v>
      </c>
      <c r="F46" s="1484"/>
      <c r="G46" s="1485"/>
      <c r="H46" s="662"/>
      <c r="I46" s="1486"/>
      <c r="J46" s="1486"/>
      <c r="K46" s="1486"/>
      <c r="L46" s="1486"/>
      <c r="M46" s="1486"/>
      <c r="N46" s="1486"/>
      <c r="O46" s="1486"/>
      <c r="P46" s="1486"/>
      <c r="Q46" s="1486"/>
      <c r="R46" s="1486"/>
      <c r="S46" s="1486"/>
      <c r="T46" s="1486"/>
      <c r="U46" s="1486"/>
      <c r="V46" s="1486"/>
      <c r="W46" s="1486"/>
      <c r="X46" s="1486"/>
      <c r="Y46" s="1486"/>
      <c r="Z46" s="1486"/>
      <c r="AA46" s="1486"/>
      <c r="AB46" s="1486"/>
      <c r="AC46" s="1486"/>
      <c r="AD46" s="1486"/>
      <c r="AE46" s="1486"/>
      <c r="AF46" s="1486"/>
      <c r="AG46" s="1486"/>
      <c r="AH46" s="1486"/>
      <c r="AI46" s="1486"/>
      <c r="AJ46" s="1486"/>
      <c r="AK46" s="1486"/>
      <c r="AL46" s="1487"/>
      <c r="AM46" s="95"/>
    </row>
    <row r="47" spans="3:39" s="69" customFormat="1" ht="15" customHeight="1" thickBot="1">
      <c r="C47" s="2871"/>
      <c r="D47" s="1373" t="s">
        <v>330</v>
      </c>
      <c r="E47" s="1056"/>
      <c r="F47" s="1197">
        <f>IFERROR((F23-F33)/(F45/4.5),0)</f>
        <v>5.281342546890424</v>
      </c>
      <c r="G47" s="1105">
        <f>IFERROR((F47-4.5)/4.5,0)</f>
        <v>0.17363167708676089</v>
      </c>
      <c r="H47" s="1197">
        <f>IFERROR((H23-H33)/(H45/4.5),0)</f>
        <v>4.4942528735632186</v>
      </c>
      <c r="I47" s="1012">
        <f t="shared" ref="I47:AL47" si="17">IFERROR((I23-I33)/(I45/4.5),0)</f>
        <v>4.387096774193548</v>
      </c>
      <c r="J47" s="1012">
        <f t="shared" si="17"/>
        <v>4.4029126213592233</v>
      </c>
      <c r="K47" s="1012">
        <f t="shared" si="17"/>
        <v>0</v>
      </c>
      <c r="L47" s="1012">
        <f t="shared" si="17"/>
        <v>4.6783919597989954</v>
      </c>
      <c r="M47" s="1012">
        <f t="shared" si="17"/>
        <v>4.4516129032258061</v>
      </c>
      <c r="N47" s="1012">
        <f t="shared" si="17"/>
        <v>0</v>
      </c>
      <c r="O47" s="1012">
        <f t="shared" si="17"/>
        <v>0</v>
      </c>
      <c r="P47" s="1012">
        <f t="shared" si="17"/>
        <v>0</v>
      </c>
      <c r="Q47" s="1012">
        <f t="shared" si="17"/>
        <v>0</v>
      </c>
      <c r="R47" s="1012">
        <f t="shared" si="17"/>
        <v>0</v>
      </c>
      <c r="S47" s="1012">
        <f t="shared" si="17"/>
        <v>0</v>
      </c>
      <c r="T47" s="1012">
        <f t="shared" si="17"/>
        <v>0</v>
      </c>
      <c r="U47" s="1012">
        <f t="shared" si="17"/>
        <v>0</v>
      </c>
      <c r="V47" s="1012">
        <f t="shared" si="17"/>
        <v>0</v>
      </c>
      <c r="W47" s="1012">
        <f t="shared" si="17"/>
        <v>0</v>
      </c>
      <c r="X47" s="1012">
        <f t="shared" si="17"/>
        <v>0</v>
      </c>
      <c r="Y47" s="1012">
        <f t="shared" si="17"/>
        <v>0</v>
      </c>
      <c r="Z47" s="1012">
        <f t="shared" si="17"/>
        <v>0</v>
      </c>
      <c r="AA47" s="1012">
        <f t="shared" si="17"/>
        <v>0</v>
      </c>
      <c r="AB47" s="1012">
        <f t="shared" si="17"/>
        <v>0</v>
      </c>
      <c r="AC47" s="1012">
        <f t="shared" si="17"/>
        <v>0</v>
      </c>
      <c r="AD47" s="1012">
        <f t="shared" si="17"/>
        <v>0</v>
      </c>
      <c r="AE47" s="1012">
        <f t="shared" si="17"/>
        <v>0</v>
      </c>
      <c r="AF47" s="1012">
        <f t="shared" si="17"/>
        <v>0</v>
      </c>
      <c r="AG47" s="1012">
        <f t="shared" si="17"/>
        <v>0</v>
      </c>
      <c r="AH47" s="1012">
        <f t="shared" si="17"/>
        <v>0</v>
      </c>
      <c r="AI47" s="1012">
        <f t="shared" si="17"/>
        <v>0</v>
      </c>
      <c r="AJ47" s="1012">
        <f t="shared" si="17"/>
        <v>0</v>
      </c>
      <c r="AK47" s="1012">
        <f t="shared" si="17"/>
        <v>0</v>
      </c>
      <c r="AL47" s="1057">
        <f t="shared" si="17"/>
        <v>0</v>
      </c>
      <c r="AM47" s="98"/>
    </row>
    <row r="48" spans="3:39" s="126" customFormat="1" ht="14.85" customHeight="1" thickBot="1">
      <c r="D48" s="1357"/>
    </row>
    <row r="49" spans="3:39" s="69" customFormat="1" ht="15" customHeight="1" thickBot="1">
      <c r="C49" s="2866" t="s">
        <v>331</v>
      </c>
      <c r="D49" s="2867"/>
      <c r="E49" s="848" t="s">
        <v>332</v>
      </c>
      <c r="F49" s="853"/>
      <c r="G49" s="836">
        <f>IFERROR((F23-F33-F45)/F45,0)</f>
        <v>0.173631677086761</v>
      </c>
      <c r="H49" s="855">
        <f>IF(H$9&gt;$C$7,"",IFERROR((H23-H33-H45)/H45,0))</f>
        <v>-1.277139208173691E-3</v>
      </c>
      <c r="I49" s="843">
        <f>IF(I$9&gt;$C$7,"",IFERROR((I23-I33-I45)/I45,0))</f>
        <v>-2.5089605734767026E-2</v>
      </c>
      <c r="J49" s="843">
        <f t="shared" ref="J49:AL49" si="18">IF(J$9&gt;$C$7,"",IFERROR((J23-J33-J45)/J45,0))</f>
        <v>-2.1574973031283712E-2</v>
      </c>
      <c r="K49" s="843">
        <f t="shared" si="18"/>
        <v>0</v>
      </c>
      <c r="L49" s="843">
        <f t="shared" si="18"/>
        <v>3.9642657733109994E-2</v>
      </c>
      <c r="M49" s="843">
        <f t="shared" si="18"/>
        <v>-1.0752688172043012E-2</v>
      </c>
      <c r="N49" s="843" t="str">
        <f t="shared" si="18"/>
        <v/>
      </c>
      <c r="O49" s="843" t="str">
        <f t="shared" si="18"/>
        <v/>
      </c>
      <c r="P49" s="843" t="str">
        <f t="shared" si="18"/>
        <v/>
      </c>
      <c r="Q49" s="843" t="str">
        <f t="shared" si="18"/>
        <v/>
      </c>
      <c r="R49" s="843" t="str">
        <f t="shared" si="18"/>
        <v/>
      </c>
      <c r="S49" s="843" t="str">
        <f t="shared" si="18"/>
        <v/>
      </c>
      <c r="T49" s="843" t="str">
        <f t="shared" si="18"/>
        <v/>
      </c>
      <c r="U49" s="843" t="str">
        <f t="shared" si="18"/>
        <v/>
      </c>
      <c r="V49" s="843" t="str">
        <f t="shared" si="18"/>
        <v/>
      </c>
      <c r="W49" s="843" t="str">
        <f t="shared" si="18"/>
        <v/>
      </c>
      <c r="X49" s="843" t="str">
        <f t="shared" si="18"/>
        <v/>
      </c>
      <c r="Y49" s="843" t="str">
        <f t="shared" si="18"/>
        <v/>
      </c>
      <c r="Z49" s="843" t="str">
        <f t="shared" si="18"/>
        <v/>
      </c>
      <c r="AA49" s="843" t="str">
        <f t="shared" si="18"/>
        <v/>
      </c>
      <c r="AB49" s="843" t="str">
        <f t="shared" si="18"/>
        <v/>
      </c>
      <c r="AC49" s="843" t="str">
        <f t="shared" si="18"/>
        <v/>
      </c>
      <c r="AD49" s="843" t="str">
        <f t="shared" si="18"/>
        <v/>
      </c>
      <c r="AE49" s="843" t="str">
        <f t="shared" si="18"/>
        <v/>
      </c>
      <c r="AF49" s="843" t="str">
        <f t="shared" si="18"/>
        <v/>
      </c>
      <c r="AG49" s="843" t="str">
        <f t="shared" si="18"/>
        <v/>
      </c>
      <c r="AH49" s="843" t="str">
        <f t="shared" si="18"/>
        <v/>
      </c>
      <c r="AI49" s="843" t="str">
        <f t="shared" si="18"/>
        <v/>
      </c>
      <c r="AJ49" s="843" t="str">
        <f t="shared" si="18"/>
        <v/>
      </c>
      <c r="AK49" s="843" t="str">
        <f t="shared" si="18"/>
        <v/>
      </c>
      <c r="AL49" s="851" t="str">
        <f t="shared" si="18"/>
        <v/>
      </c>
      <c r="AM49" s="856"/>
    </row>
    <row r="50" spans="3:39" ht="12" customHeight="1"/>
    <row r="51" spans="3:39">
      <c r="F51" s="729"/>
      <c r="H51" s="729">
        <f>H11-H23</f>
        <v>0</v>
      </c>
      <c r="I51" s="729">
        <f>I11-I23</f>
        <v>0</v>
      </c>
      <c r="J51" s="729"/>
      <c r="K51" s="729"/>
      <c r="L51" s="729"/>
      <c r="M51" s="729"/>
      <c r="N51" s="729"/>
      <c r="O51" s="729"/>
      <c r="P51" s="729"/>
      <c r="Q51" s="729"/>
      <c r="R51" s="729"/>
      <c r="S51" s="729"/>
      <c r="T51" s="729"/>
      <c r="U51" s="729"/>
      <c r="V51" s="729"/>
      <c r="W51" s="729"/>
      <c r="X51" s="729"/>
      <c r="Y51" s="729"/>
      <c r="Z51" s="729"/>
      <c r="AA51" s="729"/>
      <c r="AB51" s="729"/>
      <c r="AC51" s="729"/>
      <c r="AD51" s="729"/>
      <c r="AE51" s="729"/>
      <c r="AF51" s="729"/>
      <c r="AG51" s="729"/>
      <c r="AH51" s="729"/>
      <c r="AI51" s="729"/>
      <c r="AJ51" s="729"/>
      <c r="AK51" s="729"/>
      <c r="AL51" s="729"/>
    </row>
    <row r="53" spans="3:39">
      <c r="AD53" s="1655"/>
    </row>
  </sheetData>
  <sheetProtection algorithmName="SHA-512" hashValue="kFBQ83YnOXKzG31McmQ9CIkRCsaMlqaUDOMd9652RMBdqxdMwPlEmeRb8VmpPwKVh+EQiSrv+RwKK3x2lM/K5A==" saltValue="mTKMj2vvZ5sxS+koRgG0gQ==" spinCount="100000" sheet="1" objects="1" scenarios="1"/>
  <mergeCells count="19">
    <mergeCell ref="D44:D46"/>
    <mergeCell ref="D42:D43"/>
    <mergeCell ref="C18:C30"/>
    <mergeCell ref="C49:D49"/>
    <mergeCell ref="D18:D20"/>
    <mergeCell ref="D32:D34"/>
    <mergeCell ref="C32:C34"/>
    <mergeCell ref="D36:D37"/>
    <mergeCell ref="C36:C40"/>
    <mergeCell ref="D38:D40"/>
    <mergeCell ref="C42:C47"/>
    <mergeCell ref="K5:N5"/>
    <mergeCell ref="K6:N6"/>
    <mergeCell ref="H2:I2"/>
    <mergeCell ref="K2:N2"/>
    <mergeCell ref="H3:I3"/>
    <mergeCell ref="K3:N3"/>
    <mergeCell ref="H4:I4"/>
    <mergeCell ref="K4:N4"/>
  </mergeCells>
  <conditionalFormatting sqref="D10:D12">
    <cfRule type="cellIs" dxfId="390" priority="65" stopIfTrue="1" operator="lessThan">
      <formula>C10</formula>
    </cfRule>
    <cfRule type="cellIs" dxfId="389" priority="66" stopIfTrue="1" operator="greaterThanOrEqual">
      <formula>C10</formula>
    </cfRule>
  </conditionalFormatting>
  <conditionalFormatting sqref="E10:E12">
    <cfRule type="cellIs" dxfId="388" priority="63" stopIfTrue="1" operator="lessThan">
      <formula>0</formula>
    </cfRule>
    <cfRule type="cellIs" dxfId="387" priority="64" stopIfTrue="1" operator="greaterThanOrEqual">
      <formula>0</formula>
    </cfRule>
  </conditionalFormatting>
  <conditionalFormatting sqref="F23">
    <cfRule type="cellIs" dxfId="386" priority="70" stopIfTrue="1" operator="greaterThanOrEqual">
      <formula>F22</formula>
    </cfRule>
    <cfRule type="cellIs" dxfId="385" priority="69" stopIfTrue="1" operator="lessThan">
      <formula>F22</formula>
    </cfRule>
  </conditionalFormatting>
  <conditionalFormatting sqref="F26">
    <cfRule type="cellIs" dxfId="384" priority="92" stopIfTrue="1" operator="greaterThanOrEqual">
      <formula>F25</formula>
    </cfRule>
    <cfRule type="cellIs" dxfId="383" priority="91" stopIfTrue="1" operator="lessThan">
      <formula>F25</formula>
    </cfRule>
  </conditionalFormatting>
  <conditionalFormatting sqref="F30">
    <cfRule type="cellIs" dxfId="382" priority="81" stopIfTrue="1" operator="greaterThanOrEqual">
      <formula>F29</formula>
    </cfRule>
    <cfRule type="cellIs" dxfId="381" priority="80" stopIfTrue="1" operator="lessThan">
      <formula>F29</formula>
    </cfRule>
  </conditionalFormatting>
  <conditionalFormatting sqref="F33">
    <cfRule type="cellIs" dxfId="380" priority="14" stopIfTrue="1" operator="lessThan">
      <formula>F32</formula>
    </cfRule>
    <cfRule type="cellIs" dxfId="379" priority="15" stopIfTrue="1" operator="greaterThanOrEqual">
      <formula>F32</formula>
    </cfRule>
  </conditionalFormatting>
  <conditionalFormatting sqref="F37">
    <cfRule type="cellIs" dxfId="378" priority="54" stopIfTrue="1" operator="lessThan">
      <formula>F36</formula>
    </cfRule>
    <cfRule type="cellIs" dxfId="377" priority="55" stopIfTrue="1" operator="greaterThanOrEqual">
      <formula>F36</formula>
    </cfRule>
  </conditionalFormatting>
  <conditionalFormatting sqref="F39">
    <cfRule type="cellIs" dxfId="376" priority="50" stopIfTrue="1" operator="lessThan">
      <formula>F38</formula>
    </cfRule>
    <cfRule type="cellIs" dxfId="375" priority="51" stopIfTrue="1" operator="greaterThanOrEqual">
      <formula>F38</formula>
    </cfRule>
  </conditionalFormatting>
  <conditionalFormatting sqref="F43">
    <cfRule type="cellIs" dxfId="374" priority="74" stopIfTrue="1" operator="greaterThanOrEqual">
      <formula>F42</formula>
    </cfRule>
    <cfRule type="cellIs" dxfId="373" priority="73" stopIfTrue="1" operator="lessThan">
      <formula>F42</formula>
    </cfRule>
  </conditionalFormatting>
  <conditionalFormatting sqref="F45">
    <cfRule type="cellIs" dxfId="372" priority="42" stopIfTrue="1" operator="lessThan">
      <formula>F44</formula>
    </cfRule>
    <cfRule type="cellIs" dxfId="371" priority="43" stopIfTrue="1" operator="greaterThanOrEqual">
      <formula>F44</formula>
    </cfRule>
  </conditionalFormatting>
  <conditionalFormatting sqref="F47">
    <cfRule type="expression" priority="3" stopIfTrue="1">
      <formula>F$9&gt;$C$7</formula>
    </cfRule>
  </conditionalFormatting>
  <conditionalFormatting sqref="G23">
    <cfRule type="cellIs" dxfId="370" priority="67" operator="greaterThan">
      <formula>0</formula>
    </cfRule>
    <cfRule type="cellIs" dxfId="369" priority="68" operator="lessThan">
      <formula>0</formula>
    </cfRule>
  </conditionalFormatting>
  <conditionalFormatting sqref="G26">
    <cfRule type="cellIs" dxfId="368" priority="90" operator="lessThan">
      <formula>0</formula>
    </cfRule>
    <cfRule type="cellIs" dxfId="367" priority="89" operator="greaterThan">
      <formula>0</formula>
    </cfRule>
  </conditionalFormatting>
  <conditionalFormatting sqref="G30">
    <cfRule type="cellIs" dxfId="366" priority="78" operator="greaterThan">
      <formula>0</formula>
    </cfRule>
    <cfRule type="cellIs" dxfId="365" priority="79" operator="lessThan">
      <formula>0</formula>
    </cfRule>
  </conditionalFormatting>
  <conditionalFormatting sqref="G33">
    <cfRule type="cellIs" dxfId="364" priority="12" operator="greaterThan">
      <formula>0</formula>
    </cfRule>
    <cfRule type="cellIs" dxfId="363" priority="13" operator="lessThan">
      <formula>0</formula>
    </cfRule>
  </conditionalFormatting>
  <conditionalFormatting sqref="G37">
    <cfRule type="cellIs" dxfId="362" priority="52" operator="greaterThan">
      <formula>0</formula>
    </cfRule>
    <cfRule type="cellIs" dxfId="361" priority="53" operator="lessThan">
      <formula>0</formula>
    </cfRule>
  </conditionalFormatting>
  <conditionalFormatting sqref="G39">
    <cfRule type="cellIs" dxfId="360" priority="48" operator="greaterThan">
      <formula>0</formula>
    </cfRule>
    <cfRule type="cellIs" dxfId="359" priority="49" operator="lessThan">
      <formula>0</formula>
    </cfRule>
  </conditionalFormatting>
  <conditionalFormatting sqref="G43">
    <cfRule type="cellIs" dxfId="358" priority="71" operator="greaterThan">
      <formula>0</formula>
    </cfRule>
    <cfRule type="cellIs" dxfId="357" priority="72" operator="lessThan">
      <formula>0</formula>
    </cfRule>
  </conditionalFormatting>
  <conditionalFormatting sqref="G45">
    <cfRule type="cellIs" dxfId="356" priority="41" operator="lessThan">
      <formula>0</formula>
    </cfRule>
    <cfRule type="cellIs" dxfId="355" priority="40" operator="greaterThan">
      <formula>0</formula>
    </cfRule>
  </conditionalFormatting>
  <conditionalFormatting sqref="G47">
    <cfRule type="cellIs" dxfId="354" priority="2" operator="lessThan">
      <formula>0</formula>
    </cfRule>
    <cfRule type="cellIs" dxfId="353" priority="1" operator="greaterThan">
      <formula>0</formula>
    </cfRule>
  </conditionalFormatting>
  <conditionalFormatting sqref="G49:AL49">
    <cfRule type="cellIs" dxfId="352" priority="22" operator="greaterThan">
      <formula>0.05</formula>
    </cfRule>
    <cfRule type="cellIs" dxfId="351" priority="21" operator="lessThan">
      <formula>-0.05</formula>
    </cfRule>
    <cfRule type="cellIs" dxfId="350" priority="23" operator="between">
      <formula>-0.05</formula>
      <formula>0.05</formula>
    </cfRule>
  </conditionalFormatting>
  <conditionalFormatting sqref="H11:AL11 H13:AL13 H15:AL15">
    <cfRule type="expression" dxfId="349" priority="2372">
      <formula>#REF!&gt;$C$7</formula>
    </cfRule>
  </conditionalFormatting>
  <conditionalFormatting sqref="H11:AL11">
    <cfRule type="cellIs" dxfId="348" priority="124" operator="greaterThanOrEqual">
      <formula>H10</formula>
    </cfRule>
    <cfRule type="cellIs" dxfId="347" priority="123" operator="lessThan">
      <formula>H10</formula>
    </cfRule>
    <cfRule type="expression" dxfId="346" priority="122">
      <formula>H10=""</formula>
    </cfRule>
  </conditionalFormatting>
  <conditionalFormatting sqref="H13:AL13">
    <cfRule type="expression" dxfId="345" priority="116">
      <formula>H12=""</formula>
    </cfRule>
    <cfRule type="cellIs" dxfId="344" priority="120" operator="between">
      <formula>1.6</formula>
      <formula>2</formula>
    </cfRule>
    <cfRule type="cellIs" dxfId="343" priority="121" operator="greaterThanOrEqual">
      <formula>0.6</formula>
    </cfRule>
    <cfRule type="cellIs" dxfId="342" priority="119" operator="greaterThanOrEqual">
      <formula>2</formula>
    </cfRule>
    <cfRule type="cellIs" dxfId="341" priority="118" operator="greaterThanOrEqual">
      <formula>H12</formula>
    </cfRule>
    <cfRule type="cellIs" dxfId="340" priority="117" operator="lessThan">
      <formula>H12</formula>
    </cfRule>
  </conditionalFormatting>
  <conditionalFormatting sqref="H15:AL15">
    <cfRule type="cellIs" dxfId="339" priority="115" operator="greaterThanOrEqual">
      <formula>H14</formula>
    </cfRule>
    <cfRule type="expression" dxfId="338" priority="113">
      <formula>H14=""</formula>
    </cfRule>
    <cfRule type="cellIs" dxfId="337" priority="114" operator="lessThan">
      <formula>H14</formula>
    </cfRule>
  </conditionalFormatting>
  <conditionalFormatting sqref="H23:AL23 H26:AL26 H30:AL30 H43:AL43">
    <cfRule type="expression" dxfId="336" priority="75">
      <formula>H$9&gt;$C$7</formula>
    </cfRule>
  </conditionalFormatting>
  <conditionalFormatting sqref="H23:AL23">
    <cfRule type="expression" dxfId="335" priority="106">
      <formula>H22=""</formula>
    </cfRule>
    <cfRule type="cellIs" dxfId="334" priority="107" operator="lessThan">
      <formula>H22</formula>
    </cfRule>
    <cfRule type="cellIs" dxfId="333" priority="109" operator="greaterThanOrEqual">
      <formula>H22</formula>
    </cfRule>
  </conditionalFormatting>
  <conditionalFormatting sqref="H26:AL26">
    <cfRule type="cellIs" dxfId="332" priority="105" operator="greaterThanOrEqual">
      <formula>0.6</formula>
    </cfRule>
    <cfRule type="cellIs" dxfId="331" priority="88" operator="between">
      <formula>1.6</formula>
      <formula>2</formula>
    </cfRule>
    <cfRule type="cellIs" dxfId="330" priority="87" operator="greaterThanOrEqual">
      <formula>2</formula>
    </cfRule>
    <cfRule type="cellIs" dxfId="329" priority="86" operator="greaterThanOrEqual">
      <formula>H25</formula>
    </cfRule>
    <cfRule type="cellIs" dxfId="328" priority="85" operator="lessThan">
      <formula>H25</formula>
    </cfRule>
    <cfRule type="expression" dxfId="327" priority="84">
      <formula>H25=""</formula>
    </cfRule>
  </conditionalFormatting>
  <conditionalFormatting sqref="H30:AL30">
    <cfRule type="cellIs" dxfId="326" priority="83" operator="greaterThanOrEqual">
      <formula>H29</formula>
    </cfRule>
    <cfRule type="cellIs" dxfId="325" priority="77" operator="lessThan">
      <formula>H29</formula>
    </cfRule>
    <cfRule type="expression" dxfId="324" priority="76">
      <formula>H29=""</formula>
    </cfRule>
  </conditionalFormatting>
  <conditionalFormatting sqref="H33:AL33 H45:AL45">
    <cfRule type="expression" dxfId="323" priority="16">
      <formula>H$9&gt;$C$7</formula>
    </cfRule>
    <cfRule type="cellIs" dxfId="322" priority="19" operator="greaterThanOrEqual">
      <formula>H32</formula>
    </cfRule>
    <cfRule type="cellIs" dxfId="321" priority="18" operator="lessThan">
      <formula>H32</formula>
    </cfRule>
    <cfRule type="expression" dxfId="320" priority="17">
      <formula>H32=""</formula>
    </cfRule>
  </conditionalFormatting>
  <conditionalFormatting sqref="H37:AL37 H39:AL39">
    <cfRule type="expression" dxfId="319" priority="56">
      <formula>H$9&gt;$C$7</formula>
    </cfRule>
  </conditionalFormatting>
  <conditionalFormatting sqref="H37:AL37">
    <cfRule type="cellIs" dxfId="318" priority="62" operator="greaterThanOrEqual">
      <formula>H36</formula>
    </cfRule>
    <cfRule type="expression" dxfId="317" priority="60">
      <formula>H36=""</formula>
    </cfRule>
    <cfRule type="cellIs" dxfId="316" priority="61" operator="lessThan">
      <formula>H36</formula>
    </cfRule>
  </conditionalFormatting>
  <conditionalFormatting sqref="H39:AL39">
    <cfRule type="cellIs" dxfId="315" priority="58" operator="lessThan">
      <formula>H38</formula>
    </cfRule>
    <cfRule type="expression" dxfId="314" priority="57">
      <formula>H38=""</formula>
    </cfRule>
    <cfRule type="cellIs" dxfId="313" priority="59" operator="greaterThanOrEqual">
      <formula>H38</formula>
    </cfRule>
  </conditionalFormatting>
  <conditionalFormatting sqref="H43:AL43">
    <cfRule type="expression" dxfId="312" priority="110">
      <formula>H42=""</formula>
    </cfRule>
    <cfRule type="cellIs" dxfId="311" priority="111" operator="lessThan">
      <formula>H42</formula>
    </cfRule>
    <cfRule type="cellIs" dxfId="310" priority="2375" operator="greaterThanOrEqual">
      <formula>H42</formula>
    </cfRule>
  </conditionalFormatting>
  <conditionalFormatting sqref="H47:AL47 F47">
    <cfRule type="cellIs" dxfId="309" priority="9" operator="lessThan">
      <formula>4.5*95%</formula>
    </cfRule>
    <cfRule type="cellIs" dxfId="308" priority="10" operator="greaterThan">
      <formula>4.5*105%</formula>
    </cfRule>
    <cfRule type="cellIs" dxfId="307" priority="11" operator="between">
      <formula>4.5*95%</formula>
      <formula>4.5*105%</formula>
    </cfRule>
  </conditionalFormatting>
  <conditionalFormatting sqref="H47:AL47">
    <cfRule type="expression" priority="8" stopIfTrue="1">
      <formula>H$9&gt;$C$7</formula>
    </cfRule>
  </conditionalFormatting>
  <conditionalFormatting sqref="H49:AL49">
    <cfRule type="expression" priority="20" stopIfTrue="1">
      <formula>H$9&gt;$C$7</formula>
    </cfRule>
  </conditionalFormatting>
  <pageMargins left="0.7" right="0.7" top="0.75" bottom="0.75" header="0.3" footer="0.3"/>
  <pageSetup orientation="portrait" r:id="rId1"/>
  <ignoredErrors>
    <ignoredError sqref="AD20" unlocked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9CA9D-71A0-432F-8C25-835BADCD61BF}">
  <sheetPr>
    <tabColor theme="4" tint="0.59999389629810485"/>
    <pageSetUpPr fitToPage="1"/>
  </sheetPr>
  <dimension ref="B1:AN48"/>
  <sheetViews>
    <sheetView showGridLines="0" topLeftCell="B15" zoomScale="80" zoomScaleNormal="80" workbookViewId="0">
      <pane xSplit="5" topLeftCell="G1" activePane="topRight" state="frozen"/>
      <selection activeCell="B1" sqref="B1"/>
      <selection pane="topRight" activeCell="AL44" sqref="H18:AL44"/>
    </sheetView>
  </sheetViews>
  <sheetFormatPr defaultColWidth="8.88671875" defaultRowHeight="13.8" outlineLevelRow="1"/>
  <cols>
    <col min="1" max="1" width="0.88671875" style="302" customWidth="1"/>
    <col min="2" max="2" width="13.21875" style="302" customWidth="1"/>
    <col min="3" max="3" width="17.77734375" style="302" bestFit="1" customWidth="1"/>
    <col min="4" max="4" width="14.21875" style="302" customWidth="1"/>
    <col min="5" max="5" width="13.21875" style="302" customWidth="1"/>
    <col min="6" max="6" width="17" style="1303" customWidth="1"/>
    <col min="7" max="7" width="14.21875" style="302" customWidth="1"/>
    <col min="8" max="38" width="8.21875" style="302" customWidth="1"/>
    <col min="39" max="39" width="34.21875" style="302" customWidth="1"/>
    <col min="40" max="16384" width="8.88671875" style="302"/>
  </cols>
  <sheetData>
    <row r="1" spans="2:40" ht="5.0999999999999996" customHeight="1">
      <c r="B1" s="439"/>
      <c r="C1" s="439"/>
      <c r="D1" s="439"/>
      <c r="E1" s="439"/>
      <c r="F1" s="439"/>
    </row>
    <row r="2" spans="2:40" ht="14.4" thickBot="1">
      <c r="B2" s="2182" t="s">
        <v>0</v>
      </c>
      <c r="C2" s="1305"/>
      <c r="D2" s="1305"/>
      <c r="E2" s="439"/>
      <c r="F2" s="439"/>
    </row>
    <row r="3" spans="2:40" ht="14.4" thickBot="1">
      <c r="B3" s="439" t="s">
        <v>52</v>
      </c>
      <c r="C3" s="1305"/>
      <c r="D3" s="1305"/>
      <c r="E3" s="439"/>
      <c r="F3" s="2183" t="s">
        <v>333</v>
      </c>
      <c r="G3" s="1288" t="s">
        <v>334</v>
      </c>
    </row>
    <row r="4" spans="2:40">
      <c r="B4" s="2184" t="s">
        <v>335</v>
      </c>
      <c r="C4" s="1305"/>
      <c r="D4" s="439"/>
      <c r="E4" s="439"/>
      <c r="F4" s="2185" t="s">
        <v>336</v>
      </c>
      <c r="G4" s="1299">
        <f>34.5+1.8</f>
        <v>36.299999999999997</v>
      </c>
    </row>
    <row r="5" spans="2:40" ht="14.4" thickBot="1">
      <c r="B5" s="2186" t="s">
        <v>337</v>
      </c>
      <c r="C5" s="665">
        <v>2025</v>
      </c>
      <c r="D5" s="2187"/>
      <c r="E5" s="439"/>
      <c r="F5" s="2188" t="s">
        <v>338</v>
      </c>
      <c r="G5" s="1298">
        <v>45.2</v>
      </c>
      <c r="S5" s="1304"/>
      <c r="T5" s="1304"/>
      <c r="U5" s="1304"/>
      <c r="V5" s="1304"/>
      <c r="W5" s="1304"/>
      <c r="X5" s="1304"/>
      <c r="Y5" s="1304"/>
      <c r="Z5" s="1304"/>
      <c r="AA5" s="1304"/>
      <c r="AB5" s="1304"/>
      <c r="AC5" s="1304"/>
      <c r="AD5" s="1304"/>
      <c r="AE5" s="1304"/>
      <c r="AF5" s="1304"/>
      <c r="AG5" s="1304"/>
      <c r="AH5" s="1304"/>
      <c r="AI5" s="1304"/>
      <c r="AJ5" s="1304"/>
      <c r="AK5" s="1304"/>
    </row>
    <row r="6" spans="2:40" ht="14.4" thickBot="1">
      <c r="B6" s="2186" t="s">
        <v>3</v>
      </c>
      <c r="C6" s="666" t="s">
        <v>339</v>
      </c>
      <c r="D6" s="1305"/>
      <c r="E6" s="439"/>
      <c r="F6" s="439"/>
      <c r="G6" s="1323"/>
      <c r="S6" s="1303"/>
      <c r="T6" s="1305"/>
      <c r="U6" s="1303"/>
      <c r="V6" s="1303"/>
      <c r="W6" s="1305"/>
      <c r="X6" s="1303"/>
      <c r="Y6" s="1305"/>
      <c r="AA6" s="1303"/>
      <c r="AB6" s="1305"/>
      <c r="AD6" s="1303"/>
      <c r="AE6" s="1303"/>
      <c r="AF6" s="1303"/>
      <c r="AG6" s="1303"/>
      <c r="AH6" s="1303"/>
      <c r="AI6" s="1303"/>
      <c r="AJ6" s="1303"/>
      <c r="AK6" s="1303"/>
    </row>
    <row r="7" spans="2:40">
      <c r="B7" s="2186" t="s">
        <v>4</v>
      </c>
      <c r="C7" s="303">
        <f>SUMMARY!C7</f>
        <v>6</v>
      </c>
      <c r="D7" s="1305"/>
      <c r="E7" s="439"/>
      <c r="F7" s="2891" t="s">
        <v>340</v>
      </c>
      <c r="G7" s="2892" t="s">
        <v>334</v>
      </c>
    </row>
    <row r="8" spans="2:40" outlineLevel="1">
      <c r="B8" s="439"/>
      <c r="C8" s="439"/>
      <c r="D8" s="439"/>
      <c r="E8" s="439"/>
      <c r="F8" s="2891"/>
      <c r="G8" s="2892"/>
    </row>
    <row r="9" spans="2:40" ht="14.4" outlineLevel="1" thickBot="1">
      <c r="B9" s="2893" t="s">
        <v>341</v>
      </c>
      <c r="C9" s="2893"/>
      <c r="D9" s="2893"/>
      <c r="E9" s="439"/>
      <c r="F9" s="2185" t="s">
        <v>342</v>
      </c>
      <c r="G9" s="1354">
        <v>1</v>
      </c>
    </row>
    <row r="10" spans="2:40" ht="14.4" outlineLevel="1" thickBot="1">
      <c r="B10" s="363" t="s">
        <v>17</v>
      </c>
      <c r="C10" s="364" t="s">
        <v>343</v>
      </c>
      <c r="D10" s="365" t="s">
        <v>344</v>
      </c>
      <c r="E10" s="439"/>
      <c r="F10" s="2185" t="s">
        <v>345</v>
      </c>
      <c r="G10" s="1296">
        <v>1</v>
      </c>
      <c r="H10" s="1306"/>
    </row>
    <row r="11" spans="2:40" ht="14.4" outlineLevel="1" thickBot="1">
      <c r="B11" s="1287">
        <v>45970</v>
      </c>
      <c r="C11" s="669">
        <v>45978</v>
      </c>
      <c r="D11" s="670">
        <f>IFERROR((B11-C11),0)</f>
        <v>-8</v>
      </c>
      <c r="E11" s="439"/>
      <c r="F11" s="2188" t="s">
        <v>346</v>
      </c>
      <c r="G11" s="1297">
        <v>1</v>
      </c>
      <c r="I11" s="1291" t="s">
        <v>6</v>
      </c>
      <c r="J11" s="1302"/>
    </row>
    <row r="12" spans="2:40" ht="14.4" outlineLevel="1" thickBot="1">
      <c r="B12" s="439"/>
      <c r="C12" s="1305"/>
      <c r="D12" s="439"/>
      <c r="E12" s="439"/>
      <c r="F12" s="439"/>
      <c r="I12" s="1292" t="s">
        <v>8</v>
      </c>
      <c r="J12" s="1300"/>
    </row>
    <row r="13" spans="2:40" ht="14.4" outlineLevel="1" thickBot="1">
      <c r="B13" s="2894" t="s">
        <v>347</v>
      </c>
      <c r="C13" s="2894"/>
      <c r="D13" s="2894"/>
      <c r="E13" s="2894"/>
      <c r="F13" s="2894"/>
      <c r="G13" s="1651"/>
      <c r="I13" s="1293" t="s">
        <v>10</v>
      </c>
      <c r="J13" s="1301"/>
      <c r="L13" s="842" t="s">
        <v>248</v>
      </c>
      <c r="M13" s="834"/>
      <c r="N13" s="834"/>
      <c r="O13" s="834"/>
      <c r="P13" s="844"/>
      <c r="Q13" s="668"/>
      <c r="T13" s="668"/>
      <c r="U13" s="668"/>
      <c r="V13" s="668"/>
      <c r="W13" s="668"/>
      <c r="X13" s="668"/>
      <c r="Y13" s="668"/>
      <c r="Z13" s="668"/>
      <c r="AA13" s="668"/>
      <c r="AB13" s="668"/>
      <c r="AC13" s="668"/>
      <c r="AD13" s="668"/>
      <c r="AE13" s="668"/>
      <c r="AF13" s="668"/>
      <c r="AG13" s="668"/>
      <c r="AH13" s="668"/>
      <c r="AI13" s="668"/>
      <c r="AJ13" s="668"/>
      <c r="AK13" s="668"/>
      <c r="AL13" s="668"/>
      <c r="AM13" s="668"/>
      <c r="AN13" s="668"/>
    </row>
    <row r="14" spans="2:40" s="1313" customFormat="1" ht="27.6" outlineLevel="1">
      <c r="B14" s="1315" t="s">
        <v>17</v>
      </c>
      <c r="C14" s="1316" t="s">
        <v>343</v>
      </c>
      <c r="D14" s="1316" t="s">
        <v>344</v>
      </c>
      <c r="E14" s="1316" t="s">
        <v>348</v>
      </c>
      <c r="F14" s="1317" t="s">
        <v>349</v>
      </c>
      <c r="H14" s="1314"/>
      <c r="I14" s="1314"/>
      <c r="J14" s="1314"/>
      <c r="K14" s="1314"/>
      <c r="L14" s="1314"/>
      <c r="M14" s="1314"/>
      <c r="N14" s="1314"/>
      <c r="O14" s="1314"/>
      <c r="P14" s="1314"/>
      <c r="Q14" s="1314"/>
      <c r="R14" s="1314"/>
      <c r="S14" s="1314"/>
      <c r="T14" s="1314"/>
      <c r="U14" s="1314"/>
      <c r="V14" s="1314"/>
      <c r="W14" s="1314"/>
      <c r="X14" s="1314"/>
      <c r="Y14" s="1314"/>
      <c r="Z14" s="1314"/>
      <c r="AA14" s="1314"/>
      <c r="AB14" s="1314"/>
      <c r="AC14" s="1314"/>
      <c r="AD14" s="1314"/>
      <c r="AE14" s="1314"/>
      <c r="AF14" s="1314"/>
      <c r="AG14" s="1314"/>
      <c r="AH14" s="1314"/>
      <c r="AI14" s="1314"/>
      <c r="AJ14" s="1314"/>
      <c r="AK14" s="1314"/>
      <c r="AL14" s="1314"/>
      <c r="AM14" s="1314"/>
      <c r="AN14" s="1314"/>
    </row>
    <row r="15" spans="2:40" ht="14.4" thickBot="1">
      <c r="B15" s="1307">
        <v>45752</v>
      </c>
      <c r="C15" s="669">
        <f>DATE(C5,MONTH(1&amp;C6),C7)+ (E15-G4)/AVERAGEIF($H$15:$AL$15,"&lt;="&amp;$C$7,H25:AL25)</f>
        <v>45862</v>
      </c>
      <c r="D15" s="1310">
        <f>IFERROR((B15-C15),0)</f>
        <v>-110</v>
      </c>
      <c r="E15" s="1311">
        <f>420-375</f>
        <v>45</v>
      </c>
      <c r="F15" s="1298">
        <f>(E15-(G4+F25))/_xlfn.NUMBERVALUE(B15-DATE(C5,MONTH(1&amp;C6),C7))</f>
        <v>-6.3043478260869618E-2</v>
      </c>
      <c r="G15" s="1312" t="s">
        <v>13</v>
      </c>
      <c r="H15" s="359">
        <v>1</v>
      </c>
      <c r="I15" s="360">
        <v>2</v>
      </c>
      <c r="J15" s="360">
        <v>3</v>
      </c>
      <c r="K15" s="360">
        <v>4</v>
      </c>
      <c r="L15" s="360">
        <v>5</v>
      </c>
      <c r="M15" s="360">
        <v>6</v>
      </c>
      <c r="N15" s="360">
        <v>7</v>
      </c>
      <c r="O15" s="360">
        <v>8</v>
      </c>
      <c r="P15" s="360">
        <v>9</v>
      </c>
      <c r="Q15" s="360">
        <v>10</v>
      </c>
      <c r="R15" s="360">
        <v>11</v>
      </c>
      <c r="S15" s="360">
        <v>12</v>
      </c>
      <c r="T15" s="360">
        <v>13</v>
      </c>
      <c r="U15" s="360">
        <v>14</v>
      </c>
      <c r="V15" s="360">
        <v>15</v>
      </c>
      <c r="W15" s="360">
        <v>16</v>
      </c>
      <c r="X15" s="360">
        <v>17</v>
      </c>
      <c r="Y15" s="360">
        <v>18</v>
      </c>
      <c r="Z15" s="360">
        <v>19</v>
      </c>
      <c r="AA15" s="360">
        <v>20</v>
      </c>
      <c r="AB15" s="360">
        <v>21</v>
      </c>
      <c r="AC15" s="360">
        <v>22</v>
      </c>
      <c r="AD15" s="360">
        <v>23</v>
      </c>
      <c r="AE15" s="360">
        <v>24</v>
      </c>
      <c r="AF15" s="360">
        <v>25</v>
      </c>
      <c r="AG15" s="360">
        <v>26</v>
      </c>
      <c r="AH15" s="360">
        <v>27</v>
      </c>
      <c r="AI15" s="360">
        <v>28</v>
      </c>
      <c r="AJ15" s="360">
        <v>29</v>
      </c>
      <c r="AK15" s="360">
        <v>30</v>
      </c>
      <c r="AL15" s="361">
        <v>31</v>
      </c>
    </row>
    <row r="16" spans="2:40" ht="14.4" thickBot="1">
      <c r="F16" s="302"/>
      <c r="H16" s="667"/>
      <c r="I16" s="667"/>
      <c r="J16" s="667"/>
      <c r="K16" s="667"/>
      <c r="L16" s="667"/>
      <c r="M16" s="667"/>
      <c r="N16" s="667"/>
      <c r="O16" s="667"/>
      <c r="P16" s="667"/>
      <c r="Q16" s="667"/>
      <c r="R16" s="667"/>
      <c r="S16" s="667"/>
      <c r="T16" s="667"/>
      <c r="U16" s="667"/>
      <c r="V16" s="667"/>
      <c r="W16" s="667"/>
      <c r="X16" s="667"/>
      <c r="Y16" s="667"/>
      <c r="Z16" s="667"/>
      <c r="AA16" s="667"/>
      <c r="AB16" s="667"/>
      <c r="AC16" s="667"/>
      <c r="AD16" s="667"/>
      <c r="AE16" s="667"/>
      <c r="AF16" s="667"/>
      <c r="AG16" s="667"/>
      <c r="AH16" s="667"/>
      <c r="AI16" s="667"/>
      <c r="AJ16" s="667"/>
      <c r="AK16" s="667"/>
    </row>
    <row r="17" spans="2:39" ht="14.4" thickBot="1">
      <c r="B17" s="2152" t="s">
        <v>217</v>
      </c>
      <c r="C17" s="2153" t="s">
        <v>350</v>
      </c>
      <c r="D17" s="2507"/>
      <c r="E17" s="655"/>
      <c r="F17" s="2508" t="s">
        <v>14</v>
      </c>
      <c r="G17" s="2509" t="s">
        <v>220</v>
      </c>
      <c r="H17" s="2510">
        <v>45870</v>
      </c>
      <c r="I17" s="2510">
        <v>45871</v>
      </c>
      <c r="J17" s="2510">
        <v>45872</v>
      </c>
      <c r="K17" s="2510">
        <v>45873</v>
      </c>
      <c r="L17" s="2510">
        <v>45874</v>
      </c>
      <c r="M17" s="2510">
        <v>45875</v>
      </c>
      <c r="N17" s="2510">
        <v>45876</v>
      </c>
      <c r="O17" s="2510">
        <v>45877</v>
      </c>
      <c r="P17" s="2510">
        <v>45878</v>
      </c>
      <c r="Q17" s="2510">
        <v>45879</v>
      </c>
      <c r="R17" s="2510">
        <v>45880</v>
      </c>
      <c r="S17" s="2510">
        <v>45881</v>
      </c>
      <c r="T17" s="2510">
        <v>45882</v>
      </c>
      <c r="U17" s="2510">
        <v>45883</v>
      </c>
      <c r="V17" s="2510">
        <v>45884</v>
      </c>
      <c r="W17" s="2510">
        <v>45885</v>
      </c>
      <c r="X17" s="2510">
        <v>45886</v>
      </c>
      <c r="Y17" s="2510">
        <v>45887</v>
      </c>
      <c r="Z17" s="2510">
        <v>45888</v>
      </c>
      <c r="AA17" s="2510">
        <v>45889</v>
      </c>
      <c r="AB17" s="2510">
        <v>45890</v>
      </c>
      <c r="AC17" s="2510">
        <v>45891</v>
      </c>
      <c r="AD17" s="2510">
        <v>45892</v>
      </c>
      <c r="AE17" s="2510">
        <v>45893</v>
      </c>
      <c r="AF17" s="2510">
        <v>45894</v>
      </c>
      <c r="AG17" s="2510">
        <v>45895</v>
      </c>
      <c r="AH17" s="2510">
        <v>45896</v>
      </c>
      <c r="AI17" s="2510">
        <v>45897</v>
      </c>
      <c r="AJ17" s="2510">
        <v>45898</v>
      </c>
      <c r="AK17" s="2510">
        <v>45899</v>
      </c>
      <c r="AL17" s="2510">
        <v>45900</v>
      </c>
      <c r="AM17" s="1975" t="s">
        <v>118</v>
      </c>
    </row>
    <row r="18" spans="2:39" ht="14.4" thickBot="1">
      <c r="B18" s="2896" t="s">
        <v>351</v>
      </c>
      <c r="C18" s="2885" t="s">
        <v>352</v>
      </c>
      <c r="D18" s="2511" t="s">
        <v>353</v>
      </c>
      <c r="E18" s="2491"/>
      <c r="F18" s="2512">
        <f>SUMIF($H$15:$AL$15,"&lt;="&amp;$C$7,H18:AL18)</f>
        <v>0.3</v>
      </c>
      <c r="G18" s="2513"/>
      <c r="H18" s="2514">
        <v>0.05</v>
      </c>
      <c r="I18" s="2514">
        <v>0.05</v>
      </c>
      <c r="J18" s="2514">
        <v>0.05</v>
      </c>
      <c r="K18" s="2514">
        <v>0.05</v>
      </c>
      <c r="L18" s="2514">
        <v>0.05</v>
      </c>
      <c r="M18" s="2514">
        <v>0.05</v>
      </c>
      <c r="N18" s="2514">
        <v>0.05</v>
      </c>
      <c r="O18" s="2514">
        <v>0.05</v>
      </c>
      <c r="P18" s="2514">
        <v>0.05</v>
      </c>
      <c r="Q18" s="2514">
        <v>0.05</v>
      </c>
      <c r="R18" s="2514">
        <v>0.05</v>
      </c>
      <c r="S18" s="2514">
        <v>0.05</v>
      </c>
      <c r="T18" s="2514">
        <v>0.05</v>
      </c>
      <c r="U18" s="2514">
        <v>0.05</v>
      </c>
      <c r="V18" s="2514">
        <v>0.05</v>
      </c>
      <c r="W18" s="2515"/>
      <c r="X18" s="2515"/>
      <c r="Y18" s="2515"/>
      <c r="Z18" s="2515"/>
      <c r="AA18" s="2515"/>
      <c r="AB18" s="2515"/>
      <c r="AC18" s="2515"/>
      <c r="AD18" s="2515"/>
      <c r="AE18" s="2515"/>
      <c r="AF18" s="2515"/>
      <c r="AG18" s="2515"/>
      <c r="AH18" s="2515"/>
      <c r="AI18" s="2515"/>
      <c r="AJ18" s="2515"/>
      <c r="AK18" s="2515"/>
      <c r="AL18" s="2515"/>
      <c r="AM18" s="2500"/>
    </row>
    <row r="19" spans="2:39" ht="14.4" thickBot="1">
      <c r="B19" s="2896"/>
      <c r="C19" s="2886"/>
      <c r="D19" s="2103" t="s">
        <v>354</v>
      </c>
      <c r="E19" s="2149"/>
      <c r="F19" s="2163">
        <f>SUMIF($H$15:$AL$15,"&lt;="&amp;$C$7,H19:AL19)</f>
        <v>0.3</v>
      </c>
      <c r="G19" s="1476">
        <f>IFERROR((F19-F18)/F18,0)</f>
        <v>0</v>
      </c>
      <c r="H19" s="2519">
        <v>0.05</v>
      </c>
      <c r="I19" s="1971">
        <v>0.05</v>
      </c>
      <c r="J19" s="1971">
        <v>0.05</v>
      </c>
      <c r="K19" s="1971">
        <v>0.05</v>
      </c>
      <c r="L19" s="1971">
        <v>0.05</v>
      </c>
      <c r="M19" s="1971">
        <v>0.05</v>
      </c>
      <c r="N19" s="1971"/>
      <c r="O19" s="1971"/>
      <c r="P19" s="1971"/>
      <c r="Q19" s="1972"/>
      <c r="R19" s="1972"/>
      <c r="S19" s="1971"/>
      <c r="T19" s="1971"/>
      <c r="U19" s="1971"/>
      <c r="V19" s="1971"/>
      <c r="W19" s="1971"/>
      <c r="X19" s="1971"/>
      <c r="Y19" s="2520"/>
      <c r="Z19" s="1972"/>
      <c r="AA19" s="1971"/>
      <c r="AB19" s="1971"/>
      <c r="AC19" s="1971"/>
      <c r="AD19" s="1971"/>
      <c r="AE19" s="1971"/>
      <c r="AF19" s="1971"/>
      <c r="AG19" s="1971"/>
      <c r="AH19" s="1971"/>
      <c r="AI19" s="1971"/>
      <c r="AJ19" s="1971"/>
      <c r="AK19" s="1971"/>
      <c r="AL19" s="2521"/>
      <c r="AM19" s="1308"/>
    </row>
    <row r="20" spans="2:39" ht="13.5" customHeight="1" thickBot="1">
      <c r="B20" s="2896"/>
      <c r="C20" s="2885" t="s">
        <v>355</v>
      </c>
      <c r="D20" s="2522" t="s">
        <v>353</v>
      </c>
      <c r="E20" s="2523"/>
      <c r="F20" s="2524">
        <f>SUMIF($H$15:$AL$15,"&lt;="&amp;$C$7,H20:AL20)</f>
        <v>0</v>
      </c>
      <c r="G20" s="2525"/>
      <c r="H20" s="2526"/>
      <c r="I20" s="2515"/>
      <c r="J20" s="2515"/>
      <c r="K20" s="2515"/>
      <c r="L20" s="2515"/>
      <c r="M20" s="2515"/>
      <c r="N20" s="2515"/>
      <c r="O20" s="2515"/>
      <c r="P20" s="2515"/>
      <c r="Q20" s="2515"/>
      <c r="R20" s="2515"/>
      <c r="S20" s="2515"/>
      <c r="T20" s="2515"/>
      <c r="U20" s="2515"/>
      <c r="V20" s="2515"/>
      <c r="W20" s="2515">
        <v>2.1999999999999999E-2</v>
      </c>
      <c r="X20" s="2515">
        <v>2.1999999999999999E-2</v>
      </c>
      <c r="Y20" s="2515">
        <v>2.1999999999999999E-2</v>
      </c>
      <c r="Z20" s="2515">
        <v>2.1999999999999999E-2</v>
      </c>
      <c r="AA20" s="2515">
        <v>2.1999999999999999E-2</v>
      </c>
      <c r="AB20" s="2515">
        <v>2.1999999999999999E-2</v>
      </c>
      <c r="AC20" s="2515">
        <v>2.1999999999999999E-2</v>
      </c>
      <c r="AD20" s="2515">
        <v>2.1999999999999999E-2</v>
      </c>
      <c r="AE20" s="2515">
        <v>2.1999999999999999E-2</v>
      </c>
      <c r="AF20" s="2515">
        <v>2.1999999999999999E-2</v>
      </c>
      <c r="AG20" s="2515">
        <v>2.1999999999999999E-2</v>
      </c>
      <c r="AH20" s="2515">
        <v>2.1999999999999999E-2</v>
      </c>
      <c r="AI20" s="2515">
        <v>2.1999999999999999E-2</v>
      </c>
      <c r="AJ20" s="2515">
        <v>2.1999999999999999E-2</v>
      </c>
      <c r="AK20" s="2515">
        <v>2.1999999999999999E-2</v>
      </c>
      <c r="AL20" s="2515">
        <v>2.1999999999999999E-2</v>
      </c>
      <c r="AM20" s="2500"/>
    </row>
    <row r="21" spans="2:39" ht="13.5" customHeight="1" thickBot="1">
      <c r="B21" s="2896"/>
      <c r="C21" s="2886"/>
      <c r="D21" s="2527" t="s">
        <v>354</v>
      </c>
      <c r="E21" s="2485"/>
      <c r="F21" s="2528">
        <f>SUMIF($H$15:$AL$15,"&lt;="&amp;$C$7,H21:AL21)</f>
        <v>0</v>
      </c>
      <c r="G21" s="2486"/>
      <c r="H21" s="2529"/>
      <c r="I21" s="2529"/>
      <c r="J21" s="2529"/>
      <c r="K21" s="2529"/>
      <c r="L21" s="2529"/>
      <c r="M21" s="2529"/>
      <c r="N21" s="2529"/>
      <c r="O21" s="2529"/>
      <c r="P21" s="2529"/>
      <c r="Q21" s="2530"/>
      <c r="R21" s="2530"/>
      <c r="S21" s="2529"/>
      <c r="T21" s="2529"/>
      <c r="U21" s="2529"/>
      <c r="V21" s="2529"/>
      <c r="W21" s="2529"/>
      <c r="X21" s="2529"/>
      <c r="Y21" s="2531"/>
      <c r="Z21" s="2530"/>
      <c r="AA21" s="2529"/>
      <c r="AB21" s="2529"/>
      <c r="AC21" s="2529"/>
      <c r="AD21" s="2529"/>
      <c r="AE21" s="2529"/>
      <c r="AF21" s="2529"/>
      <c r="AG21" s="2529"/>
      <c r="AH21" s="2529"/>
      <c r="AI21" s="2529"/>
      <c r="AJ21" s="2529"/>
      <c r="AK21" s="2529"/>
      <c r="AL21" s="2529"/>
      <c r="AM21" s="1308"/>
    </row>
    <row r="22" spans="2:39" ht="14.4" thickBot="1">
      <c r="B22" s="2895" t="s">
        <v>356</v>
      </c>
      <c r="C22" s="2885" t="s">
        <v>357</v>
      </c>
      <c r="D22" s="2511" t="s">
        <v>223</v>
      </c>
      <c r="E22" s="2491"/>
      <c r="F22" s="2532">
        <f>INDEX(H22:AL22,$C$7)</f>
        <v>70.400000000000006</v>
      </c>
      <c r="G22" s="2513"/>
      <c r="H22" s="2533">
        <v>62.9</v>
      </c>
      <c r="I22" s="2534">
        <f t="shared" ref="I22:AL22" si="0">H22+H24</f>
        <v>64.400000000000006</v>
      </c>
      <c r="J22" s="2534">
        <f t="shared" si="0"/>
        <v>65.900000000000006</v>
      </c>
      <c r="K22" s="2534">
        <f t="shared" si="0"/>
        <v>67.400000000000006</v>
      </c>
      <c r="L22" s="2534">
        <f t="shared" si="0"/>
        <v>68.900000000000006</v>
      </c>
      <c r="M22" s="2534">
        <f t="shared" si="0"/>
        <v>70.400000000000006</v>
      </c>
      <c r="N22" s="2534">
        <f t="shared" si="0"/>
        <v>71.900000000000006</v>
      </c>
      <c r="O22" s="2534">
        <f t="shared" si="0"/>
        <v>73.400000000000006</v>
      </c>
      <c r="P22" s="2534">
        <f t="shared" si="0"/>
        <v>74.900000000000006</v>
      </c>
      <c r="Q22" s="2534">
        <f t="shared" si="0"/>
        <v>74.900000000000006</v>
      </c>
      <c r="R22" s="2534">
        <f t="shared" si="0"/>
        <v>74.900000000000006</v>
      </c>
      <c r="S22" s="2534">
        <f t="shared" si="0"/>
        <v>76.400000000000006</v>
      </c>
      <c r="T22" s="2534">
        <f t="shared" si="0"/>
        <v>77.900000000000006</v>
      </c>
      <c r="U22" s="2534">
        <f t="shared" si="0"/>
        <v>79.400000000000006</v>
      </c>
      <c r="V22" s="2534">
        <f t="shared" si="0"/>
        <v>80.900000000000006</v>
      </c>
      <c r="W22" s="2534">
        <f t="shared" si="0"/>
        <v>82.4</v>
      </c>
      <c r="X22" s="2534">
        <f t="shared" si="0"/>
        <v>83.9</v>
      </c>
      <c r="Y22" s="2534">
        <f t="shared" si="0"/>
        <v>85.4</v>
      </c>
      <c r="Z22" s="2534">
        <f t="shared" si="0"/>
        <v>86.9</v>
      </c>
      <c r="AA22" s="2534">
        <f t="shared" si="0"/>
        <v>88.4</v>
      </c>
      <c r="AB22" s="2534">
        <f t="shared" si="0"/>
        <v>89.9</v>
      </c>
      <c r="AC22" s="2534">
        <f t="shared" si="0"/>
        <v>91.4</v>
      </c>
      <c r="AD22" s="2534">
        <f t="shared" si="0"/>
        <v>92.9</v>
      </c>
      <c r="AE22" s="2534">
        <f t="shared" si="0"/>
        <v>94.4</v>
      </c>
      <c r="AF22" s="2534">
        <f t="shared" si="0"/>
        <v>95.9</v>
      </c>
      <c r="AG22" s="2534">
        <f t="shared" si="0"/>
        <v>97.4</v>
      </c>
      <c r="AH22" s="2534">
        <f t="shared" si="0"/>
        <v>98.9</v>
      </c>
      <c r="AI22" s="2534">
        <f t="shared" si="0"/>
        <v>100.4</v>
      </c>
      <c r="AJ22" s="2534">
        <f t="shared" si="0"/>
        <v>101.9</v>
      </c>
      <c r="AK22" s="2534">
        <f t="shared" si="0"/>
        <v>103.4</v>
      </c>
      <c r="AL22" s="2534">
        <f t="shared" si="0"/>
        <v>104.9</v>
      </c>
      <c r="AM22" s="2500"/>
    </row>
    <row r="23" spans="2:39" ht="15" customHeight="1" thickBot="1">
      <c r="B23" s="2895"/>
      <c r="C23" s="2886"/>
      <c r="D23" s="2103" t="s">
        <v>224</v>
      </c>
      <c r="E23" s="2149"/>
      <c r="F23" s="2495">
        <f>INDEX(H23:AL23,$C$7)</f>
        <v>58</v>
      </c>
      <c r="G23" s="1476">
        <f>IFERROR((F23-F22)/F22,0)</f>
        <v>-0.1761363636363637</v>
      </c>
      <c r="H23" s="2496">
        <v>55.5</v>
      </c>
      <c r="I23" s="2497">
        <v>55.9</v>
      </c>
      <c r="J23" s="2497">
        <v>56.4</v>
      </c>
      <c r="K23" s="2497">
        <v>56.9</v>
      </c>
      <c r="L23" s="2497">
        <v>57.3</v>
      </c>
      <c r="M23" s="2497">
        <v>58</v>
      </c>
      <c r="N23" s="2497"/>
      <c r="O23" s="2497"/>
      <c r="P23" s="2497"/>
      <c r="Q23" s="2497"/>
      <c r="R23" s="2497"/>
      <c r="S23" s="2497"/>
      <c r="T23" s="2497"/>
      <c r="U23" s="2497"/>
      <c r="V23" s="2497"/>
      <c r="W23" s="2497"/>
      <c r="X23" s="2497"/>
      <c r="Y23" s="2497"/>
      <c r="Z23" s="2497"/>
      <c r="AA23" s="2497"/>
      <c r="AB23" s="2497"/>
      <c r="AC23" s="2497"/>
      <c r="AD23" s="2497"/>
      <c r="AE23" s="2497"/>
      <c r="AF23" s="2497"/>
      <c r="AG23" s="2497"/>
      <c r="AH23" s="2497"/>
      <c r="AI23" s="2497"/>
      <c r="AJ23" s="2497"/>
      <c r="AK23" s="2497"/>
      <c r="AL23" s="2538"/>
      <c r="AM23" s="2539"/>
    </row>
    <row r="24" spans="2:39" ht="14.7" customHeight="1" thickBot="1">
      <c r="B24" s="2895"/>
      <c r="C24" s="2885" t="s">
        <v>358</v>
      </c>
      <c r="D24" s="2511" t="s">
        <v>223</v>
      </c>
      <c r="E24" s="2491"/>
      <c r="F24" s="2532">
        <f t="shared" ref="F24:F36" si="1">SUMIF($H$15:$AL$15,"&lt;="&amp;$C$7,H24:AL24)</f>
        <v>9</v>
      </c>
      <c r="G24" s="2513"/>
      <c r="H24" s="2533">
        <v>1.5</v>
      </c>
      <c r="I24" s="2533">
        <v>1.5</v>
      </c>
      <c r="J24" s="2533">
        <v>1.5</v>
      </c>
      <c r="K24" s="2533">
        <v>1.5</v>
      </c>
      <c r="L24" s="2533">
        <v>1.5</v>
      </c>
      <c r="M24" s="2533">
        <v>1.5</v>
      </c>
      <c r="N24" s="2533">
        <v>1.5</v>
      </c>
      <c r="O24" s="2533">
        <v>1.5</v>
      </c>
      <c r="P24" s="2533">
        <v>0</v>
      </c>
      <c r="Q24" s="2533">
        <v>0</v>
      </c>
      <c r="R24" s="2533">
        <v>1.5</v>
      </c>
      <c r="S24" s="2533">
        <v>1.5</v>
      </c>
      <c r="T24" s="2533">
        <v>1.5</v>
      </c>
      <c r="U24" s="2533">
        <v>1.5</v>
      </c>
      <c r="V24" s="2533">
        <v>1.5</v>
      </c>
      <c r="W24" s="2533">
        <v>1.5</v>
      </c>
      <c r="X24" s="2533">
        <v>1.5</v>
      </c>
      <c r="Y24" s="2533">
        <v>1.5</v>
      </c>
      <c r="Z24" s="2533">
        <v>1.5</v>
      </c>
      <c r="AA24" s="2533">
        <v>1.5</v>
      </c>
      <c r="AB24" s="2533">
        <v>1.5</v>
      </c>
      <c r="AC24" s="2533">
        <v>1.5</v>
      </c>
      <c r="AD24" s="2533">
        <v>1.5</v>
      </c>
      <c r="AE24" s="2533">
        <v>1.5</v>
      </c>
      <c r="AF24" s="2533">
        <v>1.5</v>
      </c>
      <c r="AG24" s="2533">
        <v>1.5</v>
      </c>
      <c r="AH24" s="2533">
        <v>1.5</v>
      </c>
      <c r="AI24" s="2533">
        <v>1.5</v>
      </c>
      <c r="AJ24" s="2533">
        <v>1.5</v>
      </c>
      <c r="AK24" s="2533">
        <v>1.5</v>
      </c>
      <c r="AL24" s="2533">
        <v>1.5</v>
      </c>
      <c r="AM24" s="2500"/>
    </row>
    <row r="25" spans="2:39" ht="15" customHeight="1" thickBot="1">
      <c r="B25" s="2895"/>
      <c r="C25" s="2888"/>
      <c r="D25" s="2516" t="s">
        <v>224</v>
      </c>
      <c r="E25" s="2517"/>
      <c r="F25" s="2535">
        <f t="shared" si="1"/>
        <v>2.9</v>
      </c>
      <c r="G25" s="2518">
        <f>IFERROR((F25-F24)/F24,0)</f>
        <v>-0.6777777777777777</v>
      </c>
      <c r="H25" s="2536">
        <v>0.4</v>
      </c>
      <c r="I25" s="2537">
        <f>I23-H23</f>
        <v>0.39999999999999858</v>
      </c>
      <c r="J25" s="2537">
        <f>J23-I23</f>
        <v>0.5</v>
      </c>
      <c r="K25" s="2537">
        <f>K23-J23</f>
        <v>0.5</v>
      </c>
      <c r="L25" s="2537">
        <f>L23-K23</f>
        <v>0.39999999999999858</v>
      </c>
      <c r="M25" s="2537">
        <f>M23-L23</f>
        <v>0.70000000000000284</v>
      </c>
      <c r="N25" s="2537"/>
      <c r="O25" s="2537"/>
      <c r="P25" s="2537"/>
      <c r="Q25" s="2537"/>
      <c r="R25" s="2537"/>
      <c r="S25" s="2537"/>
      <c r="T25" s="2537"/>
      <c r="U25" s="2537"/>
      <c r="V25" s="2537"/>
      <c r="W25" s="2537"/>
      <c r="X25" s="2537"/>
      <c r="Y25" s="2537"/>
      <c r="Z25" s="2537"/>
      <c r="AA25" s="2537"/>
      <c r="AB25" s="2537"/>
      <c r="AC25" s="2537"/>
      <c r="AD25" s="2537"/>
      <c r="AE25" s="2537"/>
      <c r="AF25" s="2537"/>
      <c r="AG25" s="2537"/>
      <c r="AH25" s="2537"/>
      <c r="AI25" s="2537"/>
      <c r="AJ25" s="2537"/>
      <c r="AK25" s="2537"/>
      <c r="AL25" s="2537"/>
      <c r="AM25" s="2506"/>
    </row>
    <row r="26" spans="2:39" ht="15" customHeight="1" thickBot="1">
      <c r="B26" s="2895"/>
      <c r="C26" s="2887" t="s">
        <v>359</v>
      </c>
      <c r="D26" s="2540" t="s">
        <v>360</v>
      </c>
      <c r="E26" s="2541"/>
      <c r="F26" s="2160">
        <f t="shared" si="1"/>
        <v>13200</v>
      </c>
      <c r="G26" s="2542"/>
      <c r="H26" s="350">
        <v>2330</v>
      </c>
      <c r="I26" s="2543">
        <v>2150</v>
      </c>
      <c r="J26" s="2543">
        <v>2220</v>
      </c>
      <c r="K26" s="2543">
        <v>2330</v>
      </c>
      <c r="L26" s="2543">
        <v>1970</v>
      </c>
      <c r="M26" s="2543">
        <v>2200</v>
      </c>
      <c r="N26" s="2543"/>
      <c r="O26" s="2543"/>
      <c r="P26" s="2543"/>
      <c r="Q26" s="2543"/>
      <c r="R26" s="2543"/>
      <c r="S26" s="2543"/>
      <c r="T26" s="2543"/>
      <c r="U26" s="2543"/>
      <c r="V26" s="2543"/>
      <c r="W26" s="2543"/>
      <c r="X26" s="2543"/>
      <c r="Y26" s="2543"/>
      <c r="Z26" s="2543"/>
      <c r="AA26" s="2543"/>
      <c r="AB26" s="2543"/>
      <c r="AC26" s="2543"/>
      <c r="AD26" s="2543"/>
      <c r="AE26" s="2543"/>
      <c r="AF26" s="2543"/>
      <c r="AG26" s="2543"/>
      <c r="AH26" s="2543"/>
      <c r="AI26" s="2543"/>
      <c r="AJ26" s="2543"/>
      <c r="AK26" s="2543"/>
      <c r="AL26" s="2544"/>
      <c r="AM26" s="1308"/>
    </row>
    <row r="27" spans="2:39" ht="15" customHeight="1" thickBot="1">
      <c r="B27" s="2895"/>
      <c r="C27" s="2886"/>
      <c r="D27" s="2154" t="s">
        <v>361</v>
      </c>
      <c r="E27" s="2155"/>
      <c r="F27" s="2156">
        <f>SUMIF($H$15:$AL$15,"&lt;="&amp;$C$7,H27:AL27)</f>
        <v>0</v>
      </c>
      <c r="G27" s="1973"/>
      <c r="H27" s="1976">
        <v>0</v>
      </c>
      <c r="I27" s="1352">
        <v>0</v>
      </c>
      <c r="J27" s="1352">
        <v>0</v>
      </c>
      <c r="K27" s="1352">
        <v>0</v>
      </c>
      <c r="L27" s="1352">
        <v>0</v>
      </c>
      <c r="M27" s="1352">
        <v>0</v>
      </c>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3"/>
      <c r="AM27" s="1308"/>
    </row>
    <row r="28" spans="2:39" ht="15" customHeight="1" thickBot="1">
      <c r="B28" s="2895"/>
      <c r="C28" s="2886"/>
      <c r="D28" s="2157" t="s">
        <v>362</v>
      </c>
      <c r="E28" s="2155"/>
      <c r="F28" s="2158">
        <f t="shared" si="1"/>
        <v>15320</v>
      </c>
      <c r="G28" s="1974"/>
      <c r="H28" s="1976">
        <v>2540</v>
      </c>
      <c r="I28" s="1488">
        <v>2510</v>
      </c>
      <c r="J28" s="1488">
        <v>2570</v>
      </c>
      <c r="K28" s="1488">
        <v>2800</v>
      </c>
      <c r="L28" s="1488">
        <v>2430</v>
      </c>
      <c r="M28" s="1488">
        <v>2470</v>
      </c>
      <c r="N28" s="1488"/>
      <c r="O28" s="1488"/>
      <c r="P28" s="1488"/>
      <c r="Q28" s="1488"/>
      <c r="R28" s="1488"/>
      <c r="S28" s="1488"/>
      <c r="T28" s="1488"/>
      <c r="U28" s="1488"/>
      <c r="V28" s="1488"/>
      <c r="W28" s="1488"/>
      <c r="X28" s="1488"/>
      <c r="Y28" s="1488"/>
      <c r="Z28" s="1488"/>
      <c r="AA28" s="1488"/>
      <c r="AB28" s="1488"/>
      <c r="AC28" s="1488"/>
      <c r="AD28" s="1488"/>
      <c r="AE28" s="1488"/>
      <c r="AF28" s="1488"/>
      <c r="AG28" s="1488"/>
      <c r="AH28" s="1488"/>
      <c r="AI28" s="1488"/>
      <c r="AJ28" s="1488"/>
      <c r="AK28" s="1488"/>
      <c r="AL28" s="1489"/>
      <c r="AM28" s="1308"/>
    </row>
    <row r="29" spans="2:39" ht="15" customHeight="1" thickBot="1">
      <c r="B29" s="2895"/>
      <c r="C29" s="2886"/>
      <c r="D29" s="2154" t="s">
        <v>363</v>
      </c>
      <c r="E29" s="2155"/>
      <c r="F29" s="2158">
        <f t="shared" si="1"/>
        <v>3530</v>
      </c>
      <c r="G29" s="1974"/>
      <c r="H29" s="1976">
        <v>580</v>
      </c>
      <c r="I29" s="1488">
        <v>630</v>
      </c>
      <c r="J29" s="1488">
        <v>530</v>
      </c>
      <c r="K29" s="1488">
        <v>650</v>
      </c>
      <c r="L29" s="1488">
        <v>600</v>
      </c>
      <c r="M29" s="1488">
        <v>540</v>
      </c>
      <c r="N29" s="1488"/>
      <c r="O29" s="1488"/>
      <c r="P29" s="1488"/>
      <c r="Q29" s="1488"/>
      <c r="R29" s="1488"/>
      <c r="S29" s="1488"/>
      <c r="T29" s="1488"/>
      <c r="U29" s="1488"/>
      <c r="V29" s="1488"/>
      <c r="W29" s="1488"/>
      <c r="X29" s="1488"/>
      <c r="Y29" s="1488"/>
      <c r="Z29" s="1488"/>
      <c r="AA29" s="1488"/>
      <c r="AB29" s="1488"/>
      <c r="AC29" s="1488"/>
      <c r="AD29" s="1488"/>
      <c r="AE29" s="1488"/>
      <c r="AF29" s="1488"/>
      <c r="AG29" s="1488"/>
      <c r="AH29" s="1488"/>
      <c r="AI29" s="1488"/>
      <c r="AJ29" s="1488"/>
      <c r="AK29" s="1488"/>
      <c r="AL29" s="1489"/>
      <c r="AM29" s="1308"/>
    </row>
    <row r="30" spans="2:39" ht="15" customHeight="1" thickBot="1">
      <c r="B30" s="2895"/>
      <c r="C30" s="2886"/>
      <c r="D30" s="2154" t="s">
        <v>364</v>
      </c>
      <c r="E30" s="2155"/>
      <c r="F30" s="2158">
        <f t="shared" si="1"/>
        <v>18850</v>
      </c>
      <c r="G30" s="1974"/>
      <c r="H30" s="1977">
        <f>H28+H29</f>
        <v>3120</v>
      </c>
      <c r="I30" s="1977">
        <f>I28+I29</f>
        <v>3140</v>
      </c>
      <c r="J30" s="1977">
        <f>J28+J29</f>
        <v>3100</v>
      </c>
      <c r="K30" s="1977">
        <f>K28+K29</f>
        <v>3450</v>
      </c>
      <c r="L30" s="1977">
        <f>L28+L29</f>
        <v>3030</v>
      </c>
      <c r="M30" s="1977">
        <f>M28+M29</f>
        <v>3010</v>
      </c>
      <c r="N30" s="1977"/>
      <c r="O30" s="1490"/>
      <c r="P30" s="1490"/>
      <c r="Q30" s="1490"/>
      <c r="R30" s="1490"/>
      <c r="S30" s="1490"/>
      <c r="T30" s="1490"/>
      <c r="U30" s="1490"/>
      <c r="V30" s="1490"/>
      <c r="W30" s="1490"/>
      <c r="X30" s="1490"/>
      <c r="Y30" s="1490"/>
      <c r="Z30" s="1490"/>
      <c r="AA30" s="1490"/>
      <c r="AB30" s="1490"/>
      <c r="AC30" s="1490"/>
      <c r="AD30" s="1490"/>
      <c r="AE30" s="1490"/>
      <c r="AF30" s="1490"/>
      <c r="AG30" s="1490"/>
      <c r="AH30" s="1490"/>
      <c r="AI30" s="1490"/>
      <c r="AJ30" s="1490"/>
      <c r="AK30" s="1490"/>
      <c r="AL30" s="1490"/>
      <c r="AM30" s="1308"/>
    </row>
    <row r="31" spans="2:39" ht="15" customHeight="1" thickBot="1">
      <c r="B31" s="2895"/>
      <c r="C31" s="2886"/>
      <c r="D31" s="2159" t="s">
        <v>365</v>
      </c>
      <c r="E31" s="2155"/>
      <c r="F31" s="2156">
        <f t="shared" si="1"/>
        <v>7803</v>
      </c>
      <c r="G31" s="1973"/>
      <c r="H31" s="1978">
        <v>1183</v>
      </c>
      <c r="I31" s="1352">
        <v>1569</v>
      </c>
      <c r="J31" s="1352">
        <v>1193</v>
      </c>
      <c r="K31" s="1352">
        <v>1302</v>
      </c>
      <c r="L31" s="1352">
        <v>1200</v>
      </c>
      <c r="M31" s="1352">
        <v>1356</v>
      </c>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3"/>
      <c r="AM31" s="1308"/>
    </row>
    <row r="32" spans="2:39" ht="15.6" customHeight="1" thickBot="1">
      <c r="B32" s="2895"/>
      <c r="C32" s="2888"/>
      <c r="D32" s="2494" t="s">
        <v>366</v>
      </c>
      <c r="E32" s="2501"/>
      <c r="F32" s="2502">
        <f>SUMIF($H$15:$AL$15,"&lt;="&amp;$C$7,H32:AL32)</f>
        <v>11047</v>
      </c>
      <c r="G32" s="2503"/>
      <c r="H32" s="2504">
        <f>H30-H31</f>
        <v>1937</v>
      </c>
      <c r="I32" s="2504">
        <f>I30-I31</f>
        <v>1571</v>
      </c>
      <c r="J32" s="2504">
        <f>J30-J31</f>
        <v>1907</v>
      </c>
      <c r="K32" s="2504">
        <f>K30-K31</f>
        <v>2148</v>
      </c>
      <c r="L32" s="2504">
        <f>L30-L31</f>
        <v>1830</v>
      </c>
      <c r="M32" s="2504">
        <f>M30-M31</f>
        <v>1654</v>
      </c>
      <c r="N32" s="2505"/>
      <c r="O32" s="2505"/>
      <c r="P32" s="2505"/>
      <c r="Q32" s="2505"/>
      <c r="R32" s="2505"/>
      <c r="S32" s="2505"/>
      <c r="T32" s="2505"/>
      <c r="U32" s="2505"/>
      <c r="V32" s="2505"/>
      <c r="W32" s="2505"/>
      <c r="X32" s="2505"/>
      <c r="Y32" s="2505"/>
      <c r="Z32" s="2505"/>
      <c r="AA32" s="2505"/>
      <c r="AB32" s="2505"/>
      <c r="AC32" s="2505"/>
      <c r="AD32" s="2505"/>
      <c r="AE32" s="2505"/>
      <c r="AF32" s="2505"/>
      <c r="AG32" s="2505"/>
      <c r="AH32" s="2505"/>
      <c r="AI32" s="2505"/>
      <c r="AJ32" s="2505"/>
      <c r="AK32" s="2505"/>
      <c r="AL32" s="2505"/>
      <c r="AM32" s="2506"/>
    </row>
    <row r="33" spans="2:39" ht="15" customHeight="1" thickBot="1">
      <c r="B33" s="2895"/>
      <c r="C33" s="2887" t="s">
        <v>367</v>
      </c>
      <c r="D33" s="1294" t="s">
        <v>368</v>
      </c>
      <c r="E33" s="1295"/>
      <c r="F33" s="2160">
        <f t="shared" si="1"/>
        <v>142.5</v>
      </c>
      <c r="G33" s="92"/>
      <c r="H33" s="2498">
        <v>24</v>
      </c>
      <c r="I33" s="1351">
        <v>23</v>
      </c>
      <c r="J33" s="1351">
        <v>24</v>
      </c>
      <c r="K33" s="1351">
        <v>23.5</v>
      </c>
      <c r="L33" s="1351">
        <v>24</v>
      </c>
      <c r="M33" s="1351">
        <v>24</v>
      </c>
      <c r="N33" s="1351"/>
      <c r="O33" s="1351"/>
      <c r="P33" s="1351"/>
      <c r="Q33" s="1351"/>
      <c r="R33" s="1351"/>
      <c r="S33" s="1351"/>
      <c r="T33" s="1351"/>
      <c r="U33" s="1351"/>
      <c r="V33" s="1351"/>
      <c r="W33" s="1351"/>
      <c r="X33" s="1351"/>
      <c r="Y33" s="1351"/>
      <c r="Z33" s="1351"/>
      <c r="AA33" s="1351"/>
      <c r="AB33" s="1351"/>
      <c r="AC33" s="1351"/>
      <c r="AD33" s="1351"/>
      <c r="AE33" s="1351"/>
      <c r="AF33" s="1351"/>
      <c r="AG33" s="1351"/>
      <c r="AH33" s="1351"/>
      <c r="AI33" s="1351"/>
      <c r="AJ33" s="1351"/>
      <c r="AK33" s="1351"/>
      <c r="AL33" s="2499"/>
      <c r="AM33" s="120"/>
    </row>
    <row r="34" spans="2:39" ht="15" customHeight="1" thickBot="1">
      <c r="B34" s="2895"/>
      <c r="C34" s="2886"/>
      <c r="D34" s="1290" t="s">
        <v>369</v>
      </c>
      <c r="E34" s="1289"/>
      <c r="F34" s="2158">
        <f t="shared" si="1"/>
        <v>0</v>
      </c>
      <c r="G34" s="1491"/>
      <c r="H34" s="1492">
        <v>0</v>
      </c>
      <c r="I34" s="1493">
        <v>0</v>
      </c>
      <c r="J34" s="1493">
        <v>0</v>
      </c>
      <c r="K34" s="1493">
        <v>0</v>
      </c>
      <c r="L34" s="1493">
        <v>0</v>
      </c>
      <c r="M34" s="1493">
        <v>0</v>
      </c>
      <c r="N34" s="1493"/>
      <c r="O34" s="1493"/>
      <c r="P34" s="1493"/>
      <c r="Q34" s="1493"/>
      <c r="R34" s="1493"/>
      <c r="S34" s="1493"/>
      <c r="T34" s="1493"/>
      <c r="U34" s="1493"/>
      <c r="V34" s="1493"/>
      <c r="W34" s="1493"/>
      <c r="X34" s="1493"/>
      <c r="Y34" s="1493"/>
      <c r="Z34" s="1493"/>
      <c r="AA34" s="1493"/>
      <c r="AB34" s="1493"/>
      <c r="AC34" s="1493"/>
      <c r="AD34" s="1493"/>
      <c r="AE34" s="1493"/>
      <c r="AF34" s="1493"/>
      <c r="AG34" s="1493"/>
      <c r="AH34" s="1493"/>
      <c r="AI34" s="1493"/>
      <c r="AJ34" s="1493"/>
      <c r="AK34" s="1493"/>
      <c r="AL34" s="2492"/>
      <c r="AM34" s="120"/>
    </row>
    <row r="35" spans="2:39" ht="14.7" customHeight="1" thickBot="1">
      <c r="B35" s="2895"/>
      <c r="C35" s="2886"/>
      <c r="D35" s="1290" t="s">
        <v>370</v>
      </c>
      <c r="E35" s="1289"/>
      <c r="F35" s="2156">
        <f t="shared" si="1"/>
        <v>142</v>
      </c>
      <c r="G35" s="1491"/>
      <c r="H35" s="1350">
        <v>24</v>
      </c>
      <c r="I35" s="1348">
        <v>24</v>
      </c>
      <c r="J35" s="1348">
        <v>24</v>
      </c>
      <c r="K35" s="1348">
        <v>24</v>
      </c>
      <c r="L35" s="1348">
        <v>24</v>
      </c>
      <c r="M35" s="1348">
        <v>22</v>
      </c>
      <c r="N35" s="1348"/>
      <c r="O35" s="1348"/>
      <c r="P35" s="1348"/>
      <c r="Q35" s="1348"/>
      <c r="R35" s="1348"/>
      <c r="S35" s="1348"/>
      <c r="T35" s="1348"/>
      <c r="U35" s="1348"/>
      <c r="V35" s="1348"/>
      <c r="W35" s="1348"/>
      <c r="X35" s="1348"/>
      <c r="Y35" s="1348"/>
      <c r="Z35" s="1348"/>
      <c r="AA35" s="1348"/>
      <c r="AB35" s="1348"/>
      <c r="AC35" s="1348"/>
      <c r="AD35" s="1348"/>
      <c r="AE35" s="1348"/>
      <c r="AF35" s="1348"/>
      <c r="AG35" s="1348"/>
      <c r="AH35" s="1348"/>
      <c r="AI35" s="1348"/>
      <c r="AJ35" s="1348"/>
      <c r="AK35" s="1348"/>
      <c r="AL35" s="2493"/>
      <c r="AM35" s="120"/>
    </row>
    <row r="36" spans="2:39" ht="15" customHeight="1" thickBot="1">
      <c r="B36" s="2895"/>
      <c r="C36" s="2886"/>
      <c r="D36" s="2161" t="s">
        <v>371</v>
      </c>
      <c r="E36" s="2162"/>
      <c r="F36" s="2545">
        <f t="shared" si="1"/>
        <v>144</v>
      </c>
      <c r="G36" s="2546"/>
      <c r="H36" s="2489">
        <v>24</v>
      </c>
      <c r="I36" s="1349">
        <v>24</v>
      </c>
      <c r="J36" s="1349">
        <v>24</v>
      </c>
      <c r="K36" s="1349">
        <v>24</v>
      </c>
      <c r="L36" s="1349">
        <v>24</v>
      </c>
      <c r="M36" s="1349">
        <v>24</v>
      </c>
      <c r="N36" s="1349"/>
      <c r="O36" s="1349"/>
      <c r="P36" s="1349"/>
      <c r="Q36" s="1349"/>
      <c r="R36" s="1349"/>
      <c r="S36" s="1349"/>
      <c r="T36" s="1349"/>
      <c r="U36" s="1349"/>
      <c r="V36" s="1349"/>
      <c r="W36" s="1349"/>
      <c r="X36" s="1349"/>
      <c r="Y36" s="1349"/>
      <c r="Z36" s="1349"/>
      <c r="AA36" s="1349"/>
      <c r="AB36" s="1349"/>
      <c r="AC36" s="1349"/>
      <c r="AD36" s="1349"/>
      <c r="AE36" s="1349"/>
      <c r="AF36" s="1349"/>
      <c r="AG36" s="1349"/>
      <c r="AH36" s="1349"/>
      <c r="AI36" s="1349"/>
      <c r="AJ36" s="1349"/>
      <c r="AK36" s="1349"/>
      <c r="AL36" s="2547"/>
      <c r="AM36" s="120"/>
    </row>
    <row r="37" spans="2:39">
      <c r="B37" s="2883" t="s">
        <v>372</v>
      </c>
      <c r="C37" s="2889" t="s">
        <v>373</v>
      </c>
      <c r="D37" s="2490" t="s">
        <v>374</v>
      </c>
      <c r="E37" s="2548"/>
      <c r="F37" s="2512">
        <f>SUMIF($H$15:$AL$15,"&lt;="&amp;$C$7,H37:AL37)</f>
        <v>0.09</v>
      </c>
      <c r="G37" s="2549"/>
      <c r="H37" s="2550">
        <v>1.7999999999999999E-2</v>
      </c>
      <c r="I37" s="2550">
        <v>1.7999999999999999E-2</v>
      </c>
      <c r="J37" s="2550">
        <v>0</v>
      </c>
      <c r="K37" s="2550">
        <v>1.7999999999999999E-2</v>
      </c>
      <c r="L37" s="2550">
        <v>1.7999999999999999E-2</v>
      </c>
      <c r="M37" s="2550">
        <v>1.7999999999999999E-2</v>
      </c>
      <c r="N37" s="2550">
        <v>1.7999999999999999E-2</v>
      </c>
      <c r="O37" s="2550">
        <v>1.7999999999999999E-2</v>
      </c>
      <c r="P37" s="2550">
        <v>1.7999999999999999E-2</v>
      </c>
      <c r="Q37" s="2550"/>
      <c r="R37" s="2550">
        <v>1.7999999999999999E-2</v>
      </c>
      <c r="S37" s="2550">
        <v>1.7999999999999999E-2</v>
      </c>
      <c r="T37" s="2550">
        <v>1.7999999999999999E-2</v>
      </c>
      <c r="U37" s="2550">
        <v>1.7999999999999999E-2</v>
      </c>
      <c r="V37" s="2550">
        <v>1.7999999999999999E-2</v>
      </c>
      <c r="W37" s="2550">
        <v>1.7999999999999999E-2</v>
      </c>
      <c r="X37" s="2550"/>
      <c r="Y37" s="2550"/>
      <c r="Z37" s="2550"/>
      <c r="AA37" s="2550"/>
      <c r="AB37" s="2550"/>
      <c r="AC37" s="2550"/>
      <c r="AD37" s="2550"/>
      <c r="AE37" s="2550"/>
      <c r="AF37" s="2550"/>
      <c r="AG37" s="2550"/>
      <c r="AH37" s="2550"/>
      <c r="AI37" s="2550"/>
      <c r="AJ37" s="2550"/>
      <c r="AK37" s="2550"/>
      <c r="AL37" s="2550"/>
      <c r="AM37" s="2500"/>
    </row>
    <row r="38" spans="2:39" ht="15" customHeight="1" thickBot="1">
      <c r="B38" s="2884"/>
      <c r="C38" s="2890"/>
      <c r="D38" s="2488" t="s">
        <v>354</v>
      </c>
      <c r="E38" s="2149"/>
      <c r="F38" s="2163">
        <f>SUMIF($H$15:$AL$15,"&lt;="&amp;$C$7,H38:AL38)</f>
        <v>0.09</v>
      </c>
      <c r="G38" s="1476">
        <f>IFERROR((F38-F37)/F37,0)</f>
        <v>0</v>
      </c>
      <c r="H38" s="2099">
        <v>1.7999999999999999E-2</v>
      </c>
      <c r="I38" s="2100">
        <v>1.7999999999999999E-2</v>
      </c>
      <c r="J38" s="2100">
        <v>0</v>
      </c>
      <c r="K38" s="2100">
        <v>1.7999999999999999E-2</v>
      </c>
      <c r="L38" s="2100">
        <v>1.7999999999999999E-2</v>
      </c>
      <c r="M38" s="2100">
        <v>1.7999999999999999E-2</v>
      </c>
      <c r="N38" s="2100"/>
      <c r="O38" s="2100"/>
      <c r="P38" s="2100"/>
      <c r="Q38" s="2100"/>
      <c r="R38" s="2100"/>
      <c r="S38" s="2100"/>
      <c r="T38" s="2100"/>
      <c r="U38" s="2100"/>
      <c r="V38" s="2100"/>
      <c r="W38" s="2100"/>
      <c r="X38" s="2100"/>
      <c r="Y38" s="2100"/>
      <c r="Z38" s="2100"/>
      <c r="AA38" s="2100"/>
      <c r="AB38" s="2100"/>
      <c r="AC38" s="2101"/>
      <c r="AD38" s="2101"/>
      <c r="AE38" s="2101"/>
      <c r="AF38" s="2101"/>
      <c r="AG38" s="2101"/>
      <c r="AH38" s="2101"/>
      <c r="AI38" s="2101"/>
      <c r="AJ38" s="2101"/>
      <c r="AK38" s="2101"/>
      <c r="AL38" s="2102"/>
      <c r="AM38" s="2539"/>
    </row>
    <row r="39" spans="2:39" ht="14.7" customHeight="1">
      <c r="B39" s="2872" t="s">
        <v>375</v>
      </c>
      <c r="C39" s="2874" t="s">
        <v>376</v>
      </c>
      <c r="D39" s="2551" t="s">
        <v>374</v>
      </c>
      <c r="E39" s="2490"/>
      <c r="F39" s="2552">
        <f>SUMIF($H$15:$AL$15,"&lt;="&amp;$C$7,H39:AL39)</f>
        <v>5</v>
      </c>
      <c r="G39" s="2553"/>
      <c r="H39" s="2554"/>
      <c r="I39" s="2555"/>
      <c r="J39" s="2555"/>
      <c r="K39" s="2555"/>
      <c r="L39" s="2555">
        <v>5</v>
      </c>
      <c r="M39" s="2555"/>
      <c r="N39" s="2555"/>
      <c r="O39" s="2555">
        <v>5</v>
      </c>
      <c r="P39" s="2555"/>
      <c r="Q39" s="2555"/>
      <c r="R39" s="2555"/>
      <c r="S39" s="2555"/>
      <c r="T39" s="2555"/>
      <c r="U39" s="2555"/>
      <c r="V39" s="2555"/>
      <c r="W39" s="2555"/>
      <c r="X39" s="2555"/>
      <c r="Y39" s="2555"/>
      <c r="Z39" s="2555"/>
      <c r="AA39" s="2555"/>
      <c r="AB39" s="2555"/>
      <c r="AC39" s="2555"/>
      <c r="AD39" s="2555"/>
      <c r="AE39" s="2555"/>
      <c r="AF39" s="2555"/>
      <c r="AG39" s="2555"/>
      <c r="AH39" s="2556"/>
      <c r="AI39" s="2555"/>
      <c r="AJ39" s="2555"/>
      <c r="AK39" s="2555"/>
      <c r="AL39" s="2557"/>
      <c r="AM39" s="2150"/>
    </row>
    <row r="40" spans="2:39" ht="15" customHeight="1" thickBot="1">
      <c r="B40" s="2873"/>
      <c r="C40" s="2875"/>
      <c r="D40" s="2565" t="s">
        <v>354</v>
      </c>
      <c r="E40" s="2558"/>
      <c r="F40" s="2559">
        <f>SUMIF($H$15:$AL$15,"&lt;="&amp;$C$7,H40:AL40)</f>
        <v>5</v>
      </c>
      <c r="G40" s="2560">
        <f>IFERROR((F40-F39)/F39,0)</f>
        <v>0</v>
      </c>
      <c r="H40" s="2561"/>
      <c r="I40" s="2562"/>
      <c r="J40" s="2562"/>
      <c r="K40" s="2562"/>
      <c r="L40" s="2562">
        <v>5</v>
      </c>
      <c r="M40" s="2562"/>
      <c r="N40" s="2563"/>
      <c r="O40" s="2563"/>
      <c r="P40" s="2563"/>
      <c r="Q40" s="2563"/>
      <c r="R40" s="2563"/>
      <c r="S40" s="2563"/>
      <c r="T40" s="2563"/>
      <c r="U40" s="2563"/>
      <c r="V40" s="2563"/>
      <c r="W40" s="2563"/>
      <c r="X40" s="2563"/>
      <c r="Y40" s="2563"/>
      <c r="Z40" s="2563"/>
      <c r="AA40" s="2563"/>
      <c r="AB40" s="2563"/>
      <c r="AC40" s="2562"/>
      <c r="AD40" s="2562"/>
      <c r="AE40" s="2562"/>
      <c r="AF40" s="2562"/>
      <c r="AG40" s="2562"/>
      <c r="AH40" s="2562"/>
      <c r="AI40" s="2562"/>
      <c r="AJ40" s="2562"/>
      <c r="AK40" s="2562"/>
      <c r="AL40" s="2564"/>
      <c r="AM40" s="2151"/>
    </row>
    <row r="41" spans="2:39" ht="15.75" customHeight="1">
      <c r="B41" s="2880" t="s">
        <v>377</v>
      </c>
      <c r="C41" s="2878" t="s">
        <v>378</v>
      </c>
      <c r="D41" s="2522" t="s">
        <v>223</v>
      </c>
      <c r="E41" s="2574"/>
      <c r="F41" s="2575">
        <f t="shared" ref="F41:F44" si="2">SUMIF($H$15:$AL$15,"&lt;="&amp;$C$7,H41:AL41)</f>
        <v>60</v>
      </c>
      <c r="G41" s="2576"/>
      <c r="H41" s="2588">
        <v>12</v>
      </c>
      <c r="I41" s="2588">
        <v>12</v>
      </c>
      <c r="J41" s="2577">
        <v>0</v>
      </c>
      <c r="K41" s="2588">
        <v>12</v>
      </c>
      <c r="L41" s="2588">
        <v>12</v>
      </c>
      <c r="M41" s="2588">
        <v>12</v>
      </c>
      <c r="N41" s="2588">
        <v>12</v>
      </c>
      <c r="O41" s="2588">
        <v>12</v>
      </c>
      <c r="P41" s="2588">
        <v>12</v>
      </c>
      <c r="Q41" s="2577"/>
      <c r="R41" s="2588">
        <v>12</v>
      </c>
      <c r="S41" s="2588">
        <v>12</v>
      </c>
      <c r="T41" s="2588">
        <v>12</v>
      </c>
      <c r="U41" s="2588">
        <v>12</v>
      </c>
      <c r="V41" s="2588">
        <v>12</v>
      </c>
      <c r="W41" s="2588">
        <v>12</v>
      </c>
      <c r="X41" s="2577"/>
      <c r="Y41" s="2588">
        <v>12</v>
      </c>
      <c r="Z41" s="2588">
        <v>12</v>
      </c>
      <c r="AA41" s="2588">
        <v>12</v>
      </c>
      <c r="AB41" s="2588">
        <v>12</v>
      </c>
      <c r="AC41" s="2588">
        <v>12</v>
      </c>
      <c r="AD41" s="2588">
        <v>12</v>
      </c>
      <c r="AE41" s="2577"/>
      <c r="AF41" s="2588">
        <v>12</v>
      </c>
      <c r="AG41" s="2588">
        <v>12</v>
      </c>
      <c r="AH41" s="2588">
        <v>12</v>
      </c>
      <c r="AI41" s="2588">
        <v>12</v>
      </c>
      <c r="AJ41" s="2588">
        <v>12</v>
      </c>
      <c r="AK41" s="2588">
        <v>12</v>
      </c>
      <c r="AL41" s="2577"/>
      <c r="AM41" s="2578"/>
    </row>
    <row r="42" spans="2:39" ht="23.25" customHeight="1">
      <c r="B42" s="2881"/>
      <c r="C42" s="2879"/>
      <c r="D42" s="2566" t="s">
        <v>224</v>
      </c>
      <c r="E42" s="2566"/>
      <c r="F42" s="2568">
        <f t="shared" si="2"/>
        <v>66</v>
      </c>
      <c r="G42" s="2487">
        <f>IFERROR((F42-F41)/F41,0)</f>
        <v>0.1</v>
      </c>
      <c r="H42" s="2569">
        <v>12</v>
      </c>
      <c r="I42" s="2569">
        <v>12</v>
      </c>
      <c r="J42" s="2569">
        <v>0</v>
      </c>
      <c r="K42" s="2569">
        <v>12</v>
      </c>
      <c r="L42" s="2569">
        <v>12</v>
      </c>
      <c r="M42" s="2569">
        <v>18</v>
      </c>
      <c r="N42" s="2569"/>
      <c r="O42" s="2569"/>
      <c r="P42" s="2569"/>
      <c r="Q42" s="2569"/>
      <c r="R42" s="2569"/>
      <c r="S42" s="2569"/>
      <c r="T42" s="2569"/>
      <c r="U42" s="2569"/>
      <c r="V42" s="2569"/>
      <c r="W42" s="2569"/>
      <c r="X42" s="2569"/>
      <c r="Y42" s="2569"/>
      <c r="Z42" s="2569"/>
      <c r="AA42" s="2569"/>
      <c r="AB42" s="2569"/>
      <c r="AC42" s="2569"/>
      <c r="AD42" s="2569"/>
      <c r="AE42" s="2569"/>
      <c r="AF42" s="2569"/>
      <c r="AG42" s="2569"/>
      <c r="AH42" s="2569"/>
      <c r="AI42" s="2569"/>
      <c r="AJ42" s="2569"/>
      <c r="AK42" s="2569"/>
      <c r="AL42" s="2569"/>
      <c r="AM42" s="2579"/>
    </row>
    <row r="43" spans="2:39" ht="13.5" customHeight="1">
      <c r="B43" s="2881"/>
      <c r="C43" s="2876" t="s">
        <v>379</v>
      </c>
      <c r="D43" s="2566" t="s">
        <v>223</v>
      </c>
      <c r="E43" s="2570"/>
      <c r="F43" s="2571">
        <f t="shared" si="2"/>
        <v>0</v>
      </c>
      <c r="G43" s="2572"/>
      <c r="H43" s="2567"/>
      <c r="I43" s="2567"/>
      <c r="J43" s="2567"/>
      <c r="K43" s="2567"/>
      <c r="L43" s="2567"/>
      <c r="M43" s="2567"/>
      <c r="N43" s="2567"/>
      <c r="O43" s="2567"/>
      <c r="P43" s="2567"/>
      <c r="Q43" s="2567"/>
      <c r="R43" s="2567"/>
      <c r="S43" s="2567"/>
      <c r="T43" s="2567"/>
      <c r="U43" s="2567"/>
      <c r="V43" s="2567"/>
      <c r="W43" s="2567"/>
      <c r="X43" s="2567"/>
      <c r="Y43" s="2567"/>
      <c r="Z43" s="2573"/>
      <c r="AA43" s="2573"/>
      <c r="AB43" s="2573"/>
      <c r="AC43" s="2573"/>
      <c r="AD43" s="2573"/>
      <c r="AE43" s="2573"/>
      <c r="AF43" s="2573"/>
      <c r="AG43" s="2573"/>
      <c r="AH43" s="2573"/>
      <c r="AI43" s="2573"/>
      <c r="AJ43" s="2573"/>
      <c r="AK43" s="2567"/>
      <c r="AL43" s="2567"/>
      <c r="AM43" s="2580"/>
    </row>
    <row r="44" spans="2:39" ht="15.75" customHeight="1" thickBot="1">
      <c r="B44" s="2882"/>
      <c r="C44" s="2877"/>
      <c r="D44" s="2581" t="s">
        <v>224</v>
      </c>
      <c r="E44" s="2581"/>
      <c r="F44" s="2582">
        <f t="shared" si="2"/>
        <v>0</v>
      </c>
      <c r="G44" s="2583">
        <f>IFERROR((F44-F43)/F43,0)</f>
        <v>0</v>
      </c>
      <c r="H44" s="2584"/>
      <c r="I44" s="2584"/>
      <c r="J44" s="2584"/>
      <c r="K44" s="2584"/>
      <c r="L44" s="2584"/>
      <c r="M44" s="2584"/>
      <c r="N44" s="2584"/>
      <c r="O44" s="2584"/>
      <c r="P44" s="2584"/>
      <c r="Q44" s="2584"/>
      <c r="R44" s="2584"/>
      <c r="S44" s="2584"/>
      <c r="T44" s="2584"/>
      <c r="U44" s="2584"/>
      <c r="V44" s="2584"/>
      <c r="W44" s="2584"/>
      <c r="X44" s="2584"/>
      <c r="Y44" s="2585"/>
      <c r="Z44" s="2586"/>
      <c r="AA44" s="2586"/>
      <c r="AB44" s="2586"/>
      <c r="AC44" s="2586"/>
      <c r="AD44" s="2586"/>
      <c r="AE44" s="2586"/>
      <c r="AF44" s="2586"/>
      <c r="AG44" s="2586"/>
      <c r="AH44" s="2586"/>
      <c r="AI44" s="2586"/>
      <c r="AJ44" s="2586"/>
      <c r="AK44" s="2584"/>
      <c r="AL44" s="2584"/>
      <c r="AM44" s="2587"/>
    </row>
    <row r="45" spans="2:39">
      <c r="J45" s="1318"/>
      <c r="K45" s="1325"/>
    </row>
    <row r="46" spans="2:39">
      <c r="J46" s="1324"/>
      <c r="K46" s="1325"/>
    </row>
    <row r="47" spans="2:39">
      <c r="J47" s="1324"/>
      <c r="K47" s="1325"/>
    </row>
    <row r="48" spans="2:39">
      <c r="T48" s="1309"/>
    </row>
  </sheetData>
  <mergeCells count="19">
    <mergeCell ref="F7:F8"/>
    <mergeCell ref="G7:G8"/>
    <mergeCell ref="B9:D9"/>
    <mergeCell ref="B13:F13"/>
    <mergeCell ref="B22:B36"/>
    <mergeCell ref="C18:C19"/>
    <mergeCell ref="C24:C25"/>
    <mergeCell ref="C20:C21"/>
    <mergeCell ref="B18:B21"/>
    <mergeCell ref="B37:B38"/>
    <mergeCell ref="C22:C23"/>
    <mergeCell ref="C26:C32"/>
    <mergeCell ref="C33:C36"/>
    <mergeCell ref="C37:C38"/>
    <mergeCell ref="B39:B40"/>
    <mergeCell ref="C39:C40"/>
    <mergeCell ref="C43:C44"/>
    <mergeCell ref="C41:C42"/>
    <mergeCell ref="B41:B44"/>
  </mergeCells>
  <conditionalFormatting sqref="C11">
    <cfRule type="cellIs" dxfId="51" priority="3339" stopIfTrue="1" operator="lessThan">
      <formula>$B$11</formula>
    </cfRule>
    <cfRule type="cellIs" dxfId="50" priority="3340" stopIfTrue="1" operator="greaterThanOrEqual">
      <formula>$B$11</formula>
    </cfRule>
  </conditionalFormatting>
  <conditionalFormatting sqref="C15">
    <cfRule type="cellIs" dxfId="49" priority="359" stopIfTrue="1" operator="lessThan">
      <formula>$B$15</formula>
    </cfRule>
    <cfRule type="cellIs" dxfId="48" priority="360" stopIfTrue="1" operator="greaterThanOrEqual">
      <formula>$B$15</formula>
    </cfRule>
  </conditionalFormatting>
  <conditionalFormatting sqref="D11">
    <cfRule type="cellIs" dxfId="47" priority="387" stopIfTrue="1" operator="lessThan">
      <formula>0</formula>
    </cfRule>
    <cfRule type="cellIs" dxfId="46" priority="388" stopIfTrue="1" operator="greaterThanOrEqual">
      <formula>0</formula>
    </cfRule>
  </conditionalFormatting>
  <conditionalFormatting sqref="D15">
    <cfRule type="cellIs" dxfId="45" priority="196" stopIfTrue="1" operator="lessThan">
      <formula>0</formula>
    </cfRule>
    <cfRule type="cellIs" dxfId="44" priority="197" stopIfTrue="1" operator="greaterThanOrEqual">
      <formula>0</formula>
    </cfRule>
  </conditionalFormatting>
  <conditionalFormatting sqref="F19 F21 F38">
    <cfRule type="cellIs" dxfId="43" priority="36" stopIfTrue="1" operator="lessThan">
      <formula>F18</formula>
    </cfRule>
    <cfRule type="cellIs" dxfId="42" priority="37" stopIfTrue="1" operator="greaterThanOrEqual">
      <formula>F18</formula>
    </cfRule>
  </conditionalFormatting>
  <conditionalFormatting sqref="F23">
    <cfRule type="cellIs" dxfId="41" priority="375" stopIfTrue="1" operator="lessThan">
      <formula>F22</formula>
    </cfRule>
    <cfRule type="cellIs" dxfId="40" priority="376" stopIfTrue="1" operator="greaterThanOrEqual">
      <formula>F22</formula>
    </cfRule>
  </conditionalFormatting>
  <conditionalFormatting sqref="F25">
    <cfRule type="cellIs" dxfId="39" priority="188" stopIfTrue="1" operator="lessThan">
      <formula>F24</formula>
    </cfRule>
    <cfRule type="cellIs" dxfId="38" priority="189" stopIfTrue="1" operator="greaterThanOrEqual">
      <formula>F24</formula>
    </cfRule>
  </conditionalFormatting>
  <conditionalFormatting sqref="F40">
    <cfRule type="cellIs" dxfId="37" priority="30" stopIfTrue="1" operator="lessThan">
      <formula>F39</formula>
    </cfRule>
    <cfRule type="cellIs" dxfId="36" priority="31" stopIfTrue="1" operator="greaterThanOrEqual">
      <formula>F39</formula>
    </cfRule>
  </conditionalFormatting>
  <conditionalFormatting sqref="F42">
    <cfRule type="cellIs" dxfId="35" priority="112" stopIfTrue="1" operator="lessThan">
      <formula>F41</formula>
    </cfRule>
    <cfRule type="cellIs" dxfId="34" priority="113" stopIfTrue="1" operator="greaterThanOrEqual">
      <formula>F41</formula>
    </cfRule>
  </conditionalFormatting>
  <conditionalFormatting sqref="F44">
    <cfRule type="cellIs" dxfId="33" priority="104" stopIfTrue="1" operator="lessThan">
      <formula>F43</formula>
    </cfRule>
    <cfRule type="cellIs" dxfId="32" priority="105" stopIfTrue="1" operator="greaterThanOrEqual">
      <formula>F43</formula>
    </cfRule>
  </conditionalFormatting>
  <conditionalFormatting sqref="G19:G21">
    <cfRule type="cellIs" dxfId="31" priority="21" operator="greaterThan">
      <formula>0</formula>
    </cfRule>
    <cfRule type="cellIs" dxfId="30" priority="22" operator="lessThan">
      <formula>0</formula>
    </cfRule>
  </conditionalFormatting>
  <conditionalFormatting sqref="G23:G25">
    <cfRule type="cellIs" dxfId="29" priority="17" operator="greaterThan">
      <formula>0</formula>
    </cfRule>
    <cfRule type="cellIs" dxfId="28" priority="18" operator="lessThan">
      <formula>0</formula>
    </cfRule>
  </conditionalFormatting>
  <conditionalFormatting sqref="G38:G40">
    <cfRule type="cellIs" dxfId="27" priority="9" operator="greaterThan">
      <formula>0</formula>
    </cfRule>
    <cfRule type="cellIs" dxfId="26" priority="10" operator="lessThan">
      <formula>0</formula>
    </cfRule>
  </conditionalFormatting>
  <conditionalFormatting sqref="G42">
    <cfRule type="cellIs" dxfId="25" priority="3" operator="greaterThan">
      <formula>0</formula>
    </cfRule>
    <cfRule type="cellIs" dxfId="24" priority="4" operator="lessThan">
      <formula>0</formula>
    </cfRule>
  </conditionalFormatting>
  <conditionalFormatting sqref="G44">
    <cfRule type="cellIs" dxfId="23" priority="1" operator="greaterThan">
      <formula>0</formula>
    </cfRule>
    <cfRule type="cellIs" dxfId="22" priority="2" operator="lessThan">
      <formula>0</formula>
    </cfRule>
  </conditionalFormatting>
  <conditionalFormatting sqref="H42:J42 L42:AL42">
    <cfRule type="expression" dxfId="21" priority="117">
      <formula>#REF!=""</formula>
    </cfRule>
    <cfRule type="cellIs" dxfId="20" priority="118" operator="lessThan">
      <formula>#REF!</formula>
    </cfRule>
    <cfRule type="cellIs" dxfId="19" priority="119" operator="greaterThanOrEqual">
      <formula>#REF!</formula>
    </cfRule>
  </conditionalFormatting>
  <conditionalFormatting sqref="H40:M40 AC40:AL40">
    <cfRule type="expression" dxfId="18" priority="27">
      <formula>#REF!=""</formula>
    </cfRule>
    <cfRule type="cellIs" dxfId="17" priority="28" operator="lessThan">
      <formula>#REF!</formula>
    </cfRule>
    <cfRule type="cellIs" dxfId="16" priority="29" operator="greaterThanOrEqual">
      <formula>#REF!</formula>
    </cfRule>
  </conditionalFormatting>
  <conditionalFormatting sqref="H19:AL19 H21:AL21 H23:AL23 H38:AL38 H44:AL44 H25:AL25">
    <cfRule type="expression" dxfId="15" priority="5740">
      <formula>H$15&gt;$C$7</formula>
    </cfRule>
    <cfRule type="expression" dxfId="14" priority="5741">
      <formula>H18=""</formula>
    </cfRule>
    <cfRule type="cellIs" dxfId="13" priority="5742" operator="lessThan">
      <formula>H18</formula>
    </cfRule>
    <cfRule type="cellIs" dxfId="12" priority="5743" operator="greaterThanOrEqual">
      <formula>H18</formula>
    </cfRule>
  </conditionalFormatting>
  <conditionalFormatting sqref="H40:AL40">
    <cfRule type="expression" dxfId="11" priority="23">
      <formula>H$15&gt;$C$7</formula>
    </cfRule>
  </conditionalFormatting>
  <conditionalFormatting sqref="H42:AL42">
    <cfRule type="expression" dxfId="10" priority="38">
      <formula>H$15&gt;$C$7</formula>
    </cfRule>
  </conditionalFormatting>
  <conditionalFormatting sqref="K42">
    <cfRule type="expression" dxfId="9" priority="39">
      <formula>K41=""</formula>
    </cfRule>
    <cfRule type="cellIs" dxfId="8" priority="40" operator="lessThan">
      <formula>K41</formula>
    </cfRule>
    <cfRule type="cellIs" dxfId="7" priority="41" operator="greaterThanOrEqual">
      <formula>K41</formula>
    </cfRule>
  </conditionalFormatting>
  <conditionalFormatting sqref="N40:AB40">
    <cfRule type="expression" dxfId="6" priority="24">
      <formula>N39=""</formula>
    </cfRule>
    <cfRule type="cellIs" dxfId="5" priority="25" operator="lessThan">
      <formula>N39</formula>
    </cfRule>
    <cfRule type="cellIs" dxfId="4" priority="26" operator="greaterThanOrEqual">
      <formula>N39</formula>
    </cfRule>
  </conditionalFormatting>
  <conditionalFormatting sqref="AL16">
    <cfRule type="expression" dxfId="3" priority="5318">
      <formula>#REF!=""</formula>
    </cfRule>
    <cfRule type="cellIs" dxfId="2" priority="5319" operator="lessThan">
      <formula>#REF!</formula>
    </cfRule>
    <cfRule type="cellIs" dxfId="1" priority="5320" operator="greaterThanOrEqual">
      <formula>#REF!</formula>
    </cfRule>
    <cfRule type="expression" dxfId="0" priority="5321">
      <formula>#REF!&gt;$C$7</formula>
    </cfRule>
  </conditionalFormatting>
  <pageMargins left="0.7" right="0.7" top="0.75" bottom="0.75" header="0.3" footer="0.3"/>
  <pageSetup scale="74" fitToWidth="0" orientation="landscape"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7C96-C559-4A47-83F7-8EFE8A4822E7}">
  <sheetPr>
    <tabColor theme="7"/>
  </sheetPr>
  <dimension ref="B1:AM48"/>
  <sheetViews>
    <sheetView showGridLines="0" zoomScale="80" zoomScaleNormal="80" workbookViewId="0">
      <pane xSplit="7" topLeftCell="H1" activePane="topRight" state="frozen"/>
      <selection activeCell="A22" sqref="A22"/>
      <selection pane="topRight" activeCell="AL43" sqref="H43:AL43"/>
    </sheetView>
  </sheetViews>
  <sheetFormatPr defaultColWidth="8.21875" defaultRowHeight="10.8"/>
  <cols>
    <col min="1" max="1" width="1.21875" style="119" customWidth="1"/>
    <col min="2" max="2" width="11.21875" style="115" customWidth="1"/>
    <col min="3" max="3" width="12.21875" style="115" customWidth="1"/>
    <col min="4" max="4" width="10.77734375" style="115" customWidth="1"/>
    <col min="5" max="5" width="11.21875" style="115" customWidth="1"/>
    <col min="6" max="6" width="9.77734375" style="115" customWidth="1"/>
    <col min="7" max="7" width="9.77734375" style="119" customWidth="1"/>
    <col min="8" max="8" width="7.21875" style="129" customWidth="1"/>
    <col min="9" max="9" width="7.21875" style="130" customWidth="1"/>
    <col min="10" max="10" width="7.21875" style="131" customWidth="1"/>
    <col min="11" max="35" width="7.21875" style="119" customWidth="1"/>
    <col min="36" max="36" width="9.21875" style="119" customWidth="1"/>
    <col min="37" max="38" width="7.21875" style="119" customWidth="1"/>
    <col min="39" max="39" width="64.21875" style="421" customWidth="1"/>
    <col min="40" max="16384" width="8.21875" style="119"/>
  </cols>
  <sheetData>
    <row r="1" spans="2:39" s="408" customFormat="1">
      <c r="B1" s="409"/>
      <c r="C1" s="409"/>
      <c r="D1" s="409"/>
      <c r="E1" s="409"/>
      <c r="F1" s="409"/>
      <c r="H1" s="410"/>
      <c r="I1" s="411"/>
      <c r="J1" s="412"/>
      <c r="AM1" s="438"/>
    </row>
    <row r="2" spans="2:39" s="302" customFormat="1" ht="14.4">
      <c r="B2" s="295" t="s">
        <v>0</v>
      </c>
      <c r="D2" s="342"/>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M2" s="439"/>
    </row>
    <row r="3" spans="2:39" s="302" customFormat="1" ht="15" thickBot="1">
      <c r="B3" s="64" t="s">
        <v>1</v>
      </c>
      <c r="D3" s="321"/>
      <c r="E3" s="354"/>
      <c r="F3" s="355"/>
      <c r="AM3" s="439"/>
    </row>
    <row r="4" spans="2:39" s="302" customFormat="1" ht="14.4" thickBot="1">
      <c r="B4" s="297" t="s">
        <v>380</v>
      </c>
      <c r="D4" s="321"/>
      <c r="E4" s="354"/>
      <c r="F4" s="355"/>
      <c r="G4" s="196" t="s">
        <v>13</v>
      </c>
      <c r="H4" s="380">
        <v>1</v>
      </c>
      <c r="I4" s="381">
        <v>2</v>
      </c>
      <c r="J4" s="381">
        <v>3</v>
      </c>
      <c r="K4" s="381">
        <v>4</v>
      </c>
      <c r="L4" s="381">
        <v>5</v>
      </c>
      <c r="M4" s="381">
        <v>6</v>
      </c>
      <c r="N4" s="381">
        <v>7</v>
      </c>
      <c r="O4" s="381">
        <v>8</v>
      </c>
      <c r="P4" s="381">
        <v>9</v>
      </c>
      <c r="Q4" s="381">
        <v>10</v>
      </c>
      <c r="R4" s="381">
        <v>11</v>
      </c>
      <c r="S4" s="381">
        <v>12</v>
      </c>
      <c r="T4" s="381">
        <v>13</v>
      </c>
      <c r="U4" s="381">
        <v>14</v>
      </c>
      <c r="V4" s="381">
        <v>15</v>
      </c>
      <c r="W4" s="381">
        <v>16</v>
      </c>
      <c r="X4" s="381">
        <v>17</v>
      </c>
      <c r="Y4" s="381">
        <v>18</v>
      </c>
      <c r="Z4" s="381">
        <v>19</v>
      </c>
      <c r="AA4" s="381">
        <v>20</v>
      </c>
      <c r="AB4" s="381">
        <v>21</v>
      </c>
      <c r="AC4" s="381">
        <v>22</v>
      </c>
      <c r="AD4" s="381">
        <v>23</v>
      </c>
      <c r="AE4" s="381">
        <v>24</v>
      </c>
      <c r="AF4" s="381">
        <v>25</v>
      </c>
      <c r="AG4" s="381">
        <v>26</v>
      </c>
      <c r="AH4" s="381">
        <v>27</v>
      </c>
      <c r="AI4" s="381">
        <v>28</v>
      </c>
      <c r="AJ4" s="381">
        <v>29</v>
      </c>
      <c r="AK4" s="381">
        <v>30</v>
      </c>
      <c r="AL4" s="383">
        <v>31</v>
      </c>
      <c r="AM4" s="439"/>
    </row>
    <row r="5" spans="2:39" s="302" customFormat="1" ht="13.8">
      <c r="B5" s="65"/>
      <c r="D5" s="321"/>
      <c r="E5" s="354"/>
      <c r="F5" s="355"/>
      <c r="G5" s="198" t="s">
        <v>381</v>
      </c>
      <c r="H5" s="427">
        <f>IF(H$4&gt;$C$7,"",SUMIF($E$22:$E29,"Budget (t)",H$22:H29))</f>
        <v>1173.8711999999996</v>
      </c>
      <c r="I5" s="103">
        <f>IF(I$4&gt;$C$7,"",SUMIF($E$22:$E29,"Budget (t)",I$22:I29))</f>
        <v>1173.8711999999996</v>
      </c>
      <c r="J5" s="103">
        <f>IF(J$4&gt;$C$7,"",SUMIF($E$22:$E29,"Budget (t)",J$22:J29))</f>
        <v>1173.8711999999996</v>
      </c>
      <c r="K5" s="103">
        <f>IF(K$4&gt;$C$7,"",SUMIF($E$22:$E29,"Budget (t)",K$22:K29))</f>
        <v>1173.8711999999996</v>
      </c>
      <c r="L5" s="103">
        <f>IF(L$4&gt;$C$7,"",SUMIF($E$22:$E29,"Budget (t)",L$22:L29))</f>
        <v>586.93559999999979</v>
      </c>
      <c r="M5" s="103">
        <f>IF(M$4&gt;$C$7,"",SUMIF($E$22:$E29,"Budget (t)",M$22:M29))</f>
        <v>1173.8711999999996</v>
      </c>
      <c r="N5" s="103" t="str">
        <f>IF(N$4&gt;$C$7,"",SUMIF($E$22:$E29,"Budget (t)",N$22:N29))</f>
        <v/>
      </c>
      <c r="O5" s="103" t="str">
        <f>IF(O$4&gt;$C$7,"",SUMIF($E$22:$E29,"Budget (t)",O$22:O29))</f>
        <v/>
      </c>
      <c r="P5" s="103" t="str">
        <f>IF(P$4&gt;$C$7,"",SUMIF($E$22:$E29,"Budget (t)",P$22:P29))</f>
        <v/>
      </c>
      <c r="Q5" s="103" t="str">
        <f>IF(Q$4&gt;$C$7,"",SUMIF($E$22:$E29,"Budget (t)",Q$22:Q29))</f>
        <v/>
      </c>
      <c r="R5" s="103" t="str">
        <f>IF(R$4&gt;$C$7,"",SUMIF($E$22:$E29,"Budget (t)",R$22:R29))</f>
        <v/>
      </c>
      <c r="S5" s="103" t="str">
        <f>IF(S$4&gt;$C$7,"",SUMIF($E$22:$E29,"Budget (t)",S$22:S29))</f>
        <v/>
      </c>
      <c r="T5" s="103" t="str">
        <f>IF(T$4&gt;$C$7,"",SUMIF($E$22:$E29,"Budget (t)",T$22:T29))</f>
        <v/>
      </c>
      <c r="U5" s="103" t="str">
        <f>IF(U$4&gt;$C$7,"",SUMIF($E$22:$E29,"Budget (t)",U$22:U29))</f>
        <v/>
      </c>
      <c r="V5" s="103" t="str">
        <f>IF(V$4&gt;$C$7,"",SUMIF($E$22:$E29,"Budget (t)",V$22:V29))</f>
        <v/>
      </c>
      <c r="W5" s="103" t="str">
        <f>IF(W$4&gt;$C$7,"",SUMIF($E$22:$E29,"Budget (t)",W$22:W29))</f>
        <v/>
      </c>
      <c r="X5" s="103" t="str">
        <f>IF(X$4&gt;$C$7,"",SUMIF($E$22:$E29,"Budget (t)",X$22:X29))</f>
        <v/>
      </c>
      <c r="Y5" s="103" t="str">
        <f>IF(Y$4&gt;$C$7,"",SUMIF($E$22:$E29,"Budget (t)",Y$22:Y29))</f>
        <v/>
      </c>
      <c r="Z5" s="103" t="str">
        <f>IF(Z$4&gt;$C$7,"",SUMIF($E$22:$E29,"Budget (t)",Z$22:Z29))</f>
        <v/>
      </c>
      <c r="AA5" s="103" t="str">
        <f>IF(AA$4&gt;$C$7,"",SUMIF($E$22:$E29,"Budget (t)",AA$22:AA29))</f>
        <v/>
      </c>
      <c r="AB5" s="103" t="str">
        <f>IF(AB$4&gt;$C$7,"",SUMIF($E$22:$E29,"Budget (t)",AB$22:AB29))</f>
        <v/>
      </c>
      <c r="AC5" s="103" t="str">
        <f>IF(AC$4&gt;$C$7,"",SUMIF($E$22:$E29,"Budget (t)",AC$22:AC29))</f>
        <v/>
      </c>
      <c r="AD5" s="103" t="str">
        <f>IF(AD$4&gt;$C$7,"",SUMIF($E$22:$E29,"Budget (t)",AD$22:AD29))</f>
        <v/>
      </c>
      <c r="AE5" s="103" t="str">
        <f>IF(AE$4&gt;$C$7,"",SUMIF($E$22:$E29,"Budget (t)",AE$22:AE29))</f>
        <v/>
      </c>
      <c r="AF5" s="103" t="str">
        <f>IF(AF$4&gt;$C$7,"",SUMIF($E$22:$E29,"Budget (t)",AF$22:AF29))</f>
        <v/>
      </c>
      <c r="AG5" s="103" t="str">
        <f>IF(AG$4&gt;$C$7,"",SUMIF($E$22:$E29,"Budget (t)",AG$22:AG29))</f>
        <v/>
      </c>
      <c r="AH5" s="103" t="str">
        <f>IF(AH$4&gt;$C$7,"",SUMIF($E$22:$E29,"Budget (t)",AH$22:AH29))</f>
        <v/>
      </c>
      <c r="AI5" s="103" t="str">
        <f>IF(AI$4&gt;$C$7,"",SUMIF($E$22:$E29,"Budget (t)",AI$22:AI29))</f>
        <v/>
      </c>
      <c r="AJ5" s="103" t="str">
        <f>IF(AJ$4&gt;$C$7,"",SUMIF($E$22:$E29,"Budget (t)",AJ$22:AJ29))</f>
        <v/>
      </c>
      <c r="AK5" s="103" t="str">
        <f>IF(AK$4&gt;$C$7,"",SUMIF($E$22:$E29,"Budget (t)",AK$22:AK29))</f>
        <v/>
      </c>
      <c r="AL5" s="104" t="str">
        <f>IF(AL$4&gt;$C$7,"",SUMIF($E$22:$E29,"Budget (t)",AL$22:AL29))</f>
        <v/>
      </c>
      <c r="AM5" s="439"/>
    </row>
    <row r="6" spans="2:39" s="302" customFormat="1" ht="13.8">
      <c r="B6" s="294" t="s">
        <v>3</v>
      </c>
      <c r="C6" s="298">
        <f>SUMMARY!$C$6</f>
        <v>45870</v>
      </c>
      <c r="D6" s="321"/>
      <c r="E6" s="354"/>
      <c r="F6" s="355"/>
      <c r="G6" s="196" t="s">
        <v>382</v>
      </c>
      <c r="H6" s="1494">
        <f>IF(H$4&gt;$C$7,"",SUMIF($E$22:$E45,"Crushed (t)",H$22:H45))</f>
        <v>1078.5735999999999</v>
      </c>
      <c r="I6" s="1200">
        <f>IF(I$4&gt;$C$7,"",SUMIF($E$22:$E45,"Crushed (t)",I$22:I45))</f>
        <v>1066.0175999999999</v>
      </c>
      <c r="J6" s="1200">
        <f>IF(J$4&gt;$C$7,"",SUMIF($E$22:$E45,"Crushed (t)",J$22:J45))</f>
        <v>648.29840000000002</v>
      </c>
      <c r="K6" s="1200">
        <f>IF(K$4&gt;$C$7,"",SUMIF($E$22:$E45,"Crushed (t)",K$22:K45))</f>
        <v>753.73090000000002</v>
      </c>
      <c r="L6" s="1200">
        <f>IF(L$4&gt;$C$7,"",SUMIF($E$22:$E45,"Crushed (t)",L$22:L45))</f>
        <v>738.6</v>
      </c>
      <c r="M6" s="1200">
        <f>IF(M$4&gt;$C$7,"",SUMIF($E$22:$E45,"Crushed (t)",M$22:M45))</f>
        <v>0</v>
      </c>
      <c r="N6" s="1200" t="str">
        <f>IF(N$4&gt;$C$7,"",SUMIF($E$22:$E45,"Crushed (t)",N$22:N45))</f>
        <v/>
      </c>
      <c r="O6" s="1200" t="str">
        <f>IF(O$4&gt;$C$7,"",SUMIF($E$22:$E45,"Crushed (t)",O$22:O45))</f>
        <v/>
      </c>
      <c r="P6" s="1200" t="str">
        <f>IF(P$4&gt;$C$7,"",SUMIF($E$22:$E45,"Crushed (t)",P$22:P45))</f>
        <v/>
      </c>
      <c r="Q6" s="1200" t="str">
        <f>IF(Q$4&gt;$C$7,"",SUMIF($E$22:$E45,"Crushed (t)",Q$22:Q45))</f>
        <v/>
      </c>
      <c r="R6" s="1200" t="str">
        <f>IF(R$4&gt;$C$7,"",SUMIF($E$22:$E45,"Crushed (t)",R$22:R45))</f>
        <v/>
      </c>
      <c r="S6" s="1200" t="str">
        <f>IF(S$4&gt;$C$7,"",SUMIF($E$22:$E45,"Crushed (t)",S$22:S45))</f>
        <v/>
      </c>
      <c r="T6" s="1200" t="str">
        <f>IF(T$4&gt;$C$7,"",SUMIF($E$22:$E45,"Crushed (t)",T$22:T45))</f>
        <v/>
      </c>
      <c r="U6" s="1200" t="str">
        <f>IF(U$4&gt;$C$7,"",SUMIF($E$22:$E45,"Crushed (t)",U$22:U45))</f>
        <v/>
      </c>
      <c r="V6" s="1200" t="str">
        <f>IF(V$4&gt;$C$7,"",SUMIF($E$22:$E45,"Crushed (t)",V$22:V45))</f>
        <v/>
      </c>
      <c r="W6" s="1200" t="str">
        <f>IF(W$4&gt;$C$7,"",SUMIF($E$22:$E45,"Crushed (t)",W$22:W45))</f>
        <v/>
      </c>
      <c r="X6" s="1200" t="str">
        <f>IF(X$4&gt;$C$7,"",SUMIF($E$22:$E45,"Crushed (t)",X$22:X45))</f>
        <v/>
      </c>
      <c r="Y6" s="1200" t="str">
        <f>IF(Y$4&gt;$C$7,"",SUMIF($E$22:$E45,"Crushed (t)",Y$22:Y45))</f>
        <v/>
      </c>
      <c r="Z6" s="1200" t="str">
        <f>IF(Z$4&gt;$C$7,"",SUMIF($E$22:$E45,"Crushed (t)",Z$22:Z45))</f>
        <v/>
      </c>
      <c r="AA6" s="1200" t="str">
        <f>IF(AA$4&gt;$C$7,"",SUMIF($E$22:$E45,"Crushed (t)",AA$22:AA45))</f>
        <v/>
      </c>
      <c r="AB6" s="1200" t="str">
        <f>IF(AB$4&gt;$C$7,"",SUMIF($E$22:$E45,"Crushed (t)",AB$22:AB45))</f>
        <v/>
      </c>
      <c r="AC6" s="1200" t="str">
        <f>IF(AC$4&gt;$C$7,"",SUMIF($E$22:$E45,"Crushed (t)",AC$22:AC45))</f>
        <v/>
      </c>
      <c r="AD6" s="1200" t="str">
        <f>IF(AD$4&gt;$C$7,"",SUMIF($E$22:$E45,"Crushed (t)",AD$22:AD45))</f>
        <v/>
      </c>
      <c r="AE6" s="1200" t="str">
        <f>IF(AE$4&gt;$C$7,"",SUMIF($E$22:$E45,"Crushed (t)",AE$22:AE45))</f>
        <v/>
      </c>
      <c r="AF6" s="1200" t="str">
        <f>IF(AF$4&gt;$C$7,"",SUMIF($E$22:$E45,"Crushed (t)",AF$22:AF45))</f>
        <v/>
      </c>
      <c r="AG6" s="1200" t="str">
        <f>IF(AG$4&gt;$C$7,"",SUMIF($E$22:$E45,"Crushed (t)",AG$22:AG45))</f>
        <v/>
      </c>
      <c r="AH6" s="1200" t="str">
        <f>IF(AH$4&gt;$C$7,"",SUMIF($E$22:$E45,"Crushed (t)",AH$22:AH45))</f>
        <v/>
      </c>
      <c r="AI6" s="1200" t="str">
        <f>IF(AI$4&gt;$C$7,"",SUMIF($E$22:$E45,"Crushed (t)",AI$22:AI45))</f>
        <v/>
      </c>
      <c r="AJ6" s="1200" t="str">
        <f>IF(AJ$4&gt;$C$7,"",SUMIF($E$22:$E45,"Crushed (t)",AJ$22:AJ45))</f>
        <v/>
      </c>
      <c r="AK6" s="1200" t="str">
        <f>IF(AK$4&gt;$C$7,"",SUMIF($E$22:$E45,"Crushed (t)",AK$22:AK45))</f>
        <v/>
      </c>
      <c r="AL6" s="1201" t="str">
        <f>IF(AL$4&gt;$C$7,"",SUMIF($E$22:$E45,"Crushed (t)",AL$22:AL45))</f>
        <v/>
      </c>
      <c r="AM6" s="439"/>
    </row>
    <row r="7" spans="2:39" s="302" customFormat="1" ht="14.4" thickBot="1">
      <c r="B7" s="294" t="s">
        <v>4</v>
      </c>
      <c r="C7" s="303">
        <f>SUMMARY!$C$7</f>
        <v>6</v>
      </c>
      <c r="D7" s="321"/>
      <c r="E7" s="354"/>
      <c r="F7" s="355"/>
      <c r="G7" s="196" t="s">
        <v>383</v>
      </c>
      <c r="H7" s="1050">
        <f>IF(H$4&gt;$C$7,"",SUMIF($E$22:$E45,"Milled (t)",H$22:H45))</f>
        <v>1244.3207</v>
      </c>
      <c r="I7" s="988">
        <f>IF(I$4&gt;$C$7,"",SUMIF($E$22:$E45,"Milled (t)",I$22:I45))</f>
        <v>1143.296</v>
      </c>
      <c r="J7" s="988">
        <f>IF(J$4&gt;$C$7,"",SUMIF($E$22:$E45,"Milled (t)",J$22:J45))</f>
        <v>665.4402</v>
      </c>
      <c r="K7" s="988">
        <f>IF(K$4&gt;$C$7,"",SUMIF($E$22:$E45,"Milled (t)",K$22:K45))</f>
        <v>1124.527</v>
      </c>
      <c r="L7" s="988">
        <f>IF(L$4&gt;$C$7,"",SUMIF($E$22:$E45,"Milled (t)",L$22:L45))</f>
        <v>1067.2190000000001</v>
      </c>
      <c r="M7" s="988">
        <f>IF(M$4&gt;$C$7,"",SUMIF($E$22:$E45,"Milled (t)",M$22:M45))</f>
        <v>0</v>
      </c>
      <c r="N7" s="988" t="str">
        <f>IF(N$4&gt;$C$7,"",SUMIF($E$22:$E45,"Milled (t)",N$22:N45))</f>
        <v/>
      </c>
      <c r="O7" s="988" t="str">
        <f>IF(O$4&gt;$C$7,"",SUMIF($E$22:$E45,"Milled (t)",O$22:O45))</f>
        <v/>
      </c>
      <c r="P7" s="988" t="str">
        <f>IF(P$4&gt;$C$7,"",SUMIF($E$22:$E45,"Milled (t)",P$22:P45))</f>
        <v/>
      </c>
      <c r="Q7" s="988" t="str">
        <f>IF(Q$4&gt;$C$7,"",SUMIF($E$22:$E45,"Milled (t)",Q$22:Q45))</f>
        <v/>
      </c>
      <c r="R7" s="988" t="str">
        <f>IF(R$4&gt;$C$7,"",SUMIF($E$22:$E45,"Milled (t)",R$22:R45))</f>
        <v/>
      </c>
      <c r="S7" s="988" t="str">
        <f>IF(S$4&gt;$C$7,"",SUMIF($E$22:$E45,"Milled (t)",S$22:S45))</f>
        <v/>
      </c>
      <c r="T7" s="988" t="str">
        <f>IF(T$4&gt;$C$7,"",SUMIF($E$22:$E45,"Milled (t)",T$22:T45))</f>
        <v/>
      </c>
      <c r="U7" s="988" t="str">
        <f>IF(U$4&gt;$C$7,"",SUMIF($E$22:$E45,"Milled (t)",U$22:U45))</f>
        <v/>
      </c>
      <c r="V7" s="988" t="str">
        <f>IF(V$4&gt;$C$7,"",SUMIF($E$22:$E45,"Milled (t)",V$22:V45))</f>
        <v/>
      </c>
      <c r="W7" s="988" t="str">
        <f>IF(W$4&gt;$C$7,"",SUMIF($E$22:$E45,"Milled (t)",W$22:W45))</f>
        <v/>
      </c>
      <c r="X7" s="988" t="str">
        <f>IF(X$4&gt;$C$7,"",SUMIF($E$22:$E45,"Milled (t)",X$22:X45))</f>
        <v/>
      </c>
      <c r="Y7" s="988" t="str">
        <f>IF(Y$4&gt;$C$7,"",SUMIF($E$22:$E45,"Milled (t)",Y$22:Y45))</f>
        <v/>
      </c>
      <c r="Z7" s="988" t="str">
        <f>IF(Z$4&gt;$C$7,"",SUMIF($E$22:$E45,"Milled (t)",Z$22:Z45))</f>
        <v/>
      </c>
      <c r="AA7" s="988" t="str">
        <f>IF(AA$4&gt;$C$7,"",SUMIF($E$22:$E45,"Milled (t)",AA$22:AA45))</f>
        <v/>
      </c>
      <c r="AB7" s="988" t="str">
        <f>IF(AB$4&gt;$C$7,"",SUMIF($E$22:$E45,"Milled (t)",AB$22:AB45))</f>
        <v/>
      </c>
      <c r="AC7" s="988" t="str">
        <f>IF(AC$4&gt;$C$7,"",SUMIF($E$22:$E45,"Milled (t)",AC$22:AC45))</f>
        <v/>
      </c>
      <c r="AD7" s="988" t="str">
        <f>IF(AD$4&gt;$C$7,"",SUMIF($E$22:$E45,"Milled (t)",AD$22:AD45))</f>
        <v/>
      </c>
      <c r="AE7" s="988" t="str">
        <f>IF(AE$4&gt;$C$7,"",SUMIF($E$22:$E45,"Milled (t)",AE$22:AE45))</f>
        <v/>
      </c>
      <c r="AF7" s="988" t="str">
        <f>IF(AF$4&gt;$C$7,"",SUMIF($E$22:$E45,"Milled (t)",AF$22:AF45))</f>
        <v/>
      </c>
      <c r="AG7" s="988" t="str">
        <f>IF(AG$4&gt;$C$7,"",SUMIF($E$22:$E45,"Milled (t)",AG$22:AG45))</f>
        <v/>
      </c>
      <c r="AH7" s="988" t="str">
        <f>IF(AH$4&gt;$C$7,"",SUMIF($E$22:$E45,"Milled (t)",AH$22:AH45))</f>
        <v/>
      </c>
      <c r="AI7" s="988" t="str">
        <f>IF(AI$4&gt;$C$7,"",SUMIF($E$22:$E45,"Milled (t)",AI$22:AI45))</f>
        <v/>
      </c>
      <c r="AJ7" s="988" t="str">
        <f>IF(AJ$4&gt;$C$7,"",SUMIF($E$22:$E45,"Milled (t)",AJ$22:AJ45))</f>
        <v/>
      </c>
      <c r="AK7" s="988" t="str">
        <f>IF(AK$4&gt;$C$7,"",SUMIF($E$22:$E45,"Milled (t)",AK$22:AK45))</f>
        <v/>
      </c>
      <c r="AL7" s="989" t="str">
        <f>IF(AL$4&gt;$C$7,"",SUMIF($E$22:$E45,"Milled (t)",AL$22:AL45))</f>
        <v/>
      </c>
      <c r="AM7" s="439"/>
    </row>
    <row r="8" spans="2:39" s="342" customFormat="1" ht="15" customHeight="1" thickBot="1">
      <c r="G8" s="198" t="s">
        <v>384</v>
      </c>
      <c r="H8" s="428">
        <f t="shared" ref="H8:AL8" si="0">IF(H$4&gt;$C$7,"",IFERROR(H14*1000/H5,0))</f>
        <v>2.2999999999999998</v>
      </c>
      <c r="I8" s="641">
        <f t="shared" si="0"/>
        <v>2.3000000000000003</v>
      </c>
      <c r="J8" s="641">
        <f t="shared" si="0"/>
        <v>1.8320000000000001</v>
      </c>
      <c r="K8" s="641">
        <f t="shared" si="0"/>
        <v>2.2315352207198247</v>
      </c>
      <c r="L8" s="641">
        <f t="shared" si="0"/>
        <v>2.2339308325453358</v>
      </c>
      <c r="M8" s="641">
        <f t="shared" si="0"/>
        <v>2.2355007055332963</v>
      </c>
      <c r="N8" s="641" t="str">
        <f t="shared" si="0"/>
        <v/>
      </c>
      <c r="O8" s="641" t="str">
        <f t="shared" si="0"/>
        <v/>
      </c>
      <c r="P8" s="641" t="str">
        <f t="shared" si="0"/>
        <v/>
      </c>
      <c r="Q8" s="641" t="str">
        <f t="shared" si="0"/>
        <v/>
      </c>
      <c r="R8" s="641" t="str">
        <f t="shared" si="0"/>
        <v/>
      </c>
      <c r="S8" s="641" t="str">
        <f t="shared" si="0"/>
        <v/>
      </c>
      <c r="T8" s="641" t="str">
        <f t="shared" si="0"/>
        <v/>
      </c>
      <c r="U8" s="641" t="str">
        <f t="shared" si="0"/>
        <v/>
      </c>
      <c r="V8" s="641" t="str">
        <f t="shared" si="0"/>
        <v/>
      </c>
      <c r="W8" s="641" t="str">
        <f t="shared" si="0"/>
        <v/>
      </c>
      <c r="X8" s="641" t="str">
        <f t="shared" si="0"/>
        <v/>
      </c>
      <c r="Y8" s="641" t="str">
        <f t="shared" si="0"/>
        <v/>
      </c>
      <c r="Z8" s="641" t="str">
        <f t="shared" si="0"/>
        <v/>
      </c>
      <c r="AA8" s="641" t="str">
        <f t="shared" si="0"/>
        <v/>
      </c>
      <c r="AB8" s="641" t="str">
        <f t="shared" si="0"/>
        <v/>
      </c>
      <c r="AC8" s="641" t="str">
        <f t="shared" si="0"/>
        <v/>
      </c>
      <c r="AD8" s="641" t="str">
        <f t="shared" si="0"/>
        <v/>
      </c>
      <c r="AE8" s="641" t="str">
        <f t="shared" si="0"/>
        <v/>
      </c>
      <c r="AF8" s="641" t="str">
        <f t="shared" si="0"/>
        <v/>
      </c>
      <c r="AG8" s="641" t="str">
        <f t="shared" si="0"/>
        <v/>
      </c>
      <c r="AH8" s="641" t="str">
        <f t="shared" si="0"/>
        <v/>
      </c>
      <c r="AI8" s="641" t="str">
        <f t="shared" si="0"/>
        <v/>
      </c>
      <c r="AJ8" s="641" t="str">
        <f t="shared" si="0"/>
        <v/>
      </c>
      <c r="AK8" s="641" t="str">
        <f t="shared" si="0"/>
        <v/>
      </c>
      <c r="AL8" s="456" t="str">
        <f t="shared" si="0"/>
        <v/>
      </c>
      <c r="AM8" s="439"/>
    </row>
    <row r="9" spans="2:39" s="302" customFormat="1" ht="15" customHeight="1" thickBot="1">
      <c r="B9" s="440" t="s">
        <v>14</v>
      </c>
      <c r="C9" s="441" t="s">
        <v>27</v>
      </c>
      <c r="D9" s="442" t="s">
        <v>28</v>
      </c>
      <c r="E9" s="443" t="s">
        <v>29</v>
      </c>
      <c r="G9" s="197" t="s">
        <v>385</v>
      </c>
      <c r="H9" s="1202">
        <f t="shared" ref="H9:AL9" si="1">IF(H$4&gt;$C$7,"",IFERROR(H15*1000/H6,0))</f>
        <v>1.4863999999999999</v>
      </c>
      <c r="I9" s="1203">
        <f t="shared" si="1"/>
        <v>1.8516999999999999</v>
      </c>
      <c r="J9" s="1203">
        <f t="shared" si="1"/>
        <v>2.7927</v>
      </c>
      <c r="K9" s="1203">
        <f t="shared" si="1"/>
        <v>1.7002999999999999</v>
      </c>
      <c r="L9" s="1203">
        <f t="shared" si="1"/>
        <v>2.6778</v>
      </c>
      <c r="M9" s="1203">
        <f t="shared" si="1"/>
        <v>0</v>
      </c>
      <c r="N9" s="1203" t="str">
        <f t="shared" si="1"/>
        <v/>
      </c>
      <c r="O9" s="1203" t="str">
        <f t="shared" si="1"/>
        <v/>
      </c>
      <c r="P9" s="1203" t="str">
        <f t="shared" si="1"/>
        <v/>
      </c>
      <c r="Q9" s="1203" t="str">
        <f t="shared" si="1"/>
        <v/>
      </c>
      <c r="R9" s="1203" t="str">
        <f t="shared" si="1"/>
        <v/>
      </c>
      <c r="S9" s="1203" t="str">
        <f t="shared" si="1"/>
        <v/>
      </c>
      <c r="T9" s="1203" t="str">
        <f t="shared" si="1"/>
        <v/>
      </c>
      <c r="U9" s="1203" t="str">
        <f t="shared" si="1"/>
        <v/>
      </c>
      <c r="V9" s="1203" t="str">
        <f t="shared" si="1"/>
        <v/>
      </c>
      <c r="W9" s="1203" t="str">
        <f t="shared" si="1"/>
        <v/>
      </c>
      <c r="X9" s="1203" t="str">
        <f t="shared" si="1"/>
        <v/>
      </c>
      <c r="Y9" s="1203" t="str">
        <f t="shared" si="1"/>
        <v/>
      </c>
      <c r="Z9" s="1203" t="str">
        <f t="shared" si="1"/>
        <v/>
      </c>
      <c r="AA9" s="1203" t="str">
        <f t="shared" si="1"/>
        <v/>
      </c>
      <c r="AB9" s="1203" t="str">
        <f t="shared" si="1"/>
        <v/>
      </c>
      <c r="AC9" s="1203" t="str">
        <f t="shared" si="1"/>
        <v/>
      </c>
      <c r="AD9" s="1203" t="str">
        <f t="shared" si="1"/>
        <v/>
      </c>
      <c r="AE9" s="1203" t="str">
        <f t="shared" si="1"/>
        <v/>
      </c>
      <c r="AF9" s="1203" t="str">
        <f t="shared" si="1"/>
        <v/>
      </c>
      <c r="AG9" s="1203" t="str">
        <f t="shared" si="1"/>
        <v/>
      </c>
      <c r="AH9" s="1203" t="str">
        <f t="shared" si="1"/>
        <v/>
      </c>
      <c r="AI9" s="1203" t="str">
        <f t="shared" si="1"/>
        <v/>
      </c>
      <c r="AJ9" s="1203" t="str">
        <f t="shared" si="1"/>
        <v/>
      </c>
      <c r="AK9" s="1203" t="str">
        <f t="shared" si="1"/>
        <v/>
      </c>
      <c r="AL9" s="1204" t="str">
        <f t="shared" si="1"/>
        <v/>
      </c>
      <c r="AM9" s="439"/>
    </row>
    <row r="10" spans="2:39" s="343" customFormat="1" ht="15" customHeight="1" thickBot="1">
      <c r="B10" s="444" t="s">
        <v>206</v>
      </c>
      <c r="C10" s="134">
        <f>SUM(H5:AL5)</f>
        <v>6456.2915999999977</v>
      </c>
      <c r="D10" s="135">
        <f>IFERROR(E10*1000/C10,0)</f>
        <v>2.1847275168228704</v>
      </c>
      <c r="E10" s="136">
        <f>SUM(H14:AL14)</f>
        <v>14.105237915152353</v>
      </c>
      <c r="G10" s="197" t="s">
        <v>386</v>
      </c>
      <c r="H10" s="1202">
        <f t="shared" ref="H10:AL10" si="2">IF(H$4&gt;$C$7,"",IFERROR(H16*1000/H7,0))</f>
        <v>1.3227</v>
      </c>
      <c r="I10" s="1203">
        <f t="shared" si="2"/>
        <v>1.9326000000000003</v>
      </c>
      <c r="J10" s="1203">
        <f t="shared" si="2"/>
        <v>2.1524000000000001</v>
      </c>
      <c r="K10" s="1203">
        <f t="shared" si="2"/>
        <v>1.7907</v>
      </c>
      <c r="L10" s="1203">
        <f t="shared" si="2"/>
        <v>2.0169000000000001</v>
      </c>
      <c r="M10" s="1203">
        <f t="shared" si="2"/>
        <v>0</v>
      </c>
      <c r="N10" s="1203" t="str">
        <f t="shared" si="2"/>
        <v/>
      </c>
      <c r="O10" s="1203" t="str">
        <f t="shared" si="2"/>
        <v/>
      </c>
      <c r="P10" s="1203" t="str">
        <f t="shared" si="2"/>
        <v/>
      </c>
      <c r="Q10" s="1203" t="str">
        <f t="shared" si="2"/>
        <v/>
      </c>
      <c r="R10" s="1203" t="str">
        <f t="shared" si="2"/>
        <v/>
      </c>
      <c r="S10" s="1203" t="str">
        <f t="shared" si="2"/>
        <v/>
      </c>
      <c r="T10" s="1203" t="str">
        <f t="shared" si="2"/>
        <v/>
      </c>
      <c r="U10" s="1203" t="str">
        <f t="shared" si="2"/>
        <v/>
      </c>
      <c r="V10" s="1203" t="str">
        <f t="shared" si="2"/>
        <v/>
      </c>
      <c r="W10" s="1203" t="str">
        <f t="shared" si="2"/>
        <v/>
      </c>
      <c r="X10" s="1203" t="str">
        <f t="shared" si="2"/>
        <v/>
      </c>
      <c r="Y10" s="1203" t="str">
        <f t="shared" si="2"/>
        <v/>
      </c>
      <c r="Z10" s="1203" t="str">
        <f t="shared" si="2"/>
        <v/>
      </c>
      <c r="AA10" s="1203" t="str">
        <f t="shared" si="2"/>
        <v/>
      </c>
      <c r="AB10" s="1203" t="str">
        <f t="shared" si="2"/>
        <v/>
      </c>
      <c r="AC10" s="1203" t="str">
        <f t="shared" si="2"/>
        <v/>
      </c>
      <c r="AD10" s="1203" t="str">
        <f t="shared" si="2"/>
        <v/>
      </c>
      <c r="AE10" s="1203" t="str">
        <f t="shared" si="2"/>
        <v/>
      </c>
      <c r="AF10" s="1203" t="str">
        <f t="shared" si="2"/>
        <v/>
      </c>
      <c r="AG10" s="1203" t="str">
        <f t="shared" si="2"/>
        <v/>
      </c>
      <c r="AH10" s="1203" t="str">
        <f t="shared" si="2"/>
        <v/>
      </c>
      <c r="AI10" s="1203" t="str">
        <f t="shared" si="2"/>
        <v/>
      </c>
      <c r="AJ10" s="1203" t="str">
        <f t="shared" si="2"/>
        <v/>
      </c>
      <c r="AK10" s="1203" t="str">
        <f t="shared" si="2"/>
        <v/>
      </c>
      <c r="AL10" s="1204" t="str">
        <f t="shared" si="2"/>
        <v/>
      </c>
      <c r="AM10" s="356"/>
    </row>
    <row r="11" spans="2:39" s="343" customFormat="1" ht="15" customHeight="1" thickBot="1">
      <c r="B11" s="445" t="s">
        <v>49</v>
      </c>
      <c r="C11" s="137">
        <f>SUM(H6:AL6)</f>
        <v>4285.2205000000004</v>
      </c>
      <c r="D11" s="138">
        <f>IFERROR(E11*1000/C11,0)</f>
        <v>2.0178731199269673</v>
      </c>
      <c r="E11" s="139">
        <f>SUM(H15:AL15)</f>
        <v>8.6470312599099994</v>
      </c>
      <c r="G11" s="197" t="s">
        <v>387</v>
      </c>
      <c r="H11" s="1051">
        <f t="shared" ref="H11:AL11" si="3">IF(H$4&gt;$C$7,"",IFERROR(H17*1000/H7,0))</f>
        <v>1.8463861999999998</v>
      </c>
      <c r="I11" s="1007">
        <f t="shared" si="3"/>
        <v>2.0515102999999999</v>
      </c>
      <c r="J11" s="1007">
        <f t="shared" si="3"/>
        <v>2.7219905</v>
      </c>
      <c r="K11" s="1007">
        <f t="shared" si="3"/>
        <v>2.2959665999999999</v>
      </c>
      <c r="L11" s="1007">
        <f t="shared" si="3"/>
        <v>2.1611726999999998</v>
      </c>
      <c r="M11" s="1007">
        <f t="shared" si="3"/>
        <v>0</v>
      </c>
      <c r="N11" s="1007" t="str">
        <f t="shared" si="3"/>
        <v/>
      </c>
      <c r="O11" s="1007" t="str">
        <f t="shared" si="3"/>
        <v/>
      </c>
      <c r="P11" s="1007" t="str">
        <f t="shared" si="3"/>
        <v/>
      </c>
      <c r="Q11" s="1007" t="str">
        <f t="shared" si="3"/>
        <v/>
      </c>
      <c r="R11" s="1007" t="str">
        <f t="shared" si="3"/>
        <v/>
      </c>
      <c r="S11" s="1007" t="str">
        <f t="shared" si="3"/>
        <v/>
      </c>
      <c r="T11" s="1007" t="str">
        <f t="shared" si="3"/>
        <v/>
      </c>
      <c r="U11" s="1007" t="str">
        <f t="shared" si="3"/>
        <v/>
      </c>
      <c r="V11" s="1007" t="str">
        <f t="shared" si="3"/>
        <v/>
      </c>
      <c r="W11" s="1007" t="str">
        <f t="shared" si="3"/>
        <v/>
      </c>
      <c r="X11" s="1007" t="str">
        <f t="shared" si="3"/>
        <v/>
      </c>
      <c r="Y11" s="1007" t="str">
        <f t="shared" si="3"/>
        <v/>
      </c>
      <c r="Z11" s="1007" t="str">
        <f t="shared" si="3"/>
        <v/>
      </c>
      <c r="AA11" s="1007" t="str">
        <f t="shared" si="3"/>
        <v/>
      </c>
      <c r="AB11" s="1007" t="str">
        <f t="shared" si="3"/>
        <v/>
      </c>
      <c r="AC11" s="1007" t="str">
        <f t="shared" si="3"/>
        <v/>
      </c>
      <c r="AD11" s="1007" t="str">
        <f t="shared" si="3"/>
        <v/>
      </c>
      <c r="AE11" s="1007" t="str">
        <f t="shared" si="3"/>
        <v/>
      </c>
      <c r="AF11" s="1007" t="str">
        <f t="shared" si="3"/>
        <v/>
      </c>
      <c r="AG11" s="1007" t="str">
        <f t="shared" si="3"/>
        <v/>
      </c>
      <c r="AH11" s="1007" t="str">
        <f t="shared" si="3"/>
        <v/>
      </c>
      <c r="AI11" s="1007" t="str">
        <f t="shared" si="3"/>
        <v/>
      </c>
      <c r="AJ11" s="1007" t="str">
        <f t="shared" si="3"/>
        <v/>
      </c>
      <c r="AK11" s="1007" t="str">
        <f t="shared" si="3"/>
        <v/>
      </c>
      <c r="AL11" s="1009" t="str">
        <f t="shared" si="3"/>
        <v/>
      </c>
      <c r="AM11" s="356"/>
    </row>
    <row r="12" spans="2:39" s="105" customFormat="1" ht="14.85" customHeight="1" thickBot="1">
      <c r="B12" s="1058" t="s">
        <v>207</v>
      </c>
      <c r="C12" s="1059">
        <f>IFERROR((C11-C10)/C10,0)</f>
        <v>-0.33627215660457438</v>
      </c>
      <c r="D12" s="1060">
        <f t="shared" ref="D12:E12" si="4">IFERROR((D11-D10)/D10,0)</f>
        <v>-7.6373092576116908E-2</v>
      </c>
      <c r="E12" s="1205">
        <f t="shared" si="4"/>
        <v>-0.38696310463355971</v>
      </c>
      <c r="G12" s="198" t="s">
        <v>388</v>
      </c>
      <c r="H12" s="428">
        <f>IF(H$4&gt;$C$7,"",SUMIF($E$42:$E45,"Budget (g/t)",H$42:H45))</f>
        <v>0.27599999999999969</v>
      </c>
      <c r="I12" s="141">
        <f>IF(I$4&gt;$C$7,"",SUMIF($E$42:$E45,"Budget (g/t)",I$42:I45))</f>
        <v>0.27599999999999975</v>
      </c>
      <c r="J12" s="141">
        <f>IF(J$4&gt;$C$7,"",SUMIF($E$42:$E45,"Budget (g/t)",J$42:J45))</f>
        <v>0.25539647316311292</v>
      </c>
      <c r="K12" s="141">
        <f>IF(K$4&gt;$C$7,"",SUMIF($E$42:$E45,"Budget (g/t)",K$42:K45))</f>
        <v>0.2634550481581826</v>
      </c>
      <c r="L12" s="141">
        <f>IF(L$4&gt;$C$7,"",SUMIF($E$42:$E45,"Budget (g/t)",L$42:L45))</f>
        <v>0.26373787409030247</v>
      </c>
      <c r="M12" s="141">
        <f>IF(M$4&gt;$C$7,"",SUMIF($E$42:$E45,"Budget (g/t)",M$42:M45))</f>
        <v>0.26392321329526081</v>
      </c>
      <c r="N12" s="141" t="str">
        <f>IF(N$4&gt;$C$7,"",SUMIF($E$42:$E45,"Budget (g/t)",N$42:N45))</f>
        <v/>
      </c>
      <c r="O12" s="141" t="str">
        <f>IF(O$4&gt;$C$7,"",SUMIF($E$42:$E45,"Budget (g/t)",O$42:O45))</f>
        <v/>
      </c>
      <c r="P12" s="141" t="str">
        <f>IF(P$4&gt;$C$7,"",SUMIF($E$42:$E45,"Budget (g/t)",P$42:P45))</f>
        <v/>
      </c>
      <c r="Q12" s="141" t="str">
        <f>IF(Q$4&gt;$C$7,"",SUMIF($E$42:$E45,"Budget (g/t)",Q$42:Q45))</f>
        <v/>
      </c>
      <c r="R12" s="141" t="str">
        <f>IF(R$4&gt;$C$7,"",SUMIF($E$42:$E45,"Budget (g/t)",R$42:R45))</f>
        <v/>
      </c>
      <c r="S12" s="141" t="str">
        <f>IF(S$4&gt;$C$7,"",SUMIF($E$42:$E45,"Budget (g/t)",S$42:S45))</f>
        <v/>
      </c>
      <c r="T12" s="141" t="str">
        <f>IF(T$4&gt;$C$7,"",SUMIF($E$42:$E45,"Budget (g/t)",T$42:T45))</f>
        <v/>
      </c>
      <c r="U12" s="141" t="str">
        <f>IF(U$4&gt;$C$7,"",SUMIF($E$42:$E45,"Budget (g/t)",U$42:U45))</f>
        <v/>
      </c>
      <c r="V12" s="141" t="str">
        <f>IF(V$4&gt;$C$7,"",SUMIF($E$42:$E45,"Budget (g/t)",V$42:V45))</f>
        <v/>
      </c>
      <c r="W12" s="141" t="str">
        <f>IF(W$4&gt;$C$7,"",SUMIF($E$42:$E45,"Budget (g/t)",W$42:W45))</f>
        <v/>
      </c>
      <c r="X12" s="141" t="str">
        <f>IF(X$4&gt;$C$7,"",SUMIF($E$42:$E45,"Budget (g/t)",X$42:X45))</f>
        <v/>
      </c>
      <c r="Y12" s="141" t="str">
        <f>IF(Y$4&gt;$C$7,"",SUMIF($E$42:$E45,"Budget (g/t)",Y$42:Y45))</f>
        <v/>
      </c>
      <c r="Z12" s="141" t="str">
        <f>IF(Z$4&gt;$C$7,"",SUMIF($E$42:$E45,"Budget (g/t)",Z$42:Z45))</f>
        <v/>
      </c>
      <c r="AA12" s="141" t="str">
        <f>IF(AA$4&gt;$C$7,"",SUMIF($E$42:$E45,"Budget (g/t)",AA$42:AA45))</f>
        <v/>
      </c>
      <c r="AB12" s="141" t="str">
        <f>IF(AB$4&gt;$C$7,"",SUMIF($E$42:$E45,"Budget (g/t)",AB$42:AB45))</f>
        <v/>
      </c>
      <c r="AC12" s="141" t="str">
        <f>IF(AC$4&gt;$C$7,"",SUMIF($E$42:$E45,"Budget (g/t)",AC$42:AC45))</f>
        <v/>
      </c>
      <c r="AD12" s="141" t="str">
        <f>IF(AD$4&gt;$C$7,"",SUMIF($E$42:$E45,"Budget (g/t)",AD$42:AD45))</f>
        <v/>
      </c>
      <c r="AE12" s="141" t="str">
        <f>IF(AE$4&gt;$C$7,"",SUMIF($E$42:$E45,"Budget (g/t)",AE$42:AE45))</f>
        <v/>
      </c>
      <c r="AF12" s="141" t="str">
        <f>IF(AF$4&gt;$C$7,"",SUMIF($E$42:$E45,"Budget (g/t)",AF$42:AF45))</f>
        <v/>
      </c>
      <c r="AG12" s="141" t="str">
        <f>IF(AG$4&gt;$C$7,"",SUMIF($E$42:$E45,"Budget (g/t)",AG$42:AG45))</f>
        <v/>
      </c>
      <c r="AH12" s="141" t="str">
        <f>IF(AH$4&gt;$C$7,"",SUMIF($E$42:$E45,"Budget (g/t)",AH$42:AH45))</f>
        <v/>
      </c>
      <c r="AI12" s="141" t="str">
        <f>IF(AI$4&gt;$C$7,"",SUMIF($E$42:$E45,"Budget (g/t)",AI$42:AI45))</f>
        <v/>
      </c>
      <c r="AJ12" s="141" t="str">
        <f>IF(AJ$4&gt;$C$7,"",SUMIF($E$42:$E45,"Budget (g/t)",AJ$42:AJ45))</f>
        <v/>
      </c>
      <c r="AK12" s="141" t="str">
        <f>IF(AK$4&gt;$C$7,"",SUMIF($E$42:$E45,"Budget (g/t)",AK$42:AK45))</f>
        <v/>
      </c>
      <c r="AL12" s="142" t="str">
        <f>IF(AL$4&gt;$C$7,"",SUMIF($E$42:$E45,"Budget (g/t)",AL$42:AL45))</f>
        <v/>
      </c>
      <c r="AM12" s="356"/>
    </row>
    <row r="13" spans="2:39" s="109" customFormat="1" ht="15" customHeight="1" thickBot="1">
      <c r="B13" s="446" t="s">
        <v>389</v>
      </c>
      <c r="C13" s="137">
        <f>SUM(H7:AL7)</f>
        <v>5244.8028999999997</v>
      </c>
      <c r="D13" s="138">
        <f>IFERROR(E13*1000/C13,0)</f>
        <v>1.8025186086535305</v>
      </c>
      <c r="E13" s="139">
        <f>SUM(H16:AL16)</f>
        <v>9.4538548259700015</v>
      </c>
      <c r="G13" s="197" t="s">
        <v>390</v>
      </c>
      <c r="H13" s="1051">
        <f>IF(H$4&gt;$C$7,"",SUMIF($E$42:$E45,"Tails (g/t)",H$42:H45))</f>
        <v>0.26983800000000002</v>
      </c>
      <c r="I13" s="1008">
        <f>IF(I$4&gt;$C$7,"",SUMIF($E$42:$E45,"Tails (g/t)",I$42:I45))</f>
        <v>0.29961399999999999</v>
      </c>
      <c r="J13" s="1008">
        <f>IF(J$4&gt;$C$7,"",SUMIF($E$42:$E45,"Tails (g/t)",J$42:J45))</f>
        <v>0.39</v>
      </c>
      <c r="K13" s="1008">
        <f>IF(K$4&gt;$C$7,"",SUMIF($E$42:$E45,"Tails (g/t)",K$42:K45))</f>
        <v>0.34393400000000002</v>
      </c>
      <c r="L13" s="1008">
        <f>IF(L$4&gt;$C$7,"",SUMIF($E$42:$E45,"Tails (g/t)",L$42:L45))</f>
        <v>0.30120799999999998</v>
      </c>
      <c r="M13" s="1008">
        <f>IF(M$4&gt;$C$7,"",SUMIF($E$42:$E45,"Tails (g/t)",M$42:M45))</f>
        <v>0</v>
      </c>
      <c r="N13" s="1008" t="str">
        <f>IF(N$4&gt;$C$7,"",SUMIF($E$42:$E45,"Tails (g/t)",N$42:N45))</f>
        <v/>
      </c>
      <c r="O13" s="1008" t="str">
        <f>IF(O$4&gt;$C$7,"",SUMIF($E$42:$E45,"Tails (g/t)",O$42:O45))</f>
        <v/>
      </c>
      <c r="P13" s="1008" t="str">
        <f>IF(P$4&gt;$C$7,"",SUMIF($E$42:$E45,"Tails (g/t)",P$42:P45))</f>
        <v/>
      </c>
      <c r="Q13" s="1008" t="str">
        <f>IF(Q$4&gt;$C$7,"",SUMIF($E$42:$E45,"Tails (g/t)",Q$42:Q45))</f>
        <v/>
      </c>
      <c r="R13" s="1008" t="str">
        <f>IF(R$4&gt;$C$7,"",SUMIF($E$42:$E45,"Tails (g/t)",R$42:R45))</f>
        <v/>
      </c>
      <c r="S13" s="1008" t="str">
        <f>IF(S$4&gt;$C$7,"",SUMIF($E$42:$E45,"Tails (g/t)",S$42:S45))</f>
        <v/>
      </c>
      <c r="T13" s="1008" t="str">
        <f>IF(T$4&gt;$C$7,"",SUMIF($E$42:$E45,"Tails (g/t)",T$42:T45))</f>
        <v/>
      </c>
      <c r="U13" s="1008" t="str">
        <f>IF(U$4&gt;$C$7,"",SUMIF($E$42:$E45,"Tails (g/t)",U$42:U45))</f>
        <v/>
      </c>
      <c r="V13" s="1008" t="str">
        <f>IF(V$4&gt;$C$7,"",SUMIF($E$42:$E45,"Tails (g/t)",V$42:V45))</f>
        <v/>
      </c>
      <c r="W13" s="1008" t="str">
        <f>IF(W$4&gt;$C$7,"",SUMIF($E$42:$E45,"Tails (g/t)",W$42:W45))</f>
        <v/>
      </c>
      <c r="X13" s="1008" t="str">
        <f>IF(X$4&gt;$C$7,"",SUMIF($E$42:$E45,"Tails (g/t)",X$42:X45))</f>
        <v/>
      </c>
      <c r="Y13" s="1008" t="str">
        <f>IF(Y$4&gt;$C$7,"",SUMIF($E$42:$E45,"Tails (g/t)",Y$42:Y45))</f>
        <v/>
      </c>
      <c r="Z13" s="1008" t="str">
        <f>IF(Z$4&gt;$C$7,"",SUMIF($E$42:$E45,"Tails (g/t)",Z$42:Z45))</f>
        <v/>
      </c>
      <c r="AA13" s="1008" t="str">
        <f>IF(AA$4&gt;$C$7,"",SUMIF($E$42:$E45,"Tails (g/t)",AA$42:AA45))</f>
        <v/>
      </c>
      <c r="AB13" s="1008" t="str">
        <f>IF(AB$4&gt;$C$7,"",SUMIF($E$42:$E45,"Tails (g/t)",AB$42:AB45))</f>
        <v/>
      </c>
      <c r="AC13" s="1008" t="str">
        <f>IF(AC$4&gt;$C$7,"",SUMIF($E$42:$E45,"Tails (g/t)",AC$42:AC45))</f>
        <v/>
      </c>
      <c r="AD13" s="1008" t="str">
        <f>IF(AD$4&gt;$C$7,"",SUMIF($E$42:$E45,"Tails (g/t)",AD$42:AD45))</f>
        <v/>
      </c>
      <c r="AE13" s="1008" t="str">
        <f>IF(AE$4&gt;$C$7,"",SUMIF($E$42:$E45,"Tails (g/t)",AE$42:AE45))</f>
        <v/>
      </c>
      <c r="AF13" s="1008" t="str">
        <f>IF(AF$4&gt;$C$7,"",SUMIF($E$42:$E45,"Tails (g/t)",AF$42:AF45))</f>
        <v/>
      </c>
      <c r="AG13" s="1008" t="str">
        <f>IF(AG$4&gt;$C$7,"",SUMIF($E$42:$E45,"Tails (g/t)",AG$42:AG45))</f>
        <v/>
      </c>
      <c r="AH13" s="1008" t="str">
        <f>IF(AH$4&gt;$C$7,"",SUMIF($E$42:$E45,"Tails (g/t)",AH$42:AH45))</f>
        <v/>
      </c>
      <c r="AI13" s="1008" t="str">
        <f>IF(AI$4&gt;$C$7,"",SUMIF($E$42:$E45,"Tails (g/t)",AI$42:AI45))</f>
        <v/>
      </c>
      <c r="AJ13" s="1008" t="str">
        <f>IF(AJ$4&gt;$C$7,"",SUMIF($E$42:$E45,"Tails (g/t)",AJ$42:AJ45))</f>
        <v/>
      </c>
      <c r="AK13" s="1008" t="str">
        <f>IF(AK$4&gt;$C$7,"",SUMIF($E$42:$E45,"Tails (g/t)",AK$42:AK45))</f>
        <v/>
      </c>
      <c r="AL13" s="1013" t="str">
        <f>IF(AL$4&gt;$C$7,"",SUMIF($E$42:$E45,"Tails (g/t)",AL$42:AL45))</f>
        <v/>
      </c>
      <c r="AM13" s="417"/>
    </row>
    <row r="14" spans="2:39" s="109" customFormat="1" ht="14.4" thickBot="1">
      <c r="B14" s="1061" t="s">
        <v>207</v>
      </c>
      <c r="C14" s="1059">
        <f>IFERROR((C13-C10)/C10,0)</f>
        <v>-0.18764466896135831</v>
      </c>
      <c r="D14" s="1060">
        <f t="shared" ref="D14:E14" si="5">IFERROR((D13-D10)/D10,0)</f>
        <v>-0.17494580226881809</v>
      </c>
      <c r="E14" s="1205">
        <f t="shared" si="5"/>
        <v>-0.32976282407726487</v>
      </c>
      <c r="G14" s="199" t="s">
        <v>391</v>
      </c>
      <c r="H14" s="429">
        <f>IF(H$4&gt;$C$7,"",SUMIF($E$22:$E29,"Budget (kg)",H$22:H29))</f>
        <v>2.6999037599999989</v>
      </c>
      <c r="I14" s="112">
        <f>IF(I$4&gt;$C$7,"",SUMIF($E$22:$E29,"Budget (kg)",I$22:I29))</f>
        <v>2.6999037599999993</v>
      </c>
      <c r="J14" s="112">
        <f>IF(J$4&gt;$C$7,"",SUMIF($E$22:$E29,"Budget (kg)",J$22:J29))</f>
        <v>2.1505320383999993</v>
      </c>
      <c r="K14" s="112">
        <f>IF(K$4&gt;$C$7,"",SUMIF($E$22:$E29,"Budget (kg)",K$22:K29))</f>
        <v>2.6195349273886444</v>
      </c>
      <c r="L14" s="112">
        <f>IF(L$4&gt;$C$7,"",SUMIF($E$22:$E29,"Budget (kg)",L$22:L29))</f>
        <v>1.3111735335584958</v>
      </c>
      <c r="M14" s="112">
        <f>IF(M$4&gt;$C$7,"",SUMIF($E$22:$E29,"Budget (kg)",M$22:M29))</f>
        <v>2.6241898958052161</v>
      </c>
      <c r="N14" s="112" t="str">
        <f>IF(N$4&gt;$C$7,"",SUMIF($E$22:$E29,"Budget (kg)",N$22:N29))</f>
        <v/>
      </c>
      <c r="O14" s="112" t="str">
        <f>IF(O$4&gt;$C$7,"",SUMIF($E$22:$E29,"Budget (kg)",O$22:O29))</f>
        <v/>
      </c>
      <c r="P14" s="112" t="str">
        <f>IF(P$4&gt;$C$7,"",SUMIF($E$22:$E29,"Budget (kg)",P$22:P29))</f>
        <v/>
      </c>
      <c r="Q14" s="112" t="str">
        <f>IF(Q$4&gt;$C$7,"",SUMIF($E$22:$E29,"Budget (kg)",Q$22:Q29))</f>
        <v/>
      </c>
      <c r="R14" s="112" t="str">
        <f>IF(R$4&gt;$C$7,"",SUMIF($E$22:$E29,"Budget (kg)",R$22:R29))</f>
        <v/>
      </c>
      <c r="S14" s="112" t="str">
        <f>IF(S$4&gt;$C$7,"",SUMIF($E$22:$E29,"Budget (kg)",S$22:S29))</f>
        <v/>
      </c>
      <c r="T14" s="112" t="str">
        <f>IF(T$4&gt;$C$7,"",SUMIF($E$22:$E29,"Budget (kg)",T$22:T29))</f>
        <v/>
      </c>
      <c r="U14" s="112" t="str">
        <f>IF(U$4&gt;$C$7,"",SUMIF($E$22:$E29,"Budget (kg)",U$22:U29))</f>
        <v/>
      </c>
      <c r="V14" s="112" t="str">
        <f>IF(V$4&gt;$C$7,"",SUMIF($E$22:$E29,"Budget (kg)",V$22:V29))</f>
        <v/>
      </c>
      <c r="W14" s="112" t="str">
        <f>IF(W$4&gt;$C$7,"",SUMIF($E$22:$E29,"Budget (kg)",W$22:W29))</f>
        <v/>
      </c>
      <c r="X14" s="112" t="str">
        <f>IF(X$4&gt;$C$7,"",SUMIF($E$22:$E29,"Budget (kg)",X$22:X29))</f>
        <v/>
      </c>
      <c r="Y14" s="112" t="str">
        <f>IF(Y$4&gt;$C$7,"",SUMIF($E$22:$E29,"Budget (kg)",Y$22:Y29))</f>
        <v/>
      </c>
      <c r="Z14" s="112" t="str">
        <f>IF(Z$4&gt;$C$7,"",SUMIF($E$22:$E29,"Budget (kg)",Z$22:Z29))</f>
        <v/>
      </c>
      <c r="AA14" s="112" t="str">
        <f>IF(AA$4&gt;$C$7,"",SUMIF($E$22:$E29,"Budget (kg)",AA$22:AA29))</f>
        <v/>
      </c>
      <c r="AB14" s="112" t="str">
        <f>IF(AB$4&gt;$C$7,"",SUMIF($E$22:$E29,"Budget (kg)",AB$22:AB29))</f>
        <v/>
      </c>
      <c r="AC14" s="112" t="str">
        <f>IF(AC$4&gt;$C$7,"",SUMIF($E$22:$E29,"Budget (kg)",AC$22:AC29))</f>
        <v/>
      </c>
      <c r="AD14" s="112" t="str">
        <f>IF(AD$4&gt;$C$7,"",SUMIF($E$22:$E29,"Budget (kg)",AD$22:AD29))</f>
        <v/>
      </c>
      <c r="AE14" s="112" t="str">
        <f>IF(AE$4&gt;$C$7,"",SUMIF($E$22:$E29,"Budget (kg)",AE$22:AE29))</f>
        <v/>
      </c>
      <c r="AF14" s="112" t="str">
        <f>IF(AF$4&gt;$C$7,"",SUMIF($E$22:$E29,"Budget (kg)",AF$22:AF29))</f>
        <v/>
      </c>
      <c r="AG14" s="112" t="str">
        <f>IF(AG$4&gt;$C$7,"",SUMIF($E$22:$E29,"Budget (kg)",AG$22:AG29))</f>
        <v/>
      </c>
      <c r="AH14" s="112" t="str">
        <f>IF(AH$4&gt;$C$7,"",SUMIF($E$22:$E29,"Budget (kg)",AH$22:AH29))</f>
        <v/>
      </c>
      <c r="AI14" s="112" t="str">
        <f>IF(AI$4&gt;$C$7,"",SUMIF($E$22:$E29,"Budget (kg)",AI$22:AI29))</f>
        <v/>
      </c>
      <c r="AJ14" s="112" t="str">
        <f>IF(AJ$4&gt;$C$7,"",SUMIF($E$22:$E29,"Budget (kg)",AJ$22:AJ29))</f>
        <v/>
      </c>
      <c r="AK14" s="112" t="str">
        <f>IF(AK$4&gt;$C$7,"",SUMIF($E$22:$E29,"Budget (kg)",AK$22:AK29))</f>
        <v/>
      </c>
      <c r="AL14" s="113" t="str">
        <f>IF(AL$4&gt;$C$7,"",SUMIF($E$22:$E29,"Budget (kg)",AL$22:AL29))</f>
        <v/>
      </c>
      <c r="AM14" s="418"/>
    </row>
    <row r="15" spans="2:39" s="109" customFormat="1" ht="13.8">
      <c r="B15" s="447" t="s">
        <v>34</v>
      </c>
      <c r="C15" s="448"/>
      <c r="D15" s="138">
        <f>IFERROR(E15*1000/C13,0)</f>
        <v>2.1626404668211157</v>
      </c>
      <c r="E15" s="139">
        <f>SUM(H17:AL17)</f>
        <v>11.34262299204074</v>
      </c>
      <c r="G15" s="200" t="s">
        <v>392</v>
      </c>
      <c r="H15" s="1206">
        <f>IF(H$4&gt;$C$7,"",SUMIF($E$22:$E45,"Crushed (kg)",H$22:H45))</f>
        <v>1.6031917990399998</v>
      </c>
      <c r="I15" s="1207">
        <f>IF(I$4&gt;$C$7,"",SUMIF($E$22:$E45,"Crushed (kg)",I$22:I45))</f>
        <v>1.9739447899199998</v>
      </c>
      <c r="J15" s="1207">
        <f>IF(J$4&gt;$C$7,"",SUMIF($E$22:$E45,"Crushed (kg)",J$22:J45))</f>
        <v>1.81050294168</v>
      </c>
      <c r="K15" s="1207">
        <f>IF(K$4&gt;$C$7,"",SUMIF($E$22:$E45,"Crushed (kg)",K$22:K45))</f>
        <v>1.28156864927</v>
      </c>
      <c r="L15" s="1207">
        <f>IF(L$4&gt;$C$7,"",SUMIF($E$22:$E45,"Crushed (kg)",L$22:L45))</f>
        <v>1.9778230800000001</v>
      </c>
      <c r="M15" s="1207">
        <f>IF(M$4&gt;$C$7,"",SUMIF($E$22:$E45,"Crushed (kg)",M$22:M45))</f>
        <v>0</v>
      </c>
      <c r="N15" s="1207" t="str">
        <f>IF(N$4&gt;$C$7,"",SUMIF($E$22:$E45,"Crushed (kg)",N$22:N45))</f>
        <v/>
      </c>
      <c r="O15" s="1207" t="str">
        <f>IF(O$4&gt;$C$7,"",SUMIF($E$22:$E45,"Crushed (kg)",O$22:O45))</f>
        <v/>
      </c>
      <c r="P15" s="1207" t="str">
        <f>IF(P$4&gt;$C$7,"",SUMIF($E$22:$E45,"Crushed (kg)",P$22:P45))</f>
        <v/>
      </c>
      <c r="Q15" s="1207" t="str">
        <f>IF(Q$4&gt;$C$7,"",SUMIF($E$22:$E45,"Crushed (kg)",Q$22:Q45))</f>
        <v/>
      </c>
      <c r="R15" s="1207" t="str">
        <f>IF(R$4&gt;$C$7,"",SUMIF($E$22:$E45,"Crushed (kg)",R$22:R45))</f>
        <v/>
      </c>
      <c r="S15" s="1207" t="str">
        <f>IF(S$4&gt;$C$7,"",SUMIF($E$22:$E45,"Crushed (kg)",S$22:S45))</f>
        <v/>
      </c>
      <c r="T15" s="1207" t="str">
        <f>IF(T$4&gt;$C$7,"",SUMIF($E$22:$E45,"Crushed (kg)",T$22:T45))</f>
        <v/>
      </c>
      <c r="U15" s="1207" t="str">
        <f>IF(U$4&gt;$C$7,"",SUMIF($E$22:$E45,"Crushed (kg)",U$22:U45))</f>
        <v/>
      </c>
      <c r="V15" s="1207" t="str">
        <f>IF(V$4&gt;$C$7,"",SUMIF($E$22:$E45,"Crushed (kg)",V$22:V45))</f>
        <v/>
      </c>
      <c r="W15" s="1207" t="str">
        <f>IF(W$4&gt;$C$7,"",SUMIF($E$22:$E45,"Crushed (kg)",W$22:W45))</f>
        <v/>
      </c>
      <c r="X15" s="1207" t="str">
        <f>IF(X$4&gt;$C$7,"",SUMIF($E$22:$E45,"Crushed (kg)",X$22:X45))</f>
        <v/>
      </c>
      <c r="Y15" s="1207" t="str">
        <f>IF(Y$4&gt;$C$7,"",SUMIF($E$22:$E45,"Crushed (kg)",Y$22:Y45))</f>
        <v/>
      </c>
      <c r="Z15" s="1207" t="str">
        <f>IF(Z$4&gt;$C$7,"",SUMIF($E$22:$E45,"Crushed (kg)",Z$22:Z45))</f>
        <v/>
      </c>
      <c r="AA15" s="1207" t="str">
        <f>IF(AA$4&gt;$C$7,"",SUMIF($E$22:$E45,"Crushed (kg)",AA$22:AA45))</f>
        <v/>
      </c>
      <c r="AB15" s="1207" t="str">
        <f>IF(AB$4&gt;$C$7,"",SUMIF($E$22:$E45,"Crushed (kg)",AB$22:AB45))</f>
        <v/>
      </c>
      <c r="AC15" s="1207" t="str">
        <f>IF(AC$4&gt;$C$7,"",SUMIF($E$22:$E45,"Crushed (kg)",AC$22:AC45))</f>
        <v/>
      </c>
      <c r="AD15" s="1207" t="str">
        <f>IF(AD$4&gt;$C$7,"",SUMIF($E$22:$E45,"Crushed (kg)",AD$22:AD45))</f>
        <v/>
      </c>
      <c r="AE15" s="1207" t="str">
        <f>IF(AE$4&gt;$C$7,"",SUMIF($E$22:$E45,"Crushed (kg)",AE$22:AE45))</f>
        <v/>
      </c>
      <c r="AF15" s="1207" t="str">
        <f>IF(AF$4&gt;$C$7,"",SUMIF($E$22:$E45,"Crushed (kg)",AF$22:AF45))</f>
        <v/>
      </c>
      <c r="AG15" s="1207" t="str">
        <f>IF(AG$4&gt;$C$7,"",SUMIF($E$22:$E45,"Crushed (kg)",AG$22:AG45))</f>
        <v/>
      </c>
      <c r="AH15" s="1207" t="str">
        <f>IF(AH$4&gt;$C$7,"",SUMIF($E$22:$E45,"Crushed (kg)",AH$22:AH45))</f>
        <v/>
      </c>
      <c r="AI15" s="1207" t="str">
        <f>IF(AI$4&gt;$C$7,"",SUMIF($E$22:$E45,"Crushed (kg)",AI$22:AI45))</f>
        <v/>
      </c>
      <c r="AJ15" s="1207" t="str">
        <f>IF(AJ$4&gt;$C$7,"",SUMIF($E$22:$E45,"Crushed (kg)",AJ$22:AJ45))</f>
        <v/>
      </c>
      <c r="AK15" s="1207" t="str">
        <f>IF(AK$4&gt;$C$7,"",SUMIF($E$22:$E45,"Crushed (kg)",AK$22:AK45))</f>
        <v/>
      </c>
      <c r="AL15" s="1208" t="str">
        <f>IF(AL$4&gt;$C$7,"",SUMIF($E$22:$E45,"Crushed (kg)",AL$22:AL45))</f>
        <v/>
      </c>
      <c r="AM15" s="418"/>
    </row>
    <row r="16" spans="2:39" s="110" customFormat="1" ht="14.85" customHeight="1" thickBot="1">
      <c r="B16" s="1062" t="s">
        <v>207</v>
      </c>
      <c r="C16" s="1209"/>
      <c r="D16" s="1060">
        <f>IFERROR((D15-D10)/D10,0)</f>
        <v>-1.0109750452484204E-2</v>
      </c>
      <c r="E16" s="1205">
        <f>IFERROR((E15-E10)/E10,0)</f>
        <v>-0.19585737863690431</v>
      </c>
      <c r="G16" s="200" t="s">
        <v>393</v>
      </c>
      <c r="H16" s="1206">
        <f>IF(H$4&gt;$C$7,"",SUMIF($E$22:$E45,"Milled (kg)",H$22:H45))</f>
        <v>1.6458629898899999</v>
      </c>
      <c r="I16" s="1207">
        <f>IF(I$4&gt;$C$7,"",SUMIF($E$22:$E45,"Milled (kg)",I$22:I45))</f>
        <v>2.2095338496000005</v>
      </c>
      <c r="J16" s="1207">
        <f>IF(J$4&gt;$C$7,"",SUMIF($E$22:$E45,"Milled (kg)",J$22:J45))</f>
        <v>1.4322934864800001</v>
      </c>
      <c r="K16" s="1207">
        <f>IF(K$4&gt;$C$7,"",SUMIF($E$22:$E45,"Milled (kg)",K$22:K45))</f>
        <v>2.0136904989</v>
      </c>
      <c r="L16" s="1207">
        <f>IF(L$4&gt;$C$7,"",SUMIF($E$22:$E45,"Milled (kg)",L$22:L45))</f>
        <v>2.1524740011000003</v>
      </c>
      <c r="M16" s="1207">
        <f>IF(M$4&gt;$C$7,"",SUMIF($E$22:$E45,"Milled (kg)",M$22:M45))</f>
        <v>0</v>
      </c>
      <c r="N16" s="1207" t="str">
        <f>IF(N$4&gt;$C$7,"",SUMIF($E$22:$E45,"Milled (kg)",N$22:N45))</f>
        <v/>
      </c>
      <c r="O16" s="1207" t="str">
        <f>IF(O$4&gt;$C$7,"",SUMIF($E$22:$E45,"Milled (kg)",O$22:O45))</f>
        <v/>
      </c>
      <c r="P16" s="1207" t="str">
        <f>IF(P$4&gt;$C$7,"",SUMIF($E$22:$E45,"Milled (kg)",P$22:P45))</f>
        <v/>
      </c>
      <c r="Q16" s="1207" t="str">
        <f>IF(Q$4&gt;$C$7,"",SUMIF($E$22:$E45,"Milled (kg)",Q$22:Q45))</f>
        <v/>
      </c>
      <c r="R16" s="1207" t="str">
        <f>IF(R$4&gt;$C$7,"",SUMIF($E$22:$E45,"Milled (kg)",R$22:R45))</f>
        <v/>
      </c>
      <c r="S16" s="1207" t="str">
        <f>IF(S$4&gt;$C$7,"",SUMIF($E$22:$E45,"Milled (kg)",S$22:S45))</f>
        <v/>
      </c>
      <c r="T16" s="1207" t="str">
        <f>IF(T$4&gt;$C$7,"",SUMIF($E$22:$E45,"Milled (kg)",T$22:T45))</f>
        <v/>
      </c>
      <c r="U16" s="1207" t="str">
        <f>IF(U$4&gt;$C$7,"",SUMIF($E$22:$E45,"Milled (kg)",U$22:U45))</f>
        <v/>
      </c>
      <c r="V16" s="1207" t="str">
        <f>IF(V$4&gt;$C$7,"",SUMIF($E$22:$E45,"Milled (kg)",V$22:V45))</f>
        <v/>
      </c>
      <c r="W16" s="1207" t="str">
        <f>IF(W$4&gt;$C$7,"",SUMIF($E$22:$E45,"Milled (kg)",W$22:W45))</f>
        <v/>
      </c>
      <c r="X16" s="1207" t="str">
        <f>IF(X$4&gt;$C$7,"",SUMIF($E$22:$E45,"Milled (kg)",X$22:X45))</f>
        <v/>
      </c>
      <c r="Y16" s="1207" t="str">
        <f>IF(Y$4&gt;$C$7,"",SUMIF($E$22:$E45,"Milled (kg)",Y$22:Y45))</f>
        <v/>
      </c>
      <c r="Z16" s="1207" t="str">
        <f>IF(Z$4&gt;$C$7,"",SUMIF($E$22:$E45,"Milled (kg)",Z$22:Z45))</f>
        <v/>
      </c>
      <c r="AA16" s="1207" t="str">
        <f>IF(AA$4&gt;$C$7,"",SUMIF($E$22:$E45,"Milled (kg)",AA$22:AA45))</f>
        <v/>
      </c>
      <c r="AB16" s="1207" t="str">
        <f>IF(AB$4&gt;$C$7,"",SUMIF($E$22:$E45,"Milled (kg)",AB$22:AB45))</f>
        <v/>
      </c>
      <c r="AC16" s="1207" t="str">
        <f>IF(AC$4&gt;$C$7,"",SUMIF($E$22:$E45,"Milled (kg)",AC$22:AC45))</f>
        <v/>
      </c>
      <c r="AD16" s="1207" t="str">
        <f>IF(AD$4&gt;$C$7,"",SUMIF($E$22:$E45,"Milled (kg)",AD$22:AD45))</f>
        <v/>
      </c>
      <c r="AE16" s="1207" t="str">
        <f>IF(AE$4&gt;$C$7,"",SUMIF($E$22:$E45,"Milled (kg)",AE$22:AE45))</f>
        <v/>
      </c>
      <c r="AF16" s="1207" t="str">
        <f>IF(AF$4&gt;$C$7,"",SUMIF($E$22:$E45,"Milled (kg)",AF$22:AF45))</f>
        <v/>
      </c>
      <c r="AG16" s="1207" t="str">
        <f>IF(AG$4&gt;$C$7,"",SUMIF($E$22:$E45,"Milled (kg)",AG$22:AG45))</f>
        <v/>
      </c>
      <c r="AH16" s="1207" t="str">
        <f>IF(AH$4&gt;$C$7,"",SUMIF($E$22:$E45,"Milled (kg)",AH$22:AH45))</f>
        <v/>
      </c>
      <c r="AI16" s="1207" t="str">
        <f>IF(AI$4&gt;$C$7,"",SUMIF($E$22:$E45,"Milled (kg)",AI$22:AI45))</f>
        <v/>
      </c>
      <c r="AJ16" s="1207" t="str">
        <f>IF(AJ$4&gt;$C$7,"",SUMIF($E$22:$E45,"Milled (kg)",AJ$22:AJ45))</f>
        <v/>
      </c>
      <c r="AK16" s="1207" t="str">
        <f>IF(AK$4&gt;$C$7,"",SUMIF($E$22:$E45,"Milled (kg)",AK$22:AK45))</f>
        <v/>
      </c>
      <c r="AL16" s="1208" t="str">
        <f>IF(AL$4&gt;$C$7,"",SUMIF($E$22:$E45,"Milled (kg)",AL$22:AL45))</f>
        <v/>
      </c>
      <c r="AM16" s="418"/>
    </row>
    <row r="17" spans="2:39" s="110" customFormat="1" ht="14.85" customHeight="1" thickBot="1">
      <c r="B17" s="447" t="s">
        <v>394</v>
      </c>
      <c r="C17" s="448"/>
      <c r="D17" s="143">
        <f>IFERROR(E17*1000/C10,0)</f>
        <v>0.26666248575667401</v>
      </c>
      <c r="E17" s="144">
        <f>SUM(H18:AL18)</f>
        <v>1.7216507668259333</v>
      </c>
      <c r="G17" s="200" t="s">
        <v>395</v>
      </c>
      <c r="H17" s="1052">
        <f>IF(H$4&gt;$C$7,"",SUMIF($E$22:$E45,"CIL (kg)",H$22:H45))</f>
        <v>2.2974965688543398</v>
      </c>
      <c r="I17" s="997">
        <f>IF(I$4&gt;$C$7,"",SUMIF($E$22:$E45,"CIL (kg)",I$22:I45))</f>
        <v>2.3454835199487998</v>
      </c>
      <c r="J17" s="997">
        <f>IF(J$4&gt;$C$7,"",SUMIF($E$22:$E45,"CIL (kg)",J$22:J45))</f>
        <v>1.8113219027181</v>
      </c>
      <c r="K17" s="997">
        <f>IF(K$4&gt;$C$7,"",SUMIF($E$22:$E45,"CIL (kg)",K$22:K45))</f>
        <v>2.5818764327981998</v>
      </c>
      <c r="L17" s="997">
        <f>IF(L$4&gt;$C$7,"",SUMIF($E$22:$E45,"CIL (kg)",L$22:L45))</f>
        <v>2.3064445677212997</v>
      </c>
      <c r="M17" s="997">
        <f>IF(M$4&gt;$C$7,"",SUMIF($E$22:$E45,"CIL (kg)",M$22:M45))</f>
        <v>0</v>
      </c>
      <c r="N17" s="997" t="str">
        <f>IF(N$4&gt;$C$7,"",SUMIF($E$22:$E45,"CIL (kg)",N$22:N45))</f>
        <v/>
      </c>
      <c r="O17" s="997" t="str">
        <f>IF(O$4&gt;$C$7,"",SUMIF($E$22:$E45,"CIL (kg)",O$22:O45))</f>
        <v/>
      </c>
      <c r="P17" s="997" t="str">
        <f>IF(P$4&gt;$C$7,"",SUMIF($E$22:$E45,"CIL (kg)",P$22:P45))</f>
        <v/>
      </c>
      <c r="Q17" s="997" t="str">
        <f>IF(Q$4&gt;$C$7,"",SUMIF($E$22:$E45,"CIL (kg)",Q$22:Q45))</f>
        <v/>
      </c>
      <c r="R17" s="997" t="str">
        <f>IF(R$4&gt;$C$7,"",SUMIF($E$22:$E45,"CIL (kg)",R$22:R45))</f>
        <v/>
      </c>
      <c r="S17" s="997" t="str">
        <f>IF(S$4&gt;$C$7,"",SUMIF($E$22:$E45,"CIL (kg)",S$22:S45))</f>
        <v/>
      </c>
      <c r="T17" s="997" t="str">
        <f>IF(T$4&gt;$C$7,"",SUMIF($E$22:$E45,"CIL (kg)",T$22:T45))</f>
        <v/>
      </c>
      <c r="U17" s="997" t="str">
        <f>IF(U$4&gt;$C$7,"",SUMIF($E$22:$E45,"CIL (kg)",U$22:U45))</f>
        <v/>
      </c>
      <c r="V17" s="997" t="str">
        <f>IF(V$4&gt;$C$7,"",SUMIF($E$22:$E45,"CIL (kg)",V$22:V45))</f>
        <v/>
      </c>
      <c r="W17" s="997" t="str">
        <f>IF(W$4&gt;$C$7,"",SUMIF($E$22:$E45,"CIL (kg)",W$22:W45))</f>
        <v/>
      </c>
      <c r="X17" s="997" t="str">
        <f>IF(X$4&gt;$C$7,"",SUMIF($E$22:$E45,"CIL (kg)",X$22:X45))</f>
        <v/>
      </c>
      <c r="Y17" s="997" t="str">
        <f>IF(Y$4&gt;$C$7,"",SUMIF($E$22:$E45,"CIL (kg)",Y$22:Y45))</f>
        <v/>
      </c>
      <c r="Z17" s="997" t="str">
        <f>IF(Z$4&gt;$C$7,"",SUMIF($E$22:$E45,"CIL (kg)",Z$22:Z45))</f>
        <v/>
      </c>
      <c r="AA17" s="997" t="str">
        <f>IF(AA$4&gt;$C$7,"",SUMIF($E$22:$E45,"CIL (kg)",AA$22:AA45))</f>
        <v/>
      </c>
      <c r="AB17" s="997" t="str">
        <f>IF(AB$4&gt;$C$7,"",SUMIF($E$22:$E45,"CIL (kg)",AB$22:AB45))</f>
        <v/>
      </c>
      <c r="AC17" s="997" t="str">
        <f>IF(AC$4&gt;$C$7,"",SUMIF($E$22:$E45,"CIL (kg)",AC$22:AC45))</f>
        <v/>
      </c>
      <c r="AD17" s="997" t="str">
        <f>IF(AD$4&gt;$C$7,"",SUMIF($E$22:$E45,"CIL (kg)",AD$22:AD45))</f>
        <v/>
      </c>
      <c r="AE17" s="997" t="str">
        <f>IF(AE$4&gt;$C$7,"",SUMIF($E$22:$E45,"CIL (kg)",AE$22:AE45))</f>
        <v/>
      </c>
      <c r="AF17" s="997" t="str">
        <f>IF(AF$4&gt;$C$7,"",SUMIF($E$22:$E45,"CIL (kg)",AF$22:AF45))</f>
        <v/>
      </c>
      <c r="AG17" s="997" t="str">
        <f>IF(AG$4&gt;$C$7,"",SUMIF($E$22:$E45,"CIL (kg)",AG$22:AG45))</f>
        <v/>
      </c>
      <c r="AH17" s="997" t="str">
        <f>IF(AH$4&gt;$C$7,"",SUMIF($E$22:$E45,"CIL (kg)",AH$22:AH45))</f>
        <v/>
      </c>
      <c r="AI17" s="997" t="str">
        <f>IF(AI$4&gt;$C$7,"",SUMIF($E$22:$E45,"CIL (kg)",AI$22:AI45))</f>
        <v/>
      </c>
      <c r="AJ17" s="997" t="str">
        <f>IF(AJ$4&gt;$C$7,"",SUMIF($E$22:$E45,"CIL (kg)",AJ$22:AJ45))</f>
        <v/>
      </c>
      <c r="AK17" s="997" t="str">
        <f>IF(AK$4&gt;$C$7,"",SUMIF($E$22:$E45,"CIL (kg)",AK$22:AK45))</f>
        <v/>
      </c>
      <c r="AL17" s="998" t="str">
        <f>IF(AL$4&gt;$C$7,"",SUMIF($E$22:$E45,"CIL (kg)",AL$22:AL45))</f>
        <v/>
      </c>
      <c r="AM17" s="418"/>
    </row>
    <row r="18" spans="2:39" s="110" customFormat="1" ht="14.85" customHeight="1">
      <c r="B18" s="1210" t="s">
        <v>396</v>
      </c>
      <c r="C18" s="1211"/>
      <c r="D18" s="138">
        <f>IFERROR(E18*1000/C13,0)</f>
        <v>0.31384442388876049</v>
      </c>
      <c r="E18" s="139">
        <f>SUM(H19:AL19)</f>
        <v>1.6460521445606002</v>
      </c>
      <c r="G18" s="198" t="s">
        <v>397</v>
      </c>
      <c r="H18" s="429">
        <f>IF(H$4&gt;$C$7,"",SUMIF($E$42:$E45,"Budget (kg)",H$42:H45))</f>
        <v>0.32398845119999953</v>
      </c>
      <c r="I18" s="112">
        <f>IF(I$4&gt;$C$7,"",SUMIF($E$42:$E45,"Budget (kg)",I$42:I45))</f>
        <v>0.32398845119999958</v>
      </c>
      <c r="J18" s="112">
        <f>IF(J$4&gt;$C$7,"",SUMIF($E$42:$E45,"Budget (kg)",J$42:J45))</f>
        <v>0.29980256442775105</v>
      </c>
      <c r="K18" s="112">
        <f>IF(K$4&gt;$C$7,"",SUMIF($E$42:$E45,"Budget (kg)",K$42:K45))</f>
        <v>0.30926229352750351</v>
      </c>
      <c r="L18" s="112">
        <f>IF(L$4&gt;$C$7,"",SUMIF($E$42:$E45,"Budget (kg)",L$42:L45))</f>
        <v>0.15479714737191608</v>
      </c>
      <c r="M18" s="112">
        <f>IF(M$4&gt;$C$7,"",SUMIF($E$42:$E45,"Budget (kg)",M$42:M45))</f>
        <v>0.30981185909876363</v>
      </c>
      <c r="N18" s="112" t="str">
        <f>IF(N$4&gt;$C$7,"",SUMIF($E$42:$E45,"Budget (kg)",N$42:N45))</f>
        <v/>
      </c>
      <c r="O18" s="112" t="str">
        <f>IF(O$4&gt;$C$7,"",SUMIF($E$42:$E45,"Budget (kg)",O$42:O45))</f>
        <v/>
      </c>
      <c r="P18" s="112" t="str">
        <f>IF(P$4&gt;$C$7,"",SUMIF($E$42:$E45,"Budget (kg)",P$42:P45))</f>
        <v/>
      </c>
      <c r="Q18" s="112" t="str">
        <f>IF(Q$4&gt;$C$7,"",SUMIF($E$42:$E45,"Budget (kg)",Q$42:Q45))</f>
        <v/>
      </c>
      <c r="R18" s="112" t="str">
        <f>IF(R$4&gt;$C$7,"",SUMIF($E$42:$E45,"Budget (kg)",R$42:R45))</f>
        <v/>
      </c>
      <c r="S18" s="112" t="str">
        <f>IF(S$4&gt;$C$7,"",SUMIF($E$42:$E45,"Budget (kg)",S$42:S45))</f>
        <v/>
      </c>
      <c r="T18" s="112" t="str">
        <f>IF(T$4&gt;$C$7,"",SUMIF($E$42:$E45,"Budget (kg)",T$42:T45))</f>
        <v/>
      </c>
      <c r="U18" s="112" t="str">
        <f>IF(U$4&gt;$C$7,"",SUMIF($E$42:$E45,"Budget (kg)",U$42:U45))</f>
        <v/>
      </c>
      <c r="V18" s="112" t="str">
        <f>IF(V$4&gt;$C$7,"",SUMIF($E$42:$E45,"Budget (kg)",V$42:V45))</f>
        <v/>
      </c>
      <c r="W18" s="112" t="str">
        <f>IF(W$4&gt;$C$7,"",SUMIF($E$42:$E45,"Budget (kg)",W$42:W45))</f>
        <v/>
      </c>
      <c r="X18" s="112" t="str">
        <f>IF(X$4&gt;$C$7,"",SUMIF($E$42:$E45,"Budget (kg)",X$42:X45))</f>
        <v/>
      </c>
      <c r="Y18" s="112" t="str">
        <f>IF(Y$4&gt;$C$7,"",SUMIF($E$42:$E45,"Budget (kg)",Y$42:Y45))</f>
        <v/>
      </c>
      <c r="Z18" s="112" t="str">
        <f>IF(Z$4&gt;$C$7,"",SUMIF($E$42:$E45,"Budget (kg)",Z$42:Z45))</f>
        <v/>
      </c>
      <c r="AA18" s="112" t="str">
        <f>IF(AA$4&gt;$C$7,"",SUMIF($E$42:$E45,"Budget (kg)",AA$42:AA45))</f>
        <v/>
      </c>
      <c r="AB18" s="112" t="str">
        <f>IF(AB$4&gt;$C$7,"",SUMIF($E$42:$E45,"Budget (kg)",AB$42:AB45))</f>
        <v/>
      </c>
      <c r="AC18" s="112" t="str">
        <f>IF(AC$4&gt;$C$7,"",SUMIF($E$42:$E45,"Budget (kg)",AC$42:AC45))</f>
        <v/>
      </c>
      <c r="AD18" s="112" t="str">
        <f>IF(AD$4&gt;$C$7,"",SUMIF($E$42:$E45,"Budget (kg)",AD$42:AD45))</f>
        <v/>
      </c>
      <c r="AE18" s="112" t="str">
        <f>IF(AE$4&gt;$C$7,"",SUMIF($E$42:$E45,"Budget (kg)",AE$42:AE45))</f>
        <v/>
      </c>
      <c r="AF18" s="112" t="str">
        <f>IF(AF$4&gt;$C$7,"",SUMIF($E$42:$E45,"Budget (kg)",AF$42:AF45))</f>
        <v/>
      </c>
      <c r="AG18" s="112" t="str">
        <f>IF(AG$4&gt;$C$7,"",SUMIF($E$42:$E45,"Budget (kg)",AG$42:AG45))</f>
        <v/>
      </c>
      <c r="AH18" s="112" t="str">
        <f>IF(AH$4&gt;$C$7,"",SUMIF($E$42:$E45,"Budget (kg)",AH$42:AH45))</f>
        <v/>
      </c>
      <c r="AI18" s="112" t="str">
        <f>IF(AI$4&gt;$C$7,"",SUMIF($E$42:$E45,"Budget (kg)",AI$42:AI45))</f>
        <v/>
      </c>
      <c r="AJ18" s="112" t="str">
        <f>IF(AJ$4&gt;$C$7,"",SUMIF($E$42:$E45,"Budget (kg)",AJ$42:AJ45))</f>
        <v/>
      </c>
      <c r="AK18" s="112" t="str">
        <f>IF(AK$4&gt;$C$7,"",SUMIF($E$42:$E45,"Budget (kg)",AK$42:AK45))</f>
        <v/>
      </c>
      <c r="AL18" s="113" t="str">
        <f>IF(AL$4&gt;$C$7,"",SUMIF($E$42:$E45,"Budget (kg)",AL$42:AL45))</f>
        <v/>
      </c>
      <c r="AM18" s="419"/>
    </row>
    <row r="19" spans="2:39" s="110" customFormat="1" ht="14.85" customHeight="1" thickBot="1">
      <c r="B19" s="1062" t="s">
        <v>207</v>
      </c>
      <c r="C19" s="1209"/>
      <c r="D19" s="1060">
        <f>IFERROR((D18-D17)/D17,0)</f>
        <v>0.17693504205589453</v>
      </c>
      <c r="E19" s="1205">
        <f>IFERROR((E18-E17)/E17,0)</f>
        <v>-4.3910544299706082E-2</v>
      </c>
      <c r="G19" s="200" t="s">
        <v>398</v>
      </c>
      <c r="H19" s="1052">
        <f>IF(H$4&gt;$C$7,"",SUMIF($E$42:$E45,"Tails (kg)",H$42:H45))</f>
        <v>0.3357650090466</v>
      </c>
      <c r="I19" s="997">
        <f>IF(I$4&gt;$C$7,"",SUMIF($E$42:$E45,"Tails (kg)",I$42:I45))</f>
        <v>0.34254748774400001</v>
      </c>
      <c r="J19" s="997">
        <f>IF(J$4&gt;$C$7,"",SUMIF($E$42:$E45,"Tails (kg)",J$42:J45))</f>
        <v>0.25952167800000003</v>
      </c>
      <c r="K19" s="997">
        <f>IF(K$4&gt;$C$7,"",SUMIF($E$42:$E45,"Tails (kg)",K$42:K45))</f>
        <v>0.38676306921800008</v>
      </c>
      <c r="L19" s="997">
        <f>IF(L$4&gt;$C$7,"",SUMIF($E$42:$E45,"Tails (kg)",L$42:L45))</f>
        <v>0.32145490055199999</v>
      </c>
      <c r="M19" s="997">
        <f>IF(M$4&gt;$C$7,"",SUMIF($E$42:$E45,"Tails (kg)",M$42:M45))</f>
        <v>0</v>
      </c>
      <c r="N19" s="997" t="str">
        <f>IF(N$4&gt;$C$7,"",SUMIF($E$42:$E45,"Tails (kg)",N$42:N45))</f>
        <v/>
      </c>
      <c r="O19" s="997" t="str">
        <f>IF(O$4&gt;$C$7,"",SUMIF($E$42:$E45,"Tails (kg)",O$42:O45))</f>
        <v/>
      </c>
      <c r="P19" s="997" t="str">
        <f>IF(P$4&gt;$C$7,"",SUMIF($E$42:$E45,"Tails (kg)",P$42:P45))</f>
        <v/>
      </c>
      <c r="Q19" s="997" t="str">
        <f>IF(Q$4&gt;$C$7,"",SUMIF($E$42:$E45,"Tails (kg)",Q$42:Q45))</f>
        <v/>
      </c>
      <c r="R19" s="997" t="str">
        <f>IF(R$4&gt;$C$7,"",SUMIF($E$42:$E45,"Tails (kg)",R$42:R45))</f>
        <v/>
      </c>
      <c r="S19" s="997" t="str">
        <f>IF(S$4&gt;$C$7,"",SUMIF($E$42:$E45,"Tails (kg)",S$42:S45))</f>
        <v/>
      </c>
      <c r="T19" s="997" t="str">
        <f>IF(T$4&gt;$C$7,"",SUMIF($E$42:$E45,"Tails (kg)",T$42:T45))</f>
        <v/>
      </c>
      <c r="U19" s="997" t="str">
        <f>IF(U$4&gt;$C$7,"",SUMIF($E$42:$E45,"Tails (kg)",U$42:U45))</f>
        <v/>
      </c>
      <c r="V19" s="997" t="str">
        <f>IF(V$4&gt;$C$7,"",SUMIF($E$42:$E45,"Tails (kg)",V$42:V45))</f>
        <v/>
      </c>
      <c r="W19" s="997" t="str">
        <f>IF(W$4&gt;$C$7,"",SUMIF($E$42:$E45,"Tails (kg)",W$42:W45))</f>
        <v/>
      </c>
      <c r="X19" s="997" t="str">
        <f>IF(X$4&gt;$C$7,"",SUMIF($E$42:$E45,"Tails (kg)",X$42:X45))</f>
        <v/>
      </c>
      <c r="Y19" s="997" t="str">
        <f>IF(Y$4&gt;$C$7,"",SUMIF($E$42:$E45,"Tails (kg)",Y$42:Y45))</f>
        <v/>
      </c>
      <c r="Z19" s="997" t="str">
        <f>IF(Z$4&gt;$C$7,"",SUMIF($E$42:$E45,"Tails (kg)",Z$42:Z45))</f>
        <v/>
      </c>
      <c r="AA19" s="997" t="str">
        <f>IF(AA$4&gt;$C$7,"",SUMIF($E$42:$E45,"Tails (kg)",AA$42:AA45))</f>
        <v/>
      </c>
      <c r="AB19" s="997" t="str">
        <f>IF(AB$4&gt;$C$7,"",SUMIF($E$42:$E45,"Tails (kg)",AB$42:AB45))</f>
        <v/>
      </c>
      <c r="AC19" s="997" t="str">
        <f>IF(AC$4&gt;$C$7,"",SUMIF($E$42:$E45,"Tails (kg)",AC$42:AC45))</f>
        <v/>
      </c>
      <c r="AD19" s="997" t="str">
        <f>IF(AD$4&gt;$C$7,"",SUMIF($E$42:$E45,"Tails (kg)",AD$42:AD45))</f>
        <v/>
      </c>
      <c r="AE19" s="997" t="str">
        <f>IF(AE$4&gt;$C$7,"",SUMIF($E$42:$E45,"Tails (kg)",AE$42:AE45))</f>
        <v/>
      </c>
      <c r="AF19" s="997" t="str">
        <f>IF(AF$4&gt;$C$7,"",SUMIF($E$42:$E45,"Tails (kg)",AF$42:AF45))</f>
        <v/>
      </c>
      <c r="AG19" s="997" t="str">
        <f>IF(AG$4&gt;$C$7,"",SUMIF($E$42:$E45,"Tails (kg)",AG$42:AG45))</f>
        <v/>
      </c>
      <c r="AH19" s="997" t="str">
        <f>IF(AH$4&gt;$C$7,"",SUMIF($E$42:$E45,"Tails (kg)",AH$42:AH45))</f>
        <v/>
      </c>
      <c r="AI19" s="997" t="str">
        <f>IF(AI$4&gt;$C$7,"",SUMIF($E$42:$E45,"Tails (kg)",AI$42:AI45))</f>
        <v/>
      </c>
      <c r="AJ19" s="997" t="str">
        <f>IF(AJ$4&gt;$C$7,"",SUMIF($E$42:$E45,"Tails (kg)",AJ$42:AJ45))</f>
        <v/>
      </c>
      <c r="AK19" s="997" t="str">
        <f>IF(AK$4&gt;$C$7,"",SUMIF($E$42:$E45,"Tails (kg)",AK$42:AK45))</f>
        <v/>
      </c>
      <c r="AL19" s="998" t="str">
        <f>IF(AL$4&gt;$C$7,"",SUMIF($E$42:$E45,"Tails (kg)",AL$42:AL45))</f>
        <v/>
      </c>
      <c r="AM19" s="419"/>
    </row>
    <row r="20" spans="2:39" s="114" customFormat="1" ht="14.4" thickBot="1">
      <c r="AM20" s="420"/>
    </row>
    <row r="21" spans="2:39" s="343" customFormat="1" ht="15" customHeight="1" thickBot="1">
      <c r="B21" s="409"/>
      <c r="C21" s="400"/>
      <c r="D21" s="449"/>
      <c r="E21" s="401"/>
      <c r="F21" s="402" t="s">
        <v>14</v>
      </c>
      <c r="G21" s="403" t="s">
        <v>220</v>
      </c>
      <c r="H21" s="450">
        <f>SUMMARY!I16</f>
        <v>45870</v>
      </c>
      <c r="I21" s="451">
        <f>SUMMARY!J16</f>
        <v>45871</v>
      </c>
      <c r="J21" s="451">
        <f>SUMMARY!K16</f>
        <v>45872</v>
      </c>
      <c r="K21" s="451">
        <f>SUMMARY!L16</f>
        <v>45873</v>
      </c>
      <c r="L21" s="451">
        <f>SUMMARY!M16</f>
        <v>45874</v>
      </c>
      <c r="M21" s="451">
        <f>SUMMARY!N16</f>
        <v>45875</v>
      </c>
      <c r="N21" s="451">
        <f>SUMMARY!O16</f>
        <v>45876</v>
      </c>
      <c r="O21" s="451">
        <f>SUMMARY!P16</f>
        <v>45877</v>
      </c>
      <c r="P21" s="451">
        <f>SUMMARY!Q16</f>
        <v>45878</v>
      </c>
      <c r="Q21" s="451">
        <f>SUMMARY!R16</f>
        <v>45879</v>
      </c>
      <c r="R21" s="451">
        <f>SUMMARY!S16</f>
        <v>45880</v>
      </c>
      <c r="S21" s="451">
        <f>SUMMARY!T16</f>
        <v>45881</v>
      </c>
      <c r="T21" s="451">
        <f>SUMMARY!U16</f>
        <v>45882</v>
      </c>
      <c r="U21" s="451">
        <f>SUMMARY!V16</f>
        <v>45883</v>
      </c>
      <c r="V21" s="451">
        <f>SUMMARY!W16</f>
        <v>45884</v>
      </c>
      <c r="W21" s="451">
        <f>SUMMARY!X16</f>
        <v>45885</v>
      </c>
      <c r="X21" s="451">
        <f>SUMMARY!Y16</f>
        <v>45886</v>
      </c>
      <c r="Y21" s="451">
        <f>SUMMARY!Z16</f>
        <v>45887</v>
      </c>
      <c r="Z21" s="451">
        <f>SUMMARY!AA16</f>
        <v>45888</v>
      </c>
      <c r="AA21" s="451">
        <f>SUMMARY!AB16</f>
        <v>45889</v>
      </c>
      <c r="AB21" s="451">
        <f>SUMMARY!AC16</f>
        <v>45890</v>
      </c>
      <c r="AC21" s="451">
        <f>SUMMARY!AD16</f>
        <v>45891</v>
      </c>
      <c r="AD21" s="451">
        <f>SUMMARY!AE16</f>
        <v>45892</v>
      </c>
      <c r="AE21" s="451">
        <f>SUMMARY!AF16</f>
        <v>45893</v>
      </c>
      <c r="AF21" s="451">
        <f>SUMMARY!AG16</f>
        <v>45894</v>
      </c>
      <c r="AG21" s="451">
        <f>SUMMARY!AH16</f>
        <v>45895</v>
      </c>
      <c r="AH21" s="451">
        <f>SUMMARY!AI16</f>
        <v>45896</v>
      </c>
      <c r="AI21" s="451">
        <f>SUMMARY!AJ16</f>
        <v>45897</v>
      </c>
      <c r="AJ21" s="451">
        <f>SUMMARY!AK16</f>
        <v>45898</v>
      </c>
      <c r="AK21" s="451">
        <f>SUMMARY!AL16</f>
        <v>45899</v>
      </c>
      <c r="AL21" s="452">
        <f>SUMMARY!AM16</f>
        <v>45900</v>
      </c>
      <c r="AM21" s="453" t="s">
        <v>307</v>
      </c>
    </row>
    <row r="22" spans="2:39" ht="14.85" customHeight="1">
      <c r="C22" s="2897" t="s">
        <v>32</v>
      </c>
      <c r="D22" s="2836" t="s">
        <v>399</v>
      </c>
      <c r="E22" s="132" t="s">
        <v>294</v>
      </c>
      <c r="F22" s="146">
        <f>SUMIF($H$4:$AL$4,"&lt;="&amp;$C$7,H22:AL22)</f>
        <v>6456.2915999999977</v>
      </c>
      <c r="G22" s="81"/>
      <c r="H22" s="123">
        <f>Schedule!C123</f>
        <v>1173.8711999999996</v>
      </c>
      <c r="I22" s="124">
        <f>Schedule!D123</f>
        <v>1173.8711999999996</v>
      </c>
      <c r="J22" s="124">
        <f>Schedule!E123</f>
        <v>1173.8711999999996</v>
      </c>
      <c r="K22" s="124">
        <f>Schedule!F123</f>
        <v>1173.8711999999996</v>
      </c>
      <c r="L22" s="124">
        <f>Schedule!G123</f>
        <v>586.93559999999979</v>
      </c>
      <c r="M22" s="124">
        <f>Schedule!H123</f>
        <v>1173.8711999999996</v>
      </c>
      <c r="N22" s="124">
        <f>Schedule!I123</f>
        <v>1173.8711999999996</v>
      </c>
      <c r="O22" s="124">
        <f>Schedule!J123</f>
        <v>1173.8711999999996</v>
      </c>
      <c r="P22" s="124">
        <f>Schedule!K123</f>
        <v>1173.8711999999996</v>
      </c>
      <c r="Q22" s="124">
        <f>Schedule!L123</f>
        <v>1173.8711999999996</v>
      </c>
      <c r="R22" s="124">
        <f>Schedule!M123</f>
        <v>1173.8711999999996</v>
      </c>
      <c r="S22" s="124">
        <f>Schedule!N123</f>
        <v>1072.802714432582</v>
      </c>
      <c r="T22" s="124">
        <f>Schedule!O123</f>
        <v>1072.802714432582</v>
      </c>
      <c r="U22" s="124">
        <f>Schedule!P123</f>
        <v>1173.8711999999996</v>
      </c>
      <c r="V22" s="124">
        <f>Schedule!Q123</f>
        <v>1173.8711999999996</v>
      </c>
      <c r="W22" s="124">
        <f>Schedule!R123</f>
        <v>1173.8711999999996</v>
      </c>
      <c r="X22" s="124">
        <f>Schedule!S123</f>
        <v>1173.8711999999996</v>
      </c>
      <c r="Y22" s="124">
        <f>Schedule!T123</f>
        <v>1173.8711999999996</v>
      </c>
      <c r="Z22" s="124">
        <f>Schedule!U123</f>
        <v>1173.8711999999996</v>
      </c>
      <c r="AA22" s="124">
        <f>Schedule!V123</f>
        <v>1173.8711999999996</v>
      </c>
      <c r="AB22" s="124">
        <f>Schedule!W123</f>
        <v>1173.8711999999996</v>
      </c>
      <c r="AC22" s="124">
        <f>Schedule!X123</f>
        <v>1173.8711999999996</v>
      </c>
      <c r="AD22" s="124">
        <f>Schedule!Y123</f>
        <v>1173.8711999999996</v>
      </c>
      <c r="AE22" s="124">
        <f>Schedule!Z123</f>
        <v>1173.8711999999996</v>
      </c>
      <c r="AF22" s="124">
        <f>Schedule!AA123</f>
        <v>1173.8711999999996</v>
      </c>
      <c r="AG22" s="124">
        <f>Schedule!AB123</f>
        <v>586.93559999999979</v>
      </c>
      <c r="AH22" s="124">
        <f>Schedule!AC123</f>
        <v>1173.8711999999996</v>
      </c>
      <c r="AI22" s="124">
        <f>Schedule!AD123</f>
        <v>1173.8711999999996</v>
      </c>
      <c r="AJ22" s="124">
        <f>Schedule!AE123</f>
        <v>1173.8711999999996</v>
      </c>
      <c r="AK22" s="124">
        <f>Schedule!AF123</f>
        <v>1173.8711999999996</v>
      </c>
      <c r="AL22" s="425">
        <f>Schedule!AG123</f>
        <v>1173.8711999999996</v>
      </c>
      <c r="AM22" s="426" t="s">
        <v>400</v>
      </c>
    </row>
    <row r="23" spans="2:39" ht="14.85" customHeight="1">
      <c r="C23" s="2898"/>
      <c r="D23" s="2835"/>
      <c r="E23" s="1212" t="s">
        <v>401</v>
      </c>
      <c r="F23" s="1482">
        <f>SUMIF($H$4:$AL$4,"&lt;="&amp;$C$7,H23:AL23)</f>
        <v>4285.2205000000004</v>
      </c>
      <c r="G23" s="1476">
        <f>IFERROR((F23-F22)/F22,0)</f>
        <v>-0.33627215660457438</v>
      </c>
      <c r="H23" s="1143">
        <v>1078.5735999999999</v>
      </c>
      <c r="I23" s="1095">
        <v>1066.0175999999999</v>
      </c>
      <c r="J23" s="1095">
        <v>648.29840000000002</v>
      </c>
      <c r="K23" s="1095">
        <v>753.73090000000002</v>
      </c>
      <c r="L23" s="1095">
        <v>738.6</v>
      </c>
      <c r="M23" s="1095"/>
      <c r="N23" s="1095"/>
      <c r="O23" s="1095"/>
      <c r="P23" s="1095"/>
      <c r="Q23" s="1095"/>
      <c r="R23" s="1213"/>
      <c r="S23" s="1095"/>
      <c r="T23" s="1095"/>
      <c r="U23" s="1095"/>
      <c r="V23" s="1095"/>
      <c r="W23" s="1095"/>
      <c r="X23" s="1095"/>
      <c r="Y23" s="1095"/>
      <c r="Z23" s="1095"/>
      <c r="AA23" s="1095"/>
      <c r="AB23" s="1095"/>
      <c r="AC23" s="1095"/>
      <c r="AD23" s="1095"/>
      <c r="AE23" s="1095"/>
      <c r="AF23" s="1095"/>
      <c r="AG23" s="1095"/>
      <c r="AH23" s="1095"/>
      <c r="AI23" s="1095"/>
      <c r="AJ23" s="1095"/>
      <c r="AK23" s="1095"/>
      <c r="AL23" s="1180"/>
      <c r="AM23" s="422"/>
    </row>
    <row r="24" spans="2:39" s="126" customFormat="1" ht="14.85" customHeight="1">
      <c r="C24" s="2898"/>
      <c r="D24" s="2850"/>
      <c r="E24" s="1214" t="s">
        <v>199</v>
      </c>
      <c r="F24" s="1160"/>
      <c r="G24" s="1161"/>
      <c r="I24" s="1182"/>
      <c r="J24" s="1182"/>
      <c r="K24" s="1182"/>
      <c r="L24" s="1182"/>
      <c r="M24" s="1182"/>
      <c r="N24" s="1182"/>
      <c r="O24" s="1182"/>
      <c r="P24" s="1182"/>
      <c r="Q24" s="1182"/>
      <c r="R24" s="1182"/>
      <c r="S24" s="1182"/>
      <c r="T24" s="1182"/>
      <c r="U24" s="1182"/>
      <c r="V24" s="1182"/>
      <c r="W24" s="1182"/>
      <c r="X24" s="1182"/>
      <c r="Y24" s="1182"/>
      <c r="Z24" s="1182"/>
      <c r="AA24" s="1182"/>
      <c r="AB24" s="1182"/>
      <c r="AC24" s="1182"/>
      <c r="AD24" s="1182"/>
      <c r="AE24" s="1182"/>
      <c r="AF24" s="1182"/>
      <c r="AG24" s="1182"/>
      <c r="AH24" s="1182"/>
      <c r="AI24" s="1182"/>
      <c r="AJ24" s="1182"/>
      <c r="AK24" s="1182"/>
      <c r="AL24" s="1183"/>
      <c r="AM24" s="423"/>
    </row>
    <row r="25" spans="2:39" ht="14.85" customHeight="1">
      <c r="C25" s="2898"/>
      <c r="D25" s="2825" t="s">
        <v>68</v>
      </c>
      <c r="E25" s="133" t="s">
        <v>296</v>
      </c>
      <c r="F25" s="1148">
        <f>IFERROR(F28*1000/F22,0)</f>
        <v>2.1847275168228704</v>
      </c>
      <c r="G25" s="1149"/>
      <c r="H25" s="1150">
        <f>Schedule!C124</f>
        <v>2.2999999999999998</v>
      </c>
      <c r="I25" s="1150">
        <f>Schedule!D124</f>
        <v>2.3000000000000003</v>
      </c>
      <c r="J25" s="1150">
        <f>Schedule!E124</f>
        <v>1.8320000000000001</v>
      </c>
      <c r="K25" s="1164">
        <f>Schedule!F124</f>
        <v>2.2315352207198247</v>
      </c>
      <c r="L25" s="1164">
        <f>Schedule!G124</f>
        <v>2.2339308325453358</v>
      </c>
      <c r="M25" s="1164">
        <f>Schedule!H124</f>
        <v>2.2355007055332963</v>
      </c>
      <c r="N25" s="1164">
        <f>Schedule!I124</f>
        <v>2.2367862880394069</v>
      </c>
      <c r="O25" s="1164">
        <f>Schedule!J124</f>
        <v>2.3000000000000003</v>
      </c>
      <c r="P25" s="1165">
        <f>Schedule!K124</f>
        <v>2.2999999999999998</v>
      </c>
      <c r="Q25" s="1164">
        <f>Schedule!L124</f>
        <v>2.2999999999999998</v>
      </c>
      <c r="R25" s="1164">
        <f>Schedule!M124</f>
        <v>2.2320113791542178</v>
      </c>
      <c r="S25" s="1164">
        <f>Schedule!N124</f>
        <v>2.2320113791542178</v>
      </c>
      <c r="T25" s="1164">
        <f>Schedule!O124</f>
        <v>2.2344263331618319</v>
      </c>
      <c r="U25" s="1164">
        <f>Schedule!P124</f>
        <v>2.236247765253951</v>
      </c>
      <c r="V25" s="1164">
        <f>Schedule!Q124</f>
        <v>2.2285452959685137</v>
      </c>
      <c r="W25" s="1164">
        <f>Schedule!R124</f>
        <v>2.239064107381235</v>
      </c>
      <c r="X25" s="1164">
        <f>Schedule!S124</f>
        <v>2.2460688779401745</v>
      </c>
      <c r="Y25" s="1164">
        <f>Schedule!T124</f>
        <v>2.034603247246586</v>
      </c>
      <c r="Z25" s="1164">
        <f>Schedule!U124</f>
        <v>2.2999999999999998</v>
      </c>
      <c r="AA25" s="1164">
        <f>Schedule!V124</f>
        <v>2.3000000000000003</v>
      </c>
      <c r="AB25" s="1164">
        <f>Schedule!W124</f>
        <v>2.2395341361644214</v>
      </c>
      <c r="AC25" s="1164">
        <f>Schedule!X124</f>
        <v>2.2270980161074938</v>
      </c>
      <c r="AD25" s="1164">
        <f>Schedule!Y124</f>
        <v>2.2194870637737898</v>
      </c>
      <c r="AE25" s="1164">
        <f>Schedule!Z124</f>
        <v>2.2152142230979655</v>
      </c>
      <c r="AF25" s="1164">
        <f>Schedule!AA124</f>
        <v>2.2130964549279195</v>
      </c>
      <c r="AG25" s="1164">
        <f>Schedule!AB124</f>
        <v>2.2122352520108342</v>
      </c>
      <c r="AH25" s="1164">
        <f>Schedule!AC124</f>
        <v>2.2120823358912642</v>
      </c>
      <c r="AI25" s="1164">
        <f>Schedule!AD124</f>
        <v>2.2120104119624338</v>
      </c>
      <c r="AJ25" s="1164">
        <f>Schedule!AE124</f>
        <v>2.0443604968397908</v>
      </c>
      <c r="AK25" s="1164">
        <f>Schedule!AF124</f>
        <v>1.9375237728162165</v>
      </c>
      <c r="AL25" s="1163">
        <f>Schedule!AG124</f>
        <v>1.9375237728162165</v>
      </c>
      <c r="AM25" s="422"/>
    </row>
    <row r="26" spans="2:39" ht="14.85" customHeight="1">
      <c r="C26" s="2898"/>
      <c r="D26" s="2835"/>
      <c r="E26" s="1212" t="s">
        <v>402</v>
      </c>
      <c r="F26" s="1152">
        <f>IFERROR(F29*1000/F23,0)</f>
        <v>2.0178731199269673</v>
      </c>
      <c r="G26" s="1142">
        <f>IFERROR((F26-F25)/F25,0)</f>
        <v>-7.6373092576116908E-2</v>
      </c>
      <c r="H26" s="1153">
        <v>1.4863999999999999</v>
      </c>
      <c r="I26" s="1152">
        <v>1.8516999999999999</v>
      </c>
      <c r="J26" s="646">
        <v>2.7927</v>
      </c>
      <c r="K26" s="1152">
        <v>1.7002999999999999</v>
      </c>
      <c r="L26" s="1152">
        <v>2.6778</v>
      </c>
      <c r="M26" s="1152"/>
      <c r="N26" s="1152"/>
      <c r="O26" s="1152"/>
      <c r="P26" s="1152"/>
      <c r="Q26" s="1152"/>
      <c r="R26" s="1152"/>
      <c r="S26" s="1152"/>
      <c r="T26" s="1152"/>
      <c r="U26" s="1152"/>
      <c r="V26" s="1152"/>
      <c r="W26" s="1152"/>
      <c r="X26" s="1152"/>
      <c r="Y26" s="1152"/>
      <c r="Z26" s="852"/>
      <c r="AA26" s="1152"/>
      <c r="AB26" s="1152"/>
      <c r="AC26" s="1152"/>
      <c r="AD26" s="1152"/>
      <c r="AE26" s="1152"/>
      <c r="AF26" s="1152"/>
      <c r="AG26" s="1152"/>
      <c r="AH26" s="1152"/>
      <c r="AI26" s="1152"/>
      <c r="AJ26" s="1152"/>
      <c r="AK26" s="1152"/>
      <c r="AL26" s="1189"/>
      <c r="AM26" s="422"/>
    </row>
    <row r="27" spans="2:39" s="126" customFormat="1" ht="14.85" customHeight="1">
      <c r="C27" s="2898"/>
      <c r="D27" s="2850"/>
      <c r="E27" s="1214" t="s">
        <v>199</v>
      </c>
      <c r="F27" s="1160"/>
      <c r="G27" s="1161"/>
      <c r="H27" s="127"/>
      <c r="I27" s="1182"/>
      <c r="J27" s="1182"/>
      <c r="K27" s="1182"/>
      <c r="L27" s="1182"/>
      <c r="M27" s="1182"/>
      <c r="N27" s="1182"/>
      <c r="O27" s="1182"/>
      <c r="P27" s="1182"/>
      <c r="Q27" s="1182"/>
      <c r="R27" s="1182"/>
      <c r="S27" s="1182"/>
      <c r="T27" s="1182"/>
      <c r="U27" s="1182"/>
      <c r="V27" s="1182"/>
      <c r="W27" s="1182"/>
      <c r="X27" s="1182"/>
      <c r="Y27" s="1182"/>
      <c r="Z27" s="1182"/>
      <c r="AA27" s="1182"/>
      <c r="AB27" s="1182"/>
      <c r="AC27" s="1182"/>
      <c r="AD27" s="1182"/>
      <c r="AE27" s="1182"/>
      <c r="AF27" s="1182"/>
      <c r="AG27" s="1182"/>
      <c r="AH27" s="1182"/>
      <c r="AI27" s="1182"/>
      <c r="AJ27" s="1182"/>
      <c r="AK27" s="1182"/>
      <c r="AL27" s="1183"/>
      <c r="AM27" s="422"/>
    </row>
    <row r="28" spans="2:39" s="69" customFormat="1" ht="13.8">
      <c r="C28" s="2898"/>
      <c r="D28" s="2825" t="s">
        <v>70</v>
      </c>
      <c r="E28" s="1215" t="s">
        <v>298</v>
      </c>
      <c r="F28" s="96">
        <f>SUMIF($H$4:$AL$4,"&lt;="&amp;$C$7,H28:AL28)</f>
        <v>14.105237915152353</v>
      </c>
      <c r="G28" s="1149"/>
      <c r="H28" s="1154">
        <f>IFERROR(H25*H22/1000,0)</f>
        <v>2.6999037599999989</v>
      </c>
      <c r="I28" s="1154">
        <f t="shared" ref="I28:AL29" si="6">IFERROR(I25*I22/1000,0)</f>
        <v>2.6999037599999993</v>
      </c>
      <c r="J28" s="1154">
        <f t="shared" si="6"/>
        <v>2.1505320383999993</v>
      </c>
      <c r="K28" s="1155">
        <f t="shared" si="6"/>
        <v>2.6195349273886444</v>
      </c>
      <c r="L28" s="1155">
        <f t="shared" si="6"/>
        <v>1.3111735335584958</v>
      </c>
      <c r="M28" s="1155">
        <f t="shared" si="6"/>
        <v>2.6241898958052161</v>
      </c>
      <c r="N28" s="1155">
        <f t="shared" si="6"/>
        <v>2.6256990040843635</v>
      </c>
      <c r="O28" s="1155">
        <f t="shared" si="6"/>
        <v>2.6999037599999993</v>
      </c>
      <c r="P28" s="1156">
        <f t="shared" si="6"/>
        <v>2.6999037599999989</v>
      </c>
      <c r="Q28" s="1155">
        <f t="shared" si="6"/>
        <v>2.6999037599999989</v>
      </c>
      <c r="R28" s="1155">
        <f t="shared" si="6"/>
        <v>2.6200938760614156</v>
      </c>
      <c r="S28" s="1155">
        <f t="shared" si="6"/>
        <v>2.3945078662010557</v>
      </c>
      <c r="T28" s="1155">
        <f t="shared" si="6"/>
        <v>2.397098635415654</v>
      </c>
      <c r="U28" s="1155">
        <f t="shared" si="6"/>
        <v>2.6250668476959729</v>
      </c>
      <c r="V28" s="1155">
        <f t="shared" si="6"/>
        <v>2.6160251408329138</v>
      </c>
      <c r="W28" s="1155">
        <f t="shared" si="6"/>
        <v>2.6283728706085379</v>
      </c>
      <c r="X28" s="1155">
        <f t="shared" si="6"/>
        <v>2.6365955690302854</v>
      </c>
      <c r="Y28" s="1155">
        <f t="shared" si="6"/>
        <v>2.3883621553692462</v>
      </c>
      <c r="Z28" s="1155">
        <f t="shared" si="6"/>
        <v>2.6999037599999989</v>
      </c>
      <c r="AA28" s="1155">
        <f t="shared" si="6"/>
        <v>2.6999037599999993</v>
      </c>
      <c r="AB28" s="1155">
        <f t="shared" si="6"/>
        <v>2.6289246238602919</v>
      </c>
      <c r="AC28" s="1155">
        <f t="shared" si="6"/>
        <v>2.6143262206857223</v>
      </c>
      <c r="AD28" s="1155">
        <f t="shared" si="6"/>
        <v>2.6053919429366141</v>
      </c>
      <c r="AE28" s="1155">
        <f t="shared" si="6"/>
        <v>2.6003761783250758</v>
      </c>
      <c r="AF28" s="1155">
        <f t="shared" si="6"/>
        <v>2.5978901912619818</v>
      </c>
      <c r="AG28" s="1155">
        <f t="shared" si="6"/>
        <v>1.2984396249801298</v>
      </c>
      <c r="AH28" s="1155">
        <f t="shared" si="6"/>
        <v>2.5966997461314802</v>
      </c>
      <c r="AI28" s="1155">
        <f t="shared" si="6"/>
        <v>2.5966153167028354</v>
      </c>
      <c r="AJ28" s="1155">
        <f t="shared" si="6"/>
        <v>2.3998159096579208</v>
      </c>
      <c r="AK28" s="1155">
        <f t="shared" si="6"/>
        <v>2.2744033562242985</v>
      </c>
      <c r="AL28" s="1157">
        <f t="shared" si="6"/>
        <v>2.2744033562242985</v>
      </c>
      <c r="AM28" s="423"/>
    </row>
    <row r="29" spans="2:39" s="69" customFormat="1" ht="14.4" thickBot="1">
      <c r="C29" s="2899"/>
      <c r="D29" s="2851"/>
      <c r="E29" s="1063" t="s">
        <v>403</v>
      </c>
      <c r="F29" s="1004">
        <f>SUMIF($H$4:$AL$4,"&lt;="&amp;$C$7,H29:AL29)</f>
        <v>8.6470312599099994</v>
      </c>
      <c r="G29" s="1105">
        <f>IFERROR((F29-F28)/F28,0)</f>
        <v>-0.38696310463355971</v>
      </c>
      <c r="H29" s="1158">
        <f>IFERROR(H26*H23/1000,0)</f>
        <v>1.6031917990399998</v>
      </c>
      <c r="I29" s="1004">
        <f t="shared" si="6"/>
        <v>1.9739447899199998</v>
      </c>
      <c r="J29" s="1004">
        <f t="shared" si="6"/>
        <v>1.81050294168</v>
      </c>
      <c r="K29" s="1004">
        <f t="shared" si="6"/>
        <v>1.28156864927</v>
      </c>
      <c r="L29" s="1004">
        <f t="shared" si="6"/>
        <v>1.9778230800000001</v>
      </c>
      <c r="M29" s="1004">
        <f t="shared" si="6"/>
        <v>0</v>
      </c>
      <c r="N29" s="1004">
        <f t="shared" si="6"/>
        <v>0</v>
      </c>
      <c r="O29" s="1004">
        <f t="shared" si="6"/>
        <v>0</v>
      </c>
      <c r="P29" s="1004">
        <f t="shared" si="6"/>
        <v>0</v>
      </c>
      <c r="Q29" s="1004">
        <f t="shared" si="6"/>
        <v>0</v>
      </c>
      <c r="R29" s="1004">
        <f t="shared" si="6"/>
        <v>0</v>
      </c>
      <c r="S29" s="1004">
        <f t="shared" si="6"/>
        <v>0</v>
      </c>
      <c r="T29" s="1004">
        <f t="shared" si="6"/>
        <v>0</v>
      </c>
      <c r="U29" s="1004">
        <f t="shared" si="6"/>
        <v>0</v>
      </c>
      <c r="V29" s="1004">
        <f t="shared" si="6"/>
        <v>0</v>
      </c>
      <c r="W29" s="1004">
        <f t="shared" si="6"/>
        <v>0</v>
      </c>
      <c r="X29" s="1004">
        <f t="shared" si="6"/>
        <v>0</v>
      </c>
      <c r="Y29" s="1004">
        <f t="shared" si="6"/>
        <v>0</v>
      </c>
      <c r="Z29" s="1004">
        <f t="shared" si="6"/>
        <v>0</v>
      </c>
      <c r="AA29" s="1004">
        <f t="shared" si="6"/>
        <v>0</v>
      </c>
      <c r="AB29" s="1004">
        <f t="shared" si="6"/>
        <v>0</v>
      </c>
      <c r="AC29" s="1004">
        <f t="shared" si="6"/>
        <v>0</v>
      </c>
      <c r="AD29" s="1004">
        <f t="shared" si="6"/>
        <v>0</v>
      </c>
      <c r="AE29" s="1004">
        <f t="shared" si="6"/>
        <v>0</v>
      </c>
      <c r="AF29" s="1004">
        <f t="shared" si="6"/>
        <v>0</v>
      </c>
      <c r="AG29" s="1004">
        <f t="shared" si="6"/>
        <v>0</v>
      </c>
      <c r="AH29" s="1004">
        <f t="shared" si="6"/>
        <v>0</v>
      </c>
      <c r="AI29" s="1004">
        <f t="shared" si="6"/>
        <v>0</v>
      </c>
      <c r="AJ29" s="1004">
        <f t="shared" si="6"/>
        <v>0</v>
      </c>
      <c r="AK29" s="1004">
        <f t="shared" si="6"/>
        <v>0</v>
      </c>
      <c r="AL29" s="1053">
        <f>IFERROR(AL26*AL23/1000,0)</f>
        <v>0</v>
      </c>
      <c r="AM29" s="424"/>
    </row>
    <row r="30" spans="2:39" ht="14.85" customHeight="1">
      <c r="C30" s="2897" t="s">
        <v>33</v>
      </c>
      <c r="D30" s="2836" t="s">
        <v>399</v>
      </c>
      <c r="E30" s="133" t="s">
        <v>294</v>
      </c>
      <c r="F30" s="146">
        <f>SUMIF($H$4:$AL$4,"&lt;="&amp;$C$7,H30:AL30)</f>
        <v>6456.2915999999977</v>
      </c>
      <c r="G30" s="81"/>
      <c r="H30" s="123">
        <f>Schedule!C123</f>
        <v>1173.8711999999996</v>
      </c>
      <c r="I30" s="124">
        <f>Schedule!D123</f>
        <v>1173.8711999999996</v>
      </c>
      <c r="J30" s="124">
        <f>Schedule!E123</f>
        <v>1173.8711999999996</v>
      </c>
      <c r="K30" s="124">
        <f>Schedule!F123</f>
        <v>1173.8711999999996</v>
      </c>
      <c r="L30" s="124">
        <f>Schedule!G123</f>
        <v>586.93559999999979</v>
      </c>
      <c r="M30" s="124">
        <f>Schedule!H123</f>
        <v>1173.8711999999996</v>
      </c>
      <c r="N30" s="124">
        <f>Schedule!I123</f>
        <v>1173.8711999999996</v>
      </c>
      <c r="O30" s="124">
        <f>Schedule!J123</f>
        <v>1173.8711999999996</v>
      </c>
      <c r="P30" s="124">
        <f>Schedule!K123</f>
        <v>1173.8711999999996</v>
      </c>
      <c r="Q30" s="124">
        <f>Schedule!L123</f>
        <v>1173.8711999999996</v>
      </c>
      <c r="R30" s="124">
        <f>Schedule!M123</f>
        <v>1173.8711999999996</v>
      </c>
      <c r="S30" s="124">
        <f>Schedule!N123</f>
        <v>1072.802714432582</v>
      </c>
      <c r="T30" s="124">
        <f>Schedule!O123</f>
        <v>1072.802714432582</v>
      </c>
      <c r="U30" s="124">
        <f>Schedule!P123</f>
        <v>1173.8711999999996</v>
      </c>
      <c r="V30" s="124">
        <f>Schedule!Q123</f>
        <v>1173.8711999999996</v>
      </c>
      <c r="W30" s="124">
        <f>Schedule!R123</f>
        <v>1173.8711999999996</v>
      </c>
      <c r="X30" s="124">
        <f>Schedule!S123</f>
        <v>1173.8711999999996</v>
      </c>
      <c r="Y30" s="124">
        <f>Schedule!T123</f>
        <v>1173.8711999999996</v>
      </c>
      <c r="Z30" s="124">
        <f>Schedule!U123</f>
        <v>1173.8711999999996</v>
      </c>
      <c r="AA30" s="124">
        <f>Schedule!V123</f>
        <v>1173.8711999999996</v>
      </c>
      <c r="AB30" s="124">
        <f>Schedule!W123</f>
        <v>1173.8711999999996</v>
      </c>
      <c r="AC30" s="124">
        <f>Schedule!X123</f>
        <v>1173.8711999999996</v>
      </c>
      <c r="AD30" s="124">
        <f>Schedule!Y123</f>
        <v>1173.8711999999996</v>
      </c>
      <c r="AE30" s="124">
        <f>Schedule!Z123</f>
        <v>1173.8711999999996</v>
      </c>
      <c r="AF30" s="124">
        <f>Schedule!AA123</f>
        <v>1173.8711999999996</v>
      </c>
      <c r="AG30" s="124">
        <f>Schedule!AB123</f>
        <v>586.93559999999979</v>
      </c>
      <c r="AH30" s="124">
        <f>Schedule!AC123</f>
        <v>1173.8711999999996</v>
      </c>
      <c r="AI30" s="124">
        <f>Schedule!AD123</f>
        <v>1173.8711999999996</v>
      </c>
      <c r="AJ30" s="124">
        <f>Schedule!AE123</f>
        <v>1173.8711999999996</v>
      </c>
      <c r="AK30" s="124">
        <f>Schedule!AF123</f>
        <v>1173.8711999999996</v>
      </c>
      <c r="AL30" s="125">
        <f>Schedule!AG123</f>
        <v>1173.8711999999996</v>
      </c>
      <c r="AM30" s="422" t="s">
        <v>404</v>
      </c>
    </row>
    <row r="31" spans="2:39" ht="14.85" customHeight="1">
      <c r="C31" s="2898"/>
      <c r="D31" s="2835"/>
      <c r="E31" s="1212" t="s">
        <v>405</v>
      </c>
      <c r="F31" s="1482">
        <f>SUMIF($H$4:$AL$4,"&lt;="&amp;$C$7,H31:AL31)</f>
        <v>5244.8028999999997</v>
      </c>
      <c r="G31" s="1476">
        <f>IFERROR((F31-F30)/F30,0)</f>
        <v>-0.18764466896135831</v>
      </c>
      <c r="H31" s="1524">
        <v>1244.3207</v>
      </c>
      <c r="I31" s="1095">
        <v>1143.296</v>
      </c>
      <c r="J31" s="2590">
        <v>665.4402</v>
      </c>
      <c r="K31" s="1095">
        <v>1124.527</v>
      </c>
      <c r="L31" s="1095">
        <v>1067.2190000000001</v>
      </c>
      <c r="M31" s="1095"/>
      <c r="N31" s="1095"/>
      <c r="O31" s="1095"/>
      <c r="P31" s="1095"/>
      <c r="Q31" s="1095"/>
      <c r="R31" s="1095"/>
      <c r="S31" s="1095"/>
      <c r="T31" s="1095"/>
      <c r="U31" s="1095"/>
      <c r="V31" s="1095"/>
      <c r="W31" s="1095"/>
      <c r="X31" s="1095"/>
      <c r="Y31" s="1095"/>
      <c r="Z31" s="462"/>
      <c r="AA31" s="1095"/>
      <c r="AB31" s="1095"/>
      <c r="AC31" s="1095"/>
      <c r="AD31" s="1095"/>
      <c r="AE31" s="1095"/>
      <c r="AF31" s="2229"/>
      <c r="AG31" s="1095"/>
      <c r="AH31" s="1095"/>
      <c r="AI31" s="1095"/>
      <c r="AJ31" s="1095"/>
      <c r="AK31" s="1095"/>
      <c r="AL31" s="1095"/>
      <c r="AM31" s="422" t="s">
        <v>406</v>
      </c>
    </row>
    <row r="32" spans="2:39" s="126" customFormat="1" ht="14.85" customHeight="1">
      <c r="C32" s="2898"/>
      <c r="D32" s="2850"/>
      <c r="E32" s="1214" t="s">
        <v>199</v>
      </c>
      <c r="F32" s="1160"/>
      <c r="G32" s="1161"/>
      <c r="H32" s="127"/>
      <c r="I32" s="1182"/>
      <c r="J32" s="1182"/>
      <c r="K32" s="1182"/>
      <c r="L32" s="1182"/>
      <c r="M32" s="1182"/>
      <c r="N32" s="1182"/>
      <c r="O32" s="1182"/>
      <c r="P32" s="1182"/>
      <c r="Q32" s="1182"/>
      <c r="R32" s="1182"/>
      <c r="S32" s="1182"/>
      <c r="T32" s="1182"/>
      <c r="U32" s="1182"/>
      <c r="V32" s="1182"/>
      <c r="W32" s="1182"/>
      <c r="X32" s="1182"/>
      <c r="Y32" s="1182"/>
      <c r="Z32" s="1182"/>
      <c r="AA32" s="1182"/>
      <c r="AB32" s="1182"/>
      <c r="AC32" s="1182"/>
      <c r="AD32" s="1182"/>
      <c r="AE32" s="1182"/>
      <c r="AF32" s="1182"/>
      <c r="AG32" s="1182"/>
      <c r="AH32" s="1182"/>
      <c r="AI32" s="1182"/>
      <c r="AJ32" s="1182"/>
      <c r="AK32" s="1182"/>
      <c r="AL32" s="1184"/>
      <c r="AM32" s="422" t="s">
        <v>407</v>
      </c>
    </row>
    <row r="33" spans="3:39" ht="14.85" customHeight="1">
      <c r="C33" s="2898"/>
      <c r="D33" s="2825" t="s">
        <v>68</v>
      </c>
      <c r="E33" s="133" t="s">
        <v>296</v>
      </c>
      <c r="F33" s="1148">
        <f>IFERROR(F36*1000/F30,0)</f>
        <v>2.1847275168228704</v>
      </c>
      <c r="G33" s="1149"/>
      <c r="H33" s="1150">
        <f>Schedule!C124</f>
        <v>2.2999999999999998</v>
      </c>
      <c r="I33" s="1150">
        <f>Schedule!D124</f>
        <v>2.3000000000000003</v>
      </c>
      <c r="J33" s="1150">
        <f>Schedule!E124</f>
        <v>1.8320000000000001</v>
      </c>
      <c r="K33" s="1164">
        <f>Schedule!F124</f>
        <v>2.2315352207198247</v>
      </c>
      <c r="L33" s="1164">
        <f>Schedule!G124</f>
        <v>2.2339308325453358</v>
      </c>
      <c r="M33" s="1164">
        <f>Schedule!H124</f>
        <v>2.2355007055332963</v>
      </c>
      <c r="N33" s="1164">
        <f>Schedule!I124</f>
        <v>2.2367862880394069</v>
      </c>
      <c r="O33" s="1164">
        <f>Schedule!J124</f>
        <v>2.3000000000000003</v>
      </c>
      <c r="P33" s="1165">
        <f>Schedule!K124</f>
        <v>2.2999999999999998</v>
      </c>
      <c r="Q33" s="1164">
        <f>Schedule!L124</f>
        <v>2.2999999999999998</v>
      </c>
      <c r="R33" s="1164">
        <f>Schedule!M124</f>
        <v>2.2320113791542178</v>
      </c>
      <c r="S33" s="1164">
        <f>Schedule!N124</f>
        <v>2.2320113791542178</v>
      </c>
      <c r="T33" s="1164">
        <f>Schedule!O124</f>
        <v>2.2344263331618319</v>
      </c>
      <c r="U33" s="1164">
        <f>Schedule!P124</f>
        <v>2.236247765253951</v>
      </c>
      <c r="V33" s="1164">
        <f>Schedule!Q124</f>
        <v>2.2285452959685137</v>
      </c>
      <c r="W33" s="1164">
        <f>Schedule!R124</f>
        <v>2.239064107381235</v>
      </c>
      <c r="X33" s="1164">
        <f>Schedule!S124</f>
        <v>2.2460688779401745</v>
      </c>
      <c r="Y33" s="1164">
        <f>Schedule!T124</f>
        <v>2.034603247246586</v>
      </c>
      <c r="Z33" s="1164">
        <f>Schedule!U124</f>
        <v>2.2999999999999998</v>
      </c>
      <c r="AA33" s="1164">
        <f>Schedule!V124</f>
        <v>2.3000000000000003</v>
      </c>
      <c r="AB33" s="1164">
        <f>Schedule!W124</f>
        <v>2.2395341361644214</v>
      </c>
      <c r="AC33" s="1164">
        <f>Schedule!X124</f>
        <v>2.2270980161074938</v>
      </c>
      <c r="AD33" s="1164">
        <f>Schedule!Y124</f>
        <v>2.2194870637737898</v>
      </c>
      <c r="AE33" s="1164">
        <f>Schedule!Z124</f>
        <v>2.2152142230979655</v>
      </c>
      <c r="AF33" s="1164">
        <f>Schedule!AA124</f>
        <v>2.2130964549279195</v>
      </c>
      <c r="AG33" s="1164">
        <f>Schedule!AB124</f>
        <v>2.2122352520108342</v>
      </c>
      <c r="AH33" s="1164">
        <f>Schedule!AC124</f>
        <v>2.2120823358912642</v>
      </c>
      <c r="AI33" s="1164">
        <f>Schedule!AD124</f>
        <v>2.2120104119624338</v>
      </c>
      <c r="AJ33" s="1164">
        <f>Schedule!AE124</f>
        <v>2.0443604968397908</v>
      </c>
      <c r="AK33" s="1164">
        <f>Schedule!AF124</f>
        <v>1.9375237728162165</v>
      </c>
      <c r="AL33" s="1163">
        <f>Schedule!AG124</f>
        <v>1.9375237728162165</v>
      </c>
      <c r="AM33" s="422"/>
    </row>
    <row r="34" spans="3:39" ht="14.85" customHeight="1">
      <c r="C34" s="2898"/>
      <c r="D34" s="2835"/>
      <c r="E34" s="1212" t="s">
        <v>408</v>
      </c>
      <c r="F34" s="1152">
        <f>IFERROR(F37*1000/F31,0)</f>
        <v>1.8025186086535305</v>
      </c>
      <c r="G34" s="1142">
        <f>IFERROR((F34-F33)/F33,0)</f>
        <v>-0.17494580226881809</v>
      </c>
      <c r="H34" s="1153">
        <v>1.3227</v>
      </c>
      <c r="I34" s="1152">
        <v>1.9326000000000001</v>
      </c>
      <c r="J34" s="1152">
        <v>2.1524000000000001</v>
      </c>
      <c r="K34" s="1152">
        <v>1.7907</v>
      </c>
      <c r="L34" s="1914">
        <v>2.0169000000000001</v>
      </c>
      <c r="M34" s="1152"/>
      <c r="N34" s="1152"/>
      <c r="O34" s="1152"/>
      <c r="P34" s="1152"/>
      <c r="Q34" s="1152"/>
      <c r="R34" s="1152"/>
      <c r="S34" s="1152"/>
      <c r="T34" s="1152"/>
      <c r="U34" s="1152"/>
      <c r="V34" s="1152"/>
      <c r="W34" s="1152"/>
      <c r="X34" s="1152"/>
      <c r="Y34" s="1152"/>
      <c r="Z34" s="463"/>
      <c r="AA34" s="1152"/>
      <c r="AB34" s="1152"/>
      <c r="AC34" s="1152"/>
      <c r="AD34" s="1152"/>
      <c r="AE34" s="1152"/>
      <c r="AF34" s="1374"/>
      <c r="AG34" s="1152"/>
      <c r="AH34" s="1152"/>
      <c r="AI34" s="1152"/>
      <c r="AJ34" s="1152"/>
      <c r="AK34" s="1152"/>
      <c r="AL34" s="1152"/>
      <c r="AM34" s="422"/>
    </row>
    <row r="35" spans="3:39" s="126" customFormat="1" ht="14.85" customHeight="1">
      <c r="C35" s="2898"/>
      <c r="D35" s="2850"/>
      <c r="E35" s="1214" t="s">
        <v>199</v>
      </c>
      <c r="F35" s="1160"/>
      <c r="G35" s="1161"/>
      <c r="H35" s="127"/>
      <c r="I35" s="1182"/>
      <c r="J35" s="1182"/>
      <c r="K35" s="1182"/>
      <c r="L35" s="1182"/>
      <c r="M35" s="1182"/>
      <c r="N35" s="1182"/>
      <c r="O35" s="1182"/>
      <c r="P35" s="1182"/>
      <c r="Q35" s="1182"/>
      <c r="R35" s="1182"/>
      <c r="S35" s="1182"/>
      <c r="T35" s="1182"/>
      <c r="U35" s="1182"/>
      <c r="V35" s="1182"/>
      <c r="W35" s="1182"/>
      <c r="X35" s="1182"/>
      <c r="Y35" s="1182"/>
      <c r="Z35" s="1182"/>
      <c r="AA35" s="1182"/>
      <c r="AB35" s="1182"/>
      <c r="AC35" s="1182"/>
      <c r="AD35" s="1182"/>
      <c r="AE35" s="1182"/>
      <c r="AF35" s="1182"/>
      <c r="AG35" s="1182"/>
      <c r="AH35" s="1182"/>
      <c r="AI35" s="1182"/>
      <c r="AJ35" s="1182"/>
      <c r="AK35" s="1182"/>
      <c r="AL35" s="1184"/>
      <c r="AM35" s="422"/>
    </row>
    <row r="36" spans="3:39" s="69" customFormat="1" ht="13.8">
      <c r="C36" s="2898"/>
      <c r="D36" s="2825" t="s">
        <v>70</v>
      </c>
      <c r="E36" s="1215" t="s">
        <v>298</v>
      </c>
      <c r="F36" s="96">
        <f>SUMIF($H$4:$AL$4,"&lt;="&amp;$C$7,H36:AL36)</f>
        <v>14.105237915152353</v>
      </c>
      <c r="G36" s="1149"/>
      <c r="H36" s="1154">
        <f>IFERROR(H33*H30/1000,0)</f>
        <v>2.6999037599999989</v>
      </c>
      <c r="I36" s="1154">
        <f t="shared" ref="I36:AL36" si="7">IFERROR(I33*I30/1000,0)</f>
        <v>2.6999037599999993</v>
      </c>
      <c r="J36" s="1154">
        <f t="shared" si="7"/>
        <v>2.1505320383999993</v>
      </c>
      <c r="K36" s="1155">
        <f t="shared" si="7"/>
        <v>2.6195349273886444</v>
      </c>
      <c r="L36" s="1155">
        <f t="shared" si="7"/>
        <v>1.3111735335584958</v>
      </c>
      <c r="M36" s="1155">
        <f t="shared" si="7"/>
        <v>2.6241898958052161</v>
      </c>
      <c r="N36" s="1155">
        <f t="shared" si="7"/>
        <v>2.6256990040843635</v>
      </c>
      <c r="O36" s="1155">
        <f t="shared" si="7"/>
        <v>2.6999037599999993</v>
      </c>
      <c r="P36" s="1156">
        <f t="shared" si="7"/>
        <v>2.6999037599999989</v>
      </c>
      <c r="Q36" s="1155">
        <f t="shared" si="7"/>
        <v>2.6999037599999989</v>
      </c>
      <c r="R36" s="1155">
        <f t="shared" si="7"/>
        <v>2.6200938760614156</v>
      </c>
      <c r="S36" s="1155">
        <f t="shared" si="7"/>
        <v>2.3945078662010557</v>
      </c>
      <c r="T36" s="1155">
        <f t="shared" si="7"/>
        <v>2.397098635415654</v>
      </c>
      <c r="U36" s="1155">
        <f t="shared" si="7"/>
        <v>2.6250668476959729</v>
      </c>
      <c r="V36" s="1155">
        <f t="shared" si="7"/>
        <v>2.6160251408329138</v>
      </c>
      <c r="W36" s="1155">
        <f t="shared" si="7"/>
        <v>2.6283728706085379</v>
      </c>
      <c r="X36" s="1155">
        <f t="shared" si="7"/>
        <v>2.6365955690302854</v>
      </c>
      <c r="Y36" s="1155">
        <f t="shared" si="7"/>
        <v>2.3883621553692462</v>
      </c>
      <c r="Z36" s="1155">
        <f t="shared" si="7"/>
        <v>2.6999037599999989</v>
      </c>
      <c r="AA36" s="1155">
        <f t="shared" si="7"/>
        <v>2.6999037599999993</v>
      </c>
      <c r="AB36" s="1155">
        <f t="shared" si="7"/>
        <v>2.6289246238602919</v>
      </c>
      <c r="AC36" s="1155">
        <f t="shared" si="7"/>
        <v>2.6143262206857223</v>
      </c>
      <c r="AD36" s="1155">
        <f t="shared" si="7"/>
        <v>2.6053919429366141</v>
      </c>
      <c r="AE36" s="1155">
        <f t="shared" si="7"/>
        <v>2.6003761783250758</v>
      </c>
      <c r="AF36" s="1155">
        <f t="shared" si="7"/>
        <v>2.5978901912619818</v>
      </c>
      <c r="AG36" s="1155">
        <f t="shared" si="7"/>
        <v>1.2984396249801298</v>
      </c>
      <c r="AH36" s="1155">
        <f t="shared" si="7"/>
        <v>2.5966997461314802</v>
      </c>
      <c r="AI36" s="1155">
        <f t="shared" si="7"/>
        <v>2.5966153167028354</v>
      </c>
      <c r="AJ36" s="1155">
        <f t="shared" si="7"/>
        <v>2.3998159096579208</v>
      </c>
      <c r="AK36" s="1155">
        <f t="shared" si="7"/>
        <v>2.2744033562242985</v>
      </c>
      <c r="AL36" s="1157">
        <f t="shared" si="7"/>
        <v>2.2744033562242985</v>
      </c>
      <c r="AM36" s="423"/>
    </row>
    <row r="37" spans="3:39" s="69" customFormat="1" ht="14.4" thickBot="1">
      <c r="C37" s="2899"/>
      <c r="D37" s="2851"/>
      <c r="E37" s="1063" t="s">
        <v>409</v>
      </c>
      <c r="F37" s="1004">
        <f>SUMIF($H$4:$AL$4,"&lt;="&amp;$C$7,H37:AL37)</f>
        <v>9.4538548259700015</v>
      </c>
      <c r="G37" s="1105">
        <f>IFERROR((F37-F36)/F36,0)</f>
        <v>-0.32976282407726487</v>
      </c>
      <c r="H37" s="1158">
        <f>IFERROR(H34*H31/1000,0)</f>
        <v>1.6458629898899999</v>
      </c>
      <c r="I37" s="1004">
        <f t="shared" ref="I37:AL37" si="8">IFERROR(I34*I31/1000,0)</f>
        <v>2.2095338496000005</v>
      </c>
      <c r="J37" s="1004">
        <f t="shared" si="8"/>
        <v>1.4322934864800001</v>
      </c>
      <c r="K37" s="1004">
        <f t="shared" si="8"/>
        <v>2.0136904989</v>
      </c>
      <c r="L37" s="1004">
        <f t="shared" si="8"/>
        <v>2.1524740011000003</v>
      </c>
      <c r="M37" s="1004">
        <f t="shared" si="8"/>
        <v>0</v>
      </c>
      <c r="N37" s="1004">
        <f t="shared" si="8"/>
        <v>0</v>
      </c>
      <c r="O37" s="1004">
        <f t="shared" si="8"/>
        <v>0</v>
      </c>
      <c r="P37" s="1004">
        <f t="shared" si="8"/>
        <v>0</v>
      </c>
      <c r="Q37" s="1004">
        <f t="shared" si="8"/>
        <v>0</v>
      </c>
      <c r="R37" s="1004">
        <f t="shared" si="8"/>
        <v>0</v>
      </c>
      <c r="S37" s="1004">
        <f t="shared" si="8"/>
        <v>0</v>
      </c>
      <c r="T37" s="1004">
        <f t="shared" si="8"/>
        <v>0</v>
      </c>
      <c r="U37" s="1004">
        <f t="shared" si="8"/>
        <v>0</v>
      </c>
      <c r="V37" s="1004">
        <f t="shared" si="8"/>
        <v>0</v>
      </c>
      <c r="W37" s="1004">
        <f t="shared" si="8"/>
        <v>0</v>
      </c>
      <c r="X37" s="1004">
        <f t="shared" si="8"/>
        <v>0</v>
      </c>
      <c r="Y37" s="1004">
        <f t="shared" si="8"/>
        <v>0</v>
      </c>
      <c r="Z37" s="1004">
        <f t="shared" si="8"/>
        <v>0</v>
      </c>
      <c r="AA37" s="1004">
        <f t="shared" si="8"/>
        <v>0</v>
      </c>
      <c r="AB37" s="1004">
        <f t="shared" si="8"/>
        <v>0</v>
      </c>
      <c r="AC37" s="1004">
        <f t="shared" si="8"/>
        <v>0</v>
      </c>
      <c r="AD37" s="1004">
        <f t="shared" si="8"/>
        <v>0</v>
      </c>
      <c r="AE37" s="1004">
        <f t="shared" si="8"/>
        <v>0</v>
      </c>
      <c r="AF37" s="1004">
        <f t="shared" si="8"/>
        <v>0</v>
      </c>
      <c r="AG37" s="1004">
        <f t="shared" si="8"/>
        <v>0</v>
      </c>
      <c r="AH37" s="1004">
        <f t="shared" si="8"/>
        <v>0</v>
      </c>
      <c r="AI37" s="1004">
        <f t="shared" si="8"/>
        <v>0</v>
      </c>
      <c r="AJ37" s="1004">
        <f t="shared" si="8"/>
        <v>0</v>
      </c>
      <c r="AK37" s="1004">
        <f t="shared" si="8"/>
        <v>0</v>
      </c>
      <c r="AL37" s="1004">
        <f t="shared" si="8"/>
        <v>0</v>
      </c>
      <c r="AM37" s="424"/>
    </row>
    <row r="38" spans="3:39" ht="14.85" customHeight="1">
      <c r="C38" s="2897" t="s">
        <v>410</v>
      </c>
      <c r="D38" s="2836" t="s">
        <v>68</v>
      </c>
      <c r="E38" s="133" t="s">
        <v>296</v>
      </c>
      <c r="F38" s="1148">
        <f>IFERROR(F40*1000/F30,0)</f>
        <v>2.1847275168228704</v>
      </c>
      <c r="G38" s="1149"/>
      <c r="H38" s="128">
        <f>Schedule!C124</f>
        <v>2.2999999999999998</v>
      </c>
      <c r="I38" s="1216">
        <f>Schedule!D124</f>
        <v>2.3000000000000003</v>
      </c>
      <c r="J38" s="1216">
        <f>Schedule!E124</f>
        <v>1.8320000000000001</v>
      </c>
      <c r="K38" s="1216">
        <f>Schedule!F124</f>
        <v>2.2315352207198247</v>
      </c>
      <c r="L38" s="1216">
        <f>Schedule!G124</f>
        <v>2.2339308325453358</v>
      </c>
      <c r="M38" s="1216">
        <f>Schedule!H124</f>
        <v>2.2355007055332963</v>
      </c>
      <c r="N38" s="1216">
        <f>Schedule!I124</f>
        <v>2.2367862880394069</v>
      </c>
      <c r="O38" s="1216">
        <f>Schedule!J124</f>
        <v>2.3000000000000003</v>
      </c>
      <c r="P38" s="1216">
        <f>Schedule!K124</f>
        <v>2.2999999999999998</v>
      </c>
      <c r="Q38" s="1216">
        <f>Schedule!L124</f>
        <v>2.2999999999999998</v>
      </c>
      <c r="R38" s="1216">
        <f>Schedule!M124</f>
        <v>2.2320113791542178</v>
      </c>
      <c r="S38" s="1216">
        <f>Schedule!N124</f>
        <v>2.2320113791542178</v>
      </c>
      <c r="T38" s="1216">
        <f>Schedule!O124</f>
        <v>2.2344263331618319</v>
      </c>
      <c r="U38" s="1216">
        <f>Schedule!P124</f>
        <v>2.236247765253951</v>
      </c>
      <c r="V38" s="1216">
        <f>Schedule!Q124</f>
        <v>2.2285452959685137</v>
      </c>
      <c r="W38" s="1216">
        <f>Schedule!R124</f>
        <v>2.239064107381235</v>
      </c>
      <c r="X38" s="1216">
        <f>Schedule!S124</f>
        <v>2.2460688779401745</v>
      </c>
      <c r="Y38" s="1216">
        <f>Schedule!T124</f>
        <v>2.034603247246586</v>
      </c>
      <c r="Z38" s="1216">
        <f>Schedule!U124</f>
        <v>2.2999999999999998</v>
      </c>
      <c r="AA38" s="1216">
        <f>Schedule!V124</f>
        <v>2.3000000000000003</v>
      </c>
      <c r="AB38" s="1216">
        <f>Schedule!W124</f>
        <v>2.2395341361644214</v>
      </c>
      <c r="AC38" s="1216">
        <f>Schedule!X124</f>
        <v>2.2270980161074938</v>
      </c>
      <c r="AD38" s="1216">
        <f>Schedule!Y124</f>
        <v>2.2194870637737898</v>
      </c>
      <c r="AE38" s="1216">
        <f>Schedule!Z124</f>
        <v>2.2152142230979655</v>
      </c>
      <c r="AF38" s="1216">
        <f>Schedule!AA124</f>
        <v>2.2130964549279195</v>
      </c>
      <c r="AG38" s="1216">
        <f>Schedule!AB124</f>
        <v>2.2122352520108342</v>
      </c>
      <c r="AH38" s="1216">
        <f>Schedule!AC124</f>
        <v>2.2120823358912642</v>
      </c>
      <c r="AI38" s="1216">
        <f>Schedule!AD124</f>
        <v>2.2120104119624338</v>
      </c>
      <c r="AJ38" s="1216">
        <f>Schedule!AE124</f>
        <v>2.0443604968397908</v>
      </c>
      <c r="AK38" s="1216">
        <f>Schedule!AF124</f>
        <v>1.9375237728162165</v>
      </c>
      <c r="AL38" s="1217">
        <f>Schedule!AG124</f>
        <v>1.9375237728162165</v>
      </c>
      <c r="AM38" s="422"/>
    </row>
    <row r="39" spans="3:39" ht="14.85" customHeight="1">
      <c r="C39" s="2898"/>
      <c r="D39" s="2850"/>
      <c r="E39" s="1212" t="s">
        <v>411</v>
      </c>
      <c r="F39" s="1152">
        <f>IFERROR(F41*1000/F31,0)</f>
        <v>2.1626404668211157</v>
      </c>
      <c r="G39" s="1142">
        <f>IFERROR((F39-F38)/F38,0)</f>
        <v>-1.0109750452484204E-2</v>
      </c>
      <c r="H39" s="1153">
        <v>1.8463862</v>
      </c>
      <c r="I39" s="1153">
        <v>2.0515102999999999</v>
      </c>
      <c r="J39" s="647">
        <v>2.7219905</v>
      </c>
      <c r="K39" s="486">
        <v>2.2959665999999999</v>
      </c>
      <c r="L39" s="1915">
        <v>2.1611726999999998</v>
      </c>
      <c r="M39" s="1153"/>
      <c r="N39" s="1153"/>
      <c r="O39" s="1153"/>
      <c r="P39" s="1153"/>
      <c r="Q39" s="1153"/>
      <c r="R39" s="1153"/>
      <c r="S39" s="1153"/>
      <c r="T39" s="1153"/>
      <c r="U39" s="1153"/>
      <c r="V39" s="1153"/>
      <c r="W39" s="1153"/>
      <c r="X39" s="1153"/>
      <c r="Y39" s="1153"/>
      <c r="Z39" s="464"/>
      <c r="AA39" s="1153"/>
      <c r="AB39" s="1153"/>
      <c r="AC39" s="1153"/>
      <c r="AD39" s="1153"/>
      <c r="AE39" s="1153"/>
      <c r="AF39" s="1153"/>
      <c r="AG39" s="1153"/>
      <c r="AH39" s="1153"/>
      <c r="AI39" s="1153"/>
      <c r="AJ39" s="1153"/>
      <c r="AK39" s="1153"/>
      <c r="AL39" s="1153"/>
      <c r="AM39" s="422"/>
    </row>
    <row r="40" spans="3:39" s="69" customFormat="1" ht="14.85" customHeight="1">
      <c r="C40" s="2898"/>
      <c r="D40" s="2825" t="s">
        <v>70</v>
      </c>
      <c r="E40" s="1215" t="s">
        <v>298</v>
      </c>
      <c r="F40" s="96">
        <f>SUMIF($H$4:$AL$4,"&lt;="&amp;$C$7,H40:AL40)</f>
        <v>14.105237915152353</v>
      </c>
      <c r="G40" s="1149"/>
      <c r="H40" s="1154">
        <f>IFERROR(H38*H30/1000,0)</f>
        <v>2.6999037599999989</v>
      </c>
      <c r="I40" s="1154">
        <f t="shared" ref="I40:AL40" si="9">IFERROR(I38*I30/1000,0)</f>
        <v>2.6999037599999993</v>
      </c>
      <c r="J40" s="1154">
        <f t="shared" si="9"/>
        <v>2.1505320383999993</v>
      </c>
      <c r="K40" s="1155">
        <f t="shared" si="9"/>
        <v>2.6195349273886444</v>
      </c>
      <c r="L40" s="1155">
        <f t="shared" si="9"/>
        <v>1.3111735335584958</v>
      </c>
      <c r="M40" s="1155">
        <f t="shared" si="9"/>
        <v>2.6241898958052161</v>
      </c>
      <c r="N40" s="1155">
        <f t="shared" si="9"/>
        <v>2.6256990040843635</v>
      </c>
      <c r="O40" s="1155">
        <f t="shared" si="9"/>
        <v>2.6999037599999993</v>
      </c>
      <c r="P40" s="1156">
        <f t="shared" si="9"/>
        <v>2.6999037599999989</v>
      </c>
      <c r="Q40" s="1155">
        <f t="shared" si="9"/>
        <v>2.6999037599999989</v>
      </c>
      <c r="R40" s="1155">
        <f t="shared" si="9"/>
        <v>2.6200938760614156</v>
      </c>
      <c r="S40" s="1155">
        <f t="shared" si="9"/>
        <v>2.3945078662010557</v>
      </c>
      <c r="T40" s="1155">
        <f t="shared" si="9"/>
        <v>2.397098635415654</v>
      </c>
      <c r="U40" s="1155">
        <f t="shared" si="9"/>
        <v>2.6250668476959729</v>
      </c>
      <c r="V40" s="1155">
        <f t="shared" si="9"/>
        <v>2.6160251408329138</v>
      </c>
      <c r="W40" s="1155">
        <f t="shared" si="9"/>
        <v>2.6283728706085379</v>
      </c>
      <c r="X40" s="1155">
        <f t="shared" si="9"/>
        <v>2.6365955690302854</v>
      </c>
      <c r="Y40" s="1155">
        <f t="shared" si="9"/>
        <v>2.3883621553692462</v>
      </c>
      <c r="Z40" s="1155">
        <f t="shared" si="9"/>
        <v>2.6999037599999989</v>
      </c>
      <c r="AA40" s="1155">
        <f t="shared" si="9"/>
        <v>2.6999037599999993</v>
      </c>
      <c r="AB40" s="1155">
        <f t="shared" si="9"/>
        <v>2.6289246238602919</v>
      </c>
      <c r="AC40" s="1155">
        <f t="shared" si="9"/>
        <v>2.6143262206857223</v>
      </c>
      <c r="AD40" s="1155">
        <f t="shared" si="9"/>
        <v>2.6053919429366141</v>
      </c>
      <c r="AE40" s="1155">
        <f t="shared" si="9"/>
        <v>2.6003761783250758</v>
      </c>
      <c r="AF40" s="1155">
        <f t="shared" si="9"/>
        <v>2.5978901912619818</v>
      </c>
      <c r="AG40" s="1155">
        <f t="shared" si="9"/>
        <v>1.2984396249801298</v>
      </c>
      <c r="AH40" s="1155">
        <f t="shared" si="9"/>
        <v>2.5966997461314802</v>
      </c>
      <c r="AI40" s="1155">
        <f t="shared" si="9"/>
        <v>2.5966153167028354</v>
      </c>
      <c r="AJ40" s="1155">
        <f t="shared" si="9"/>
        <v>2.3998159096579208</v>
      </c>
      <c r="AK40" s="1155">
        <f t="shared" si="9"/>
        <v>2.2744033562242985</v>
      </c>
      <c r="AL40" s="1157">
        <f t="shared" si="9"/>
        <v>2.2744033562242985</v>
      </c>
      <c r="AM40" s="423"/>
    </row>
    <row r="41" spans="3:39" s="69" customFormat="1" ht="15" customHeight="1" thickBot="1">
      <c r="C41" s="2899"/>
      <c r="D41" s="2851"/>
      <c r="E41" s="1063" t="s">
        <v>412</v>
      </c>
      <c r="F41" s="1004">
        <f>SUMIF($H$4:$AL$4,"&lt;="&amp;$C$7,H41:AL41)</f>
        <v>11.34262299204074</v>
      </c>
      <c r="G41" s="1105">
        <f>IFERROR((F41-F40)/F40,0)</f>
        <v>-0.19585737863690431</v>
      </c>
      <c r="H41" s="1158">
        <f>IFERROR(H39*H31/1000,0)</f>
        <v>2.2974965688543398</v>
      </c>
      <c r="I41" s="1004">
        <f t="shared" ref="I41:AL41" si="10">IFERROR(I39*I31/1000,0)</f>
        <v>2.3454835199487998</v>
      </c>
      <c r="J41" s="1004">
        <f t="shared" si="10"/>
        <v>1.8113219027181</v>
      </c>
      <c r="K41" s="1004">
        <f t="shared" si="10"/>
        <v>2.5818764327981998</v>
      </c>
      <c r="L41" s="1004">
        <f t="shared" si="10"/>
        <v>2.3064445677212997</v>
      </c>
      <c r="M41" s="1004">
        <f t="shared" si="10"/>
        <v>0</v>
      </c>
      <c r="N41" s="1004">
        <f t="shared" si="10"/>
        <v>0</v>
      </c>
      <c r="O41" s="1004">
        <f t="shared" si="10"/>
        <v>0</v>
      </c>
      <c r="P41" s="1004">
        <f t="shared" si="10"/>
        <v>0</v>
      </c>
      <c r="Q41" s="1004">
        <f t="shared" si="10"/>
        <v>0</v>
      </c>
      <c r="R41" s="1004">
        <f t="shared" si="10"/>
        <v>0</v>
      </c>
      <c r="S41" s="1004">
        <f t="shared" si="10"/>
        <v>0</v>
      </c>
      <c r="T41" s="1004">
        <f t="shared" si="10"/>
        <v>0</v>
      </c>
      <c r="U41" s="1004">
        <f t="shared" si="10"/>
        <v>0</v>
      </c>
      <c r="V41" s="1004">
        <f t="shared" si="10"/>
        <v>0</v>
      </c>
      <c r="W41" s="1004">
        <f t="shared" si="10"/>
        <v>0</v>
      </c>
      <c r="X41" s="1004">
        <f t="shared" si="10"/>
        <v>0</v>
      </c>
      <c r="Y41" s="1004">
        <f t="shared" si="10"/>
        <v>0</v>
      </c>
      <c r="Z41" s="1004">
        <f t="shared" si="10"/>
        <v>0</v>
      </c>
      <c r="AA41" s="1004">
        <f t="shared" si="10"/>
        <v>0</v>
      </c>
      <c r="AB41" s="1004">
        <f t="shared" si="10"/>
        <v>0</v>
      </c>
      <c r="AC41" s="1004">
        <f t="shared" si="10"/>
        <v>0</v>
      </c>
      <c r="AD41" s="1004">
        <f t="shared" si="10"/>
        <v>0</v>
      </c>
      <c r="AE41" s="1004">
        <f t="shared" si="10"/>
        <v>0</v>
      </c>
      <c r="AF41" s="1004">
        <f t="shared" si="10"/>
        <v>0</v>
      </c>
      <c r="AG41" s="1004">
        <f t="shared" si="10"/>
        <v>0</v>
      </c>
      <c r="AH41" s="1004">
        <f t="shared" si="10"/>
        <v>0</v>
      </c>
      <c r="AI41" s="1004">
        <f t="shared" si="10"/>
        <v>0</v>
      </c>
      <c r="AJ41" s="1004">
        <f t="shared" si="10"/>
        <v>0</v>
      </c>
      <c r="AK41" s="1004">
        <f t="shared" si="10"/>
        <v>0</v>
      </c>
      <c r="AL41" s="1004">
        <f t="shared" si="10"/>
        <v>0</v>
      </c>
      <c r="AM41" s="424"/>
    </row>
    <row r="42" spans="3:39" ht="14.85" customHeight="1">
      <c r="C42" s="2897" t="s">
        <v>35</v>
      </c>
      <c r="D42" s="2836" t="s">
        <v>68</v>
      </c>
      <c r="E42" s="133" t="s">
        <v>296</v>
      </c>
      <c r="F42" s="1148">
        <f>IFERROR(F44*1000/F30,0)</f>
        <v>0.26666248575667401</v>
      </c>
      <c r="G42" s="1149"/>
      <c r="H42" s="1150">
        <f>Schedule!C129</f>
        <v>0.27599999999999969</v>
      </c>
      <c r="I42" s="1150">
        <f>Schedule!D129</f>
        <v>0.27599999999999975</v>
      </c>
      <c r="J42" s="1150">
        <f>Schedule!E129</f>
        <v>0.25539647316311292</v>
      </c>
      <c r="K42" s="1164">
        <f>Schedule!F129</f>
        <v>0.2634550481581826</v>
      </c>
      <c r="L42" s="1164">
        <f>Schedule!G129</f>
        <v>0.26373787409030247</v>
      </c>
      <c r="M42" s="1164">
        <f>Schedule!H129</f>
        <v>0.26392321329526081</v>
      </c>
      <c r="N42" s="1164">
        <f>Schedule!I129</f>
        <v>0.26407498916593225</v>
      </c>
      <c r="O42" s="1164">
        <f>Schedule!J129</f>
        <v>0.27599999999999975</v>
      </c>
      <c r="P42" s="1165">
        <f>Schedule!K129</f>
        <v>0.27599999999999969</v>
      </c>
      <c r="Q42" s="1164">
        <f>Schedule!L129</f>
        <v>0.27599999999999969</v>
      </c>
      <c r="R42" s="1164">
        <f>Schedule!M129</f>
        <v>0.26351126342294706</v>
      </c>
      <c r="S42" s="1164">
        <f>Schedule!N129</f>
        <v>0.26351126342294706</v>
      </c>
      <c r="T42" s="1164">
        <f>Schedule!O129</f>
        <v>0.26379637289308627</v>
      </c>
      <c r="U42" s="1164">
        <f>Schedule!P129</f>
        <v>0.26401141116588184</v>
      </c>
      <c r="V42" s="1164">
        <f>Schedule!Q129</f>
        <v>0.26310205764204286</v>
      </c>
      <c r="W42" s="1164">
        <f>Schedule!R129</f>
        <v>0.26434390851742845</v>
      </c>
      <c r="X42" s="1164">
        <f>Schedule!S129</f>
        <v>0.26517089172961689</v>
      </c>
      <c r="Y42" s="1164">
        <f>Schedule!T129</f>
        <v>0.25730990569482298</v>
      </c>
      <c r="Z42" s="1164">
        <f>Schedule!U129</f>
        <v>0.27599999999999969</v>
      </c>
      <c r="AA42" s="1164">
        <f>Schedule!V129</f>
        <v>0.27599999999999975</v>
      </c>
      <c r="AB42" s="1164">
        <f>Schedule!W129</f>
        <v>0.26439940011557173</v>
      </c>
      <c r="AC42" s="1164">
        <f>Schedule!X129</f>
        <v>0.26293119178165109</v>
      </c>
      <c r="AD42" s="1164">
        <f>Schedule!Y129</f>
        <v>0.26203264274913374</v>
      </c>
      <c r="AE42" s="1164">
        <f>Schedule!Z129</f>
        <v>0.26152819117894616</v>
      </c>
      <c r="AF42" s="1164">
        <f>Schedule!AA129</f>
        <v>0.26127816746879029</v>
      </c>
      <c r="AG42" s="1164">
        <f>Schedule!AB129</f>
        <v>0.26117649385239944</v>
      </c>
      <c r="AH42" s="1164">
        <f>Schedule!AC129</f>
        <v>0.2611584405753225</v>
      </c>
      <c r="AI42" s="1164">
        <f>Schedule!AD129</f>
        <v>0.26114994923628504</v>
      </c>
      <c r="AJ42" s="1164">
        <f>Schedule!AE129</f>
        <v>0.25289491332489189</v>
      </c>
      <c r="AK42" s="1164">
        <f>Schedule!AF129</f>
        <v>0.2511103701670922</v>
      </c>
      <c r="AL42" s="1163">
        <f>Schedule!AG129</f>
        <v>0.2511103701670922</v>
      </c>
      <c r="AM42" s="422"/>
    </row>
    <row r="43" spans="3:39" ht="14.85" customHeight="1">
      <c r="C43" s="2898"/>
      <c r="D43" s="2850"/>
      <c r="E43" s="1212" t="s">
        <v>413</v>
      </c>
      <c r="F43" s="1152">
        <f>IFERROR(F45*1000/F31,0)</f>
        <v>0.31384442388876049</v>
      </c>
      <c r="G43" s="1142">
        <f>IFERROR((F43-F42)/F42,0)</f>
        <v>0.17693504205589453</v>
      </c>
      <c r="H43" s="1153">
        <v>0.26983800000000002</v>
      </c>
      <c r="I43" s="1153">
        <v>0.29961399999999999</v>
      </c>
      <c r="J43" s="648">
        <v>0.39</v>
      </c>
      <c r="K43" s="487">
        <v>0.34393400000000002</v>
      </c>
      <c r="L43" s="1867">
        <v>0.30120799999999998</v>
      </c>
      <c r="M43" s="1153"/>
      <c r="N43" s="1153"/>
      <c r="O43" s="1153"/>
      <c r="P43" s="1153"/>
      <c r="Q43" s="1153"/>
      <c r="R43" s="1153"/>
      <c r="S43" s="2005"/>
      <c r="T43" s="1153"/>
      <c r="U43" s="1153"/>
      <c r="V43" s="1153"/>
      <c r="W43" s="1153"/>
      <c r="X43" s="1153"/>
      <c r="Y43" s="1153"/>
      <c r="Z43" s="1153"/>
      <c r="AA43" s="1153"/>
      <c r="AB43" s="1153"/>
      <c r="AC43" s="1153"/>
      <c r="AD43" s="1153"/>
      <c r="AE43" s="1153"/>
      <c r="AF43" s="1153"/>
      <c r="AG43" s="1153"/>
      <c r="AH43" s="1153"/>
      <c r="AI43" s="1153"/>
      <c r="AJ43" s="1153"/>
      <c r="AK43" s="1153"/>
      <c r="AL43" s="1153"/>
      <c r="AM43" s="422"/>
    </row>
    <row r="44" spans="3:39" s="69" customFormat="1" ht="14.85" customHeight="1">
      <c r="C44" s="2898"/>
      <c r="D44" s="2825" t="s">
        <v>70</v>
      </c>
      <c r="E44" s="1215" t="s">
        <v>298</v>
      </c>
      <c r="F44" s="96">
        <f>SUMIF($H$4:$AL$4,"&lt;="&amp;$C$7,H44:AL44)</f>
        <v>1.7216507668259333</v>
      </c>
      <c r="G44" s="1149"/>
      <c r="H44" s="1154">
        <f>IFERROR(H42*H30/1000,0)</f>
        <v>0.32398845119999953</v>
      </c>
      <c r="I44" s="1154">
        <f t="shared" ref="I44:AL44" si="11">IFERROR(I42*I30/1000,0)</f>
        <v>0.32398845119999958</v>
      </c>
      <c r="J44" s="1154">
        <f t="shared" si="11"/>
        <v>0.29980256442775105</v>
      </c>
      <c r="K44" s="1155">
        <f t="shared" si="11"/>
        <v>0.30926229352750351</v>
      </c>
      <c r="L44" s="1155">
        <f t="shared" si="11"/>
        <v>0.15479714737191608</v>
      </c>
      <c r="M44" s="1155">
        <f t="shared" si="11"/>
        <v>0.30981185909876363</v>
      </c>
      <c r="N44" s="1155">
        <f t="shared" si="11"/>
        <v>0.30999002442219981</v>
      </c>
      <c r="O44" s="1155">
        <f t="shared" si="11"/>
        <v>0.32398845119999958</v>
      </c>
      <c r="P44" s="1156">
        <f t="shared" si="11"/>
        <v>0.32398845119999953</v>
      </c>
      <c r="Q44" s="1155">
        <f t="shared" si="11"/>
        <v>0.32398845119999953</v>
      </c>
      <c r="R44" s="1155">
        <f t="shared" si="11"/>
        <v>0.30932828300781084</v>
      </c>
      <c r="S44" s="1155">
        <f t="shared" si="11"/>
        <v>0.28269559868369676</v>
      </c>
      <c r="T44" s="1155">
        <f t="shared" si="11"/>
        <v>0.28300146489717254</v>
      </c>
      <c r="U44" s="1155">
        <f t="shared" si="11"/>
        <v>0.30991539203898705</v>
      </c>
      <c r="V44" s="1155">
        <f t="shared" si="11"/>
        <v>0.30884792812673389</v>
      </c>
      <c r="W44" s="1155">
        <f t="shared" si="11"/>
        <v>0.31030570110404387</v>
      </c>
      <c r="X44" s="1155">
        <f t="shared" si="11"/>
        <v>0.31127647287971538</v>
      </c>
      <c r="Y44" s="1155">
        <f t="shared" si="11"/>
        <v>0.3020486877698686</v>
      </c>
      <c r="Z44" s="1155">
        <f t="shared" si="11"/>
        <v>0.32398845119999953</v>
      </c>
      <c r="AA44" s="1155">
        <f t="shared" si="11"/>
        <v>0.32398845119999958</v>
      </c>
      <c r="AB44" s="1155">
        <f t="shared" si="11"/>
        <v>0.31037084109294621</v>
      </c>
      <c r="AC44" s="1155">
        <f t="shared" si="11"/>
        <v>0.30864735361415679</v>
      </c>
      <c r="AD44" s="1155">
        <f t="shared" si="11"/>
        <v>0.30759257278309676</v>
      </c>
      <c r="AE44" s="1155">
        <f t="shared" si="11"/>
        <v>0.3070004116130588</v>
      </c>
      <c r="AF44" s="1155">
        <f t="shared" si="11"/>
        <v>0.30670691598038974</v>
      </c>
      <c r="AG44" s="1155">
        <f t="shared" si="11"/>
        <v>0.15329378212515432</v>
      </c>
      <c r="AH44" s="1155">
        <f t="shared" si="11"/>
        <v>0.30656637202828241</v>
      </c>
      <c r="AI44" s="1155">
        <f t="shared" si="11"/>
        <v>0.30655640428993691</v>
      </c>
      <c r="AJ44" s="1155">
        <f t="shared" si="11"/>
        <v>0.29686605537858674</v>
      </c>
      <c r="AK44" s="1155">
        <f t="shared" si="11"/>
        <v>0.29477123156048862</v>
      </c>
      <c r="AL44" s="1157">
        <f t="shared" si="11"/>
        <v>0.29477123156048862</v>
      </c>
      <c r="AM44" s="423"/>
    </row>
    <row r="45" spans="3:39" s="69" customFormat="1" ht="15" customHeight="1" thickBot="1">
      <c r="C45" s="2899"/>
      <c r="D45" s="2851"/>
      <c r="E45" s="1063" t="s">
        <v>414</v>
      </c>
      <c r="F45" s="1004">
        <f>SUMIF($H$4:$AL$4,"&lt;="&amp;$C$7,H45:AL45)</f>
        <v>1.6460521445606002</v>
      </c>
      <c r="G45" s="1014">
        <f>IFERROR((F45-F44)/F44,0)</f>
        <v>-4.3910544299706082E-2</v>
      </c>
      <c r="H45" s="1158">
        <f>IFERROR(H43*H31/1000,0)</f>
        <v>0.3357650090466</v>
      </c>
      <c r="I45" s="1158">
        <f t="shared" ref="I45:AL45" si="12">IFERROR(I43*I31/1000,0)</f>
        <v>0.34254748774400001</v>
      </c>
      <c r="J45" s="1158">
        <f t="shared" si="12"/>
        <v>0.25952167800000003</v>
      </c>
      <c r="K45" s="1158">
        <f t="shared" si="12"/>
        <v>0.38676306921800008</v>
      </c>
      <c r="L45" s="1158">
        <f t="shared" si="12"/>
        <v>0.32145490055199999</v>
      </c>
      <c r="M45" s="1158">
        <f t="shared" si="12"/>
        <v>0</v>
      </c>
      <c r="N45" s="1158">
        <f t="shared" si="12"/>
        <v>0</v>
      </c>
      <c r="O45" s="1158">
        <f t="shared" si="12"/>
        <v>0</v>
      </c>
      <c r="P45" s="1158">
        <f t="shared" si="12"/>
        <v>0</v>
      </c>
      <c r="Q45" s="1158">
        <f t="shared" si="12"/>
        <v>0</v>
      </c>
      <c r="R45" s="1158">
        <f t="shared" si="12"/>
        <v>0</v>
      </c>
      <c r="S45" s="1158">
        <f>IFERROR(S43*S31/1000,0)</f>
        <v>0</v>
      </c>
      <c r="T45" s="1158">
        <f t="shared" si="12"/>
        <v>0</v>
      </c>
      <c r="U45" s="1158">
        <f t="shared" si="12"/>
        <v>0</v>
      </c>
      <c r="V45" s="1158">
        <f t="shared" si="12"/>
        <v>0</v>
      </c>
      <c r="W45" s="1158">
        <f t="shared" si="12"/>
        <v>0</v>
      </c>
      <c r="X45" s="1158">
        <f t="shared" si="12"/>
        <v>0</v>
      </c>
      <c r="Y45" s="1158">
        <f t="shared" si="12"/>
        <v>0</v>
      </c>
      <c r="Z45" s="1158">
        <f t="shared" si="12"/>
        <v>0</v>
      </c>
      <c r="AA45" s="1158">
        <f t="shared" si="12"/>
        <v>0</v>
      </c>
      <c r="AB45" s="1158">
        <f t="shared" si="12"/>
        <v>0</v>
      </c>
      <c r="AC45" s="1158">
        <f t="shared" si="12"/>
        <v>0</v>
      </c>
      <c r="AD45" s="1158">
        <f t="shared" si="12"/>
        <v>0</v>
      </c>
      <c r="AE45" s="1158">
        <f t="shared" si="12"/>
        <v>0</v>
      </c>
      <c r="AF45" s="1158">
        <f t="shared" si="12"/>
        <v>0</v>
      </c>
      <c r="AG45" s="1158">
        <f t="shared" si="12"/>
        <v>0</v>
      </c>
      <c r="AH45" s="1158">
        <f t="shared" si="12"/>
        <v>0</v>
      </c>
      <c r="AI45" s="1158">
        <f t="shared" si="12"/>
        <v>0</v>
      </c>
      <c r="AJ45" s="1158">
        <f t="shared" si="12"/>
        <v>0</v>
      </c>
      <c r="AK45" s="1158">
        <f t="shared" si="12"/>
        <v>0</v>
      </c>
      <c r="AL45" s="1158">
        <f t="shared" si="12"/>
        <v>0</v>
      </c>
      <c r="AM45" s="424"/>
    </row>
    <row r="48" spans="3:39">
      <c r="H48" s="468"/>
    </row>
  </sheetData>
  <sheetProtection algorithmName="SHA-512" hashValue="IfbQrjRiW1qEFczMmorqPL/NS0QR1bNpjimX+MmY5rCsFr5L95mKTD3jvo8yTCVaRB9Oa4YiOYPI37RL0kD02g==" saltValue="F/MQToKfLvfspMY1uqkNRA==" spinCount="100000" sheet="1" objects="1" scenarios="1"/>
  <mergeCells count="14">
    <mergeCell ref="D44:D45"/>
    <mergeCell ref="C42:C45"/>
    <mergeCell ref="C30:C37"/>
    <mergeCell ref="D30:D32"/>
    <mergeCell ref="D33:D35"/>
    <mergeCell ref="D36:D37"/>
    <mergeCell ref="C38:C41"/>
    <mergeCell ref="D38:D39"/>
    <mergeCell ref="D40:D41"/>
    <mergeCell ref="C22:C29"/>
    <mergeCell ref="D22:D24"/>
    <mergeCell ref="D25:D27"/>
    <mergeCell ref="D28:D29"/>
    <mergeCell ref="D42:D43"/>
  </mergeCells>
  <conditionalFormatting sqref="C11:E11">
    <cfRule type="cellIs" dxfId="306" priority="206" stopIfTrue="1" operator="greaterThanOrEqual">
      <formula>C10</formula>
    </cfRule>
    <cfRule type="cellIs" dxfId="305" priority="205" stopIfTrue="1" operator="lessThan">
      <formula>C10</formula>
    </cfRule>
  </conditionalFormatting>
  <conditionalFormatting sqref="C12:E12">
    <cfRule type="cellIs" dxfId="304" priority="204" stopIfTrue="1" operator="greaterThanOrEqual">
      <formula>0</formula>
    </cfRule>
    <cfRule type="cellIs" dxfId="303" priority="203" stopIfTrue="1" operator="lessThan">
      <formula>0</formula>
    </cfRule>
  </conditionalFormatting>
  <conditionalFormatting sqref="C13:E13">
    <cfRule type="cellIs" dxfId="302" priority="88" stopIfTrue="1" operator="lessThan">
      <formula>C10</formula>
    </cfRule>
    <cfRule type="cellIs" dxfId="301" priority="89" stopIfTrue="1" operator="greaterThanOrEqual">
      <formula>C10</formula>
    </cfRule>
  </conditionalFormatting>
  <conditionalFormatting sqref="C14:E14">
    <cfRule type="cellIs" dxfId="300" priority="91" stopIfTrue="1" operator="greaterThanOrEqual">
      <formula>0</formula>
    </cfRule>
    <cfRule type="cellIs" dxfId="299" priority="90" stopIfTrue="1" operator="lessThan">
      <formula>0</formula>
    </cfRule>
  </conditionalFormatting>
  <conditionalFormatting sqref="D15:E15">
    <cfRule type="cellIs" dxfId="298" priority="87" stopIfTrue="1" operator="greaterThanOrEqual">
      <formula>D$10</formula>
    </cfRule>
    <cfRule type="cellIs" dxfId="297" priority="86" stopIfTrue="1" operator="lessThan">
      <formula>D$10</formula>
    </cfRule>
  </conditionalFormatting>
  <conditionalFormatting sqref="D16:E16">
    <cfRule type="cellIs" dxfId="296" priority="85" stopIfTrue="1" operator="greaterThanOrEqual">
      <formula>0</formula>
    </cfRule>
    <cfRule type="cellIs" dxfId="295" priority="84" stopIfTrue="1" operator="lessThan">
      <formula>0</formula>
    </cfRule>
  </conditionalFormatting>
  <conditionalFormatting sqref="D18:E18">
    <cfRule type="cellIs" dxfId="294" priority="83" stopIfTrue="1" operator="lessThanOrEqual">
      <formula>D17</formula>
    </cfRule>
    <cfRule type="cellIs" dxfId="293" priority="82" stopIfTrue="1" operator="greaterThan">
      <formula>D17</formula>
    </cfRule>
  </conditionalFormatting>
  <conditionalFormatting sqref="D19:E19">
    <cfRule type="cellIs" dxfId="292" priority="80" stopIfTrue="1" operator="greaterThan">
      <formula>0</formula>
    </cfRule>
    <cfRule type="cellIs" dxfId="291" priority="81" stopIfTrue="1" operator="lessThanOrEqual">
      <formula>0</formula>
    </cfRule>
  </conditionalFormatting>
  <conditionalFormatting sqref="F23">
    <cfRule type="cellIs" dxfId="290" priority="159" stopIfTrue="1" operator="greaterThanOrEqual">
      <formula>F22</formula>
    </cfRule>
    <cfRule type="cellIs" dxfId="289" priority="158" stopIfTrue="1" operator="lessThan">
      <formula>F22</formula>
    </cfRule>
  </conditionalFormatting>
  <conditionalFormatting sqref="F26">
    <cfRule type="cellIs" dxfId="288" priority="173" stopIfTrue="1" operator="greaterThanOrEqual">
      <formula>F25</formula>
    </cfRule>
    <cfRule type="cellIs" dxfId="287" priority="172" stopIfTrue="1" operator="lessThan">
      <formula>F25</formula>
    </cfRule>
  </conditionalFormatting>
  <conditionalFormatting sqref="F29">
    <cfRule type="cellIs" dxfId="286" priority="154" stopIfTrue="1" operator="greaterThanOrEqual">
      <formula>F28</formula>
    </cfRule>
    <cfRule type="cellIs" dxfId="285" priority="153" stopIfTrue="1" operator="lessThan">
      <formula>F28</formula>
    </cfRule>
  </conditionalFormatting>
  <conditionalFormatting sqref="F31">
    <cfRule type="cellIs" dxfId="284" priority="132" stopIfTrue="1" operator="greaterThanOrEqual">
      <formula>F30</formula>
    </cfRule>
    <cfRule type="cellIs" dxfId="283" priority="131" stopIfTrue="1" operator="lessThan">
      <formula>F30</formula>
    </cfRule>
  </conditionalFormatting>
  <conditionalFormatting sqref="F34">
    <cfRule type="cellIs" dxfId="282" priority="145" stopIfTrue="1" operator="lessThan">
      <formula>F33</formula>
    </cfRule>
    <cfRule type="cellIs" dxfId="281" priority="146" stopIfTrue="1" operator="greaterThanOrEqual">
      <formula>F33</formula>
    </cfRule>
  </conditionalFormatting>
  <conditionalFormatting sqref="F37">
    <cfRule type="cellIs" dxfId="280" priority="127" stopIfTrue="1" operator="greaterThanOrEqual">
      <formula>F36</formula>
    </cfRule>
    <cfRule type="cellIs" dxfId="279" priority="126" stopIfTrue="1" operator="lessThan">
      <formula>F36</formula>
    </cfRule>
  </conditionalFormatting>
  <conditionalFormatting sqref="F39">
    <cfRule type="cellIs" dxfId="278" priority="34" stopIfTrue="1" operator="greaterThanOrEqual">
      <formula>F38</formula>
    </cfRule>
    <cfRule type="cellIs" dxfId="277" priority="33" stopIfTrue="1" operator="lessThan">
      <formula>F38</formula>
    </cfRule>
  </conditionalFormatting>
  <conditionalFormatting sqref="F41">
    <cfRule type="cellIs" dxfId="276" priority="38" stopIfTrue="1" operator="greaterThanOrEqual">
      <formula>F40</formula>
    </cfRule>
    <cfRule type="cellIs" dxfId="275" priority="37" stopIfTrue="1" operator="lessThan">
      <formula>F40</formula>
    </cfRule>
  </conditionalFormatting>
  <conditionalFormatting sqref="F43">
    <cfRule type="cellIs" dxfId="274" priority="119" stopIfTrue="1" operator="lessThanOrEqual">
      <formula>F42</formula>
    </cfRule>
    <cfRule type="cellIs" dxfId="273" priority="118" stopIfTrue="1" operator="greaterThan">
      <formula>F42</formula>
    </cfRule>
  </conditionalFormatting>
  <conditionalFormatting sqref="F45">
    <cfRule type="cellIs" dxfId="272" priority="107" stopIfTrue="1" operator="greaterThan">
      <formula>F44</formula>
    </cfRule>
    <cfRule type="cellIs" dxfId="271" priority="108" stopIfTrue="1" operator="lessThanOrEqual">
      <formula>F44</formula>
    </cfRule>
  </conditionalFormatting>
  <conditionalFormatting sqref="G23">
    <cfRule type="cellIs" dxfId="270" priority="157" operator="lessThan">
      <formula>0</formula>
    </cfRule>
    <cfRule type="cellIs" dxfId="269" priority="156" operator="greaterThan">
      <formula>0</formula>
    </cfRule>
  </conditionalFormatting>
  <conditionalFormatting sqref="G26">
    <cfRule type="cellIs" dxfId="268" priority="171" operator="lessThan">
      <formula>0</formula>
    </cfRule>
    <cfRule type="cellIs" dxfId="267" priority="170" operator="greaterThan">
      <formula>0</formula>
    </cfRule>
  </conditionalFormatting>
  <conditionalFormatting sqref="G29">
    <cfRule type="cellIs" dxfId="266" priority="152" operator="lessThan">
      <formula>0</formula>
    </cfRule>
    <cfRule type="cellIs" dxfId="265" priority="151" operator="greaterThan">
      <formula>0</formula>
    </cfRule>
  </conditionalFormatting>
  <conditionalFormatting sqref="G31">
    <cfRule type="cellIs" dxfId="264" priority="129" operator="greaterThan">
      <formula>0</formula>
    </cfRule>
    <cfRule type="cellIs" dxfId="263" priority="130" operator="lessThan">
      <formula>0</formula>
    </cfRule>
  </conditionalFormatting>
  <conditionalFormatting sqref="G34">
    <cfRule type="cellIs" dxfId="262" priority="143" operator="greaterThan">
      <formula>0</formula>
    </cfRule>
    <cfRule type="cellIs" dxfId="261" priority="144" operator="lessThan">
      <formula>0</formula>
    </cfRule>
  </conditionalFormatting>
  <conditionalFormatting sqref="G37">
    <cfRule type="cellIs" dxfId="260" priority="125" operator="lessThan">
      <formula>0</formula>
    </cfRule>
    <cfRule type="cellIs" dxfId="259" priority="124" operator="greaterThan">
      <formula>0</formula>
    </cfRule>
  </conditionalFormatting>
  <conditionalFormatting sqref="G39">
    <cfRule type="cellIs" dxfId="258" priority="32" operator="lessThan">
      <formula>0</formula>
    </cfRule>
    <cfRule type="cellIs" dxfId="257" priority="31" operator="greaterThan">
      <formula>0</formula>
    </cfRule>
  </conditionalFormatting>
  <conditionalFormatting sqref="G41">
    <cfRule type="cellIs" dxfId="256" priority="36" operator="lessThan">
      <formula>0</formula>
    </cfRule>
    <cfRule type="cellIs" dxfId="255" priority="35" operator="greaterThan">
      <formula>0</formula>
    </cfRule>
  </conditionalFormatting>
  <conditionalFormatting sqref="G43">
    <cfRule type="cellIs" dxfId="254" priority="117" operator="greaterThan">
      <formula>0</formula>
    </cfRule>
    <cfRule type="cellIs" dxfId="253" priority="116" operator="lessThanOrEqual">
      <formula>0</formula>
    </cfRule>
  </conditionalFormatting>
  <conditionalFormatting sqref="G45">
    <cfRule type="cellIs" dxfId="252" priority="2" operator="greaterThan">
      <formula>0</formula>
    </cfRule>
    <cfRule type="cellIs" dxfId="251" priority="1" operator="lessThanOrEqual">
      <formula>0</formula>
    </cfRule>
  </conditionalFormatting>
  <conditionalFormatting sqref="H6:AL6">
    <cfRule type="cellIs" dxfId="250" priority="101" operator="greaterThanOrEqual">
      <formula>H5</formula>
    </cfRule>
    <cfRule type="cellIs" dxfId="249" priority="100" operator="lessThan">
      <formula>H5</formula>
    </cfRule>
    <cfRule type="expression" dxfId="248" priority="99">
      <formula>H5=""</formula>
    </cfRule>
    <cfRule type="expression" dxfId="247" priority="98">
      <formula>H$4&gt;$C$7</formula>
    </cfRule>
  </conditionalFormatting>
  <conditionalFormatting sqref="H7:AL7 H15:AL17">
    <cfRule type="cellIs" dxfId="246" priority="1874" stopIfTrue="1" operator="lessThan">
      <formula>H$14</formula>
    </cfRule>
    <cfRule type="expression" dxfId="245" priority="1873" stopIfTrue="1">
      <formula>H$4&gt;$C$7</formula>
    </cfRule>
    <cfRule type="cellIs" dxfId="244" priority="1875" stopIfTrue="1" operator="greaterThanOrEqual">
      <formula>H$14</formula>
    </cfRule>
  </conditionalFormatting>
  <conditionalFormatting sqref="H9:AL11">
    <cfRule type="cellIs" dxfId="243" priority="6" operator="greaterThanOrEqual">
      <formula>H$8</formula>
    </cfRule>
    <cfRule type="cellIs" dxfId="242" priority="7" operator="greaterThanOrEqual">
      <formula>2</formula>
    </cfRule>
    <cfRule type="cellIs" dxfId="241" priority="9" operator="greaterThanOrEqual">
      <formula>0.6</formula>
    </cfRule>
    <cfRule type="expression" dxfId="240" priority="4">
      <formula>H$8=""</formula>
    </cfRule>
    <cfRule type="expression" dxfId="239" priority="3">
      <formula>H$4&gt;$C$7</formula>
    </cfRule>
    <cfRule type="cellIs" dxfId="238" priority="5" operator="lessThan">
      <formula>H$8</formula>
    </cfRule>
    <cfRule type="cellIs" dxfId="237" priority="8" operator="between">
      <formula>1.6</formula>
      <formula>2</formula>
    </cfRule>
  </conditionalFormatting>
  <conditionalFormatting sqref="H13:AL13">
    <cfRule type="cellIs" dxfId="236" priority="19" operator="greaterThan">
      <formula>H12</formula>
    </cfRule>
    <cfRule type="expression" dxfId="235" priority="17">
      <formula>H$4&gt;$C$7</formula>
    </cfRule>
    <cfRule type="expression" dxfId="234" priority="18">
      <formula>H12=""</formula>
    </cfRule>
    <cfRule type="cellIs" dxfId="233" priority="20" operator="lessThanOrEqual">
      <formula>H12</formula>
    </cfRule>
    <cfRule type="cellIs" dxfId="232" priority="23" operator="greaterThanOrEqual">
      <formula>0.6</formula>
    </cfRule>
    <cfRule type="cellIs" dxfId="231" priority="22" operator="between">
      <formula>1.6</formula>
      <formula>2</formula>
    </cfRule>
    <cfRule type="cellIs" dxfId="230" priority="21" operator="greaterThanOrEqual">
      <formula>2</formula>
    </cfRule>
  </conditionalFormatting>
  <conditionalFormatting sqref="H19:AL19">
    <cfRule type="cellIs" dxfId="229" priority="94" stopIfTrue="1" operator="lessThanOrEqual">
      <formula>H18</formula>
    </cfRule>
    <cfRule type="expression" dxfId="228" priority="92" stopIfTrue="1">
      <formula>H$4&gt;$C$7</formula>
    </cfRule>
    <cfRule type="cellIs" dxfId="227" priority="93" stopIfTrue="1" operator="greaterThan">
      <formula>H18</formula>
    </cfRule>
  </conditionalFormatting>
  <conditionalFormatting sqref="H23:AL23 H29:AL29 H31:AE31 AG31:AL31 H37:AL37 H41:AL41">
    <cfRule type="expression" dxfId="226" priority="160">
      <formula>H$4&gt;$C$7</formula>
    </cfRule>
    <cfRule type="expression" dxfId="225" priority="161">
      <formula>H22=""</formula>
    </cfRule>
    <cfRule type="cellIs" dxfId="224" priority="162" operator="lessThan">
      <formula>H22</formula>
    </cfRule>
    <cfRule type="cellIs" dxfId="223" priority="163" operator="greaterThanOrEqual">
      <formula>H22</formula>
    </cfRule>
  </conditionalFormatting>
  <conditionalFormatting sqref="H26:AL26 H34:AL34 H39:AL39">
    <cfRule type="expression" dxfId="222" priority="164">
      <formula>H$4&gt;$C$7</formula>
    </cfRule>
    <cfRule type="expression" dxfId="221" priority="165">
      <formula>H25=""</formula>
    </cfRule>
    <cfRule type="cellIs" dxfId="220" priority="166" operator="lessThan">
      <formula>H25</formula>
    </cfRule>
    <cfRule type="cellIs" dxfId="219" priority="167" operator="greaterThanOrEqual">
      <formula>H25</formula>
    </cfRule>
    <cfRule type="cellIs" dxfId="218" priority="168" operator="greaterThanOrEqual">
      <formula>2</formula>
    </cfRule>
    <cfRule type="cellIs" dxfId="217" priority="169" operator="between">
      <formula>1.6</formula>
      <formula>2</formula>
    </cfRule>
    <cfRule type="cellIs" dxfId="216" priority="174" operator="greaterThanOrEqual">
      <formula>0.6</formula>
    </cfRule>
  </conditionalFormatting>
  <conditionalFormatting sqref="H43:AL43">
    <cfRule type="cellIs" dxfId="215" priority="112" operator="greaterThan">
      <formula>H42</formula>
    </cfRule>
    <cfRule type="cellIs" dxfId="214" priority="113" operator="lessThanOrEqual">
      <formula>H42</formula>
    </cfRule>
    <cfRule type="cellIs" dxfId="213" priority="114" operator="greaterThanOrEqual">
      <formula>2</formula>
    </cfRule>
    <cfRule type="expression" dxfId="212" priority="110">
      <formula>H$4&gt;$C$7</formula>
    </cfRule>
    <cfRule type="expression" dxfId="211" priority="111">
      <formula>H42=""</formula>
    </cfRule>
    <cfRule type="cellIs" dxfId="210" priority="120" operator="greaterThanOrEqual">
      <formula>0.6</formula>
    </cfRule>
    <cfRule type="cellIs" dxfId="209" priority="115" operator="between">
      <formula>1.6</formula>
      <formula>2</formula>
    </cfRule>
  </conditionalFormatting>
  <conditionalFormatting sqref="H45:AL45">
    <cfRule type="cellIs" dxfId="208" priority="109" operator="lessThanOrEqual">
      <formula>H44</formula>
    </cfRule>
    <cfRule type="cellIs" dxfId="207" priority="104" operator="greaterThan">
      <formula>H44</formula>
    </cfRule>
    <cfRule type="expression" dxfId="206" priority="102">
      <formula>H$4&gt;$C$7</formula>
    </cfRule>
    <cfRule type="expression" dxfId="205" priority="103">
      <formula>H44=""</formula>
    </cfRule>
  </conditionalFormatting>
  <conditionalFormatting sqref="K24 H27 K27:N27 H32 K32 H35 K35:N35 F46:F1048576 I46:I1048576">
    <cfRule type="cellIs" dxfId="204" priority="288" operator="greaterThan">
      <formula>1.82</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A2CFF-7852-43C7-A21F-E292353031D8}">
  <sheetPr>
    <tabColor rgb="FFFFC000"/>
    <pageSetUpPr fitToPage="1"/>
  </sheetPr>
  <dimension ref="A1:AJ49"/>
  <sheetViews>
    <sheetView showGridLines="0" topLeftCell="A15" zoomScale="80" zoomScaleNormal="80" workbookViewId="0">
      <selection activeCell="Q52" sqref="Q52"/>
    </sheetView>
  </sheetViews>
  <sheetFormatPr defaultColWidth="11.21875" defaultRowHeight="13.8"/>
  <cols>
    <col min="1" max="1" width="2.21875" style="811" customWidth="1"/>
    <col min="2" max="2" width="17" style="811" customWidth="1"/>
    <col min="3" max="4" width="11.21875" style="811"/>
    <col min="5" max="5" width="4.21875" style="811" bestFit="1" customWidth="1"/>
    <col min="6" max="11" width="8.21875" style="813" customWidth="1"/>
    <col min="12" max="12" width="9.21875" style="813" customWidth="1"/>
    <col min="13" max="16384" width="11.21875" style="811"/>
  </cols>
  <sheetData>
    <row r="1" spans="1:36" s="320" customFormat="1">
      <c r="B1" s="319"/>
      <c r="E1" s="322"/>
      <c r="F1" s="322"/>
      <c r="G1" s="322"/>
      <c r="H1" s="322"/>
      <c r="I1" s="322"/>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row>
    <row r="2" spans="1:36" s="320" customFormat="1" ht="14.4">
      <c r="B2" s="323" t="s">
        <v>0</v>
      </c>
      <c r="C2" s="324"/>
      <c r="E2" s="322"/>
      <c r="F2" s="322"/>
      <c r="G2" s="861"/>
      <c r="H2" s="322"/>
      <c r="I2" s="325"/>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row>
    <row r="3" spans="1:36" s="320" customFormat="1" ht="14.4">
      <c r="B3" s="326" t="s">
        <v>52</v>
      </c>
      <c r="C3" s="327"/>
      <c r="E3" s="322"/>
      <c r="F3" s="322"/>
      <c r="G3" s="861"/>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row>
    <row r="4" spans="1:36" s="320" customFormat="1">
      <c r="B4" s="328" t="s">
        <v>415</v>
      </c>
      <c r="C4" s="327"/>
      <c r="E4" s="322"/>
      <c r="F4" s="322"/>
      <c r="G4" s="861"/>
      <c r="H4" s="322"/>
      <c r="I4" s="322"/>
      <c r="J4" s="322"/>
      <c r="K4" s="322"/>
      <c r="L4" s="322"/>
      <c r="M4" s="322"/>
      <c r="N4" s="322"/>
      <c r="O4" s="322"/>
      <c r="P4" s="322"/>
      <c r="Q4" s="322"/>
      <c r="R4" s="322"/>
      <c r="S4" s="322"/>
      <c r="T4" s="322"/>
      <c r="U4" s="322"/>
      <c r="V4" s="322"/>
      <c r="W4" s="322"/>
      <c r="X4" s="322"/>
      <c r="Y4" s="322"/>
      <c r="Z4" s="322"/>
      <c r="AA4" s="322"/>
      <c r="AB4" s="322"/>
      <c r="AC4" s="322"/>
      <c r="AD4" s="322"/>
      <c r="AE4" s="322"/>
      <c r="AF4" s="322"/>
      <c r="AG4" s="322"/>
      <c r="AH4" s="322"/>
      <c r="AI4" s="322"/>
      <c r="AJ4" s="322"/>
    </row>
    <row r="5" spans="1:36" s="320" customFormat="1" ht="6.75" customHeight="1">
      <c r="B5" s="327"/>
      <c r="C5" s="327"/>
      <c r="E5" s="322"/>
      <c r="F5" s="322"/>
      <c r="G5" s="861"/>
      <c r="H5" s="322"/>
      <c r="I5" s="322"/>
      <c r="J5" s="322"/>
      <c r="K5" s="322"/>
      <c r="L5" s="322"/>
      <c r="M5" s="322"/>
      <c r="N5" s="322"/>
      <c r="O5" s="322"/>
      <c r="P5" s="322"/>
      <c r="Q5" s="322"/>
      <c r="R5" s="322"/>
      <c r="S5" s="322"/>
      <c r="T5" s="322"/>
      <c r="U5" s="322"/>
      <c r="V5" s="322"/>
      <c r="W5" s="322"/>
      <c r="X5" s="322"/>
      <c r="Y5" s="322"/>
      <c r="Z5" s="322"/>
      <c r="AA5" s="322"/>
      <c r="AB5" s="322"/>
      <c r="AC5" s="322"/>
      <c r="AD5" s="322"/>
      <c r="AE5" s="322"/>
      <c r="AF5" s="322"/>
      <c r="AG5" s="322"/>
      <c r="AH5" s="322"/>
      <c r="AI5" s="322"/>
      <c r="AJ5" s="322"/>
    </row>
    <row r="6" spans="1:36" s="320" customFormat="1">
      <c r="B6" s="329" t="s">
        <v>3</v>
      </c>
      <c r="C6" s="857">
        <f>SUMMARY!$C$6</f>
        <v>45870</v>
      </c>
      <c r="E6" s="322"/>
      <c r="F6" s="322"/>
      <c r="G6" s="860"/>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row>
    <row r="7" spans="1:36" s="320" customFormat="1">
      <c r="B7" s="840" t="s">
        <v>416</v>
      </c>
      <c r="C7" s="854">
        <v>1</v>
      </c>
      <c r="D7" s="329"/>
      <c r="E7" s="322"/>
      <c r="F7" s="322"/>
      <c r="G7" s="322"/>
      <c r="H7" s="322"/>
      <c r="I7" s="322"/>
      <c r="J7" s="322"/>
      <c r="K7" s="322"/>
      <c r="L7" s="322"/>
      <c r="M7" s="322"/>
      <c r="N7" s="322"/>
      <c r="O7" s="322"/>
      <c r="P7" s="322"/>
      <c r="Q7" s="322"/>
      <c r="R7" s="322"/>
      <c r="S7" s="322"/>
      <c r="T7" s="322"/>
      <c r="U7" s="322"/>
      <c r="V7" s="322"/>
      <c r="W7" s="322"/>
      <c r="X7" s="322"/>
      <c r="Y7" s="322"/>
      <c r="Z7" s="322"/>
      <c r="AA7" s="322"/>
      <c r="AB7" s="322"/>
      <c r="AC7" s="322"/>
      <c r="AD7" s="322"/>
      <c r="AE7" s="322"/>
      <c r="AF7" s="322"/>
      <c r="AG7" s="322"/>
      <c r="AH7" s="322"/>
      <c r="AI7" s="322"/>
      <c r="AJ7" s="322"/>
    </row>
    <row r="8" spans="1:36" s="320" customFormat="1">
      <c r="B8" s="329"/>
      <c r="D8" s="835"/>
      <c r="E8" s="835"/>
      <c r="F8" s="835"/>
      <c r="G8" s="1218">
        <v>1</v>
      </c>
      <c r="H8" s="1219">
        <v>2</v>
      </c>
      <c r="I8" s="1219">
        <v>3</v>
      </c>
      <c r="J8" s="1219">
        <v>4</v>
      </c>
      <c r="K8" s="1219">
        <v>5</v>
      </c>
      <c r="L8" s="1220"/>
      <c r="M8" s="835"/>
      <c r="N8" s="835"/>
      <c r="O8" s="835"/>
      <c r="P8" s="835"/>
      <c r="Q8" s="322"/>
      <c r="R8" s="322"/>
      <c r="S8" s="322"/>
      <c r="T8" s="322"/>
      <c r="U8" s="322"/>
      <c r="V8" s="322"/>
      <c r="W8" s="322"/>
      <c r="X8" s="322"/>
      <c r="Y8" s="322"/>
      <c r="Z8" s="322"/>
      <c r="AA8" s="322"/>
      <c r="AB8" s="322"/>
      <c r="AC8" s="322"/>
      <c r="AD8" s="322"/>
      <c r="AE8" s="322"/>
      <c r="AF8" s="322"/>
      <c r="AG8" s="322"/>
      <c r="AH8" s="322"/>
      <c r="AI8" s="322"/>
      <c r="AJ8" s="322"/>
    </row>
    <row r="9" spans="1:36">
      <c r="A9" s="812"/>
      <c r="B9" s="1221" t="s">
        <v>417</v>
      </c>
      <c r="C9" s="1222"/>
      <c r="D9" s="1222"/>
      <c r="E9" s="1223" t="s">
        <v>56</v>
      </c>
      <c r="F9" s="1224">
        <v>45869</v>
      </c>
      <c r="G9" s="1225"/>
      <c r="H9" s="1225"/>
      <c r="I9" s="1225"/>
      <c r="J9" s="1225"/>
      <c r="K9" s="1226"/>
      <c r="L9" s="1227" t="s">
        <v>14</v>
      </c>
    </row>
    <row r="10" spans="1:36">
      <c r="A10" s="812"/>
      <c r="B10" s="1495" t="s">
        <v>418</v>
      </c>
      <c r="C10" s="1496"/>
      <c r="D10" s="1497"/>
      <c r="E10" s="1498"/>
      <c r="F10" s="1499"/>
      <c r="G10" s="1500"/>
      <c r="H10" s="1500"/>
      <c r="I10" s="1500"/>
      <c r="J10" s="1500"/>
      <c r="K10" s="1501"/>
      <c r="L10" s="1502"/>
    </row>
    <row r="11" spans="1:36">
      <c r="A11" s="812"/>
      <c r="B11" s="827" t="s">
        <v>419</v>
      </c>
      <c r="E11" s="833"/>
      <c r="F11" s="838"/>
      <c r="G11" s="819"/>
      <c r="H11" s="819"/>
      <c r="I11" s="819"/>
      <c r="J11" s="819"/>
      <c r="K11" s="820"/>
      <c r="L11" s="825"/>
    </row>
    <row r="12" spans="1:36">
      <c r="A12" s="812"/>
      <c r="B12" s="828" t="s">
        <v>420</v>
      </c>
      <c r="E12" s="833" t="s">
        <v>67</v>
      </c>
      <c r="F12" s="838"/>
      <c r="G12" s="819"/>
      <c r="H12" s="819"/>
      <c r="I12" s="819"/>
      <c r="J12" s="819"/>
      <c r="K12" s="819"/>
      <c r="L12" s="825">
        <f>INDEX(G12:K12,$C$7)</f>
        <v>0</v>
      </c>
    </row>
    <row r="13" spans="1:36">
      <c r="A13" s="812"/>
      <c r="B13" s="828" t="s">
        <v>421</v>
      </c>
      <c r="E13" s="833" t="s">
        <v>67</v>
      </c>
      <c r="F13" s="838"/>
      <c r="G13" s="819"/>
      <c r="H13" s="819"/>
      <c r="I13" s="819"/>
      <c r="J13" s="819"/>
      <c r="K13" s="819"/>
      <c r="L13" s="825">
        <f>INDEX(G13:K13,$C$7)</f>
        <v>0</v>
      </c>
    </row>
    <row r="14" spans="1:36">
      <c r="A14" s="812"/>
      <c r="B14" s="828" t="s">
        <v>422</v>
      </c>
      <c r="E14" s="833" t="s">
        <v>67</v>
      </c>
      <c r="F14" s="838"/>
      <c r="G14" s="819"/>
      <c r="H14" s="819"/>
      <c r="I14" s="819"/>
      <c r="J14" s="819"/>
      <c r="K14" s="819"/>
      <c r="L14" s="825">
        <f>INDEX(G14:K14,$C$7)</f>
        <v>0</v>
      </c>
    </row>
    <row r="15" spans="1:36">
      <c r="A15" s="812"/>
      <c r="B15" s="828" t="s">
        <v>423</v>
      </c>
      <c r="E15" s="833" t="s">
        <v>67</v>
      </c>
      <c r="F15" s="838"/>
      <c r="G15" s="819"/>
      <c r="H15" s="819"/>
      <c r="I15" s="819"/>
      <c r="J15" s="819"/>
      <c r="K15" s="819"/>
      <c r="L15" s="825">
        <f>INDEX(G15:K15,$C$7)</f>
        <v>0</v>
      </c>
    </row>
    <row r="16" spans="1:36">
      <c r="A16" s="812"/>
      <c r="B16" s="828" t="s">
        <v>424</v>
      </c>
      <c r="E16" s="833" t="s">
        <v>67</v>
      </c>
      <c r="F16" s="858">
        <v>0</v>
      </c>
      <c r="G16" s="815">
        <v>0</v>
      </c>
      <c r="H16" s="815">
        <v>0</v>
      </c>
      <c r="I16" s="815">
        <v>0</v>
      </c>
      <c r="J16" s="815"/>
      <c r="K16" s="824"/>
      <c r="L16" s="825">
        <f>INDEX(G16:K16,$C$7)</f>
        <v>0</v>
      </c>
      <c r="P16" s="814"/>
    </row>
    <row r="17" spans="1:16">
      <c r="A17" s="812"/>
      <c r="B17" s="1228" t="s">
        <v>425</v>
      </c>
      <c r="C17" s="1229"/>
      <c r="D17" s="1229"/>
      <c r="E17" s="1230" t="s">
        <v>67</v>
      </c>
      <c r="F17" s="1231">
        <f t="shared" ref="F17:L17" si="0">+SUM(F12:F16)</f>
        <v>0</v>
      </c>
      <c r="G17" s="1232">
        <f t="shared" si="0"/>
        <v>0</v>
      </c>
      <c r="H17" s="1232">
        <f t="shared" si="0"/>
        <v>0</v>
      </c>
      <c r="I17" s="1232">
        <f t="shared" si="0"/>
        <v>0</v>
      </c>
      <c r="J17" s="1232">
        <f t="shared" si="0"/>
        <v>0</v>
      </c>
      <c r="K17" s="1232">
        <f t="shared" si="0"/>
        <v>0</v>
      </c>
      <c r="L17" s="1231">
        <f t="shared" si="0"/>
        <v>0</v>
      </c>
    </row>
    <row r="18" spans="1:16">
      <c r="A18" s="812"/>
      <c r="B18" s="827" t="s">
        <v>426</v>
      </c>
      <c r="E18" s="826"/>
      <c r="F18" s="825"/>
      <c r="G18" s="821"/>
      <c r="H18" s="821"/>
      <c r="I18" s="821"/>
      <c r="J18" s="821"/>
      <c r="K18" s="822"/>
      <c r="L18" s="825"/>
      <c r="P18" s="814"/>
    </row>
    <row r="19" spans="1:16">
      <c r="A19" s="812"/>
      <c r="B19" s="828" t="s">
        <v>427</v>
      </c>
      <c r="E19" s="833" t="s">
        <v>67</v>
      </c>
      <c r="F19" s="858"/>
      <c r="G19" s="815"/>
      <c r="H19" s="815"/>
      <c r="I19" s="815"/>
      <c r="J19" s="815"/>
      <c r="K19" s="824"/>
      <c r="L19" s="825">
        <f>INDEX(G19:K19,$C$7)</f>
        <v>0</v>
      </c>
      <c r="P19" s="814"/>
    </row>
    <row r="20" spans="1:16">
      <c r="A20" s="812"/>
      <c r="B20" s="828" t="s">
        <v>428</v>
      </c>
      <c r="E20" s="833" t="s">
        <v>67</v>
      </c>
      <c r="F20" s="858"/>
      <c r="G20" s="815"/>
      <c r="H20" s="815"/>
      <c r="I20" s="815"/>
      <c r="J20" s="815"/>
      <c r="K20" s="824"/>
      <c r="L20" s="825">
        <f>INDEX(G20:K20,$C$7)</f>
        <v>0</v>
      </c>
      <c r="P20" s="814"/>
    </row>
    <row r="21" spans="1:16">
      <c r="A21" s="812"/>
      <c r="B21" s="828" t="s">
        <v>429</v>
      </c>
      <c r="E21" s="833" t="s">
        <v>67</v>
      </c>
      <c r="F21" s="858">
        <v>0</v>
      </c>
      <c r="G21" s="815">
        <v>0</v>
      </c>
      <c r="H21" s="815">
        <v>0</v>
      </c>
      <c r="I21" s="815"/>
      <c r="J21" s="815"/>
      <c r="K21" s="824"/>
      <c r="L21" s="825">
        <f>INDEX(G21:K21,$C$7)</f>
        <v>0</v>
      </c>
      <c r="P21" s="814"/>
    </row>
    <row r="22" spans="1:16">
      <c r="A22" s="812"/>
      <c r="B22" s="1228" t="s">
        <v>430</v>
      </c>
      <c r="C22" s="1229"/>
      <c r="D22" s="1229"/>
      <c r="E22" s="1230" t="s">
        <v>67</v>
      </c>
      <c r="F22" s="1231">
        <f t="shared" ref="F22" si="1">SUM(F19:F21)</f>
        <v>0</v>
      </c>
      <c r="G22" s="1232">
        <f t="shared" ref="G22" si="2">SUM(G19:G21)</f>
        <v>0</v>
      </c>
      <c r="H22" s="1232">
        <f t="shared" ref="H22" si="3">SUM(H19:H21)</f>
        <v>0</v>
      </c>
      <c r="I22" s="1232">
        <f t="shared" ref="I22" si="4">SUM(I19:I21)</f>
        <v>0</v>
      </c>
      <c r="J22" s="1232">
        <f t="shared" ref="J22:K22" si="5">SUM(J19:J21)</f>
        <v>0</v>
      </c>
      <c r="K22" s="1232">
        <f t="shared" si="5"/>
        <v>0</v>
      </c>
      <c r="L22" s="1231">
        <f>SUM(L19:L21)</f>
        <v>0</v>
      </c>
      <c r="P22" s="814"/>
    </row>
    <row r="23" spans="1:16">
      <c r="A23" s="812"/>
      <c r="B23" s="1495" t="s">
        <v>431</v>
      </c>
      <c r="C23" s="1496"/>
      <c r="D23" s="830"/>
      <c r="E23" s="833"/>
      <c r="F23" s="833"/>
      <c r="K23" s="823"/>
      <c r="L23" s="825"/>
    </row>
    <row r="24" spans="1:16">
      <c r="A24" s="812"/>
      <c r="B24" s="827" t="s">
        <v>419</v>
      </c>
      <c r="C24" s="830"/>
      <c r="D24" s="830"/>
      <c r="E24" s="833"/>
      <c r="F24" s="833"/>
      <c r="K24" s="823"/>
      <c r="L24" s="825"/>
    </row>
    <row r="25" spans="1:16">
      <c r="A25" s="812"/>
      <c r="B25" s="828" t="s">
        <v>420</v>
      </c>
      <c r="E25" s="833" t="s">
        <v>67</v>
      </c>
      <c r="F25" s="833"/>
      <c r="G25" s="815">
        <f t="shared" ref="G25:K29" si="6">IF(G$8&lt;=$C$7,(G12-F12),0)</f>
        <v>0</v>
      </c>
      <c r="H25" s="815">
        <f t="shared" si="6"/>
        <v>0</v>
      </c>
      <c r="I25" s="815">
        <f t="shared" si="6"/>
        <v>0</v>
      </c>
      <c r="J25" s="815">
        <f t="shared" si="6"/>
        <v>0</v>
      </c>
      <c r="K25" s="815">
        <f t="shared" si="6"/>
        <v>0</v>
      </c>
      <c r="L25" s="825">
        <f>SUM(G25:K25)</f>
        <v>0</v>
      </c>
      <c r="M25" s="816"/>
    </row>
    <row r="26" spans="1:16">
      <c r="A26" s="812"/>
      <c r="B26" s="828" t="s">
        <v>421</v>
      </c>
      <c r="E26" s="833" t="s">
        <v>67</v>
      </c>
      <c r="F26" s="833"/>
      <c r="G26" s="815">
        <f t="shared" si="6"/>
        <v>0</v>
      </c>
      <c r="H26" s="815">
        <f t="shared" si="6"/>
        <v>0</v>
      </c>
      <c r="I26" s="815">
        <f t="shared" si="6"/>
        <v>0</v>
      </c>
      <c r="J26" s="815">
        <f t="shared" si="6"/>
        <v>0</v>
      </c>
      <c r="K26" s="815">
        <f t="shared" si="6"/>
        <v>0</v>
      </c>
      <c r="L26" s="825">
        <f t="shared" ref="L26:L29" si="7">SUM(G26:K26)</f>
        <v>0</v>
      </c>
    </row>
    <row r="27" spans="1:16">
      <c r="A27" s="812"/>
      <c r="B27" s="828" t="s">
        <v>422</v>
      </c>
      <c r="E27" s="833" t="s">
        <v>67</v>
      </c>
      <c r="F27" s="833"/>
      <c r="G27" s="815">
        <f t="shared" si="6"/>
        <v>0</v>
      </c>
      <c r="H27" s="815">
        <f t="shared" si="6"/>
        <v>0</v>
      </c>
      <c r="I27" s="815">
        <f t="shared" si="6"/>
        <v>0</v>
      </c>
      <c r="J27" s="815">
        <f t="shared" si="6"/>
        <v>0</v>
      </c>
      <c r="K27" s="815">
        <f t="shared" si="6"/>
        <v>0</v>
      </c>
      <c r="L27" s="825">
        <f t="shared" si="7"/>
        <v>0</v>
      </c>
      <c r="M27" s="816"/>
    </row>
    <row r="28" spans="1:16">
      <c r="A28" s="812"/>
      <c r="B28" s="828" t="s">
        <v>423</v>
      </c>
      <c r="E28" s="833" t="s">
        <v>67</v>
      </c>
      <c r="F28" s="833"/>
      <c r="G28" s="815">
        <f t="shared" si="6"/>
        <v>0</v>
      </c>
      <c r="H28" s="815">
        <f t="shared" si="6"/>
        <v>0</v>
      </c>
      <c r="I28" s="815">
        <f t="shared" si="6"/>
        <v>0</v>
      </c>
      <c r="J28" s="815">
        <f t="shared" si="6"/>
        <v>0</v>
      </c>
      <c r="K28" s="815">
        <f t="shared" si="6"/>
        <v>0</v>
      </c>
      <c r="L28" s="825">
        <f>SUM(G28:K28)</f>
        <v>0</v>
      </c>
      <c r="M28" s="816"/>
    </row>
    <row r="29" spans="1:16">
      <c r="A29" s="812"/>
      <c r="B29" s="828" t="s">
        <v>432</v>
      </c>
      <c r="E29" s="833"/>
      <c r="F29" s="833"/>
      <c r="G29" s="815">
        <f t="shared" si="6"/>
        <v>0</v>
      </c>
      <c r="H29" s="815">
        <f t="shared" si="6"/>
        <v>0</v>
      </c>
      <c r="I29" s="815">
        <f t="shared" si="6"/>
        <v>0</v>
      </c>
      <c r="J29" s="815">
        <f t="shared" si="6"/>
        <v>0</v>
      </c>
      <c r="K29" s="815">
        <f t="shared" si="6"/>
        <v>0</v>
      </c>
      <c r="L29" s="825">
        <f t="shared" si="7"/>
        <v>0</v>
      </c>
      <c r="M29" s="816"/>
      <c r="P29" s="816"/>
    </row>
    <row r="30" spans="1:16">
      <c r="A30" s="812"/>
      <c r="B30" s="1228" t="s">
        <v>433</v>
      </c>
      <c r="C30" s="1229"/>
      <c r="D30" s="1229"/>
      <c r="E30" s="1230" t="s">
        <v>67</v>
      </c>
      <c r="F30" s="1231"/>
      <c r="G30" s="1232">
        <f t="shared" ref="G30:L30" si="8">SUM(G25:G29)</f>
        <v>0</v>
      </c>
      <c r="H30" s="1232">
        <f t="shared" si="8"/>
        <v>0</v>
      </c>
      <c r="I30" s="1232">
        <f t="shared" si="8"/>
        <v>0</v>
      </c>
      <c r="J30" s="1232">
        <f t="shared" si="8"/>
        <v>0</v>
      </c>
      <c r="K30" s="1232">
        <f t="shared" si="8"/>
        <v>0</v>
      </c>
      <c r="L30" s="1233">
        <f t="shared" si="8"/>
        <v>0</v>
      </c>
      <c r="M30" s="816"/>
    </row>
    <row r="31" spans="1:16">
      <c r="A31" s="812"/>
      <c r="B31" s="827" t="s">
        <v>434</v>
      </c>
      <c r="E31" s="833"/>
      <c r="F31" s="833"/>
      <c r="G31" s="815"/>
      <c r="H31" s="815"/>
      <c r="I31" s="815"/>
      <c r="J31" s="815"/>
      <c r="K31" s="815"/>
      <c r="L31" s="826"/>
      <c r="M31" s="816"/>
    </row>
    <row r="32" spans="1:16">
      <c r="A32" s="812"/>
      <c r="B32" s="828" t="s">
        <v>427</v>
      </c>
      <c r="E32" s="833"/>
      <c r="F32" s="833"/>
      <c r="G32" s="815">
        <f t="shared" ref="G32:I34" si="9">IF(G$8&lt;=$C$7,(G19-F19),0)</f>
        <v>0</v>
      </c>
      <c r="H32" s="815">
        <f t="shared" si="9"/>
        <v>0</v>
      </c>
      <c r="I32" s="815">
        <f t="shared" si="9"/>
        <v>0</v>
      </c>
      <c r="J32" s="815">
        <f t="shared" ref="J32:K34" si="10">IF(J$8&lt;=$C$7,(J19-I19),0)</f>
        <v>0</v>
      </c>
      <c r="K32" s="815">
        <f t="shared" si="10"/>
        <v>0</v>
      </c>
      <c r="L32" s="825">
        <f>SUM(G32:K32)</f>
        <v>0</v>
      </c>
      <c r="M32" s="816"/>
      <c r="P32" s="816"/>
    </row>
    <row r="33" spans="1:16">
      <c r="A33" s="812"/>
      <c r="B33" s="828" t="s">
        <v>428</v>
      </c>
      <c r="E33" s="833"/>
      <c r="F33" s="833"/>
      <c r="G33" s="815">
        <f t="shared" si="9"/>
        <v>0</v>
      </c>
      <c r="H33" s="815">
        <f t="shared" si="9"/>
        <v>0</v>
      </c>
      <c r="I33" s="815">
        <f t="shared" si="9"/>
        <v>0</v>
      </c>
      <c r="J33" s="815">
        <f t="shared" si="10"/>
        <v>0</v>
      </c>
      <c r="K33" s="815">
        <f t="shared" si="10"/>
        <v>0</v>
      </c>
      <c r="L33" s="825">
        <f>SUM(G33:K33)</f>
        <v>0</v>
      </c>
      <c r="M33" s="816"/>
      <c r="N33" s="816"/>
      <c r="O33" s="816"/>
      <c r="P33" s="816"/>
    </row>
    <row r="34" spans="1:16" ht="14.4">
      <c r="A34" s="812"/>
      <c r="B34" s="828" t="s">
        <v>429</v>
      </c>
      <c r="E34" s="833"/>
      <c r="F34" s="833"/>
      <c r="G34" s="815">
        <f t="shared" si="9"/>
        <v>0</v>
      </c>
      <c r="H34" s="815">
        <f t="shared" si="9"/>
        <v>0</v>
      </c>
      <c r="I34" s="815">
        <f t="shared" si="9"/>
        <v>0</v>
      </c>
      <c r="J34" s="815">
        <f t="shared" si="10"/>
        <v>0</v>
      </c>
      <c r="K34" s="815">
        <f t="shared" si="10"/>
        <v>0</v>
      </c>
      <c r="L34" s="825">
        <f t="shared" ref="L34" si="11">SUM(G34:K34)</f>
        <v>0</v>
      </c>
      <c r="M34" s="816"/>
      <c r="N34" s="861"/>
      <c r="O34" s="839"/>
      <c r="P34"/>
    </row>
    <row r="35" spans="1:16" ht="14.4">
      <c r="A35" s="812"/>
      <c r="B35" s="1228" t="s">
        <v>435</v>
      </c>
      <c r="C35" s="1229"/>
      <c r="D35" s="1229"/>
      <c r="E35" s="1230" t="s">
        <v>67</v>
      </c>
      <c r="F35" s="1234"/>
      <c r="G35" s="1232">
        <f>SUM(G32:G34)</f>
        <v>0</v>
      </c>
      <c r="H35" s="1232">
        <f>SUM(H32:H34)</f>
        <v>0</v>
      </c>
      <c r="I35" s="1232">
        <f t="shared" ref="I35" si="12">SUM(I32:I34)</f>
        <v>0</v>
      </c>
      <c r="J35" s="1232">
        <f>SUM(J32:J34)</f>
        <v>0</v>
      </c>
      <c r="K35" s="1232">
        <f>SUM(K32:K34)</f>
        <v>0</v>
      </c>
      <c r="L35" s="1231">
        <f>SUM(G35:K35)</f>
        <v>0</v>
      </c>
      <c r="N35" s="861"/>
      <c r="O35" s="839"/>
      <c r="P35" s="839"/>
    </row>
    <row r="36" spans="1:16" ht="14.4">
      <c r="A36" s="812"/>
      <c r="B36" s="1495" t="s">
        <v>436</v>
      </c>
      <c r="C36" s="1496"/>
      <c r="D36" s="831"/>
      <c r="E36" s="833"/>
      <c r="F36" s="833"/>
      <c r="L36" s="826"/>
      <c r="N36" s="861"/>
      <c r="O36" s="839"/>
      <c r="P36" s="839"/>
    </row>
    <row r="37" spans="1:16" ht="14.4">
      <c r="A37" s="812"/>
      <c r="B37" s="828" t="s">
        <v>437</v>
      </c>
      <c r="E37" s="833" t="s">
        <v>67</v>
      </c>
      <c r="F37" s="833"/>
      <c r="G37" s="837"/>
      <c r="H37" s="837"/>
      <c r="I37" s="837"/>
      <c r="J37" s="837"/>
      <c r="K37" s="837"/>
      <c r="L37" s="825">
        <f>SUM(G37:K37)</f>
        <v>0</v>
      </c>
      <c r="O37" s="839"/>
      <c r="P37" s="839"/>
    </row>
    <row r="38" spans="1:16">
      <c r="A38" s="812"/>
      <c r="B38" s="828" t="s">
        <v>438</v>
      </c>
      <c r="E38" s="833" t="s">
        <v>67</v>
      </c>
      <c r="F38" s="833"/>
      <c r="G38" s="837"/>
      <c r="H38" s="837"/>
      <c r="I38" s="837"/>
      <c r="J38" s="837"/>
      <c r="K38" s="837"/>
      <c r="L38" s="925">
        <f t="shared" ref="L38" si="13">SUM(G38:K38)</f>
        <v>0</v>
      </c>
      <c r="N38" s="861"/>
      <c r="O38" s="814"/>
      <c r="P38" s="816"/>
    </row>
    <row r="39" spans="1:16">
      <c r="A39" s="812"/>
      <c r="B39" s="828" t="s">
        <v>439</v>
      </c>
      <c r="E39" s="833" t="s">
        <v>67</v>
      </c>
      <c r="F39" s="833"/>
      <c r="G39" s="837">
        <f>SUM(Hoisting!H11:M11)</f>
        <v>5350</v>
      </c>
      <c r="H39" s="837">
        <f>SUM(Hoisting!N11:T11)</f>
        <v>0</v>
      </c>
      <c r="I39" s="837">
        <f>SUM(Hoisting!U11:AA11)</f>
        <v>0</v>
      </c>
      <c r="J39" s="837"/>
      <c r="K39" s="837"/>
      <c r="L39" s="925">
        <f>SUM(G39:K39)</f>
        <v>5350</v>
      </c>
      <c r="P39" s="817"/>
    </row>
    <row r="40" spans="1:16">
      <c r="A40" s="812"/>
      <c r="B40" s="1495" t="s">
        <v>440</v>
      </c>
      <c r="C40" s="1503"/>
      <c r="D40" s="1504"/>
      <c r="E40" s="1498"/>
      <c r="F40" s="1498"/>
      <c r="G40" s="1505"/>
      <c r="H40" s="1505"/>
      <c r="I40" s="1505"/>
      <c r="J40" s="1505"/>
      <c r="K40" s="1505"/>
      <c r="L40" s="1506"/>
    </row>
    <row r="41" spans="1:16">
      <c r="A41" s="812"/>
      <c r="B41" s="828" t="s">
        <v>441</v>
      </c>
      <c r="E41" s="833" t="s">
        <v>67</v>
      </c>
      <c r="F41" s="833"/>
      <c r="G41" s="815">
        <f t="shared" ref="G41:L41" si="14">G38+G30</f>
        <v>0</v>
      </c>
      <c r="H41" s="815">
        <f t="shared" si="14"/>
        <v>0</v>
      </c>
      <c r="I41" s="815">
        <f t="shared" si="14"/>
        <v>0</v>
      </c>
      <c r="J41" s="815">
        <f t="shared" si="14"/>
        <v>0</v>
      </c>
      <c r="K41" s="815">
        <f t="shared" si="14"/>
        <v>0</v>
      </c>
      <c r="L41" s="825">
        <f t="shared" si="14"/>
        <v>0</v>
      </c>
    </row>
    <row r="42" spans="1:16" ht="13.35" customHeight="1">
      <c r="A42" s="812"/>
      <c r="B42" s="829" t="s">
        <v>442</v>
      </c>
      <c r="C42" s="832"/>
      <c r="D42" s="832"/>
      <c r="E42" s="826" t="s">
        <v>67</v>
      </c>
      <c r="F42" s="826"/>
      <c r="G42" s="821">
        <f>G39-G35</f>
        <v>5350</v>
      </c>
      <c r="H42" s="821">
        <f>H39-H35</f>
        <v>0</v>
      </c>
      <c r="I42" s="821">
        <f t="shared" ref="I42:L42" si="15">I39-I35</f>
        <v>0</v>
      </c>
      <c r="J42" s="821">
        <f t="shared" si="15"/>
        <v>0</v>
      </c>
      <c r="K42" s="821">
        <f t="shared" si="15"/>
        <v>0</v>
      </c>
      <c r="L42" s="825">
        <f t="shared" si="15"/>
        <v>5350</v>
      </c>
      <c r="M42" s="816"/>
      <c r="N42" s="816"/>
      <c r="O42" s="816"/>
    </row>
    <row r="43" spans="1:16">
      <c r="A43" s="812"/>
      <c r="B43" s="828" t="s">
        <v>443</v>
      </c>
      <c r="E43" s="833" t="s">
        <v>67</v>
      </c>
      <c r="F43" s="833"/>
      <c r="G43" s="815">
        <f>G42-G41</f>
        <v>5350</v>
      </c>
      <c r="H43" s="815">
        <f t="shared" ref="H43:J43" si="16">H42-H41</f>
        <v>0</v>
      </c>
      <c r="I43" s="815">
        <f t="shared" si="16"/>
        <v>0</v>
      </c>
      <c r="J43" s="815">
        <f t="shared" si="16"/>
        <v>0</v>
      </c>
      <c r="K43" s="815">
        <f t="shared" ref="K43" si="17">K42-K41</f>
        <v>0</v>
      </c>
      <c r="L43" s="825">
        <f>L42-L41</f>
        <v>5350</v>
      </c>
      <c r="M43" s="816"/>
      <c r="N43" s="816"/>
      <c r="O43" s="816"/>
    </row>
    <row r="44" spans="1:16">
      <c r="A44" s="812"/>
      <c r="B44" s="920" t="s">
        <v>444</v>
      </c>
      <c r="C44" s="921"/>
      <c r="D44" s="921"/>
      <c r="E44" s="922" t="s">
        <v>445</v>
      </c>
      <c r="F44" s="922"/>
      <c r="G44" s="923">
        <f>IF(G42=0,"",(G37-G42)/G42)</f>
        <v>-1</v>
      </c>
      <c r="H44" s="923" t="str">
        <f>IF(H42=0,"",(H37-H42)/H42)</f>
        <v/>
      </c>
      <c r="I44" s="923" t="str">
        <f t="shared" ref="I44:K44" si="18">IF(I42=0,"",(I37-I42)/I42)</f>
        <v/>
      </c>
      <c r="J44" s="923" t="str">
        <f t="shared" si="18"/>
        <v/>
      </c>
      <c r="K44" s="923" t="str">
        <f t="shared" si="18"/>
        <v/>
      </c>
      <c r="L44" s="924">
        <f>IF(L42=0,"",(L37-L42)/L42)</f>
        <v>-1</v>
      </c>
      <c r="M44" s="816"/>
    </row>
    <row r="45" spans="1:16">
      <c r="F45" s="811"/>
      <c r="G45" s="811"/>
      <c r="H45" s="811"/>
      <c r="I45" s="811"/>
      <c r="J45" s="811"/>
      <c r="K45" s="811"/>
      <c r="L45" s="811"/>
    </row>
    <row r="46" spans="1:16">
      <c r="F46" s="811"/>
      <c r="G46" s="811"/>
      <c r="H46" s="811"/>
      <c r="I46" s="811"/>
      <c r="J46" s="811"/>
      <c r="K46" s="811"/>
      <c r="L46" s="816"/>
    </row>
    <row r="47" spans="1:16">
      <c r="G47" s="919"/>
      <c r="H47" s="919"/>
      <c r="I47" s="919"/>
    </row>
    <row r="48" spans="1:16">
      <c r="I48" s="815"/>
    </row>
    <row r="49" spans="9:9">
      <c r="I49" s="818"/>
    </row>
  </sheetData>
  <pageMargins left="0.7" right="0.7" top="0.75" bottom="0.75" header="0.3" footer="0.3"/>
  <pageSetup paperSize="9" scale="83"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3E4CC-C057-412C-8552-677B120C4AFA}">
  <dimension ref="A1:AG8"/>
  <sheetViews>
    <sheetView topLeftCell="X1" workbookViewId="0">
      <selection activeCell="AC9" sqref="AC9"/>
    </sheetView>
  </sheetViews>
  <sheetFormatPr defaultRowHeight="14.4"/>
  <cols>
    <col min="2" max="2" width="14.21875" bestFit="1" customWidth="1"/>
  </cols>
  <sheetData>
    <row r="1" spans="1:33">
      <c r="B1" t="s">
        <v>31</v>
      </c>
    </row>
    <row r="2" spans="1:33" s="207" customFormat="1">
      <c r="B2" s="207" t="s">
        <v>446</v>
      </c>
      <c r="C2" s="932">
        <v>45748</v>
      </c>
      <c r="D2" s="932">
        <v>45749</v>
      </c>
      <c r="E2" s="932">
        <v>45750</v>
      </c>
      <c r="F2" s="932">
        <v>45751</v>
      </c>
      <c r="G2" s="932">
        <v>45752</v>
      </c>
      <c r="H2" s="932">
        <v>45753</v>
      </c>
      <c r="I2" s="932">
        <v>45754</v>
      </c>
      <c r="J2" s="932">
        <v>45755</v>
      </c>
      <c r="K2" s="932">
        <v>45756</v>
      </c>
      <c r="L2" s="932">
        <v>45757</v>
      </c>
      <c r="M2" s="932">
        <v>45758</v>
      </c>
      <c r="N2" s="932">
        <v>45759</v>
      </c>
      <c r="O2" s="932">
        <v>45760</v>
      </c>
      <c r="P2" s="932">
        <v>45761</v>
      </c>
      <c r="Q2" s="932">
        <v>45762</v>
      </c>
      <c r="R2" s="932">
        <v>45763</v>
      </c>
      <c r="S2" s="932">
        <v>45764</v>
      </c>
      <c r="T2" s="932">
        <v>45765</v>
      </c>
      <c r="U2" s="932">
        <v>45766</v>
      </c>
      <c r="V2" s="932">
        <v>45767</v>
      </c>
      <c r="W2" s="932">
        <v>45768</v>
      </c>
      <c r="X2" s="932">
        <v>45769</v>
      </c>
      <c r="Y2" s="932">
        <v>45770</v>
      </c>
      <c r="Z2" s="932">
        <v>45771</v>
      </c>
      <c r="AA2" s="932">
        <v>45772</v>
      </c>
      <c r="AB2" s="932">
        <v>45773</v>
      </c>
      <c r="AC2" s="932">
        <v>45774</v>
      </c>
      <c r="AD2" s="932">
        <v>45775</v>
      </c>
      <c r="AE2" s="932">
        <v>45776</v>
      </c>
      <c r="AF2" s="932">
        <v>45777</v>
      </c>
      <c r="AG2" s="932">
        <v>45778</v>
      </c>
    </row>
    <row r="3" spans="1:33">
      <c r="A3">
        <f>SUM(C3:AG3)</f>
        <v>13950</v>
      </c>
      <c r="B3" t="str">
        <f>Hoisting!E38</f>
        <v>Budget (t)</v>
      </c>
      <c r="C3" s="916">
        <f>Hoisting!H38</f>
        <v>390</v>
      </c>
      <c r="D3" s="916">
        <f>Hoisting!I38</f>
        <v>500</v>
      </c>
      <c r="E3" s="916">
        <f>Hoisting!J38</f>
        <v>500</v>
      </c>
      <c r="F3" s="916">
        <f>Hoisting!K38</f>
        <v>500</v>
      </c>
      <c r="G3" s="916">
        <f>Hoisting!L38</f>
        <v>500</v>
      </c>
      <c r="H3" s="916">
        <f>Hoisting!M38</f>
        <v>500</v>
      </c>
      <c r="I3" s="916">
        <f>Hoisting!N38</f>
        <v>500</v>
      </c>
      <c r="J3" s="916">
        <f>Hoisting!O38</f>
        <v>390</v>
      </c>
      <c r="K3" s="916">
        <f>Hoisting!P38</f>
        <v>500</v>
      </c>
      <c r="L3" s="916">
        <f>Hoisting!Q38</f>
        <v>500</v>
      </c>
      <c r="M3" s="916">
        <f>Hoisting!R38</f>
        <v>0</v>
      </c>
      <c r="N3" s="916">
        <f>Hoisting!S38</f>
        <v>0</v>
      </c>
      <c r="O3" s="916">
        <f>Hoisting!T38</f>
        <v>500</v>
      </c>
      <c r="P3" s="916">
        <f>Hoisting!U38</f>
        <v>500</v>
      </c>
      <c r="Q3" s="916">
        <f>Hoisting!V38</f>
        <v>390</v>
      </c>
      <c r="R3" s="916">
        <f>Hoisting!W38</f>
        <v>500</v>
      </c>
      <c r="S3" s="916">
        <f>Hoisting!X38</f>
        <v>500</v>
      </c>
      <c r="T3" s="916">
        <f>Hoisting!Y38</f>
        <v>500</v>
      </c>
      <c r="U3" s="916">
        <f>Hoisting!Z38</f>
        <v>390</v>
      </c>
      <c r="V3" s="916">
        <f>Hoisting!AA38</f>
        <v>500</v>
      </c>
      <c r="W3" s="916">
        <f>Hoisting!AB38</f>
        <v>500</v>
      </c>
      <c r="X3" s="916">
        <f>Hoisting!AC38</f>
        <v>500</v>
      </c>
      <c r="Y3" s="916">
        <f>Hoisting!AD38</f>
        <v>500</v>
      </c>
      <c r="Z3" s="916">
        <f>Hoisting!AE38</f>
        <v>500</v>
      </c>
      <c r="AA3" s="916">
        <f>Hoisting!AF38</f>
        <v>500</v>
      </c>
      <c r="AB3" s="916">
        <f>Hoisting!AG38</f>
        <v>500</v>
      </c>
      <c r="AC3" s="916">
        <f>Hoisting!AH38</f>
        <v>500</v>
      </c>
      <c r="AD3" s="916">
        <f>Hoisting!AI38</f>
        <v>500</v>
      </c>
      <c r="AE3" s="916">
        <f>Hoisting!AJ38</f>
        <v>390</v>
      </c>
      <c r="AF3" s="916">
        <f>Hoisting!AK38</f>
        <v>500</v>
      </c>
      <c r="AG3" s="916">
        <f>Hoisting!AL38</f>
        <v>500</v>
      </c>
    </row>
    <row r="4" spans="1:33">
      <c r="A4">
        <f>SUM(C4:AG4)</f>
        <v>2859.5</v>
      </c>
      <c r="B4" t="str">
        <f>Hoisting!E39</f>
        <v>Actual (t)</v>
      </c>
      <c r="C4" s="916">
        <f>Hoisting!H39</f>
        <v>336</v>
      </c>
      <c r="D4" s="916">
        <f>Hoisting!I39</f>
        <v>581</v>
      </c>
      <c r="E4" s="916">
        <f>Hoisting!J39</f>
        <v>525</v>
      </c>
      <c r="F4" s="916">
        <f>Hoisting!K39</f>
        <v>364</v>
      </c>
      <c r="G4" s="916">
        <f>Hoisting!L39</f>
        <v>535.5</v>
      </c>
      <c r="H4" s="916">
        <f>Hoisting!M39</f>
        <v>518</v>
      </c>
      <c r="I4" s="916">
        <f>Hoisting!N39</f>
        <v>0</v>
      </c>
      <c r="J4" s="916">
        <f>Hoisting!O39</f>
        <v>0</v>
      </c>
      <c r="K4" s="916">
        <f>Hoisting!P39</f>
        <v>0</v>
      </c>
      <c r="L4" s="916">
        <f>Hoisting!Q39</f>
        <v>0</v>
      </c>
      <c r="M4" s="916">
        <f>Hoisting!R39</f>
        <v>0</v>
      </c>
      <c r="N4" s="916">
        <f>Hoisting!S39</f>
        <v>0</v>
      </c>
      <c r="O4" s="916">
        <f>Hoisting!T39</f>
        <v>0</v>
      </c>
      <c r="P4" s="916">
        <f>Hoisting!U39</f>
        <v>0</v>
      </c>
      <c r="Q4" s="916">
        <f>Hoisting!V39</f>
        <v>0</v>
      </c>
      <c r="R4" s="916">
        <f>Hoisting!W39</f>
        <v>0</v>
      </c>
      <c r="S4" s="916">
        <f>Hoisting!X39</f>
        <v>0</v>
      </c>
      <c r="T4" s="916">
        <f>Hoisting!Y39</f>
        <v>0</v>
      </c>
      <c r="U4" s="916">
        <f>Hoisting!Z39</f>
        <v>0</v>
      </c>
      <c r="V4" s="916">
        <f>Hoisting!AA39</f>
        <v>0</v>
      </c>
      <c r="W4" s="916">
        <f>Hoisting!AB39</f>
        <v>0</v>
      </c>
      <c r="X4" s="916">
        <f>Hoisting!AC39</f>
        <v>0</v>
      </c>
      <c r="Y4" s="916">
        <f>Hoisting!AD39</f>
        <v>0</v>
      </c>
      <c r="Z4" s="916">
        <f>Hoisting!AE39</f>
        <v>0</v>
      </c>
      <c r="AA4" s="918">
        <f>Hoisting!AF39</f>
        <v>0</v>
      </c>
      <c r="AB4" s="918">
        <f>Hoisting!AG39</f>
        <v>0</v>
      </c>
      <c r="AC4" s="918">
        <f>Hoisting!AH39</f>
        <v>0</v>
      </c>
      <c r="AD4" s="918">
        <f>Hoisting!AI39</f>
        <v>0</v>
      </c>
      <c r="AE4" s="918">
        <f>Hoisting!AJ39</f>
        <v>0</v>
      </c>
      <c r="AF4" s="918">
        <f>Hoisting!AK39</f>
        <v>0</v>
      </c>
      <c r="AG4" s="918">
        <f>Hoisting!AL39</f>
        <v>0</v>
      </c>
    </row>
    <row r="5" spans="1:33">
      <c r="A5">
        <f>A3-A4</f>
        <v>11090.5</v>
      </c>
      <c r="B5" t="s">
        <v>447</v>
      </c>
      <c r="C5" s="916">
        <f>C3</f>
        <v>390</v>
      </c>
      <c r="D5" s="916">
        <f t="shared" ref="D5:AF5" si="0">C5+D3</f>
        <v>890</v>
      </c>
      <c r="E5" s="916">
        <f t="shared" si="0"/>
        <v>1390</v>
      </c>
      <c r="F5" s="916">
        <f t="shared" si="0"/>
        <v>1890</v>
      </c>
      <c r="G5" s="916">
        <f t="shared" si="0"/>
        <v>2390</v>
      </c>
      <c r="H5" s="916">
        <f t="shared" si="0"/>
        <v>2890</v>
      </c>
      <c r="I5" s="916">
        <f t="shared" si="0"/>
        <v>3390</v>
      </c>
      <c r="J5" s="916">
        <f t="shared" si="0"/>
        <v>3780</v>
      </c>
      <c r="K5" s="916">
        <f t="shared" si="0"/>
        <v>4280</v>
      </c>
      <c r="L5" s="916">
        <f t="shared" si="0"/>
        <v>4780</v>
      </c>
      <c r="M5" s="916">
        <f t="shared" si="0"/>
        <v>4780</v>
      </c>
      <c r="N5" s="916">
        <f t="shared" si="0"/>
        <v>4780</v>
      </c>
      <c r="O5" s="916">
        <f t="shared" si="0"/>
        <v>5280</v>
      </c>
      <c r="P5" s="916">
        <f t="shared" si="0"/>
        <v>5780</v>
      </c>
      <c r="Q5" s="916">
        <f t="shared" si="0"/>
        <v>6170</v>
      </c>
      <c r="R5" s="916">
        <f t="shared" si="0"/>
        <v>6670</v>
      </c>
      <c r="S5" s="916">
        <f t="shared" si="0"/>
        <v>7170</v>
      </c>
      <c r="T5" s="916">
        <f t="shared" si="0"/>
        <v>7670</v>
      </c>
      <c r="U5" s="916">
        <f t="shared" si="0"/>
        <v>8060</v>
      </c>
      <c r="V5" s="916">
        <f t="shared" si="0"/>
        <v>8560</v>
      </c>
      <c r="W5" s="916">
        <f t="shared" si="0"/>
        <v>9060</v>
      </c>
      <c r="X5" s="916">
        <f t="shared" si="0"/>
        <v>9560</v>
      </c>
      <c r="Y5" s="916">
        <f t="shared" si="0"/>
        <v>10060</v>
      </c>
      <c r="Z5" s="916">
        <f t="shared" si="0"/>
        <v>10560</v>
      </c>
      <c r="AA5" s="916">
        <f t="shared" si="0"/>
        <v>11060</v>
      </c>
      <c r="AB5" s="916">
        <f t="shared" si="0"/>
        <v>11560</v>
      </c>
      <c r="AC5" s="916">
        <f t="shared" si="0"/>
        <v>12060</v>
      </c>
      <c r="AD5" s="916">
        <f t="shared" si="0"/>
        <v>12560</v>
      </c>
      <c r="AE5" s="916">
        <f t="shared" si="0"/>
        <v>12950</v>
      </c>
      <c r="AF5" s="916">
        <f t="shared" si="0"/>
        <v>13450</v>
      </c>
      <c r="AG5" s="916">
        <f>AF5+AG3</f>
        <v>13950</v>
      </c>
    </row>
    <row r="6" spans="1:33">
      <c r="B6" t="s">
        <v>448</v>
      </c>
      <c r="C6" s="916">
        <f>C4</f>
        <v>336</v>
      </c>
      <c r="D6" s="916">
        <f t="shared" ref="D6:AG6" si="1">C6+D4</f>
        <v>917</v>
      </c>
      <c r="E6" s="916">
        <f t="shared" si="1"/>
        <v>1442</v>
      </c>
      <c r="F6" s="916">
        <f t="shared" si="1"/>
        <v>1806</v>
      </c>
      <c r="G6" s="916">
        <f t="shared" si="1"/>
        <v>2341.5</v>
      </c>
      <c r="H6" s="916">
        <f t="shared" si="1"/>
        <v>2859.5</v>
      </c>
      <c r="I6" s="916">
        <f t="shared" si="1"/>
        <v>2859.5</v>
      </c>
      <c r="J6" s="916">
        <f t="shared" si="1"/>
        <v>2859.5</v>
      </c>
      <c r="K6" s="916">
        <f t="shared" si="1"/>
        <v>2859.5</v>
      </c>
      <c r="L6" s="916">
        <f t="shared" si="1"/>
        <v>2859.5</v>
      </c>
      <c r="M6" s="916">
        <f t="shared" si="1"/>
        <v>2859.5</v>
      </c>
      <c r="N6" s="916">
        <f t="shared" si="1"/>
        <v>2859.5</v>
      </c>
      <c r="O6" s="916">
        <f t="shared" si="1"/>
        <v>2859.5</v>
      </c>
      <c r="P6" s="916">
        <f t="shared" si="1"/>
        <v>2859.5</v>
      </c>
      <c r="Q6" s="916">
        <f t="shared" si="1"/>
        <v>2859.5</v>
      </c>
      <c r="R6" s="916">
        <f t="shared" si="1"/>
        <v>2859.5</v>
      </c>
      <c r="S6" s="916">
        <f t="shared" si="1"/>
        <v>2859.5</v>
      </c>
      <c r="T6" s="916">
        <f t="shared" si="1"/>
        <v>2859.5</v>
      </c>
      <c r="U6" s="916">
        <f t="shared" si="1"/>
        <v>2859.5</v>
      </c>
      <c r="V6" s="916">
        <f t="shared" si="1"/>
        <v>2859.5</v>
      </c>
      <c r="W6" s="916">
        <f t="shared" si="1"/>
        <v>2859.5</v>
      </c>
      <c r="X6" s="916">
        <f t="shared" si="1"/>
        <v>2859.5</v>
      </c>
      <c r="Y6" s="916">
        <f t="shared" si="1"/>
        <v>2859.5</v>
      </c>
      <c r="Z6" s="916">
        <f t="shared" si="1"/>
        <v>2859.5</v>
      </c>
      <c r="AA6" s="916">
        <f t="shared" si="1"/>
        <v>2859.5</v>
      </c>
      <c r="AB6" s="916">
        <f t="shared" si="1"/>
        <v>2859.5</v>
      </c>
      <c r="AC6" s="916">
        <f t="shared" si="1"/>
        <v>2859.5</v>
      </c>
      <c r="AD6" s="916">
        <f t="shared" si="1"/>
        <v>2859.5</v>
      </c>
      <c r="AE6" s="916">
        <f t="shared" si="1"/>
        <v>2859.5</v>
      </c>
      <c r="AF6" s="916">
        <f t="shared" si="1"/>
        <v>2859.5</v>
      </c>
      <c r="AG6" s="916">
        <f t="shared" si="1"/>
        <v>2859.5</v>
      </c>
    </row>
    <row r="7" spans="1:33">
      <c r="A7">
        <f>A5/7</f>
        <v>1584.3571428571429</v>
      </c>
    </row>
    <row r="8" spans="1:33">
      <c r="A8">
        <f>A7+450</f>
        <v>2034.3571428571429</v>
      </c>
    </row>
  </sheetData>
  <sheetProtection algorithmName="SHA-512" hashValue="ef6up25TjORIXd7yNWVEB0dS32+N8ZSQT3rLPkVpM/A2yj9yswEjDd6XJLVTzoHEn2kQPI87nkDTubDMgMZ/Xg==" saltValue="tS7quNz2SQvYayxuanfz/w==" spinCount="100000" sheet="1" objects="1" scenarios="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B1D37-F408-44CC-A2C5-E7E1439D265C}">
  <sheetPr>
    <tabColor rgb="FF00B050"/>
  </sheetPr>
  <dimension ref="A1"/>
  <sheetViews>
    <sheetView showGridLines="0" showRowColHeaders="0" view="pageBreakPreview" topLeftCell="P3" zoomScale="85" zoomScaleNormal="100" zoomScaleSheetLayoutView="85" workbookViewId="0">
      <selection activeCell="AI12" sqref="AI12"/>
    </sheetView>
  </sheetViews>
  <sheetFormatPr defaultRowHeight="14.4"/>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37646-2729-4B24-9016-4F66A8238B21}">
  <sheetPr>
    <tabColor theme="9" tint="0.39997558519241921"/>
  </sheetPr>
  <dimension ref="A1:U1685"/>
  <sheetViews>
    <sheetView zoomScale="85" zoomScaleNormal="70" workbookViewId="0">
      <pane xSplit="1" ySplit="1" topLeftCell="B182" activePane="bottomRight" state="frozen"/>
      <selection pane="topRight" activeCell="B1" sqref="B1"/>
      <selection pane="bottomLeft" activeCell="A2" sqref="A2"/>
      <selection pane="bottomRight" activeCell="D133" sqref="D133"/>
    </sheetView>
  </sheetViews>
  <sheetFormatPr defaultColWidth="16.109375" defaultRowHeight="15.6"/>
  <cols>
    <col min="1" max="1" width="16.109375" style="1815"/>
    <col min="2" max="2" width="8.21875" style="2220" bestFit="1" customWidth="1"/>
    <col min="3" max="3" width="10.21875" style="1545" customWidth="1"/>
    <col min="4" max="4" width="11.21875" style="1545" bestFit="1" customWidth="1"/>
    <col min="5" max="5" width="8.21875" style="1545" bestFit="1" customWidth="1"/>
    <col min="6" max="6" width="16.109375" style="1545" customWidth="1"/>
    <col min="7" max="7" width="13.21875" style="1545" bestFit="1" customWidth="1"/>
    <col min="8" max="8" width="15.21875" style="1423" bestFit="1" customWidth="1"/>
    <col min="9" max="9" width="11.21875" style="1545" customWidth="1"/>
    <col min="10" max="10" width="9.21875" style="1545" customWidth="1"/>
    <col min="11" max="11" width="12.21875" style="1546" bestFit="1" customWidth="1"/>
    <col min="12" max="12" width="12.77734375" style="1423" bestFit="1" customWidth="1"/>
    <col min="13" max="13" width="9.21875" style="1425" bestFit="1" customWidth="1"/>
    <col min="14" max="14" width="15.21875" style="1424" customWidth="1"/>
    <col min="15" max="15" width="11.88671875" style="1635" bestFit="1" customWidth="1"/>
    <col min="16" max="16" width="11.109375" style="1545" bestFit="1" customWidth="1"/>
    <col min="17" max="17" width="15.21875" style="1545" bestFit="1" customWidth="1"/>
    <col min="18" max="18" width="16.109375" style="1545"/>
    <col min="19" max="20" width="16.109375" style="1423"/>
    <col min="21" max="21" width="27.21875" style="1423" customWidth="1"/>
    <col min="22" max="16384" width="16.109375" style="1423"/>
  </cols>
  <sheetData>
    <row r="1" spans="1:18" s="1422" customFormat="1" ht="31.8" thickBot="1">
      <c r="A1" s="1609" t="s">
        <v>15</v>
      </c>
      <c r="B1" s="1561" t="s">
        <v>449</v>
      </c>
      <c r="C1" s="1442" t="s">
        <v>450</v>
      </c>
      <c r="D1" s="1443" t="s">
        <v>451</v>
      </c>
      <c r="E1" s="1442" t="s">
        <v>452</v>
      </c>
      <c r="F1" s="1443" t="s">
        <v>453</v>
      </c>
      <c r="G1" s="1442" t="s">
        <v>454</v>
      </c>
      <c r="H1" s="1443" t="s">
        <v>455</v>
      </c>
      <c r="I1" s="1442" t="s">
        <v>456</v>
      </c>
      <c r="J1" s="1443" t="s">
        <v>457</v>
      </c>
      <c r="K1" s="1444" t="s">
        <v>458</v>
      </c>
      <c r="L1" s="1443" t="s">
        <v>459</v>
      </c>
      <c r="M1" s="1445" t="s">
        <v>460</v>
      </c>
      <c r="N1" s="1608" t="s">
        <v>461</v>
      </c>
      <c r="O1" s="1446" t="s">
        <v>462</v>
      </c>
      <c r="P1" s="1443" t="s">
        <v>463</v>
      </c>
      <c r="Q1" s="1442" t="s">
        <v>464</v>
      </c>
      <c r="R1" s="1443" t="s">
        <v>465</v>
      </c>
    </row>
    <row r="2" spans="1:18">
      <c r="A2" s="2047">
        <v>45870</v>
      </c>
      <c r="B2" s="2215" t="s">
        <v>466</v>
      </c>
      <c r="C2" s="1564" t="s">
        <v>467</v>
      </c>
      <c r="D2" s="1564" t="s">
        <v>468</v>
      </c>
      <c r="E2" s="1564" t="s">
        <v>469</v>
      </c>
      <c r="F2" s="1564">
        <v>3.4</v>
      </c>
      <c r="G2" s="1564" t="s">
        <v>470</v>
      </c>
      <c r="H2" s="966" t="s">
        <v>471</v>
      </c>
      <c r="I2" s="1564">
        <v>0</v>
      </c>
      <c r="J2" s="1564">
        <v>0.6</v>
      </c>
      <c r="K2" s="1565">
        <f t="shared" ref="K2:K33" si="0">J2-I2</f>
        <v>0.6</v>
      </c>
      <c r="L2" s="2013" t="s">
        <v>472</v>
      </c>
      <c r="M2" s="2335">
        <v>0.34</v>
      </c>
      <c r="N2" s="2915">
        <f>+AVERAGE(M2:M3)</f>
        <v>1.105</v>
      </c>
      <c r="O2" s="2015"/>
      <c r="P2" s="1564"/>
      <c r="Q2" s="1564"/>
      <c r="R2" s="1566"/>
    </row>
    <row r="3" spans="1:18">
      <c r="A3" s="2003">
        <v>45870</v>
      </c>
      <c r="B3" s="2204"/>
      <c r="C3" s="1536"/>
      <c r="D3" s="1536"/>
      <c r="E3" s="1536"/>
      <c r="F3" s="1536"/>
      <c r="G3" s="1536"/>
      <c r="H3" s="1235"/>
      <c r="I3" s="1536">
        <v>0.6</v>
      </c>
      <c r="J3" s="1536">
        <v>0.8</v>
      </c>
      <c r="K3" s="1555">
        <f t="shared" si="0"/>
        <v>0.20000000000000007</v>
      </c>
      <c r="L3" s="2011" t="s">
        <v>473</v>
      </c>
      <c r="M3" s="1921">
        <v>1.87</v>
      </c>
      <c r="N3" s="2916"/>
      <c r="O3" s="1631"/>
      <c r="P3" s="1536"/>
      <c r="Q3" s="1536"/>
      <c r="R3" s="1698"/>
    </row>
    <row r="4" spans="1:18">
      <c r="A4" s="2003">
        <v>45870</v>
      </c>
      <c r="B4" s="2204" t="s">
        <v>466</v>
      </c>
      <c r="C4" s="1536" t="s">
        <v>467</v>
      </c>
      <c r="D4" s="1536" t="s">
        <v>468</v>
      </c>
      <c r="E4" s="1536" t="s">
        <v>469</v>
      </c>
      <c r="F4" s="1536">
        <v>4.8</v>
      </c>
      <c r="G4" s="1536" t="s">
        <v>474</v>
      </c>
      <c r="H4" s="1235" t="s">
        <v>475</v>
      </c>
      <c r="I4" s="1614">
        <v>0</v>
      </c>
      <c r="J4" s="1526">
        <v>0.6</v>
      </c>
      <c r="K4" s="1555">
        <f t="shared" si="0"/>
        <v>0.6</v>
      </c>
      <c r="L4" s="2011" t="s">
        <v>476</v>
      </c>
      <c r="M4" s="1921">
        <v>0.24</v>
      </c>
      <c r="N4" s="2915">
        <f>+AVERAGE(M4:M6)</f>
        <v>0.39666666666666667</v>
      </c>
      <c r="O4" s="1631"/>
      <c r="P4" s="1536"/>
      <c r="Q4" s="1536"/>
      <c r="R4" s="1698"/>
    </row>
    <row r="5" spans="1:18">
      <c r="A5" s="2003">
        <v>45870</v>
      </c>
      <c r="B5" s="2204"/>
      <c r="C5" s="1536"/>
      <c r="D5" s="1536"/>
      <c r="E5" s="1536"/>
      <c r="F5" s="1536"/>
      <c r="G5" s="1536"/>
      <c r="H5" s="1235"/>
      <c r="I5" s="1536">
        <v>0.6</v>
      </c>
      <c r="J5" s="1536">
        <v>1.2</v>
      </c>
      <c r="K5" s="1555">
        <f t="shared" si="0"/>
        <v>0.6</v>
      </c>
      <c r="L5" s="2011" t="s">
        <v>477</v>
      </c>
      <c r="M5" s="1921">
        <v>0.32</v>
      </c>
      <c r="N5" s="2918"/>
      <c r="O5" s="1631"/>
      <c r="P5" s="1536"/>
      <c r="Q5" s="1536"/>
      <c r="R5" s="1698"/>
    </row>
    <row r="6" spans="1:18">
      <c r="A6" s="2003">
        <v>45870</v>
      </c>
      <c r="B6" s="2204"/>
      <c r="C6" s="1536"/>
      <c r="D6" s="1536"/>
      <c r="E6" s="1536"/>
      <c r="F6" s="1536"/>
      <c r="G6" s="1536"/>
      <c r="H6" s="1235"/>
      <c r="I6" s="1536">
        <v>1.2</v>
      </c>
      <c r="J6" s="1536">
        <v>1.4</v>
      </c>
      <c r="K6" s="1555">
        <f t="shared" si="0"/>
        <v>0.19999999999999996</v>
      </c>
      <c r="L6" s="2011" t="s">
        <v>478</v>
      </c>
      <c r="M6" s="1921">
        <v>0.63</v>
      </c>
      <c r="N6" s="2916"/>
      <c r="O6" s="1631"/>
      <c r="P6" s="1536"/>
      <c r="Q6" s="1536"/>
      <c r="R6" s="1698"/>
    </row>
    <row r="7" spans="1:18">
      <c r="A7" s="2003">
        <v>45870</v>
      </c>
      <c r="B7" s="2204" t="s">
        <v>479</v>
      </c>
      <c r="C7" s="1536" t="s">
        <v>480</v>
      </c>
      <c r="D7" s="1536" t="s">
        <v>481</v>
      </c>
      <c r="E7" s="1536" t="s">
        <v>482</v>
      </c>
      <c r="F7" s="1536">
        <v>0</v>
      </c>
      <c r="G7" s="1536" t="s">
        <v>474</v>
      </c>
      <c r="H7" s="1235" t="s">
        <v>483</v>
      </c>
      <c r="I7" s="1536">
        <v>0</v>
      </c>
      <c r="J7" s="1536">
        <v>0.6</v>
      </c>
      <c r="K7" s="1555">
        <f t="shared" si="0"/>
        <v>0.6</v>
      </c>
      <c r="L7" s="2011" t="s">
        <v>484</v>
      </c>
      <c r="M7" s="1921">
        <v>2.11</v>
      </c>
      <c r="N7" s="2915">
        <f>+AVERAGE(M7:M8)</f>
        <v>2.0350000000000001</v>
      </c>
      <c r="O7" s="1631"/>
      <c r="P7" s="1536"/>
      <c r="Q7" s="1536"/>
      <c r="R7" s="1698"/>
    </row>
    <row r="8" spans="1:18">
      <c r="A8" s="2003">
        <v>45870</v>
      </c>
      <c r="B8" s="2204" t="s">
        <v>479</v>
      </c>
      <c r="C8" s="1536" t="s">
        <v>480</v>
      </c>
      <c r="D8" s="1536" t="s">
        <v>481</v>
      </c>
      <c r="E8" s="1536" t="s">
        <v>482</v>
      </c>
      <c r="F8" s="1536">
        <v>0</v>
      </c>
      <c r="G8" s="1536" t="s">
        <v>474</v>
      </c>
      <c r="H8" s="1235" t="s">
        <v>483</v>
      </c>
      <c r="I8" s="1536">
        <v>0.6</v>
      </c>
      <c r="J8" s="1536">
        <v>1.2</v>
      </c>
      <c r="K8" s="1555">
        <f t="shared" si="0"/>
        <v>0.6</v>
      </c>
      <c r="L8" s="2011" t="s">
        <v>485</v>
      </c>
      <c r="M8" s="1921">
        <v>1.96</v>
      </c>
      <c r="N8" s="2916"/>
      <c r="O8" s="1631"/>
      <c r="P8" s="1536"/>
      <c r="Q8" s="1536"/>
      <c r="R8" s="1698"/>
    </row>
    <row r="9" spans="1:18">
      <c r="A9" s="2003">
        <v>45870</v>
      </c>
      <c r="B9" s="2204" t="s">
        <v>479</v>
      </c>
      <c r="C9" s="1536" t="s">
        <v>480</v>
      </c>
      <c r="D9" s="1536" t="s">
        <v>481</v>
      </c>
      <c r="E9" s="1536" t="s">
        <v>482</v>
      </c>
      <c r="F9" s="1536">
        <v>0</v>
      </c>
      <c r="G9" s="1536" t="s">
        <v>474</v>
      </c>
      <c r="H9" s="1235" t="s">
        <v>483</v>
      </c>
      <c r="I9" s="1536">
        <v>0</v>
      </c>
      <c r="J9" s="1536">
        <v>0.6</v>
      </c>
      <c r="K9" s="1555">
        <f t="shared" si="0"/>
        <v>0.6</v>
      </c>
      <c r="L9" s="2011" t="s">
        <v>486</v>
      </c>
      <c r="M9" s="1921">
        <v>7.0000000000000007E-2</v>
      </c>
      <c r="N9" s="2915">
        <f>+AVERAGE(M9:M10)</f>
        <v>7.0000000000000007E-2</v>
      </c>
      <c r="O9" s="1631"/>
      <c r="P9" s="1536"/>
      <c r="Q9" s="1536"/>
      <c r="R9" s="1698"/>
    </row>
    <row r="10" spans="1:18">
      <c r="A10" s="2003">
        <v>45870</v>
      </c>
      <c r="B10" s="2204" t="s">
        <v>479</v>
      </c>
      <c r="C10" s="1536" t="s">
        <v>480</v>
      </c>
      <c r="D10" s="1536" t="s">
        <v>481</v>
      </c>
      <c r="E10" s="1536" t="s">
        <v>482</v>
      </c>
      <c r="F10" s="1536">
        <v>0</v>
      </c>
      <c r="G10" s="1536" t="s">
        <v>474</v>
      </c>
      <c r="H10" s="1235" t="s">
        <v>483</v>
      </c>
      <c r="I10" s="1536">
        <v>0.6</v>
      </c>
      <c r="J10" s="1536">
        <v>1.2</v>
      </c>
      <c r="K10" s="1555">
        <f t="shared" si="0"/>
        <v>0.6</v>
      </c>
      <c r="L10" s="2011" t="s">
        <v>487</v>
      </c>
      <c r="M10" s="1921">
        <v>7.0000000000000007E-2</v>
      </c>
      <c r="N10" s="2916"/>
      <c r="O10" s="1631"/>
      <c r="P10" s="1536"/>
      <c r="Q10" s="1536"/>
      <c r="R10" s="1698"/>
    </row>
    <row r="11" spans="1:18">
      <c r="A11" s="2003">
        <v>45870</v>
      </c>
      <c r="B11" s="2204" t="s">
        <v>479</v>
      </c>
      <c r="C11" s="1536" t="s">
        <v>480</v>
      </c>
      <c r="D11" s="1536" t="s">
        <v>481</v>
      </c>
      <c r="E11" s="1536" t="s">
        <v>482</v>
      </c>
      <c r="F11" s="1536">
        <v>2</v>
      </c>
      <c r="G11" s="1536" t="s">
        <v>474</v>
      </c>
      <c r="H11" s="1235" t="s">
        <v>483</v>
      </c>
      <c r="I11" s="1536">
        <v>0</v>
      </c>
      <c r="J11" s="1536">
        <v>0.6</v>
      </c>
      <c r="K11" s="1555">
        <f t="shared" si="0"/>
        <v>0.6</v>
      </c>
      <c r="L11" s="2011" t="s">
        <v>488</v>
      </c>
      <c r="M11" s="1921">
        <v>0.496</v>
      </c>
      <c r="N11" s="2915">
        <f>+AVERAGE(M11:M12)</f>
        <v>0.313</v>
      </c>
      <c r="O11" s="1631"/>
      <c r="P11" s="1536"/>
      <c r="Q11" s="1536"/>
      <c r="R11" s="1567"/>
    </row>
    <row r="12" spans="1:18">
      <c r="A12" s="2003">
        <v>45870</v>
      </c>
      <c r="B12" s="2204" t="s">
        <v>479</v>
      </c>
      <c r="C12" s="1536" t="s">
        <v>480</v>
      </c>
      <c r="D12" s="1536" t="s">
        <v>481</v>
      </c>
      <c r="E12" s="1536" t="s">
        <v>482</v>
      </c>
      <c r="F12" s="1536">
        <v>2</v>
      </c>
      <c r="G12" s="1536" t="s">
        <v>474</v>
      </c>
      <c r="H12" s="1235" t="s">
        <v>483</v>
      </c>
      <c r="I12" s="1536">
        <v>0.6</v>
      </c>
      <c r="J12" s="1536">
        <v>1.2</v>
      </c>
      <c r="K12" s="1555">
        <f t="shared" si="0"/>
        <v>0.6</v>
      </c>
      <c r="L12" s="2011" t="s">
        <v>489</v>
      </c>
      <c r="M12" s="1921">
        <v>0.13</v>
      </c>
      <c r="N12" s="2916"/>
      <c r="O12" s="1631"/>
      <c r="P12" s="1536"/>
      <c r="Q12" s="1536"/>
      <c r="R12" s="1567"/>
    </row>
    <row r="13" spans="1:18">
      <c r="A13" s="2003">
        <v>45870</v>
      </c>
      <c r="B13" s="2204" t="s">
        <v>479</v>
      </c>
      <c r="C13" s="1536" t="s">
        <v>480</v>
      </c>
      <c r="D13" s="1536" t="s">
        <v>481</v>
      </c>
      <c r="E13" s="1536" t="s">
        <v>482</v>
      </c>
      <c r="F13" s="1536">
        <v>0</v>
      </c>
      <c r="G13" s="1536" t="s">
        <v>474</v>
      </c>
      <c r="H13" s="1235" t="s">
        <v>490</v>
      </c>
      <c r="I13" s="1536">
        <v>0</v>
      </c>
      <c r="J13" s="1536">
        <v>0.6</v>
      </c>
      <c r="K13" s="1555">
        <f t="shared" si="0"/>
        <v>0.6</v>
      </c>
      <c r="L13" s="2011" t="s">
        <v>491</v>
      </c>
      <c r="M13" s="1921">
        <v>0.05</v>
      </c>
      <c r="N13" s="2915">
        <f>+AVERAGE(M13:M14)</f>
        <v>6.0000000000000005E-2</v>
      </c>
      <c r="O13" s="1631"/>
      <c r="P13" s="1536"/>
      <c r="Q13" s="1536"/>
      <c r="R13" s="1567"/>
    </row>
    <row r="14" spans="1:18">
      <c r="A14" s="2003">
        <v>45870</v>
      </c>
      <c r="B14" s="2204" t="s">
        <v>479</v>
      </c>
      <c r="C14" s="1536" t="s">
        <v>480</v>
      </c>
      <c r="D14" s="1536" t="s">
        <v>481</v>
      </c>
      <c r="E14" s="1536" t="s">
        <v>482</v>
      </c>
      <c r="F14" s="1536">
        <v>0</v>
      </c>
      <c r="G14" s="1536" t="s">
        <v>474</v>
      </c>
      <c r="H14" s="1235" t="s">
        <v>490</v>
      </c>
      <c r="I14" s="1536">
        <v>0.6</v>
      </c>
      <c r="J14" s="1536">
        <v>1.2</v>
      </c>
      <c r="K14" s="1555">
        <f t="shared" si="0"/>
        <v>0.6</v>
      </c>
      <c r="L14" s="2011" t="s">
        <v>492</v>
      </c>
      <c r="M14" s="1921">
        <v>7.0000000000000007E-2</v>
      </c>
      <c r="N14" s="2916"/>
      <c r="O14" s="1631"/>
      <c r="P14" s="1536"/>
      <c r="Q14" s="1536"/>
      <c r="R14" s="1567"/>
    </row>
    <row r="15" spans="1:18">
      <c r="A15" s="2003">
        <v>45870</v>
      </c>
      <c r="B15" s="2204" t="s">
        <v>479</v>
      </c>
      <c r="C15" s="1536" t="s">
        <v>480</v>
      </c>
      <c r="D15" s="1536" t="s">
        <v>481</v>
      </c>
      <c r="E15" s="1536" t="s">
        <v>482</v>
      </c>
      <c r="F15" s="1536">
        <v>2</v>
      </c>
      <c r="G15" s="1536" t="s">
        <v>474</v>
      </c>
      <c r="H15" s="1235" t="s">
        <v>490</v>
      </c>
      <c r="I15" s="1536">
        <v>0</v>
      </c>
      <c r="J15" s="1536">
        <v>0.6</v>
      </c>
      <c r="K15" s="1555">
        <f t="shared" si="0"/>
        <v>0.6</v>
      </c>
      <c r="L15" s="2011" t="s">
        <v>493</v>
      </c>
      <c r="M15" s="2336">
        <v>7.69</v>
      </c>
      <c r="N15" s="2915">
        <f>+AVERAGE(M15:M16)</f>
        <v>4.2250000000000005</v>
      </c>
      <c r="O15" s="1631"/>
      <c r="P15" s="1536"/>
      <c r="Q15" s="1536"/>
      <c r="R15" s="1567"/>
    </row>
    <row r="16" spans="1:18">
      <c r="A16" s="2003">
        <v>45870</v>
      </c>
      <c r="B16" s="2204" t="s">
        <v>479</v>
      </c>
      <c r="C16" s="1536" t="s">
        <v>480</v>
      </c>
      <c r="D16" s="1536" t="s">
        <v>481</v>
      </c>
      <c r="E16" s="1536" t="s">
        <v>482</v>
      </c>
      <c r="F16" s="1536">
        <v>2</v>
      </c>
      <c r="G16" s="1536" t="s">
        <v>474</v>
      </c>
      <c r="H16" s="1235" t="s">
        <v>490</v>
      </c>
      <c r="I16" s="1536">
        <v>0.6</v>
      </c>
      <c r="J16" s="1536">
        <v>1.2</v>
      </c>
      <c r="K16" s="1555">
        <f t="shared" si="0"/>
        <v>0.6</v>
      </c>
      <c r="L16" s="2011" t="s">
        <v>494</v>
      </c>
      <c r="M16" s="2336">
        <v>0.76</v>
      </c>
      <c r="N16" s="2916"/>
      <c r="O16" s="1631"/>
      <c r="P16" s="1536"/>
      <c r="Q16" s="1536"/>
      <c r="R16" s="1567"/>
    </row>
    <row r="17" spans="1:18">
      <c r="A17" s="2003">
        <v>45870</v>
      </c>
      <c r="B17" s="2204" t="s">
        <v>479</v>
      </c>
      <c r="C17" s="1536" t="s">
        <v>480</v>
      </c>
      <c r="D17" s="1536" t="s">
        <v>481</v>
      </c>
      <c r="E17" s="1536" t="s">
        <v>482</v>
      </c>
      <c r="F17" s="1536">
        <v>4</v>
      </c>
      <c r="G17" s="1536" t="s">
        <v>474</v>
      </c>
      <c r="H17" s="1235" t="s">
        <v>490</v>
      </c>
      <c r="I17" s="1536">
        <v>0</v>
      </c>
      <c r="J17" s="1536">
        <v>0.6</v>
      </c>
      <c r="K17" s="1555">
        <f t="shared" si="0"/>
        <v>0.6</v>
      </c>
      <c r="L17" s="2011" t="s">
        <v>495</v>
      </c>
      <c r="M17" s="2336">
        <v>0.22</v>
      </c>
      <c r="N17" s="2915">
        <f>+AVERAGE(M17:M18)</f>
        <v>0.17499999999999999</v>
      </c>
      <c r="O17" s="1631"/>
      <c r="P17" s="1536"/>
      <c r="Q17" s="1536"/>
      <c r="R17" s="1567"/>
    </row>
    <row r="18" spans="1:18">
      <c r="A18" s="2003">
        <v>45870</v>
      </c>
      <c r="B18" s="2204" t="s">
        <v>479</v>
      </c>
      <c r="C18" s="1536" t="s">
        <v>480</v>
      </c>
      <c r="D18" s="1536" t="s">
        <v>481</v>
      </c>
      <c r="E18" s="1536" t="s">
        <v>482</v>
      </c>
      <c r="F18" s="1536">
        <v>4</v>
      </c>
      <c r="G18" s="1536" t="s">
        <v>474</v>
      </c>
      <c r="H18" s="1235" t="s">
        <v>490</v>
      </c>
      <c r="I18" s="1536">
        <v>0.6</v>
      </c>
      <c r="J18" s="1536">
        <v>1.2</v>
      </c>
      <c r="K18" s="1555">
        <f t="shared" si="0"/>
        <v>0.6</v>
      </c>
      <c r="L18" s="2011" t="s">
        <v>496</v>
      </c>
      <c r="M18" s="2336">
        <v>0.13</v>
      </c>
      <c r="N18" s="2916"/>
      <c r="O18" s="1631"/>
      <c r="P18" s="1536"/>
      <c r="Q18" s="1536"/>
      <c r="R18" s="1567"/>
    </row>
    <row r="19" spans="1:18">
      <c r="A19" s="2003">
        <v>45870</v>
      </c>
      <c r="B19" s="2204" t="s">
        <v>479</v>
      </c>
      <c r="C19" s="1536" t="s">
        <v>480</v>
      </c>
      <c r="D19" s="1536" t="s">
        <v>481</v>
      </c>
      <c r="E19" s="1536" t="s">
        <v>482</v>
      </c>
      <c r="F19" s="1536">
        <v>6</v>
      </c>
      <c r="G19" s="1536" t="s">
        <v>474</v>
      </c>
      <c r="H19" s="1235" t="s">
        <v>490</v>
      </c>
      <c r="I19" s="1536">
        <v>0</v>
      </c>
      <c r="J19" s="1536">
        <v>0.6</v>
      </c>
      <c r="K19" s="1555">
        <f t="shared" si="0"/>
        <v>0.6</v>
      </c>
      <c r="L19" s="2011" t="s">
        <v>497</v>
      </c>
      <c r="M19" s="2336">
        <v>0.73</v>
      </c>
      <c r="N19" s="2915">
        <f>+AVERAGE(M19:M20)</f>
        <v>0.73499999999999999</v>
      </c>
      <c r="O19" s="1631"/>
      <c r="P19" s="1536"/>
      <c r="Q19" s="1536"/>
      <c r="R19" s="1567"/>
    </row>
    <row r="20" spans="1:18">
      <c r="A20" s="2003">
        <v>45870</v>
      </c>
      <c r="B20" s="2204" t="s">
        <v>479</v>
      </c>
      <c r="C20" s="1536" t="s">
        <v>480</v>
      </c>
      <c r="D20" s="1536" t="s">
        <v>481</v>
      </c>
      <c r="E20" s="1536" t="s">
        <v>482</v>
      </c>
      <c r="F20" s="1536">
        <v>6</v>
      </c>
      <c r="G20" s="1536" t="s">
        <v>474</v>
      </c>
      <c r="H20" s="1235" t="s">
        <v>490</v>
      </c>
      <c r="I20" s="1536">
        <v>0.6</v>
      </c>
      <c r="J20" s="1536">
        <v>1.2</v>
      </c>
      <c r="K20" s="1555">
        <f t="shared" si="0"/>
        <v>0.6</v>
      </c>
      <c r="L20" s="2011" t="s">
        <v>498</v>
      </c>
      <c r="M20" s="2336">
        <v>0.74</v>
      </c>
      <c r="N20" s="2916"/>
      <c r="O20" s="1631"/>
      <c r="P20" s="1536"/>
      <c r="Q20" s="1536"/>
      <c r="R20" s="1567"/>
    </row>
    <row r="21" spans="1:18">
      <c r="A21" s="2003">
        <v>45870</v>
      </c>
      <c r="B21" s="2204" t="s">
        <v>499</v>
      </c>
      <c r="C21" s="1536" t="s">
        <v>500</v>
      </c>
      <c r="D21" s="1536" t="s">
        <v>481</v>
      </c>
      <c r="E21" s="1536" t="s">
        <v>469</v>
      </c>
      <c r="F21" s="1536">
        <v>21.6</v>
      </c>
      <c r="G21" s="1536" t="s">
        <v>474</v>
      </c>
      <c r="H21" s="1235" t="s">
        <v>501</v>
      </c>
      <c r="I21" s="1536">
        <v>0</v>
      </c>
      <c r="J21" s="1536">
        <v>0.6</v>
      </c>
      <c r="K21" s="1555">
        <f t="shared" si="0"/>
        <v>0.6</v>
      </c>
      <c r="L21" s="1708" t="s">
        <v>502</v>
      </c>
      <c r="M21" s="2336">
        <v>1.53</v>
      </c>
      <c r="N21" s="2915">
        <f>+AVERAGE(M21:M22)</f>
        <v>1.32</v>
      </c>
      <c r="O21" s="1631"/>
      <c r="P21" s="1536"/>
      <c r="Q21" s="1536"/>
      <c r="R21" s="1567"/>
    </row>
    <row r="22" spans="1:18">
      <c r="A22" s="2003">
        <v>45870</v>
      </c>
      <c r="B22" s="2204"/>
      <c r="C22" s="1536"/>
      <c r="D22" s="1536"/>
      <c r="E22" s="1536"/>
      <c r="F22" s="1536"/>
      <c r="G22" s="1536"/>
      <c r="H22" s="1235"/>
      <c r="I22" s="1536">
        <v>0.6</v>
      </c>
      <c r="J22" s="1536">
        <v>1.2</v>
      </c>
      <c r="K22" s="1537">
        <f t="shared" si="0"/>
        <v>0.6</v>
      </c>
      <c r="L22" s="1708" t="s">
        <v>503</v>
      </c>
      <c r="M22" s="2336">
        <v>1.1100000000000001</v>
      </c>
      <c r="N22" s="2916"/>
      <c r="O22" s="1631"/>
      <c r="P22" s="1536"/>
      <c r="Q22" s="1536"/>
      <c r="R22" s="1567"/>
    </row>
    <row r="23" spans="1:18">
      <c r="A23" s="2003">
        <v>45870</v>
      </c>
      <c r="B23" s="2204" t="s">
        <v>499</v>
      </c>
      <c r="C23" s="1536" t="s">
        <v>500</v>
      </c>
      <c r="D23" s="1536" t="s">
        <v>468</v>
      </c>
      <c r="E23" s="1536" t="s">
        <v>469</v>
      </c>
      <c r="F23" s="1536">
        <v>1.3</v>
      </c>
      <c r="G23" s="1536" t="s">
        <v>474</v>
      </c>
      <c r="H23" s="1235" t="s">
        <v>504</v>
      </c>
      <c r="I23" s="1536">
        <v>0</v>
      </c>
      <c r="J23" s="1536">
        <v>0.6</v>
      </c>
      <c r="K23" s="1537">
        <f t="shared" si="0"/>
        <v>0.6</v>
      </c>
      <c r="L23" s="1708" t="s">
        <v>505</v>
      </c>
      <c r="M23" s="2336">
        <v>0.24</v>
      </c>
      <c r="N23" s="2915">
        <f>+AVERAGE(M23:M24)</f>
        <v>0.32999999999999996</v>
      </c>
      <c r="O23" s="1631"/>
      <c r="P23" s="1536"/>
      <c r="Q23" s="1536"/>
      <c r="R23" s="1567"/>
    </row>
    <row r="24" spans="1:18">
      <c r="A24" s="2003">
        <v>45870</v>
      </c>
      <c r="B24" s="2204"/>
      <c r="C24" s="1536"/>
      <c r="D24" s="1536"/>
      <c r="E24" s="1536"/>
      <c r="F24" s="1536"/>
      <c r="G24" s="1536"/>
      <c r="H24" s="1235"/>
      <c r="I24" s="1536">
        <v>0.6</v>
      </c>
      <c r="J24" s="1536">
        <v>1.2</v>
      </c>
      <c r="K24" s="1537">
        <f t="shared" si="0"/>
        <v>0.6</v>
      </c>
      <c r="L24" s="1708" t="s">
        <v>506</v>
      </c>
      <c r="M24" s="2336">
        <v>0.42</v>
      </c>
      <c r="N24" s="2916"/>
      <c r="O24" s="1631"/>
      <c r="P24" s="1536"/>
      <c r="Q24" s="1536"/>
      <c r="R24" s="1567"/>
    </row>
    <row r="25" spans="1:18">
      <c r="A25" s="2003">
        <v>45870</v>
      </c>
      <c r="B25" s="2204" t="s">
        <v>499</v>
      </c>
      <c r="C25" s="1536" t="s">
        <v>500</v>
      </c>
      <c r="D25" s="1536" t="s">
        <v>468</v>
      </c>
      <c r="E25" s="1536" t="s">
        <v>469</v>
      </c>
      <c r="F25" s="1536">
        <v>0</v>
      </c>
      <c r="G25" s="1536" t="s">
        <v>470</v>
      </c>
      <c r="H25" s="1235" t="s">
        <v>504</v>
      </c>
      <c r="I25" s="1536">
        <v>0</v>
      </c>
      <c r="J25" s="1536">
        <v>0.6</v>
      </c>
      <c r="K25" s="1537">
        <f t="shared" si="0"/>
        <v>0.6</v>
      </c>
      <c r="L25" s="1708" t="s">
        <v>507</v>
      </c>
      <c r="M25" s="2336">
        <v>0.34</v>
      </c>
      <c r="N25" s="2915">
        <f>+AVERAGE(M25:M26)</f>
        <v>0.34499999999999997</v>
      </c>
      <c r="O25" s="1631"/>
      <c r="P25" s="1536"/>
      <c r="Q25" s="1536"/>
      <c r="R25" s="1567"/>
    </row>
    <row r="26" spans="1:18">
      <c r="A26" s="2003">
        <v>45870</v>
      </c>
      <c r="B26" s="2204"/>
      <c r="C26" s="1536"/>
      <c r="D26" s="1536"/>
      <c r="E26" s="1536"/>
      <c r="F26" s="1536"/>
      <c r="G26" s="1536"/>
      <c r="H26" s="1235"/>
      <c r="I26" s="1536">
        <v>0.6</v>
      </c>
      <c r="J26" s="1536">
        <v>1.2</v>
      </c>
      <c r="K26" s="1537">
        <f t="shared" si="0"/>
        <v>0.6</v>
      </c>
      <c r="L26" s="1708" t="s">
        <v>508</v>
      </c>
      <c r="M26" s="2336">
        <v>0.35</v>
      </c>
      <c r="N26" s="2916"/>
      <c r="O26" s="1631"/>
      <c r="P26" s="1536"/>
      <c r="Q26" s="1536"/>
      <c r="R26" s="1567"/>
    </row>
    <row r="27" spans="1:18">
      <c r="A27" s="2003">
        <v>45870</v>
      </c>
      <c r="B27" s="2204" t="s">
        <v>509</v>
      </c>
      <c r="C27" s="1536" t="s">
        <v>510</v>
      </c>
      <c r="D27" s="1536" t="s">
        <v>511</v>
      </c>
      <c r="E27" s="1536" t="s">
        <v>469</v>
      </c>
      <c r="F27" s="1536">
        <v>19.8</v>
      </c>
      <c r="G27" s="1536" t="s">
        <v>474</v>
      </c>
      <c r="H27" s="1235" t="s">
        <v>512</v>
      </c>
      <c r="I27" s="1536">
        <v>0</v>
      </c>
      <c r="J27" s="1536">
        <v>0.6</v>
      </c>
      <c r="K27" s="1537">
        <f t="shared" si="0"/>
        <v>0.6</v>
      </c>
      <c r="L27" s="1708" t="s">
        <v>513</v>
      </c>
      <c r="M27" s="2337">
        <v>0.01</v>
      </c>
      <c r="N27" s="2915">
        <f>+AVERAGE(M27:M29)</f>
        <v>8.666666666666667E-2</v>
      </c>
      <c r="O27" s="1631"/>
      <c r="P27" s="1536"/>
      <c r="Q27" s="1536"/>
      <c r="R27" s="1567"/>
    </row>
    <row r="28" spans="1:18">
      <c r="A28" s="2003">
        <v>45870</v>
      </c>
      <c r="B28" s="2204"/>
      <c r="C28" s="1536"/>
      <c r="D28" s="1536"/>
      <c r="E28" s="1536"/>
      <c r="F28" s="1536"/>
      <c r="G28" s="1536"/>
      <c r="H28" s="1235"/>
      <c r="I28" s="1536">
        <v>0.6</v>
      </c>
      <c r="J28" s="1536">
        <v>1</v>
      </c>
      <c r="K28" s="1537">
        <f t="shared" si="0"/>
        <v>0.4</v>
      </c>
      <c r="L28" s="1708" t="s">
        <v>514</v>
      </c>
      <c r="M28" s="2337">
        <v>0.19</v>
      </c>
      <c r="N28" s="2918"/>
      <c r="O28" s="1631"/>
      <c r="P28" s="1536"/>
      <c r="Q28" s="1536"/>
      <c r="R28" s="1567"/>
    </row>
    <row r="29" spans="1:18">
      <c r="A29" s="2003">
        <v>45870</v>
      </c>
      <c r="B29" s="2204"/>
      <c r="C29" s="1536"/>
      <c r="D29" s="1536"/>
      <c r="E29" s="1536"/>
      <c r="F29" s="1536"/>
      <c r="G29" s="1536"/>
      <c r="H29" s="1235"/>
      <c r="I29" s="1536">
        <v>1</v>
      </c>
      <c r="J29" s="1536">
        <v>1.4</v>
      </c>
      <c r="K29" s="1537">
        <f t="shared" si="0"/>
        <v>0.39999999999999991</v>
      </c>
      <c r="L29" s="1708" t="s">
        <v>515</v>
      </c>
      <c r="M29" s="2337">
        <v>0.06</v>
      </c>
      <c r="N29" s="2916"/>
      <c r="O29" s="1631"/>
      <c r="P29" s="1536"/>
      <c r="Q29" s="1536"/>
      <c r="R29" s="1567"/>
    </row>
    <row r="30" spans="1:18">
      <c r="A30" s="2003">
        <v>45870</v>
      </c>
      <c r="B30" s="2204" t="s">
        <v>509</v>
      </c>
      <c r="C30" s="1536" t="s">
        <v>516</v>
      </c>
      <c r="D30" s="1536" t="s">
        <v>517</v>
      </c>
      <c r="E30" s="1536" t="s">
        <v>469</v>
      </c>
      <c r="F30" s="1536">
        <v>20.100000000000001</v>
      </c>
      <c r="G30" s="1536" t="s">
        <v>518</v>
      </c>
      <c r="H30" s="1235" t="s">
        <v>519</v>
      </c>
      <c r="I30" s="1536">
        <v>0</v>
      </c>
      <c r="J30" s="1536">
        <v>0.6</v>
      </c>
      <c r="K30" s="1537">
        <f t="shared" si="0"/>
        <v>0.6</v>
      </c>
      <c r="L30" s="1708" t="s">
        <v>520</v>
      </c>
      <c r="M30" s="1921">
        <v>0.48</v>
      </c>
      <c r="N30" s="2915">
        <f>+AVERAGE(M30:M31)</f>
        <v>0.4</v>
      </c>
      <c r="O30" s="1631"/>
      <c r="P30" s="1536"/>
      <c r="Q30" s="1536"/>
      <c r="R30" s="1567"/>
    </row>
    <row r="31" spans="1:18">
      <c r="A31" s="2003">
        <v>45870</v>
      </c>
      <c r="B31" s="2204"/>
      <c r="C31" s="1536"/>
      <c r="D31" s="1536"/>
      <c r="E31" s="1536"/>
      <c r="F31" s="1536"/>
      <c r="G31" s="1536"/>
      <c r="H31" s="1235"/>
      <c r="I31" s="1536">
        <v>0.6</v>
      </c>
      <c r="J31" s="1536">
        <v>1.2</v>
      </c>
      <c r="K31" s="1537">
        <f t="shared" si="0"/>
        <v>0.6</v>
      </c>
      <c r="L31" s="1708" t="s">
        <v>521</v>
      </c>
      <c r="M31" s="1921">
        <v>0.32</v>
      </c>
      <c r="N31" s="2916"/>
      <c r="O31" s="1631"/>
      <c r="P31" s="1536"/>
      <c r="Q31" s="1536"/>
      <c r="R31" s="1567"/>
    </row>
    <row r="32" spans="1:18">
      <c r="A32" s="2003">
        <v>45870</v>
      </c>
      <c r="B32" s="2204" t="s">
        <v>509</v>
      </c>
      <c r="C32" s="1536" t="s">
        <v>510</v>
      </c>
      <c r="D32" s="1536" t="s">
        <v>517</v>
      </c>
      <c r="E32" s="1536" t="s">
        <v>469</v>
      </c>
      <c r="F32" s="1536">
        <v>16.2</v>
      </c>
      <c r="G32" s="1536" t="s">
        <v>518</v>
      </c>
      <c r="H32" s="1235" t="s">
        <v>522</v>
      </c>
      <c r="I32" s="1536">
        <v>0</v>
      </c>
      <c r="J32" s="1536">
        <v>0.6</v>
      </c>
      <c r="K32" s="1537">
        <f t="shared" si="0"/>
        <v>0.6</v>
      </c>
      <c r="L32" s="1708" t="s">
        <v>523</v>
      </c>
      <c r="M32" s="1921">
        <v>0.45</v>
      </c>
      <c r="N32" s="2915">
        <f>+AVERAGE(M32:M33)</f>
        <v>0.42000000000000004</v>
      </c>
      <c r="O32" s="1631"/>
      <c r="P32" s="1536"/>
      <c r="Q32" s="1536"/>
      <c r="R32" s="1567"/>
    </row>
    <row r="33" spans="1:18" ht="16.2" thickBot="1">
      <c r="A33" s="2009">
        <v>45870</v>
      </c>
      <c r="B33" s="2209"/>
      <c r="C33" s="1538"/>
      <c r="D33" s="1538"/>
      <c r="E33" s="1538"/>
      <c r="F33" s="1538"/>
      <c r="G33" s="1538"/>
      <c r="H33" s="1535"/>
      <c r="I33" s="1538">
        <v>0.6</v>
      </c>
      <c r="J33" s="1538">
        <v>1.2</v>
      </c>
      <c r="K33" s="1556">
        <f t="shared" si="0"/>
        <v>0.6</v>
      </c>
      <c r="L33" s="2012" t="s">
        <v>524</v>
      </c>
      <c r="M33" s="1872">
        <v>0.39</v>
      </c>
      <c r="N33" s="2920"/>
      <c r="O33" s="1632"/>
      <c r="P33" s="1538"/>
      <c r="Q33" s="1538"/>
      <c r="R33" s="1592"/>
    </row>
    <row r="34" spans="1:18">
      <c r="A34" s="2047">
        <v>45871</v>
      </c>
      <c r="B34" s="2216" t="s">
        <v>499</v>
      </c>
      <c r="C34" s="1564" t="s">
        <v>500</v>
      </c>
      <c r="D34" s="1564" t="s">
        <v>481</v>
      </c>
      <c r="E34" s="1564" t="s">
        <v>452</v>
      </c>
      <c r="F34" s="1564">
        <v>2</v>
      </c>
      <c r="G34" s="1564" t="s">
        <v>474</v>
      </c>
      <c r="H34" s="966" t="s">
        <v>525</v>
      </c>
      <c r="I34" s="1564">
        <v>0</v>
      </c>
      <c r="J34" s="1564">
        <v>0.6</v>
      </c>
      <c r="K34" s="1565">
        <f>J34-I34</f>
        <v>0.6</v>
      </c>
      <c r="L34" s="966" t="s">
        <v>526</v>
      </c>
      <c r="M34" s="1882">
        <v>0.3</v>
      </c>
      <c r="N34" s="2921">
        <f>+AVERAGE(M34:M35)</f>
        <v>0.21</v>
      </c>
      <c r="O34" s="1634"/>
      <c r="P34" s="1564"/>
      <c r="Q34" s="1564">
        <v>1</v>
      </c>
      <c r="R34" s="1566"/>
    </row>
    <row r="35" spans="1:18">
      <c r="A35" s="2003">
        <v>45871</v>
      </c>
      <c r="B35" s="1913" t="s">
        <v>499</v>
      </c>
      <c r="C35" s="1536" t="s">
        <v>500</v>
      </c>
      <c r="D35" s="1536" t="s">
        <v>481</v>
      </c>
      <c r="E35" s="1536" t="s">
        <v>452</v>
      </c>
      <c r="F35" s="1536">
        <v>2</v>
      </c>
      <c r="G35" s="1536" t="s">
        <v>474</v>
      </c>
      <c r="H35" s="1235" t="s">
        <v>525</v>
      </c>
      <c r="I35" s="1536">
        <v>0.6</v>
      </c>
      <c r="J35" s="1536">
        <v>1.2</v>
      </c>
      <c r="K35" s="1537">
        <f>J35-I35</f>
        <v>0.6</v>
      </c>
      <c r="L35" s="1235" t="s">
        <v>527</v>
      </c>
      <c r="M35" s="1236">
        <v>0.12</v>
      </c>
      <c r="N35" s="2916"/>
      <c r="O35" s="1628"/>
      <c r="P35" s="1536"/>
      <c r="Q35" s="1536"/>
      <c r="R35" s="1567"/>
    </row>
    <row r="36" spans="1:18">
      <c r="A36" s="2003">
        <v>45871</v>
      </c>
      <c r="B36" s="1913" t="s">
        <v>499</v>
      </c>
      <c r="C36" s="1536" t="s">
        <v>500</v>
      </c>
      <c r="D36" s="1536" t="s">
        <v>481</v>
      </c>
      <c r="E36" s="1536" t="s">
        <v>452</v>
      </c>
      <c r="F36" s="1536">
        <v>4</v>
      </c>
      <c r="G36" s="1536" t="s">
        <v>474</v>
      </c>
      <c r="H36" s="1235" t="s">
        <v>525</v>
      </c>
      <c r="I36" s="1536">
        <v>0</v>
      </c>
      <c r="J36" s="1536">
        <v>0.6</v>
      </c>
      <c r="K36" s="1537">
        <f>J36-I36</f>
        <v>0.6</v>
      </c>
      <c r="L36" s="1235" t="s">
        <v>528</v>
      </c>
      <c r="M36" s="1236">
        <v>0.89</v>
      </c>
      <c r="N36" s="2915">
        <f>+AVERAGE(M36,M38)</f>
        <v>0.60499999999999998</v>
      </c>
      <c r="O36" s="1628"/>
      <c r="P36" s="1536"/>
      <c r="Q36" s="1536">
        <v>2</v>
      </c>
      <c r="R36" s="1567"/>
    </row>
    <row r="37" spans="1:18">
      <c r="A37" s="2003">
        <v>45871</v>
      </c>
      <c r="B37" s="1913"/>
      <c r="C37" s="1536"/>
      <c r="D37" s="1536"/>
      <c r="E37" s="1536"/>
      <c r="F37" s="1536"/>
      <c r="G37" s="1536"/>
      <c r="H37" s="1235"/>
      <c r="I37" s="2905" t="s">
        <v>529</v>
      </c>
      <c r="J37" s="2905"/>
      <c r="K37" s="1537"/>
      <c r="L37" s="1235" t="s">
        <v>530</v>
      </c>
      <c r="M37" s="1236">
        <v>3.2</v>
      </c>
      <c r="N37" s="2918"/>
      <c r="O37" s="1628"/>
      <c r="P37" s="1536"/>
      <c r="Q37" s="1536"/>
      <c r="R37" s="1567"/>
    </row>
    <row r="38" spans="1:18">
      <c r="A38" s="2003">
        <v>45871</v>
      </c>
      <c r="B38" s="1913" t="s">
        <v>499</v>
      </c>
      <c r="C38" s="1536" t="s">
        <v>500</v>
      </c>
      <c r="D38" s="1536" t="s">
        <v>481</v>
      </c>
      <c r="E38" s="1536" t="s">
        <v>452</v>
      </c>
      <c r="F38" s="1536">
        <v>4</v>
      </c>
      <c r="G38" s="1536" t="s">
        <v>474</v>
      </c>
      <c r="H38" s="1235" t="s">
        <v>525</v>
      </c>
      <c r="I38" s="1536">
        <v>0.6</v>
      </c>
      <c r="J38" s="1536">
        <v>1.1000000000000001</v>
      </c>
      <c r="K38" s="1537">
        <f>J38-I38</f>
        <v>0.50000000000000011</v>
      </c>
      <c r="L38" s="1235" t="s">
        <v>531</v>
      </c>
      <c r="M38" s="1236">
        <v>0.32</v>
      </c>
      <c r="N38" s="2916"/>
      <c r="O38" s="1628"/>
      <c r="P38" s="1536"/>
      <c r="Q38" s="1536"/>
      <c r="R38" s="1567"/>
    </row>
    <row r="39" spans="1:18">
      <c r="A39" s="2003">
        <v>45871</v>
      </c>
      <c r="B39" s="1913" t="s">
        <v>499</v>
      </c>
      <c r="C39" s="1536" t="s">
        <v>500</v>
      </c>
      <c r="D39" s="1536" t="s">
        <v>481</v>
      </c>
      <c r="E39" s="1536" t="s">
        <v>452</v>
      </c>
      <c r="F39" s="1536">
        <v>6</v>
      </c>
      <c r="G39" s="1536" t="s">
        <v>474</v>
      </c>
      <c r="H39" s="1235" t="s">
        <v>525</v>
      </c>
      <c r="I39" s="1536">
        <v>0</v>
      </c>
      <c r="J39" s="1536">
        <v>0.6</v>
      </c>
      <c r="K39" s="1537">
        <f>J39-I39</f>
        <v>0.6</v>
      </c>
      <c r="L39" s="1235" t="s">
        <v>532</v>
      </c>
      <c r="M39" s="1236">
        <v>0.2</v>
      </c>
      <c r="N39" s="2915">
        <f>+AVERAGE(M39:M40)</f>
        <v>0.20500000000000002</v>
      </c>
      <c r="O39" s="1628"/>
      <c r="P39" s="1536"/>
      <c r="Q39" s="1536">
        <v>3</v>
      </c>
      <c r="R39" s="1567"/>
    </row>
    <row r="40" spans="1:18">
      <c r="A40" s="2003">
        <v>45871</v>
      </c>
      <c r="B40" s="1913" t="s">
        <v>499</v>
      </c>
      <c r="C40" s="1536" t="s">
        <v>500</v>
      </c>
      <c r="D40" s="1536" t="s">
        <v>481</v>
      </c>
      <c r="E40" s="1536" t="s">
        <v>452</v>
      </c>
      <c r="F40" s="1536">
        <v>6</v>
      </c>
      <c r="G40" s="1536" t="s">
        <v>474</v>
      </c>
      <c r="H40" s="1235" t="s">
        <v>525</v>
      </c>
      <c r="I40" s="1536">
        <v>0.6</v>
      </c>
      <c r="J40" s="1536">
        <v>1</v>
      </c>
      <c r="K40" s="1537">
        <f>J40-I40</f>
        <v>0.4</v>
      </c>
      <c r="L40" s="1235" t="s">
        <v>533</v>
      </c>
      <c r="M40" s="1236">
        <v>0.21</v>
      </c>
      <c r="N40" s="2916"/>
      <c r="O40" s="1628"/>
      <c r="P40" s="1536"/>
      <c r="Q40" s="1536"/>
      <c r="R40" s="1567"/>
    </row>
    <row r="41" spans="1:18">
      <c r="A41" s="2003">
        <v>45871</v>
      </c>
      <c r="B41" s="1913" t="s">
        <v>499</v>
      </c>
      <c r="C41" s="1536" t="s">
        <v>500</v>
      </c>
      <c r="D41" s="1536" t="s">
        <v>481</v>
      </c>
      <c r="E41" s="1536" t="s">
        <v>452</v>
      </c>
      <c r="F41" s="1536">
        <v>8</v>
      </c>
      <c r="G41" s="1536" t="s">
        <v>474</v>
      </c>
      <c r="H41" s="1235" t="s">
        <v>525</v>
      </c>
      <c r="I41" s="1536">
        <v>0</v>
      </c>
      <c r="J41" s="1536">
        <v>0.6</v>
      </c>
      <c r="K41" s="1537">
        <f>J41-I41</f>
        <v>0.6</v>
      </c>
      <c r="L41" s="1235" t="s">
        <v>534</v>
      </c>
      <c r="M41" s="1236">
        <v>4.13</v>
      </c>
      <c r="N41" s="2922">
        <f>+AVERAGE(M41,M43)</f>
        <v>2.09</v>
      </c>
      <c r="O41" s="1628"/>
      <c r="P41" s="1536"/>
      <c r="Q41" s="1536">
        <v>4</v>
      </c>
      <c r="R41" s="1567"/>
    </row>
    <row r="42" spans="1:18">
      <c r="A42" s="2003">
        <v>45871</v>
      </c>
      <c r="B42" s="1913"/>
      <c r="C42" s="1536"/>
      <c r="D42" s="1536"/>
      <c r="E42" s="1536"/>
      <c r="F42" s="1536"/>
      <c r="G42" s="1536"/>
      <c r="H42" s="1235"/>
      <c r="I42" s="2905" t="s">
        <v>535</v>
      </c>
      <c r="J42" s="2905"/>
      <c r="K42" s="1537"/>
      <c r="L42" s="1235" t="s">
        <v>536</v>
      </c>
      <c r="M42" s="1236">
        <v>3.07</v>
      </c>
      <c r="N42" s="2923"/>
      <c r="O42" s="1628"/>
      <c r="P42" s="1536"/>
      <c r="Q42" s="1536"/>
      <c r="R42" s="1567"/>
    </row>
    <row r="43" spans="1:18">
      <c r="A43" s="2003">
        <v>45871</v>
      </c>
      <c r="B43" s="1913" t="s">
        <v>499</v>
      </c>
      <c r="C43" s="1536" t="s">
        <v>500</v>
      </c>
      <c r="D43" s="1536" t="s">
        <v>481</v>
      </c>
      <c r="E43" s="1536" t="s">
        <v>452</v>
      </c>
      <c r="F43" s="1536">
        <v>8</v>
      </c>
      <c r="G43" s="1536" t="s">
        <v>474</v>
      </c>
      <c r="H43" s="1235" t="s">
        <v>525</v>
      </c>
      <c r="I43" s="1536">
        <v>0.6</v>
      </c>
      <c r="J43" s="1536">
        <v>1.2</v>
      </c>
      <c r="K43" s="1537">
        <f t="shared" ref="K43:K56" si="1">J43-I43</f>
        <v>0.6</v>
      </c>
      <c r="L43" s="1235" t="s">
        <v>537</v>
      </c>
      <c r="M43" s="1236">
        <v>0.05</v>
      </c>
      <c r="N43" s="2924"/>
      <c r="O43" s="1628"/>
      <c r="P43" s="1536"/>
      <c r="Q43" s="1536"/>
      <c r="R43" s="1567"/>
    </row>
    <row r="44" spans="1:18">
      <c r="A44" s="2003">
        <v>45871</v>
      </c>
      <c r="B44" s="1913" t="s">
        <v>499</v>
      </c>
      <c r="C44" s="1536" t="s">
        <v>500</v>
      </c>
      <c r="D44" s="1536" t="s">
        <v>481</v>
      </c>
      <c r="E44" s="1536" t="s">
        <v>452</v>
      </c>
      <c r="F44" s="1536">
        <v>10</v>
      </c>
      <c r="G44" s="1536" t="s">
        <v>474</v>
      </c>
      <c r="H44" s="1235" t="s">
        <v>525</v>
      </c>
      <c r="I44" s="1536">
        <v>0</v>
      </c>
      <c r="J44" s="1536">
        <v>0.6</v>
      </c>
      <c r="K44" s="1537">
        <f t="shared" si="1"/>
        <v>0.6</v>
      </c>
      <c r="L44" s="1235" t="s">
        <v>538</v>
      </c>
      <c r="M44" s="1236">
        <v>0.04</v>
      </c>
      <c r="N44" s="2915">
        <f>+AVERAGE(M44:M45)</f>
        <v>7.0000000000000007E-2</v>
      </c>
      <c r="O44" s="1628"/>
      <c r="P44" s="1536"/>
      <c r="Q44" s="1536">
        <v>5</v>
      </c>
      <c r="R44" s="1567"/>
    </row>
    <row r="45" spans="1:18">
      <c r="A45" s="2003">
        <v>45871</v>
      </c>
      <c r="B45" s="1913" t="s">
        <v>499</v>
      </c>
      <c r="C45" s="1536" t="s">
        <v>500</v>
      </c>
      <c r="D45" s="1536" t="s">
        <v>481</v>
      </c>
      <c r="E45" s="1536" t="s">
        <v>452</v>
      </c>
      <c r="F45" s="1536">
        <v>10</v>
      </c>
      <c r="G45" s="1536" t="s">
        <v>474</v>
      </c>
      <c r="H45" s="1235" t="s">
        <v>525</v>
      </c>
      <c r="I45" s="1536">
        <v>0.6</v>
      </c>
      <c r="J45" s="1536">
        <v>1.2</v>
      </c>
      <c r="K45" s="1537">
        <f t="shared" si="1"/>
        <v>0.6</v>
      </c>
      <c r="L45" s="1235" t="s">
        <v>539</v>
      </c>
      <c r="M45" s="1236">
        <v>0.1</v>
      </c>
      <c r="N45" s="2916"/>
      <c r="O45" s="1628"/>
      <c r="P45" s="1536"/>
      <c r="Q45" s="1536"/>
      <c r="R45" s="1567"/>
    </row>
    <row r="46" spans="1:18">
      <c r="A46" s="2003">
        <v>45871</v>
      </c>
      <c r="B46" s="1913" t="s">
        <v>479</v>
      </c>
      <c r="C46" s="1536" t="s">
        <v>540</v>
      </c>
      <c r="D46" s="1536" t="s">
        <v>517</v>
      </c>
      <c r="E46" s="1536" t="s">
        <v>469</v>
      </c>
      <c r="F46" s="1536">
        <v>2</v>
      </c>
      <c r="G46" s="1536" t="s">
        <v>541</v>
      </c>
      <c r="H46" s="1235" t="s">
        <v>542</v>
      </c>
      <c r="I46" s="1536">
        <v>0</v>
      </c>
      <c r="J46" s="1536">
        <v>0.6</v>
      </c>
      <c r="K46" s="1537">
        <f t="shared" si="1"/>
        <v>0.6</v>
      </c>
      <c r="L46" s="1235" t="s">
        <v>543</v>
      </c>
      <c r="M46" s="1572">
        <v>4.0780000000000003</v>
      </c>
      <c r="N46" s="2915">
        <f>+AVERAGE(M46:M47)</f>
        <v>2.2335000000000003</v>
      </c>
      <c r="O46" s="1628"/>
      <c r="P46" s="1536"/>
      <c r="Q46" s="1536"/>
      <c r="R46" s="1567"/>
    </row>
    <row r="47" spans="1:18">
      <c r="A47" s="2003">
        <v>45871</v>
      </c>
      <c r="B47" s="1913"/>
      <c r="C47" s="1536"/>
      <c r="D47" s="1536"/>
      <c r="E47" s="1536"/>
      <c r="F47" s="1536"/>
      <c r="G47" s="1536"/>
      <c r="H47" s="1235"/>
      <c r="I47" s="1536">
        <v>0.6</v>
      </c>
      <c r="J47" s="1536">
        <v>1.2</v>
      </c>
      <c r="K47" s="1537">
        <f t="shared" si="1"/>
        <v>0.6</v>
      </c>
      <c r="L47" s="1235" t="s">
        <v>544</v>
      </c>
      <c r="M47" s="1572">
        <v>0.38900000000000001</v>
      </c>
      <c r="N47" s="2916"/>
      <c r="O47" s="1628"/>
      <c r="P47" s="1536"/>
      <c r="Q47" s="1536"/>
      <c r="R47" s="1567"/>
    </row>
    <row r="48" spans="1:18">
      <c r="A48" s="2003">
        <v>45871</v>
      </c>
      <c r="B48" s="1913" t="s">
        <v>479</v>
      </c>
      <c r="C48" s="1536" t="s">
        <v>540</v>
      </c>
      <c r="D48" s="1536" t="s">
        <v>517</v>
      </c>
      <c r="E48" s="1536" t="s">
        <v>469</v>
      </c>
      <c r="F48" s="1536">
        <v>1.8</v>
      </c>
      <c r="G48" s="1536" t="s">
        <v>545</v>
      </c>
      <c r="H48" s="1235" t="s">
        <v>542</v>
      </c>
      <c r="I48" s="1536">
        <v>0</v>
      </c>
      <c r="J48" s="1536">
        <v>0.6</v>
      </c>
      <c r="K48" s="1537">
        <f t="shared" si="1"/>
        <v>0.6</v>
      </c>
      <c r="L48" s="1235" t="s">
        <v>546</v>
      </c>
      <c r="M48" s="1572">
        <v>0.158</v>
      </c>
      <c r="N48" s="2900">
        <f>+AVERAGE(M48:M49)</f>
        <v>0.72149999999999992</v>
      </c>
      <c r="O48" s="1628"/>
      <c r="P48" s="1536"/>
      <c r="Q48" s="1536"/>
      <c r="R48" s="1567"/>
    </row>
    <row r="49" spans="1:18">
      <c r="A49" s="2003">
        <v>45871</v>
      </c>
      <c r="B49" s="1913"/>
      <c r="C49" s="1536"/>
      <c r="D49" s="1536"/>
      <c r="E49" s="1536"/>
      <c r="F49" s="1536"/>
      <c r="G49" s="1536"/>
      <c r="H49" s="1235"/>
      <c r="I49" s="1536">
        <v>0.6</v>
      </c>
      <c r="J49" s="1536">
        <v>1.2</v>
      </c>
      <c r="K49" s="1537">
        <f t="shared" si="1"/>
        <v>0.6</v>
      </c>
      <c r="L49" s="1235" t="s">
        <v>547</v>
      </c>
      <c r="M49" s="1572">
        <v>1.2849999999999999</v>
      </c>
      <c r="N49" s="2902"/>
      <c r="O49" s="1628"/>
      <c r="P49" s="1536"/>
      <c r="Q49" s="1536"/>
      <c r="R49" s="1567"/>
    </row>
    <row r="50" spans="1:18">
      <c r="A50" s="2003">
        <v>45871</v>
      </c>
      <c r="B50" s="1913" t="s">
        <v>479</v>
      </c>
      <c r="C50" s="1536" t="s">
        <v>540</v>
      </c>
      <c r="D50" s="1536" t="s">
        <v>451</v>
      </c>
      <c r="E50" s="1536" t="s">
        <v>469</v>
      </c>
      <c r="F50" s="1536">
        <v>2</v>
      </c>
      <c r="G50" s="1536" t="s">
        <v>474</v>
      </c>
      <c r="H50" s="1235" t="s">
        <v>548</v>
      </c>
      <c r="I50" s="1536">
        <v>0</v>
      </c>
      <c r="J50" s="1536">
        <v>1</v>
      </c>
      <c r="K50" s="1537">
        <f t="shared" si="1"/>
        <v>1</v>
      </c>
      <c r="L50" s="1235" t="s">
        <v>549</v>
      </c>
      <c r="M50" s="1572">
        <v>0.14099999999999999</v>
      </c>
      <c r="N50" s="2915">
        <f>+AVERAGE(M50:M52)</f>
        <v>0.56499999999999995</v>
      </c>
      <c r="O50" s="1628"/>
      <c r="P50" s="1536"/>
      <c r="Q50" s="1536"/>
      <c r="R50" s="1567"/>
    </row>
    <row r="51" spans="1:18">
      <c r="A51" s="2003">
        <v>45871</v>
      </c>
      <c r="B51" s="1913"/>
      <c r="C51" s="1536"/>
      <c r="D51" s="1536"/>
      <c r="E51" s="1536"/>
      <c r="F51" s="1536"/>
      <c r="G51" s="1536"/>
      <c r="H51" s="1235"/>
      <c r="I51" s="1536">
        <v>1</v>
      </c>
      <c r="J51" s="1536">
        <v>2</v>
      </c>
      <c r="K51" s="1537">
        <f t="shared" si="1"/>
        <v>1</v>
      </c>
      <c r="L51" s="1235" t="s">
        <v>550</v>
      </c>
      <c r="M51" s="1572">
        <v>0.29799999999999999</v>
      </c>
      <c r="N51" s="2918"/>
      <c r="O51" s="1628"/>
      <c r="P51" s="1536"/>
      <c r="Q51" s="1536"/>
      <c r="R51" s="1567"/>
    </row>
    <row r="52" spans="1:18">
      <c r="A52" s="2003">
        <v>45871</v>
      </c>
      <c r="B52" s="1913"/>
      <c r="C52" s="1536"/>
      <c r="D52" s="1536"/>
      <c r="E52" s="1536"/>
      <c r="F52" s="1536"/>
      <c r="G52" s="1536"/>
      <c r="H52" s="1235"/>
      <c r="I52" s="1536">
        <v>2</v>
      </c>
      <c r="J52" s="1536">
        <v>3</v>
      </c>
      <c r="K52" s="1537">
        <f t="shared" si="1"/>
        <v>1</v>
      </c>
      <c r="L52" s="1235" t="s">
        <v>551</v>
      </c>
      <c r="M52" s="1572">
        <v>1.256</v>
      </c>
      <c r="N52" s="2916"/>
      <c r="O52" s="1628"/>
      <c r="P52" s="1536"/>
      <c r="Q52" s="1536"/>
      <c r="R52" s="1567"/>
    </row>
    <row r="53" spans="1:18">
      <c r="A53" s="2003">
        <v>45871</v>
      </c>
      <c r="B53" s="1913" t="s">
        <v>466</v>
      </c>
      <c r="C53" s="1536" t="s">
        <v>500</v>
      </c>
      <c r="D53" s="1536" t="s">
        <v>552</v>
      </c>
      <c r="E53" s="1536" t="s">
        <v>469</v>
      </c>
      <c r="F53" s="1536">
        <v>5.4</v>
      </c>
      <c r="G53" s="1536" t="s">
        <v>474</v>
      </c>
      <c r="H53" s="1235" t="s">
        <v>553</v>
      </c>
      <c r="I53" s="1536">
        <v>0</v>
      </c>
      <c r="J53" s="1536">
        <v>0.6</v>
      </c>
      <c r="K53" s="1537">
        <f t="shared" si="1"/>
        <v>0.6</v>
      </c>
      <c r="L53" s="1235" t="s">
        <v>554</v>
      </c>
      <c r="M53" s="1572">
        <v>0.439</v>
      </c>
      <c r="N53" s="2915">
        <f>+AVERAGE(M53:M54)</f>
        <v>0.47750000000000004</v>
      </c>
      <c r="O53" s="1628"/>
      <c r="P53" s="1536"/>
      <c r="Q53" s="1536"/>
      <c r="R53" s="1567"/>
    </row>
    <row r="54" spans="1:18">
      <c r="A54" s="2003">
        <v>45871</v>
      </c>
      <c r="B54" s="1913"/>
      <c r="C54" s="1536"/>
      <c r="D54" s="1536"/>
      <c r="E54" s="1536"/>
      <c r="F54" s="1536"/>
      <c r="G54" s="1536"/>
      <c r="H54" s="1235"/>
      <c r="I54" s="1536">
        <v>0.6</v>
      </c>
      <c r="J54" s="1536">
        <v>1.2</v>
      </c>
      <c r="K54" s="1537">
        <f t="shared" si="1"/>
        <v>0.6</v>
      </c>
      <c r="L54" s="1235" t="s">
        <v>555</v>
      </c>
      <c r="M54" s="1572">
        <v>0.51600000000000001</v>
      </c>
      <c r="N54" s="2918"/>
      <c r="O54" s="1628"/>
      <c r="P54" s="1536"/>
      <c r="Q54" s="1536"/>
      <c r="R54" s="1567"/>
    </row>
    <row r="55" spans="1:18">
      <c r="A55" s="2003">
        <v>45871</v>
      </c>
      <c r="B55" s="1913" t="s">
        <v>466</v>
      </c>
      <c r="C55" s="1536" t="s">
        <v>467</v>
      </c>
      <c r="D55" s="1536" t="s">
        <v>511</v>
      </c>
      <c r="E55" s="1536" t="s">
        <v>469</v>
      </c>
      <c r="F55" s="1536">
        <v>5.6</v>
      </c>
      <c r="G55" s="1536" t="s">
        <v>474</v>
      </c>
      <c r="H55" s="1235" t="s">
        <v>556</v>
      </c>
      <c r="I55" s="1536">
        <v>0</v>
      </c>
      <c r="J55" s="1536">
        <v>0.6</v>
      </c>
      <c r="K55" s="1537">
        <f t="shared" si="1"/>
        <v>0.6</v>
      </c>
      <c r="L55" s="1235" t="s">
        <v>557</v>
      </c>
      <c r="M55" s="2336">
        <v>0.121</v>
      </c>
      <c r="N55" s="2915">
        <f>+AVERAGE(M55:M56)</f>
        <v>0.89800000000000002</v>
      </c>
      <c r="O55" s="1628"/>
      <c r="P55" s="1536"/>
      <c r="Q55" s="1536"/>
      <c r="R55" s="1567"/>
    </row>
    <row r="56" spans="1:18" ht="16.2" thickBot="1">
      <c r="A56" s="2009">
        <v>45871</v>
      </c>
      <c r="B56" s="2212"/>
      <c r="C56" s="1538"/>
      <c r="D56" s="1538"/>
      <c r="E56" s="1538"/>
      <c r="F56" s="1538"/>
      <c r="G56" s="1538"/>
      <c r="H56" s="1535"/>
      <c r="I56" s="1538">
        <v>0.6</v>
      </c>
      <c r="J56" s="1538">
        <v>1.2</v>
      </c>
      <c r="K56" s="1556">
        <f t="shared" si="1"/>
        <v>0.6</v>
      </c>
      <c r="L56" s="1535" t="s">
        <v>558</v>
      </c>
      <c r="M56" s="2056">
        <v>1.675</v>
      </c>
      <c r="N56" s="2925"/>
      <c r="O56" s="1632"/>
      <c r="P56" s="1538"/>
      <c r="Q56" s="1538"/>
      <c r="R56" s="1592"/>
    </row>
    <row r="57" spans="1:18">
      <c r="A57" s="2601">
        <v>45873</v>
      </c>
      <c r="B57" s="2215" t="s">
        <v>479</v>
      </c>
      <c r="C57" s="1564" t="s">
        <v>540</v>
      </c>
      <c r="D57" s="1564" t="s">
        <v>517</v>
      </c>
      <c r="E57" s="1564" t="s">
        <v>559</v>
      </c>
      <c r="F57" s="1564">
        <v>1</v>
      </c>
      <c r="G57" s="1564" t="s">
        <v>541</v>
      </c>
      <c r="H57" s="966" t="s">
        <v>560</v>
      </c>
      <c r="I57" s="1564">
        <v>0</v>
      </c>
      <c r="J57" s="1564">
        <v>1</v>
      </c>
      <c r="K57" s="1565">
        <f t="shared" ref="K57:K71" si="2">J57-I57</f>
        <v>1</v>
      </c>
      <c r="L57" s="966" t="s">
        <v>561</v>
      </c>
      <c r="M57" s="1882">
        <v>0.12</v>
      </c>
      <c r="N57" s="2918">
        <f>+AVERAGE(M57:M58)</f>
        <v>0.16499999999999998</v>
      </c>
      <c r="O57" s="1634"/>
      <c r="P57" s="1564"/>
      <c r="Q57" s="1564"/>
      <c r="R57" s="1566"/>
    </row>
    <row r="58" spans="1:18">
      <c r="A58" s="1811">
        <v>45873</v>
      </c>
      <c r="B58" s="2204"/>
      <c r="C58" s="1536"/>
      <c r="D58" s="1536"/>
      <c r="E58" s="1536"/>
      <c r="F58" s="1536"/>
      <c r="G58" s="1536"/>
      <c r="H58" s="1235"/>
      <c r="I58" s="1536">
        <v>1</v>
      </c>
      <c r="J58" s="1536">
        <v>2</v>
      </c>
      <c r="K58" s="1537">
        <f t="shared" si="2"/>
        <v>1</v>
      </c>
      <c r="L58" s="1235" t="s">
        <v>562</v>
      </c>
      <c r="M58" s="1236">
        <v>0.21</v>
      </c>
      <c r="N58" s="2916"/>
      <c r="O58" s="1628"/>
      <c r="P58" s="1536"/>
      <c r="Q58" s="1536"/>
      <c r="R58" s="1567"/>
    </row>
    <row r="59" spans="1:18">
      <c r="A59" s="1811">
        <v>45873</v>
      </c>
      <c r="B59" s="2204" t="s">
        <v>479</v>
      </c>
      <c r="C59" s="1536" t="s">
        <v>540</v>
      </c>
      <c r="D59" s="1536" t="s">
        <v>517</v>
      </c>
      <c r="E59" s="1536" t="s">
        <v>559</v>
      </c>
      <c r="F59" s="1536">
        <v>1</v>
      </c>
      <c r="G59" s="1536" t="s">
        <v>545</v>
      </c>
      <c r="H59" s="1235" t="s">
        <v>560</v>
      </c>
      <c r="I59" s="1536">
        <v>0</v>
      </c>
      <c r="J59" s="1536">
        <v>1</v>
      </c>
      <c r="K59" s="1537">
        <f t="shared" si="2"/>
        <v>1</v>
      </c>
      <c r="L59" s="1235" t="s">
        <v>563</v>
      </c>
      <c r="M59" s="1236">
        <v>1.5</v>
      </c>
      <c r="N59" s="2915">
        <f>+AVERAGE(M59:M60)</f>
        <v>1.4100000000000001</v>
      </c>
      <c r="O59" s="1628"/>
      <c r="P59" s="1536"/>
      <c r="Q59" s="1536"/>
      <c r="R59" s="1567"/>
    </row>
    <row r="60" spans="1:18">
      <c r="A60" s="1811">
        <v>45873</v>
      </c>
      <c r="B60" s="2204"/>
      <c r="C60" s="1536"/>
      <c r="D60" s="1536"/>
      <c r="E60" s="1536"/>
      <c r="F60" s="1536"/>
      <c r="G60" s="1536"/>
      <c r="H60" s="1235"/>
      <c r="I60" s="1536">
        <v>1</v>
      </c>
      <c r="J60" s="1536">
        <v>2</v>
      </c>
      <c r="K60" s="1537">
        <f t="shared" si="2"/>
        <v>1</v>
      </c>
      <c r="L60" s="1235" t="s">
        <v>564</v>
      </c>
      <c r="M60" s="1236">
        <v>1.32</v>
      </c>
      <c r="N60" s="2916"/>
      <c r="O60" s="1628"/>
      <c r="P60" s="1536"/>
      <c r="Q60" s="1536"/>
      <c r="R60" s="1567"/>
    </row>
    <row r="61" spans="1:18">
      <c r="A61" s="1811">
        <v>45873</v>
      </c>
      <c r="B61" s="2204" t="s">
        <v>479</v>
      </c>
      <c r="C61" s="1536" t="s">
        <v>540</v>
      </c>
      <c r="D61" s="1536" t="s">
        <v>451</v>
      </c>
      <c r="E61" s="1536" t="s">
        <v>469</v>
      </c>
      <c r="F61" s="1536">
        <v>7.5</v>
      </c>
      <c r="G61" s="1536" t="s">
        <v>474</v>
      </c>
      <c r="H61" s="1235" t="s">
        <v>565</v>
      </c>
      <c r="I61" s="1536">
        <v>0</v>
      </c>
      <c r="J61" s="1536">
        <v>1</v>
      </c>
      <c r="K61" s="1537">
        <f t="shared" si="2"/>
        <v>1</v>
      </c>
      <c r="L61" s="1235" t="s">
        <v>566</v>
      </c>
      <c r="M61" s="1236">
        <v>0.22</v>
      </c>
      <c r="N61" s="2915">
        <f>+AVERAGE(M61:M63)</f>
        <v>0.17333333333333334</v>
      </c>
      <c r="O61" s="1628"/>
      <c r="P61" s="1536"/>
      <c r="Q61" s="1536"/>
      <c r="R61" s="1567"/>
    </row>
    <row r="62" spans="1:18">
      <c r="A62" s="1811">
        <v>45873</v>
      </c>
      <c r="B62" s="2204"/>
      <c r="C62" s="1536"/>
      <c r="D62" s="1536"/>
      <c r="E62" s="1536"/>
      <c r="F62" s="1536"/>
      <c r="G62" s="1536"/>
      <c r="H62" s="1235"/>
      <c r="I62" s="1536">
        <v>1</v>
      </c>
      <c r="J62" s="1536">
        <v>2</v>
      </c>
      <c r="K62" s="1537">
        <f t="shared" si="2"/>
        <v>1</v>
      </c>
      <c r="L62" s="1235" t="s">
        <v>567</v>
      </c>
      <c r="M62" s="1236">
        <v>0.24</v>
      </c>
      <c r="N62" s="2918"/>
      <c r="O62" s="1628"/>
      <c r="P62" s="1536"/>
      <c r="Q62" s="1536"/>
      <c r="R62" s="1567"/>
    </row>
    <row r="63" spans="1:18">
      <c r="A63" s="1811">
        <v>45873</v>
      </c>
      <c r="B63" s="2204"/>
      <c r="C63" s="1536"/>
      <c r="D63" s="1536"/>
      <c r="E63" s="1536"/>
      <c r="F63" s="1536"/>
      <c r="G63" s="1536"/>
      <c r="H63" s="1235"/>
      <c r="I63" s="1536">
        <v>2</v>
      </c>
      <c r="J63" s="1536">
        <v>3</v>
      </c>
      <c r="K63" s="1537">
        <f t="shared" si="2"/>
        <v>1</v>
      </c>
      <c r="L63" s="1235" t="s">
        <v>568</v>
      </c>
      <c r="M63" s="1236">
        <v>0.06</v>
      </c>
      <c r="N63" s="2916"/>
      <c r="O63" s="1628"/>
      <c r="P63" s="1536"/>
      <c r="Q63" s="1536"/>
      <c r="R63" s="1567"/>
    </row>
    <row r="64" spans="1:18">
      <c r="A64" s="1811">
        <v>45873</v>
      </c>
      <c r="B64" s="2204" t="s">
        <v>479</v>
      </c>
      <c r="C64" s="1536" t="s">
        <v>540</v>
      </c>
      <c r="D64" s="1536" t="s">
        <v>517</v>
      </c>
      <c r="E64" s="1536" t="s">
        <v>469</v>
      </c>
      <c r="F64" s="1536">
        <v>5.6</v>
      </c>
      <c r="G64" s="1536" t="s">
        <v>518</v>
      </c>
      <c r="H64" s="1235" t="s">
        <v>569</v>
      </c>
      <c r="I64" s="1536">
        <v>0</v>
      </c>
      <c r="J64" s="1536">
        <v>0.6</v>
      </c>
      <c r="K64" s="1537">
        <f t="shared" si="2"/>
        <v>0.6</v>
      </c>
      <c r="L64" s="1235" t="s">
        <v>570</v>
      </c>
      <c r="M64" s="1236">
        <v>0.1</v>
      </c>
      <c r="N64" s="2915">
        <f>+AVERAGE(M64:M65)</f>
        <v>0.28000000000000003</v>
      </c>
      <c r="O64" s="1628"/>
      <c r="P64" s="1536"/>
      <c r="Q64" s="1536"/>
      <c r="R64" s="1567"/>
    </row>
    <row r="65" spans="1:18">
      <c r="A65" s="1811">
        <v>45873</v>
      </c>
      <c r="B65" s="2204"/>
      <c r="C65" s="1536"/>
      <c r="D65" s="1536"/>
      <c r="E65" s="1536"/>
      <c r="F65" s="1536"/>
      <c r="G65" s="1536"/>
      <c r="H65" s="1235"/>
      <c r="I65" s="1536">
        <v>0.6</v>
      </c>
      <c r="J65" s="1536">
        <v>1.2</v>
      </c>
      <c r="K65" s="1537">
        <f t="shared" si="2"/>
        <v>0.6</v>
      </c>
      <c r="L65" s="1235" t="s">
        <v>571</v>
      </c>
      <c r="M65" s="1236">
        <v>0.46</v>
      </c>
      <c r="N65" s="2916"/>
      <c r="O65" s="1628"/>
      <c r="P65" s="1536"/>
      <c r="Q65" s="1536"/>
      <c r="R65" s="1567"/>
    </row>
    <row r="66" spans="1:18">
      <c r="A66" s="1811">
        <v>45873</v>
      </c>
      <c r="B66" s="2204" t="s">
        <v>466</v>
      </c>
      <c r="C66" s="1536" t="s">
        <v>500</v>
      </c>
      <c r="D66" s="1536" t="s">
        <v>552</v>
      </c>
      <c r="E66" s="1536" t="s">
        <v>469</v>
      </c>
      <c r="F66" s="1536">
        <v>1</v>
      </c>
      <c r="G66" s="1536" t="s">
        <v>541</v>
      </c>
      <c r="H66" s="1235" t="s">
        <v>572</v>
      </c>
      <c r="I66" s="1536">
        <v>0</v>
      </c>
      <c r="J66" s="1536">
        <v>1</v>
      </c>
      <c r="K66" s="1537">
        <f t="shared" si="2"/>
        <v>1</v>
      </c>
      <c r="L66" s="1235" t="s">
        <v>573</v>
      </c>
      <c r="M66" s="1236">
        <v>0.18</v>
      </c>
      <c r="N66" s="1236">
        <v>0.18</v>
      </c>
      <c r="O66" s="1628" t="s">
        <v>574</v>
      </c>
      <c r="P66" s="1536"/>
      <c r="Q66" s="1536"/>
      <c r="R66" s="1567"/>
    </row>
    <row r="67" spans="1:18">
      <c r="A67" s="1811">
        <v>45873</v>
      </c>
      <c r="B67" s="2204" t="s">
        <v>466</v>
      </c>
      <c r="C67" s="1536" t="s">
        <v>500</v>
      </c>
      <c r="D67" s="1536" t="s">
        <v>552</v>
      </c>
      <c r="E67" s="1536" t="s">
        <v>469</v>
      </c>
      <c r="F67" s="1536">
        <v>1</v>
      </c>
      <c r="G67" s="1536" t="s">
        <v>541</v>
      </c>
      <c r="H67" s="1235" t="s">
        <v>572</v>
      </c>
      <c r="I67" s="1536">
        <v>0</v>
      </c>
      <c r="J67" s="1536">
        <v>1</v>
      </c>
      <c r="K67" s="1537">
        <f t="shared" si="2"/>
        <v>1</v>
      </c>
      <c r="L67" s="1235" t="s">
        <v>575</v>
      </c>
      <c r="M67" s="1236">
        <v>0.74</v>
      </c>
      <c r="N67" s="1236">
        <v>0.74</v>
      </c>
      <c r="O67" s="1628" t="s">
        <v>576</v>
      </c>
      <c r="P67" s="1536"/>
      <c r="Q67" s="1536"/>
      <c r="R67" s="1567"/>
    </row>
    <row r="68" spans="1:18">
      <c r="A68" s="1811">
        <v>45873</v>
      </c>
      <c r="B68" s="2204" t="s">
        <v>577</v>
      </c>
      <c r="C68" s="1536" t="s">
        <v>450</v>
      </c>
      <c r="D68" s="1536" t="s">
        <v>552</v>
      </c>
      <c r="E68" s="1536" t="s">
        <v>452</v>
      </c>
      <c r="F68" s="1536">
        <v>7</v>
      </c>
      <c r="G68" s="1536" t="s">
        <v>470</v>
      </c>
      <c r="H68" s="1235" t="s">
        <v>578</v>
      </c>
      <c r="I68" s="1536">
        <v>0</v>
      </c>
      <c r="J68" s="1536">
        <v>0.6</v>
      </c>
      <c r="K68" s="1537">
        <f t="shared" si="2"/>
        <v>0.6</v>
      </c>
      <c r="L68" s="1235" t="s">
        <v>579</v>
      </c>
      <c r="M68" s="1236">
        <v>2.5299999999999998</v>
      </c>
      <c r="N68" s="2915">
        <f>+AVERAGE(M68:M69)</f>
        <v>1.5589999999999999</v>
      </c>
      <c r="O68" s="1628"/>
      <c r="P68" s="1536"/>
      <c r="Q68" s="1536">
        <v>1</v>
      </c>
      <c r="R68" s="1567"/>
    </row>
    <row r="69" spans="1:18">
      <c r="A69" s="1811">
        <v>45873</v>
      </c>
      <c r="B69" s="2204" t="s">
        <v>577</v>
      </c>
      <c r="C69" s="1536" t="s">
        <v>450</v>
      </c>
      <c r="D69" s="1536" t="s">
        <v>552</v>
      </c>
      <c r="E69" s="1536" t="s">
        <v>452</v>
      </c>
      <c r="F69" s="1536">
        <v>7</v>
      </c>
      <c r="G69" s="1536" t="s">
        <v>470</v>
      </c>
      <c r="H69" s="1235" t="s">
        <v>578</v>
      </c>
      <c r="I69" s="1536">
        <v>0.6</v>
      </c>
      <c r="J69" s="1536">
        <v>1.2</v>
      </c>
      <c r="K69" s="1537">
        <f t="shared" si="2"/>
        <v>0.6</v>
      </c>
      <c r="L69" s="1235" t="s">
        <v>580</v>
      </c>
      <c r="M69" s="1236">
        <v>0.58799999999999997</v>
      </c>
      <c r="N69" s="2916"/>
      <c r="O69" s="1628"/>
      <c r="P69" s="1536"/>
      <c r="Q69" s="1536"/>
      <c r="R69" s="1567"/>
    </row>
    <row r="70" spans="1:18">
      <c r="A70" s="1811">
        <v>45873</v>
      </c>
      <c r="B70" s="2204" t="s">
        <v>577</v>
      </c>
      <c r="C70" s="1536" t="s">
        <v>450</v>
      </c>
      <c r="D70" s="1536" t="s">
        <v>552</v>
      </c>
      <c r="E70" s="1536" t="s">
        <v>452</v>
      </c>
      <c r="F70" s="1536">
        <v>5</v>
      </c>
      <c r="G70" s="1536" t="s">
        <v>470</v>
      </c>
      <c r="H70" s="1235" t="s">
        <v>578</v>
      </c>
      <c r="I70" s="1536">
        <v>0</v>
      </c>
      <c r="J70" s="1536">
        <v>0.3</v>
      </c>
      <c r="K70" s="1537">
        <f t="shared" si="2"/>
        <v>0.3</v>
      </c>
      <c r="L70" s="1235" t="s">
        <v>581</v>
      </c>
      <c r="M70" s="1236">
        <v>1.284</v>
      </c>
      <c r="N70" s="2915">
        <f>+AVERAGE(M70:M71)</f>
        <v>0.67149999999999999</v>
      </c>
      <c r="O70" s="1628"/>
      <c r="P70" s="1536"/>
      <c r="Q70" s="1536">
        <v>2</v>
      </c>
      <c r="R70" s="1567"/>
    </row>
    <row r="71" spans="1:18">
      <c r="A71" s="1811">
        <v>45873</v>
      </c>
      <c r="B71" s="2204" t="s">
        <v>577</v>
      </c>
      <c r="C71" s="1536" t="s">
        <v>450</v>
      </c>
      <c r="D71" s="1536" t="s">
        <v>552</v>
      </c>
      <c r="E71" s="1536" t="s">
        <v>452</v>
      </c>
      <c r="F71" s="1536">
        <v>5</v>
      </c>
      <c r="G71" s="1536" t="s">
        <v>470</v>
      </c>
      <c r="H71" s="1235" t="s">
        <v>578</v>
      </c>
      <c r="I71" s="1536">
        <v>0.3</v>
      </c>
      <c r="J71" s="1536">
        <v>1.2</v>
      </c>
      <c r="K71" s="1537">
        <f t="shared" si="2"/>
        <v>0.89999999999999991</v>
      </c>
      <c r="L71" s="1235" t="s">
        <v>582</v>
      </c>
      <c r="M71" s="1236">
        <v>5.8999999999999997E-2</v>
      </c>
      <c r="N71" s="2916"/>
      <c r="O71" s="1628"/>
      <c r="P71" s="1536"/>
      <c r="Q71" s="1536"/>
      <c r="R71" s="1567"/>
    </row>
    <row r="72" spans="1:18">
      <c r="A72" s="1811">
        <v>45873</v>
      </c>
      <c r="B72" s="2204"/>
      <c r="C72" s="1536"/>
      <c r="D72" s="1536"/>
      <c r="E72" s="1536"/>
      <c r="F72" s="1536"/>
      <c r="G72" s="1536"/>
      <c r="H72" s="1235"/>
      <c r="I72" s="2905" t="s">
        <v>535</v>
      </c>
      <c r="J72" s="2905"/>
      <c r="K72" s="1537"/>
      <c r="L72" s="1235" t="s">
        <v>583</v>
      </c>
      <c r="M72" s="1236">
        <v>3.25</v>
      </c>
      <c r="N72" s="1236"/>
      <c r="O72" s="1628"/>
      <c r="P72" s="1536"/>
      <c r="Q72" s="1536"/>
      <c r="R72" s="1567"/>
    </row>
    <row r="73" spans="1:18">
      <c r="A73" s="1811">
        <v>45873</v>
      </c>
      <c r="B73" s="2204" t="s">
        <v>577</v>
      </c>
      <c r="C73" s="1536" t="s">
        <v>450</v>
      </c>
      <c r="D73" s="1536" t="s">
        <v>552</v>
      </c>
      <c r="E73" s="1536" t="s">
        <v>452</v>
      </c>
      <c r="F73" s="1536">
        <v>3</v>
      </c>
      <c r="G73" s="1536" t="s">
        <v>470</v>
      </c>
      <c r="H73" s="1235" t="s">
        <v>578</v>
      </c>
      <c r="I73" s="1536">
        <v>0</v>
      </c>
      <c r="J73" s="1536">
        <v>0.6</v>
      </c>
      <c r="K73" s="1537">
        <f>J73-I73</f>
        <v>0.6</v>
      </c>
      <c r="L73" s="1235" t="s">
        <v>584</v>
      </c>
      <c r="M73" s="1236">
        <v>0.05</v>
      </c>
      <c r="N73" s="2915">
        <f>+AVERAGE(M73:M74)</f>
        <v>0.04</v>
      </c>
      <c r="O73" s="1628"/>
      <c r="P73" s="1536"/>
      <c r="Q73" s="1536">
        <v>3</v>
      </c>
      <c r="R73" s="1567"/>
    </row>
    <row r="74" spans="1:18">
      <c r="A74" s="1811">
        <v>45873</v>
      </c>
      <c r="B74" s="2204" t="s">
        <v>577</v>
      </c>
      <c r="C74" s="1536" t="s">
        <v>450</v>
      </c>
      <c r="D74" s="1536" t="s">
        <v>552</v>
      </c>
      <c r="E74" s="1536" t="s">
        <v>452</v>
      </c>
      <c r="F74" s="1536">
        <v>3</v>
      </c>
      <c r="G74" s="1536" t="s">
        <v>470</v>
      </c>
      <c r="H74" s="1235" t="s">
        <v>578</v>
      </c>
      <c r="I74" s="1536">
        <v>0.6</v>
      </c>
      <c r="J74" s="1536">
        <v>1.2</v>
      </c>
      <c r="K74" s="1537">
        <f>J74-I74</f>
        <v>0.6</v>
      </c>
      <c r="L74" s="1235" t="s">
        <v>585</v>
      </c>
      <c r="M74" s="1236">
        <v>0.03</v>
      </c>
      <c r="N74" s="2916"/>
      <c r="O74" s="1628"/>
      <c r="P74" s="1536"/>
      <c r="Q74" s="1536"/>
      <c r="R74" s="1567"/>
    </row>
    <row r="75" spans="1:18">
      <c r="A75" s="1811">
        <v>45873</v>
      </c>
      <c r="B75" s="2204" t="s">
        <v>577</v>
      </c>
      <c r="C75" s="1536" t="s">
        <v>450</v>
      </c>
      <c r="D75" s="1536" t="s">
        <v>552</v>
      </c>
      <c r="E75" s="1536" t="s">
        <v>452</v>
      </c>
      <c r="F75" s="1536">
        <v>1</v>
      </c>
      <c r="G75" s="1536" t="s">
        <v>470</v>
      </c>
      <c r="H75" s="1235" t="s">
        <v>578</v>
      </c>
      <c r="I75" s="1536">
        <v>0</v>
      </c>
      <c r="J75" s="1536">
        <v>0.6</v>
      </c>
      <c r="K75" s="1537">
        <f>J75-I75</f>
        <v>0.6</v>
      </c>
      <c r="L75" s="1235" t="s">
        <v>586</v>
      </c>
      <c r="M75" s="1236">
        <v>0.221</v>
      </c>
      <c r="N75" s="2915">
        <f>+AVERAGE(M75:M76)</f>
        <v>0.1925</v>
      </c>
      <c r="O75" s="1628"/>
      <c r="P75" s="1536"/>
      <c r="Q75" s="1536">
        <v>4</v>
      </c>
      <c r="R75" s="1567"/>
    </row>
    <row r="76" spans="1:18">
      <c r="A76" s="1811">
        <v>45873</v>
      </c>
      <c r="B76" s="2204" t="s">
        <v>577</v>
      </c>
      <c r="C76" s="1536" t="s">
        <v>450</v>
      </c>
      <c r="D76" s="1536" t="s">
        <v>552</v>
      </c>
      <c r="E76" s="1536" t="s">
        <v>452</v>
      </c>
      <c r="F76" s="1536">
        <v>1</v>
      </c>
      <c r="G76" s="1536" t="s">
        <v>470</v>
      </c>
      <c r="H76" s="1235" t="s">
        <v>578</v>
      </c>
      <c r="I76" s="1536">
        <v>0.6</v>
      </c>
      <c r="J76" s="1536">
        <v>1.2</v>
      </c>
      <c r="K76" s="1537">
        <f>J76-I76</f>
        <v>0.6</v>
      </c>
      <c r="L76" s="1235" t="s">
        <v>587</v>
      </c>
      <c r="M76" s="1236">
        <v>0.16400000000000001</v>
      </c>
      <c r="N76" s="2916"/>
      <c r="O76" s="1628"/>
      <c r="P76" s="1536"/>
      <c r="Q76" s="1536"/>
      <c r="R76" s="1567"/>
    </row>
    <row r="77" spans="1:18">
      <c r="A77" s="1811">
        <v>45873</v>
      </c>
      <c r="B77" s="2204"/>
      <c r="C77" s="1536"/>
      <c r="D77" s="1536"/>
      <c r="E77" s="1536"/>
      <c r="F77" s="1536"/>
      <c r="G77" s="1536"/>
      <c r="H77" s="1235"/>
      <c r="I77" s="2905" t="s">
        <v>529</v>
      </c>
      <c r="J77" s="2905"/>
      <c r="K77" s="1537"/>
      <c r="L77" s="1235" t="s">
        <v>588</v>
      </c>
      <c r="M77" s="1236">
        <v>0</v>
      </c>
      <c r="N77" s="1236"/>
      <c r="O77" s="1628"/>
      <c r="P77" s="1536"/>
      <c r="Q77" s="1536"/>
      <c r="R77" s="1567"/>
    </row>
    <row r="78" spans="1:18">
      <c r="A78" s="1811">
        <v>45873</v>
      </c>
      <c r="B78" s="2204" t="s">
        <v>577</v>
      </c>
      <c r="C78" s="1536" t="s">
        <v>450</v>
      </c>
      <c r="D78" s="1536" t="s">
        <v>552</v>
      </c>
      <c r="E78" s="1536" t="s">
        <v>452</v>
      </c>
      <c r="F78" s="1536">
        <v>1</v>
      </c>
      <c r="G78" s="1536" t="s">
        <v>474</v>
      </c>
      <c r="H78" s="1235" t="s">
        <v>578</v>
      </c>
      <c r="I78" s="1536">
        <v>0</v>
      </c>
      <c r="J78" s="1536">
        <v>0.6</v>
      </c>
      <c r="K78" s="1537">
        <f t="shared" ref="K78:K86" si="3">J78-I78</f>
        <v>0.6</v>
      </c>
      <c r="L78" s="1235" t="s">
        <v>589</v>
      </c>
      <c r="M78" s="1236">
        <v>0.254</v>
      </c>
      <c r="N78" s="2915">
        <f>+AVERAGE(M78:M79)</f>
        <v>0.38500000000000001</v>
      </c>
      <c r="O78" s="1628"/>
      <c r="P78" s="1536"/>
      <c r="Q78" s="1536">
        <v>5</v>
      </c>
      <c r="R78" s="1567"/>
    </row>
    <row r="79" spans="1:18">
      <c r="A79" s="1811">
        <v>45873</v>
      </c>
      <c r="B79" s="2204" t="s">
        <v>577</v>
      </c>
      <c r="C79" s="1536" t="s">
        <v>450</v>
      </c>
      <c r="D79" s="1536" t="s">
        <v>552</v>
      </c>
      <c r="E79" s="1536" t="s">
        <v>452</v>
      </c>
      <c r="F79" s="1536">
        <v>1</v>
      </c>
      <c r="G79" s="1536" t="s">
        <v>474</v>
      </c>
      <c r="H79" s="1235" t="s">
        <v>578</v>
      </c>
      <c r="I79" s="1536">
        <v>0.6</v>
      </c>
      <c r="J79" s="1536">
        <v>1.2</v>
      </c>
      <c r="K79" s="1537">
        <f t="shared" si="3"/>
        <v>0.6</v>
      </c>
      <c r="L79" s="1235" t="s">
        <v>590</v>
      </c>
      <c r="M79" s="1236">
        <v>0.51600000000000001</v>
      </c>
      <c r="N79" s="2916"/>
      <c r="O79" s="1628"/>
      <c r="P79" s="1536"/>
      <c r="Q79" s="1536"/>
      <c r="R79" s="1567"/>
    </row>
    <row r="80" spans="1:18">
      <c r="A80" s="1811">
        <v>45873</v>
      </c>
      <c r="B80" s="2204" t="s">
        <v>577</v>
      </c>
      <c r="C80" s="1536" t="s">
        <v>450</v>
      </c>
      <c r="D80" s="1536" t="s">
        <v>552</v>
      </c>
      <c r="E80" s="1536" t="s">
        <v>452</v>
      </c>
      <c r="F80" s="1536">
        <v>3</v>
      </c>
      <c r="G80" s="1536" t="s">
        <v>474</v>
      </c>
      <c r="H80" s="1235" t="s">
        <v>578</v>
      </c>
      <c r="I80" s="1536">
        <v>0</v>
      </c>
      <c r="J80" s="1536">
        <v>0.6</v>
      </c>
      <c r="K80" s="1537">
        <f t="shared" si="3"/>
        <v>0.6</v>
      </c>
      <c r="L80" s="1235" t="s">
        <v>591</v>
      </c>
      <c r="M80" s="1236">
        <v>0.41</v>
      </c>
      <c r="N80" s="2915">
        <f>+AVERAGE(M80:M81)</f>
        <v>1.5780000000000001</v>
      </c>
      <c r="O80" s="1628"/>
      <c r="P80" s="1536"/>
      <c r="Q80" s="1536">
        <v>6</v>
      </c>
      <c r="R80" s="1567"/>
    </row>
    <row r="81" spans="1:18">
      <c r="A81" s="1811">
        <v>45873</v>
      </c>
      <c r="B81" s="2204" t="s">
        <v>577</v>
      </c>
      <c r="C81" s="1536" t="s">
        <v>450</v>
      </c>
      <c r="D81" s="1536" t="s">
        <v>552</v>
      </c>
      <c r="E81" s="1536" t="s">
        <v>452</v>
      </c>
      <c r="F81" s="1536">
        <v>3</v>
      </c>
      <c r="G81" s="1536" t="s">
        <v>474</v>
      </c>
      <c r="H81" s="1235" t="s">
        <v>578</v>
      </c>
      <c r="I81" s="1536">
        <v>0.6</v>
      </c>
      <c r="J81" s="1536">
        <v>1.2</v>
      </c>
      <c r="K81" s="1537">
        <f t="shared" si="3"/>
        <v>0.6</v>
      </c>
      <c r="L81" s="1235" t="s">
        <v>592</v>
      </c>
      <c r="M81" s="1236">
        <v>2.746</v>
      </c>
      <c r="N81" s="2916"/>
      <c r="O81" s="1628"/>
      <c r="P81" s="1536"/>
      <c r="Q81" s="1536"/>
      <c r="R81" s="1567"/>
    </row>
    <row r="82" spans="1:18">
      <c r="A82" s="1811">
        <v>45873</v>
      </c>
      <c r="B82" s="2204" t="s">
        <v>577</v>
      </c>
      <c r="C82" s="1536" t="s">
        <v>450</v>
      </c>
      <c r="D82" s="1536" t="s">
        <v>552</v>
      </c>
      <c r="E82" s="1536" t="s">
        <v>452</v>
      </c>
      <c r="F82" s="1536">
        <v>5</v>
      </c>
      <c r="G82" s="1536" t="s">
        <v>474</v>
      </c>
      <c r="H82" s="1235" t="s">
        <v>578</v>
      </c>
      <c r="I82" s="1536">
        <v>0</v>
      </c>
      <c r="J82" s="1536">
        <v>0.6</v>
      </c>
      <c r="K82" s="1537">
        <f t="shared" si="3"/>
        <v>0.6</v>
      </c>
      <c r="L82" s="1235" t="s">
        <v>593</v>
      </c>
      <c r="M82" s="1236">
        <v>0.35199999999999998</v>
      </c>
      <c r="N82" s="2915">
        <f>+AVERAGE(M82:M83)</f>
        <v>0.29099999999999998</v>
      </c>
      <c r="O82" s="1628"/>
      <c r="P82" s="1536"/>
      <c r="Q82" s="1536">
        <v>7</v>
      </c>
      <c r="R82" s="1567"/>
    </row>
    <row r="83" spans="1:18">
      <c r="A83" s="1811">
        <v>45873</v>
      </c>
      <c r="B83" s="2204" t="s">
        <v>577</v>
      </c>
      <c r="C83" s="1536" t="s">
        <v>450</v>
      </c>
      <c r="D83" s="1536" t="s">
        <v>552</v>
      </c>
      <c r="E83" s="1536" t="s">
        <v>452</v>
      </c>
      <c r="F83" s="1536">
        <v>5</v>
      </c>
      <c r="G83" s="1536" t="s">
        <v>474</v>
      </c>
      <c r="H83" s="1235" t="s">
        <v>578</v>
      </c>
      <c r="I83" s="1536">
        <v>0.6</v>
      </c>
      <c r="J83" s="1536">
        <v>1.2</v>
      </c>
      <c r="K83" s="1537">
        <f t="shared" si="3"/>
        <v>0.6</v>
      </c>
      <c r="L83" s="1235" t="s">
        <v>594</v>
      </c>
      <c r="M83" s="1572">
        <v>0.23</v>
      </c>
      <c r="N83" s="2916"/>
      <c r="O83" s="1628"/>
      <c r="P83" s="1536"/>
      <c r="Q83" s="1536"/>
      <c r="R83" s="1567"/>
    </row>
    <row r="84" spans="1:18">
      <c r="A84" s="1811">
        <v>45873</v>
      </c>
      <c r="B84" s="2204" t="s">
        <v>577</v>
      </c>
      <c r="C84" s="1536" t="s">
        <v>450</v>
      </c>
      <c r="D84" s="1536" t="s">
        <v>552</v>
      </c>
      <c r="E84" s="1536" t="s">
        <v>452</v>
      </c>
      <c r="F84" s="1536">
        <v>7</v>
      </c>
      <c r="G84" s="1536" t="s">
        <v>474</v>
      </c>
      <c r="H84" s="1235" t="s">
        <v>578</v>
      </c>
      <c r="I84" s="1536">
        <v>0</v>
      </c>
      <c r="J84" s="1536">
        <v>0.6</v>
      </c>
      <c r="K84" s="1537">
        <f t="shared" si="3"/>
        <v>0.6</v>
      </c>
      <c r="L84" s="1235" t="s">
        <v>595</v>
      </c>
      <c r="M84" s="1572">
        <v>0.25</v>
      </c>
      <c r="N84" s="2915">
        <f>+AVERAGE(M84:M85)</f>
        <v>0.3</v>
      </c>
      <c r="O84" s="1628"/>
      <c r="P84" s="1536"/>
      <c r="Q84" s="1536">
        <v>8</v>
      </c>
      <c r="R84" s="1567"/>
    </row>
    <row r="85" spans="1:18">
      <c r="A85" s="1811">
        <v>45873</v>
      </c>
      <c r="B85" s="2204" t="s">
        <v>577</v>
      </c>
      <c r="C85" s="1536" t="s">
        <v>450</v>
      </c>
      <c r="D85" s="1536" t="s">
        <v>552</v>
      </c>
      <c r="E85" s="1536" t="s">
        <v>452</v>
      </c>
      <c r="F85" s="1536">
        <v>7</v>
      </c>
      <c r="G85" s="1536" t="s">
        <v>474</v>
      </c>
      <c r="H85" s="1235" t="s">
        <v>578</v>
      </c>
      <c r="I85" s="1536">
        <v>0.6</v>
      </c>
      <c r="J85" s="1536">
        <v>1.2</v>
      </c>
      <c r="K85" s="1537">
        <f t="shared" si="3"/>
        <v>0.6</v>
      </c>
      <c r="L85" s="1235" t="s">
        <v>596</v>
      </c>
      <c r="M85" s="1572">
        <v>0.35</v>
      </c>
      <c r="N85" s="2916"/>
      <c r="O85" s="1628"/>
      <c r="P85" s="1536"/>
      <c r="Q85" s="1536"/>
      <c r="R85" s="1567"/>
    </row>
    <row r="86" spans="1:18">
      <c r="A86" s="1811">
        <v>45873</v>
      </c>
      <c r="B86" s="2204" t="s">
        <v>577</v>
      </c>
      <c r="C86" s="1536" t="s">
        <v>450</v>
      </c>
      <c r="D86" s="1536" t="s">
        <v>552</v>
      </c>
      <c r="E86" s="1536" t="s">
        <v>452</v>
      </c>
      <c r="F86" s="1536">
        <v>9</v>
      </c>
      <c r="G86" s="1536" t="s">
        <v>474</v>
      </c>
      <c r="H86" s="1235" t="s">
        <v>578</v>
      </c>
      <c r="I86" s="1536">
        <v>0</v>
      </c>
      <c r="J86" s="1536">
        <v>0.6</v>
      </c>
      <c r="K86" s="1537">
        <f t="shared" si="3"/>
        <v>0.6</v>
      </c>
      <c r="L86" s="1235" t="s">
        <v>597</v>
      </c>
      <c r="M86" s="1572">
        <v>0.18</v>
      </c>
      <c r="N86" s="2900">
        <f>+AVERAGE(M86,M88)</f>
        <v>0.16</v>
      </c>
      <c r="O86" s="1628"/>
      <c r="P86" s="1536"/>
      <c r="Q86" s="1536">
        <v>9</v>
      </c>
      <c r="R86" s="1567"/>
    </row>
    <row r="87" spans="1:18">
      <c r="A87" s="1811">
        <v>45873</v>
      </c>
      <c r="B87" s="2204"/>
      <c r="C87" s="1536"/>
      <c r="D87" s="1536"/>
      <c r="E87" s="1536"/>
      <c r="F87" s="1536"/>
      <c r="G87" s="1536"/>
      <c r="H87" s="1235"/>
      <c r="I87" s="2905" t="s">
        <v>535</v>
      </c>
      <c r="J87" s="2905"/>
      <c r="K87" s="1537"/>
      <c r="L87" s="1235" t="s">
        <v>598</v>
      </c>
      <c r="M87" s="1871">
        <v>3.27</v>
      </c>
      <c r="N87" s="2903"/>
      <c r="O87" s="1628"/>
      <c r="P87" s="1536"/>
      <c r="Q87" s="1536"/>
      <c r="R87" s="1567"/>
    </row>
    <row r="88" spans="1:18">
      <c r="A88" s="1811">
        <v>45873</v>
      </c>
      <c r="B88" s="2204" t="s">
        <v>577</v>
      </c>
      <c r="C88" s="1536" t="s">
        <v>450</v>
      </c>
      <c r="D88" s="1536" t="s">
        <v>552</v>
      </c>
      <c r="E88" s="1536" t="s">
        <v>452</v>
      </c>
      <c r="F88" s="1536">
        <v>9</v>
      </c>
      <c r="G88" s="1536" t="s">
        <v>474</v>
      </c>
      <c r="H88" s="1235" t="s">
        <v>578</v>
      </c>
      <c r="I88" s="1536">
        <v>0.6</v>
      </c>
      <c r="J88" s="1536">
        <v>1.2</v>
      </c>
      <c r="K88" s="1537">
        <f>J88-I88</f>
        <v>0.6</v>
      </c>
      <c r="L88" s="1235" t="s">
        <v>599</v>
      </c>
      <c r="M88" s="1871">
        <v>0.14000000000000001</v>
      </c>
      <c r="N88" s="2902"/>
      <c r="O88" s="1628"/>
      <c r="P88" s="1536"/>
      <c r="Q88" s="1536"/>
      <c r="R88" s="1567"/>
    </row>
    <row r="89" spans="1:18">
      <c r="A89" s="1811">
        <v>45873</v>
      </c>
      <c r="B89" s="2204"/>
      <c r="C89" s="1536"/>
      <c r="D89" s="1536"/>
      <c r="E89" s="1536"/>
      <c r="F89" s="1536"/>
      <c r="G89" s="1536"/>
      <c r="H89" s="1235"/>
      <c r="I89" s="2905" t="s">
        <v>600</v>
      </c>
      <c r="J89" s="2905"/>
      <c r="K89" s="1537"/>
      <c r="L89" s="1235" t="s">
        <v>601</v>
      </c>
      <c r="M89" s="1236">
        <v>0</v>
      </c>
      <c r="N89" s="1236"/>
      <c r="O89" s="1628"/>
      <c r="P89" s="1536"/>
      <c r="Q89" s="1536"/>
      <c r="R89" s="1567"/>
    </row>
    <row r="90" spans="1:18">
      <c r="A90" s="1811">
        <v>45873</v>
      </c>
      <c r="B90" s="2204" t="s">
        <v>466</v>
      </c>
      <c r="C90" s="1536" t="s">
        <v>516</v>
      </c>
      <c r="D90" s="1536" t="s">
        <v>511</v>
      </c>
      <c r="E90" s="1536" t="s">
        <v>482</v>
      </c>
      <c r="F90" s="1536">
        <v>3.8</v>
      </c>
      <c r="G90" s="1536" t="s">
        <v>545</v>
      </c>
      <c r="H90" s="1235" t="s">
        <v>602</v>
      </c>
      <c r="I90" s="1536">
        <v>0</v>
      </c>
      <c r="J90" s="1536">
        <v>0.9</v>
      </c>
      <c r="K90" s="1537">
        <f t="shared" ref="K90:K98" si="4">J90-I90</f>
        <v>0.9</v>
      </c>
      <c r="L90" s="1235" t="s">
        <v>603</v>
      </c>
      <c r="M90" s="1236">
        <v>0.46</v>
      </c>
      <c r="N90" s="2900">
        <f>AVERAGE(M90:M91)</f>
        <v>1.1200000000000001</v>
      </c>
      <c r="O90" s="1628"/>
      <c r="P90" s="1536"/>
      <c r="Q90" s="1536"/>
      <c r="R90" s="1567"/>
    </row>
    <row r="91" spans="1:18">
      <c r="A91" s="1811">
        <v>45873</v>
      </c>
      <c r="B91" s="2204"/>
      <c r="C91" s="1536"/>
      <c r="D91" s="1536"/>
      <c r="E91" s="1536"/>
      <c r="F91" s="1536"/>
      <c r="G91" s="1536"/>
      <c r="H91" s="1235"/>
      <c r="I91" s="1536">
        <v>0.9</v>
      </c>
      <c r="J91" s="1536">
        <v>1.8</v>
      </c>
      <c r="K91" s="1537">
        <f t="shared" si="4"/>
        <v>0.9</v>
      </c>
      <c r="L91" s="1235" t="s">
        <v>604</v>
      </c>
      <c r="M91" s="1236">
        <v>1.78</v>
      </c>
      <c r="N91" s="2902"/>
      <c r="O91" s="1628"/>
      <c r="P91" s="1536"/>
      <c r="Q91" s="1536"/>
      <c r="R91" s="1567"/>
    </row>
    <row r="92" spans="1:18">
      <c r="A92" s="1811">
        <v>45873</v>
      </c>
      <c r="B92" s="2204" t="s">
        <v>466</v>
      </c>
      <c r="C92" s="1536" t="s">
        <v>516</v>
      </c>
      <c r="D92" s="1536" t="s">
        <v>511</v>
      </c>
      <c r="E92" s="1536" t="s">
        <v>482</v>
      </c>
      <c r="F92" s="1536">
        <v>2.8</v>
      </c>
      <c r="G92" s="1536" t="s">
        <v>545</v>
      </c>
      <c r="H92" s="1235" t="s">
        <v>602</v>
      </c>
      <c r="I92" s="1536">
        <v>0</v>
      </c>
      <c r="J92" s="1536">
        <v>0.9</v>
      </c>
      <c r="K92" s="1537">
        <f t="shared" si="4"/>
        <v>0.9</v>
      </c>
      <c r="L92" s="1235" t="s">
        <v>605</v>
      </c>
      <c r="M92" s="1236">
        <v>0.39</v>
      </c>
      <c r="N92" s="2900">
        <f>AVERAGE(M92:M93)</f>
        <v>0.37</v>
      </c>
      <c r="O92" s="1628"/>
      <c r="P92" s="1536"/>
      <c r="Q92" s="1536"/>
      <c r="R92" s="1567"/>
    </row>
    <row r="93" spans="1:18">
      <c r="A93" s="1811">
        <v>45873</v>
      </c>
      <c r="B93" s="2204"/>
      <c r="C93" s="1536"/>
      <c r="D93" s="1536"/>
      <c r="E93" s="1536"/>
      <c r="F93" s="1536"/>
      <c r="G93" s="1536"/>
      <c r="H93" s="1235"/>
      <c r="I93" s="1536">
        <v>0.9</v>
      </c>
      <c r="J93" s="1536">
        <v>1.8</v>
      </c>
      <c r="K93" s="1537">
        <f t="shared" si="4"/>
        <v>0.9</v>
      </c>
      <c r="L93" s="1235" t="s">
        <v>606</v>
      </c>
      <c r="M93" s="1236">
        <v>0.35</v>
      </c>
      <c r="N93" s="2902"/>
      <c r="O93" s="1628"/>
      <c r="P93" s="1536"/>
      <c r="Q93" s="1536"/>
      <c r="R93" s="1567"/>
    </row>
    <row r="94" spans="1:18">
      <c r="A94" s="1811">
        <v>45873</v>
      </c>
      <c r="B94" s="2204" t="s">
        <v>499</v>
      </c>
      <c r="C94" s="1536" t="s">
        <v>467</v>
      </c>
      <c r="D94" s="1536" t="s">
        <v>511</v>
      </c>
      <c r="E94" s="1536" t="s">
        <v>469</v>
      </c>
      <c r="F94" s="1536">
        <v>12.1</v>
      </c>
      <c r="G94" s="1536" t="s">
        <v>474</v>
      </c>
      <c r="H94" s="1235" t="s">
        <v>607</v>
      </c>
      <c r="I94" s="1536">
        <v>0</v>
      </c>
      <c r="J94" s="1536">
        <v>0.6</v>
      </c>
      <c r="K94" s="1537">
        <f t="shared" si="4"/>
        <v>0.6</v>
      </c>
      <c r="L94" s="1235" t="s">
        <v>608</v>
      </c>
      <c r="M94" s="1236">
        <v>1.34</v>
      </c>
      <c r="N94" s="2900">
        <f>AVERAGE(M94:M95)</f>
        <v>1.2235</v>
      </c>
      <c r="O94" s="1628"/>
      <c r="P94" s="1536"/>
      <c r="Q94" s="1536"/>
      <c r="R94" s="1567"/>
    </row>
    <row r="95" spans="1:18">
      <c r="A95" s="1811">
        <v>45873</v>
      </c>
      <c r="B95" s="2204"/>
      <c r="C95" s="1536"/>
      <c r="D95" s="1536"/>
      <c r="E95" s="1536"/>
      <c r="F95" s="1536"/>
      <c r="G95" s="1536"/>
      <c r="H95" s="1235"/>
      <c r="I95" s="1536">
        <v>0.6</v>
      </c>
      <c r="J95" s="1536">
        <v>1.2</v>
      </c>
      <c r="K95" s="1537">
        <f t="shared" si="4"/>
        <v>0.6</v>
      </c>
      <c r="L95" s="1235" t="s">
        <v>609</v>
      </c>
      <c r="M95" s="1236">
        <v>1.107</v>
      </c>
      <c r="N95" s="2902"/>
      <c r="O95" s="1628"/>
      <c r="P95" s="1536"/>
      <c r="Q95" s="1536"/>
      <c r="R95" s="1567"/>
    </row>
    <row r="96" spans="1:18">
      <c r="A96" s="1811">
        <v>45873</v>
      </c>
      <c r="B96" s="2204" t="s">
        <v>499</v>
      </c>
      <c r="C96" s="1536" t="s">
        <v>467</v>
      </c>
      <c r="D96" s="1536" t="s">
        <v>511</v>
      </c>
      <c r="E96" s="1536" t="s">
        <v>452</v>
      </c>
      <c r="F96" s="1536">
        <v>0</v>
      </c>
      <c r="G96" s="1536"/>
      <c r="H96" s="1235" t="s">
        <v>607</v>
      </c>
      <c r="I96" s="1536">
        <v>0</v>
      </c>
      <c r="J96" s="1536">
        <v>0.6</v>
      </c>
      <c r="K96" s="1537">
        <f t="shared" si="4"/>
        <v>0.6</v>
      </c>
      <c r="L96" s="1235" t="s">
        <v>610</v>
      </c>
      <c r="M96" s="1236">
        <v>0.65800000000000003</v>
      </c>
      <c r="N96" s="2900">
        <f>AVERAGE(M96:M97)</f>
        <v>0.36399999999999999</v>
      </c>
      <c r="O96" s="1628"/>
      <c r="P96" s="1536"/>
      <c r="Q96" s="1536"/>
      <c r="R96" s="1567"/>
    </row>
    <row r="97" spans="1:18">
      <c r="A97" s="1811">
        <v>45873</v>
      </c>
      <c r="B97" s="2204"/>
      <c r="C97" s="1536"/>
      <c r="D97" s="1536"/>
      <c r="E97" s="1536"/>
      <c r="F97" s="1536"/>
      <c r="G97" s="1536"/>
      <c r="H97" s="1235"/>
      <c r="I97" s="1536">
        <v>0.6</v>
      </c>
      <c r="J97" s="1536">
        <v>1.2</v>
      </c>
      <c r="K97" s="1537">
        <f t="shared" si="4"/>
        <v>0.6</v>
      </c>
      <c r="L97" s="1235" t="s">
        <v>611</v>
      </c>
      <c r="M97" s="1236">
        <v>7.0000000000000007E-2</v>
      </c>
      <c r="N97" s="2902"/>
      <c r="O97" s="1628"/>
      <c r="P97" s="1536"/>
      <c r="Q97" s="1536"/>
      <c r="R97" s="1567"/>
    </row>
    <row r="98" spans="1:18">
      <c r="A98" s="1811">
        <v>45873</v>
      </c>
      <c r="B98" s="2204" t="s">
        <v>499</v>
      </c>
      <c r="C98" s="1536" t="s">
        <v>467</v>
      </c>
      <c r="D98" s="1536" t="s">
        <v>511</v>
      </c>
      <c r="E98" s="1536" t="s">
        <v>452</v>
      </c>
      <c r="F98" s="1536">
        <v>2</v>
      </c>
      <c r="G98" s="1536" t="s">
        <v>474</v>
      </c>
      <c r="H98" s="1235" t="s">
        <v>607</v>
      </c>
      <c r="I98" s="1536">
        <v>0</v>
      </c>
      <c r="J98" s="1536">
        <v>0.6</v>
      </c>
      <c r="K98" s="1537">
        <f t="shared" si="4"/>
        <v>0.6</v>
      </c>
      <c r="L98" s="1235" t="s">
        <v>612</v>
      </c>
      <c r="M98" s="1236">
        <v>0.04</v>
      </c>
      <c r="N98" s="2900">
        <f>AVERAGE(M98,M100)</f>
        <v>0.80349999999999999</v>
      </c>
      <c r="O98" s="1628"/>
      <c r="P98" s="1536"/>
      <c r="Q98" s="1536"/>
      <c r="R98" s="1567"/>
    </row>
    <row r="99" spans="1:18">
      <c r="A99" s="1811">
        <v>45873</v>
      </c>
      <c r="B99" s="2204"/>
      <c r="C99" s="1536"/>
      <c r="D99" s="1536"/>
      <c r="E99" s="1536"/>
      <c r="F99" s="1536"/>
      <c r="G99" s="1536"/>
      <c r="H99" s="1235"/>
      <c r="I99" s="2905" t="s">
        <v>529</v>
      </c>
      <c r="J99" s="2905"/>
      <c r="K99" s="1537"/>
      <c r="L99" s="1235" t="s">
        <v>613</v>
      </c>
      <c r="M99" s="1236">
        <v>0.90900000000000003</v>
      </c>
      <c r="N99" s="2903"/>
      <c r="O99" s="1628"/>
      <c r="P99" s="1536"/>
      <c r="Q99" s="1536"/>
      <c r="R99" s="1567"/>
    </row>
    <row r="100" spans="1:18">
      <c r="A100" s="1811">
        <v>45873</v>
      </c>
      <c r="B100" s="2204"/>
      <c r="C100" s="1536"/>
      <c r="D100" s="1536"/>
      <c r="E100" s="1536"/>
      <c r="F100" s="1536"/>
      <c r="G100" s="1536"/>
      <c r="H100" s="1235"/>
      <c r="I100" s="1536">
        <v>0.6</v>
      </c>
      <c r="J100" s="1536">
        <v>1.2</v>
      </c>
      <c r="K100" s="1537">
        <f>J100-I100</f>
        <v>0.6</v>
      </c>
      <c r="L100" s="1235" t="s">
        <v>614</v>
      </c>
      <c r="M100" s="1236">
        <v>1.5669999999999999</v>
      </c>
      <c r="N100" s="2902"/>
      <c r="O100" s="1628"/>
      <c r="P100" s="1536"/>
      <c r="Q100" s="1536"/>
      <c r="R100" s="1567"/>
    </row>
    <row r="101" spans="1:18">
      <c r="A101" s="1811">
        <v>45873</v>
      </c>
      <c r="B101" s="2204" t="s">
        <v>499</v>
      </c>
      <c r="C101" s="1536" t="s">
        <v>467</v>
      </c>
      <c r="D101" s="1536" t="s">
        <v>511</v>
      </c>
      <c r="E101" s="1536" t="s">
        <v>452</v>
      </c>
      <c r="F101" s="1536">
        <v>4</v>
      </c>
      <c r="G101" s="1536" t="s">
        <v>474</v>
      </c>
      <c r="H101" s="1235" t="s">
        <v>607</v>
      </c>
      <c r="I101" s="1536">
        <v>0</v>
      </c>
      <c r="J101" s="1536">
        <v>0.6</v>
      </c>
      <c r="K101" s="1537">
        <f>J101-I101</f>
        <v>0.6</v>
      </c>
      <c r="L101" s="1235" t="s">
        <v>615</v>
      </c>
      <c r="M101" s="1236">
        <v>3.8929999999999998</v>
      </c>
      <c r="N101" s="2900">
        <f>AVERAGE(M101:M103)</f>
        <v>3.5830000000000002</v>
      </c>
      <c r="O101" s="1628"/>
      <c r="P101" s="1536"/>
      <c r="Q101" s="1536"/>
      <c r="R101" s="1567"/>
    </row>
    <row r="102" spans="1:18">
      <c r="A102" s="1811">
        <v>45873</v>
      </c>
      <c r="B102" s="2204"/>
      <c r="C102" s="1536"/>
      <c r="D102" s="1536"/>
      <c r="E102" s="1536"/>
      <c r="F102" s="1536"/>
      <c r="G102" s="1536"/>
      <c r="H102" s="1235"/>
      <c r="I102" s="1536">
        <v>0.6</v>
      </c>
      <c r="J102" s="1536">
        <v>1</v>
      </c>
      <c r="K102" s="1537">
        <f>J102-I102</f>
        <v>0.4</v>
      </c>
      <c r="L102" s="1235" t="s">
        <v>616</v>
      </c>
      <c r="M102" s="1236">
        <v>3.6320000000000001</v>
      </c>
      <c r="N102" s="2903"/>
      <c r="O102" s="1628"/>
      <c r="P102" s="1536"/>
      <c r="Q102" s="1536"/>
      <c r="R102" s="1567"/>
    </row>
    <row r="103" spans="1:18">
      <c r="A103" s="1811">
        <v>45873</v>
      </c>
      <c r="B103" s="2204"/>
      <c r="C103" s="1536"/>
      <c r="D103" s="1536"/>
      <c r="E103" s="1536"/>
      <c r="F103" s="1536"/>
      <c r="G103" s="1536"/>
      <c r="H103" s="1235"/>
      <c r="I103" s="1536">
        <v>1</v>
      </c>
      <c r="J103" s="1536">
        <v>1.2</v>
      </c>
      <c r="K103" s="1537">
        <f>J103-I103</f>
        <v>0.19999999999999996</v>
      </c>
      <c r="L103" s="1235" t="s">
        <v>617</v>
      </c>
      <c r="M103" s="1236">
        <v>3.2240000000000002</v>
      </c>
      <c r="N103" s="2902"/>
      <c r="O103" s="1628"/>
      <c r="P103" s="1536"/>
      <c r="Q103" s="1536"/>
      <c r="R103" s="1567"/>
    </row>
    <row r="104" spans="1:18">
      <c r="A104" s="1811">
        <v>45873</v>
      </c>
      <c r="B104" s="2204"/>
      <c r="C104" s="1536"/>
      <c r="D104" s="1536"/>
      <c r="E104" s="1536"/>
      <c r="F104" s="1536"/>
      <c r="G104" s="1536"/>
      <c r="H104" s="1235"/>
      <c r="I104" s="2905" t="s">
        <v>618</v>
      </c>
      <c r="J104" s="2905"/>
      <c r="K104" s="1537"/>
      <c r="L104" s="1235" t="s">
        <v>619</v>
      </c>
      <c r="M104" s="1236">
        <v>3.1850000000000001</v>
      </c>
      <c r="N104" s="2600"/>
      <c r="O104" s="1628"/>
      <c r="P104" s="1536"/>
      <c r="Q104" s="1536"/>
      <c r="R104" s="1567"/>
    </row>
    <row r="105" spans="1:18" ht="15.6" customHeight="1">
      <c r="A105" s="1811">
        <v>45873</v>
      </c>
      <c r="B105" s="2204" t="s">
        <v>499</v>
      </c>
      <c r="C105" s="1536" t="s">
        <v>500</v>
      </c>
      <c r="D105" s="1536" t="s">
        <v>481</v>
      </c>
      <c r="E105" s="1536" t="s">
        <v>469</v>
      </c>
      <c r="F105" s="1536">
        <v>24.3</v>
      </c>
      <c r="G105" s="1536" t="s">
        <v>474</v>
      </c>
      <c r="H105" s="1235" t="s">
        <v>501</v>
      </c>
      <c r="I105" s="1536">
        <v>0</v>
      </c>
      <c r="J105" s="1536">
        <v>0.6</v>
      </c>
      <c r="K105" s="1537">
        <f t="shared" ref="K105:K143" si="5">J105-I105</f>
        <v>0.6</v>
      </c>
      <c r="L105" s="1235" t="s">
        <v>620</v>
      </c>
      <c r="M105" s="1236">
        <v>0.98</v>
      </c>
      <c r="N105" s="2900">
        <f>AVERAGE(M105:M106)</f>
        <v>0.79</v>
      </c>
      <c r="O105" s="1628"/>
      <c r="P105" s="1536"/>
      <c r="Q105" s="1536"/>
      <c r="R105" s="1567"/>
    </row>
    <row r="106" spans="1:18" ht="15.6" customHeight="1">
      <c r="A106" s="1811">
        <v>45873</v>
      </c>
      <c r="B106" s="2204"/>
      <c r="C106" s="1536"/>
      <c r="D106" s="1536"/>
      <c r="E106" s="1536"/>
      <c r="F106" s="1536"/>
      <c r="G106" s="1536"/>
      <c r="H106" s="1235"/>
      <c r="I106" s="1536">
        <v>0.6</v>
      </c>
      <c r="J106" s="1536">
        <v>1.2</v>
      </c>
      <c r="K106" s="1537">
        <f t="shared" si="5"/>
        <v>0.6</v>
      </c>
      <c r="L106" s="1235" t="s">
        <v>621</v>
      </c>
      <c r="M106" s="1236">
        <v>0.6</v>
      </c>
      <c r="N106" s="2902"/>
      <c r="O106" s="1628"/>
      <c r="P106" s="1536"/>
      <c r="Q106" s="1536"/>
      <c r="R106" s="1567"/>
    </row>
    <row r="107" spans="1:18" ht="15.6" customHeight="1">
      <c r="A107" s="1811">
        <v>45873</v>
      </c>
      <c r="B107" s="2204" t="s">
        <v>499</v>
      </c>
      <c r="C107" s="1536" t="s">
        <v>500</v>
      </c>
      <c r="D107" s="1536" t="s">
        <v>468</v>
      </c>
      <c r="E107" s="1536" t="s">
        <v>469</v>
      </c>
      <c r="F107" s="1536">
        <v>3.2</v>
      </c>
      <c r="G107" s="1536" t="s">
        <v>470</v>
      </c>
      <c r="H107" s="1235" t="s">
        <v>504</v>
      </c>
      <c r="I107" s="1536">
        <v>0</v>
      </c>
      <c r="J107" s="1536">
        <v>0.6</v>
      </c>
      <c r="K107" s="1537">
        <f t="shared" si="5"/>
        <v>0.6</v>
      </c>
      <c r="L107" s="1235" t="s">
        <v>622</v>
      </c>
      <c r="M107" s="1236">
        <v>0.05</v>
      </c>
      <c r="N107" s="2900">
        <f>AVERAGE(M107:M108)</f>
        <v>0.25</v>
      </c>
      <c r="O107" s="1628"/>
      <c r="P107" s="1536"/>
      <c r="Q107" s="1536"/>
      <c r="R107" s="1567"/>
    </row>
    <row r="108" spans="1:18" ht="15.6" customHeight="1">
      <c r="A108" s="1811">
        <v>45873</v>
      </c>
      <c r="B108" s="2204"/>
      <c r="C108" s="1536"/>
      <c r="D108" s="1536"/>
      <c r="E108" s="1536"/>
      <c r="F108" s="1536"/>
      <c r="G108" s="1536"/>
      <c r="H108" s="1235"/>
      <c r="I108" s="1536">
        <v>0.6</v>
      </c>
      <c r="J108" s="1536">
        <v>1.2</v>
      </c>
      <c r="K108" s="1537">
        <f t="shared" si="5"/>
        <v>0.6</v>
      </c>
      <c r="L108" s="1235" t="s">
        <v>623</v>
      </c>
      <c r="M108" s="1236">
        <v>0.45</v>
      </c>
      <c r="N108" s="2902"/>
      <c r="O108" s="1628"/>
      <c r="P108" s="1536"/>
      <c r="Q108" s="1536"/>
      <c r="R108" s="1567"/>
    </row>
    <row r="109" spans="1:18" ht="15.6" customHeight="1">
      <c r="A109" s="1811">
        <v>45873</v>
      </c>
      <c r="B109" s="2204" t="s">
        <v>509</v>
      </c>
      <c r="C109" s="1536" t="s">
        <v>510</v>
      </c>
      <c r="D109" s="1536" t="s">
        <v>511</v>
      </c>
      <c r="E109" s="1536" t="s">
        <v>469</v>
      </c>
      <c r="F109" s="1536">
        <v>23.9</v>
      </c>
      <c r="G109" s="1536" t="s">
        <v>474</v>
      </c>
      <c r="H109" s="1235" t="s">
        <v>512</v>
      </c>
      <c r="I109" s="1536">
        <v>0</v>
      </c>
      <c r="J109" s="1536">
        <v>0.6</v>
      </c>
      <c r="K109" s="1537">
        <f t="shared" si="5"/>
        <v>0.6</v>
      </c>
      <c r="L109" s="1235" t="s">
        <v>624</v>
      </c>
      <c r="M109" s="1236">
        <v>0.05</v>
      </c>
      <c r="N109" s="2900">
        <f>AVERAGE(M109:M110)</f>
        <v>0.23499999999999999</v>
      </c>
      <c r="O109" s="1628"/>
      <c r="P109" s="1536"/>
      <c r="Q109" s="1536"/>
      <c r="R109" s="1567"/>
    </row>
    <row r="110" spans="1:18" ht="15.6" customHeight="1">
      <c r="A110" s="1811">
        <v>45873</v>
      </c>
      <c r="B110" s="2204"/>
      <c r="C110" s="1536"/>
      <c r="D110" s="1536"/>
      <c r="E110" s="1536"/>
      <c r="F110" s="1536"/>
      <c r="G110" s="1536"/>
      <c r="H110" s="1235"/>
      <c r="I110" s="1536">
        <v>0.6</v>
      </c>
      <c r="J110" s="1536">
        <v>1.2</v>
      </c>
      <c r="K110" s="1537">
        <f t="shared" si="5"/>
        <v>0.6</v>
      </c>
      <c r="L110" s="1235" t="s">
        <v>625</v>
      </c>
      <c r="M110" s="1236">
        <v>0.42</v>
      </c>
      <c r="N110" s="2902"/>
      <c r="O110" s="1628"/>
      <c r="P110" s="1536"/>
      <c r="Q110" s="1536"/>
      <c r="R110" s="1567"/>
    </row>
    <row r="111" spans="1:18" ht="15.6" customHeight="1">
      <c r="A111" s="1811">
        <v>45873</v>
      </c>
      <c r="B111" s="2204" t="s">
        <v>509</v>
      </c>
      <c r="C111" s="1536" t="s">
        <v>516</v>
      </c>
      <c r="D111" s="1536" t="s">
        <v>517</v>
      </c>
      <c r="E111" s="1536" t="s">
        <v>469</v>
      </c>
      <c r="F111" s="1536">
        <v>22.3</v>
      </c>
      <c r="G111" s="1536" t="s">
        <v>518</v>
      </c>
      <c r="H111" s="1235" t="s">
        <v>519</v>
      </c>
      <c r="I111" s="1536">
        <v>0</v>
      </c>
      <c r="J111" s="1536">
        <v>0.3</v>
      </c>
      <c r="K111" s="1537">
        <f t="shared" si="5"/>
        <v>0.3</v>
      </c>
      <c r="L111" s="1235" t="s">
        <v>626</v>
      </c>
      <c r="M111" s="1236">
        <v>0.21</v>
      </c>
      <c r="N111" s="2900">
        <f>+AVERAGE(M111:M112,M114)</f>
        <v>0.29666666666666663</v>
      </c>
      <c r="O111" s="1628"/>
      <c r="P111" s="1536"/>
      <c r="Q111" s="1536"/>
      <c r="R111" s="1567"/>
    </row>
    <row r="112" spans="1:18" ht="15.6" customHeight="1">
      <c r="A112" s="1811">
        <v>45873</v>
      </c>
      <c r="B112" s="2204"/>
      <c r="C112" s="1536"/>
      <c r="D112" s="1536"/>
      <c r="E112" s="1536"/>
      <c r="F112" s="1536"/>
      <c r="G112" s="1536"/>
      <c r="H112" s="1235"/>
      <c r="I112" s="1536">
        <v>0.3</v>
      </c>
      <c r="J112" s="1536">
        <v>0.9</v>
      </c>
      <c r="K112" s="1537">
        <f t="shared" si="5"/>
        <v>0.60000000000000009</v>
      </c>
      <c r="L112" s="1235" t="s">
        <v>627</v>
      </c>
      <c r="M112" s="1236">
        <v>0.36</v>
      </c>
      <c r="N112" s="2903"/>
      <c r="O112" s="1628"/>
      <c r="P112" s="1536"/>
      <c r="Q112" s="1536"/>
      <c r="R112" s="1567"/>
    </row>
    <row r="113" spans="1:19" ht="15.6" customHeight="1">
      <c r="A113" s="1811">
        <v>45873</v>
      </c>
      <c r="B113" s="2204"/>
      <c r="C113" s="1536"/>
      <c r="D113" s="1536"/>
      <c r="E113" s="1536"/>
      <c r="F113" s="1536"/>
      <c r="G113" s="1536"/>
      <c r="H113" s="1235"/>
      <c r="I113" s="2905" t="s">
        <v>535</v>
      </c>
      <c r="J113" s="2905"/>
      <c r="K113" s="1537"/>
      <c r="L113" s="1235" t="s">
        <v>628</v>
      </c>
      <c r="M113" s="1236">
        <v>3.22</v>
      </c>
      <c r="N113" s="2903"/>
      <c r="O113" s="1628"/>
      <c r="P113" s="1536"/>
      <c r="Q113" s="1536"/>
      <c r="R113" s="1567"/>
    </row>
    <row r="114" spans="1:19" ht="15.6" customHeight="1">
      <c r="A114" s="1811">
        <v>45873</v>
      </c>
      <c r="B114" s="2204"/>
      <c r="C114" s="1536"/>
      <c r="D114" s="1536"/>
      <c r="E114" s="1536"/>
      <c r="F114" s="1536"/>
      <c r="G114" s="1536"/>
      <c r="H114" s="1235"/>
      <c r="I114" s="1536">
        <v>0.9</v>
      </c>
      <c r="J114" s="1536">
        <v>1.3</v>
      </c>
      <c r="K114" s="1537">
        <f t="shared" si="5"/>
        <v>0.4</v>
      </c>
      <c r="L114" s="1235" t="s">
        <v>629</v>
      </c>
      <c r="M114" s="1236">
        <v>0.32</v>
      </c>
      <c r="N114" s="2902"/>
      <c r="O114" s="1628"/>
      <c r="P114" s="1536"/>
      <c r="Q114" s="1536"/>
      <c r="R114" s="1567"/>
    </row>
    <row r="115" spans="1:19" ht="15.6" customHeight="1">
      <c r="A115" s="1811">
        <v>45873</v>
      </c>
      <c r="B115" s="2204" t="s">
        <v>509</v>
      </c>
      <c r="C115" s="1536" t="s">
        <v>510</v>
      </c>
      <c r="D115" s="1536" t="s">
        <v>517</v>
      </c>
      <c r="E115" s="1536" t="s">
        <v>469</v>
      </c>
      <c r="F115" s="1536">
        <v>18.5</v>
      </c>
      <c r="G115" s="1536" t="s">
        <v>518</v>
      </c>
      <c r="H115" s="1235" t="s">
        <v>522</v>
      </c>
      <c r="I115" s="1536">
        <v>0</v>
      </c>
      <c r="J115" s="1536">
        <v>0.6</v>
      </c>
      <c r="K115" s="1537">
        <f t="shared" si="5"/>
        <v>0.6</v>
      </c>
      <c r="L115" s="1235" t="s">
        <v>630</v>
      </c>
      <c r="M115" s="1236">
        <v>0.24</v>
      </c>
      <c r="N115" s="2900">
        <f>AVERAGE(M115:M116)</f>
        <v>0.13999999999999999</v>
      </c>
      <c r="O115" s="1628"/>
      <c r="P115" s="1536"/>
      <c r="Q115" s="1536"/>
      <c r="R115" s="1567"/>
    </row>
    <row r="116" spans="1:19" ht="15.6" customHeight="1">
      <c r="A116" s="1811">
        <v>45873</v>
      </c>
      <c r="B116" s="2204"/>
      <c r="C116" s="1536"/>
      <c r="D116" s="1536"/>
      <c r="E116" s="1536"/>
      <c r="F116" s="1536"/>
      <c r="G116" s="1536"/>
      <c r="H116" s="1235"/>
      <c r="I116" s="1536">
        <v>0.6</v>
      </c>
      <c r="J116" s="1536">
        <v>1.2</v>
      </c>
      <c r="K116" s="1537">
        <f t="shared" si="5"/>
        <v>0.6</v>
      </c>
      <c r="L116" s="1235" t="s">
        <v>631</v>
      </c>
      <c r="M116" s="1236">
        <v>0.04</v>
      </c>
      <c r="N116" s="2903"/>
      <c r="O116" s="1628"/>
      <c r="P116" s="1536"/>
      <c r="Q116" s="1536"/>
      <c r="R116" s="1567"/>
    </row>
    <row r="117" spans="1:19" ht="15.6" customHeight="1">
      <c r="A117" s="1811">
        <v>45873</v>
      </c>
      <c r="B117" s="2204" t="s">
        <v>509</v>
      </c>
      <c r="C117" s="1536" t="s">
        <v>510</v>
      </c>
      <c r="D117" s="1536" t="s">
        <v>517</v>
      </c>
      <c r="E117" s="1536" t="s">
        <v>469</v>
      </c>
      <c r="F117" s="1536">
        <v>17.600000000000001</v>
      </c>
      <c r="G117" s="1536" t="s">
        <v>518</v>
      </c>
      <c r="H117" s="1235" t="s">
        <v>632</v>
      </c>
      <c r="I117" s="1536">
        <v>0</v>
      </c>
      <c r="J117" s="1536">
        <v>0.6</v>
      </c>
      <c r="K117" s="1537">
        <f t="shared" si="5"/>
        <v>0.6</v>
      </c>
      <c r="L117" s="1235" t="s">
        <v>633</v>
      </c>
      <c r="M117" s="1236">
        <v>0.12</v>
      </c>
      <c r="N117" s="2900">
        <f>+AVERAGE(M117,M119)</f>
        <v>0.11</v>
      </c>
      <c r="O117" s="1628"/>
      <c r="P117" s="1536"/>
      <c r="Q117" s="1536"/>
      <c r="R117" s="1567"/>
    </row>
    <row r="118" spans="1:19" ht="15.6" customHeight="1">
      <c r="A118" s="1811">
        <v>45873</v>
      </c>
      <c r="B118" s="2204"/>
      <c r="C118" s="1536"/>
      <c r="D118" s="1536"/>
      <c r="E118" s="1536"/>
      <c r="F118" s="1536"/>
      <c r="G118" s="1536"/>
      <c r="H118" s="1235"/>
      <c r="I118" s="2905" t="s">
        <v>529</v>
      </c>
      <c r="J118" s="2905"/>
      <c r="K118" s="1537"/>
      <c r="L118" s="1235" t="s">
        <v>634</v>
      </c>
      <c r="M118" s="1236">
        <v>0</v>
      </c>
      <c r="N118" s="2903"/>
      <c r="O118" s="1628"/>
      <c r="P118" s="1536"/>
      <c r="Q118" s="1536"/>
      <c r="R118" s="1567"/>
    </row>
    <row r="119" spans="1:19" ht="15.6" customHeight="1">
      <c r="A119" s="1811">
        <v>45873</v>
      </c>
      <c r="B119" s="2204"/>
      <c r="C119" s="1536"/>
      <c r="D119" s="1536"/>
      <c r="E119" s="1536"/>
      <c r="F119" s="1536"/>
      <c r="G119" s="1536"/>
      <c r="H119" s="1235"/>
      <c r="I119" s="1536">
        <v>0.6</v>
      </c>
      <c r="J119" s="1536">
        <v>1.2</v>
      </c>
      <c r="K119" s="1537">
        <f t="shared" si="5"/>
        <v>0.6</v>
      </c>
      <c r="L119" s="1235" t="s">
        <v>635</v>
      </c>
      <c r="M119" s="1236">
        <v>0.1</v>
      </c>
      <c r="N119" s="2903"/>
      <c r="O119" s="1628"/>
      <c r="P119" s="1536"/>
      <c r="Q119" s="1536"/>
      <c r="R119" s="1567"/>
    </row>
    <row r="120" spans="1:19" ht="15.6" customHeight="1">
      <c r="A120" s="1811">
        <v>45873</v>
      </c>
      <c r="B120" s="2204" t="s">
        <v>509</v>
      </c>
      <c r="C120" s="1536" t="s">
        <v>510</v>
      </c>
      <c r="D120" s="1536" t="s">
        <v>451</v>
      </c>
      <c r="E120" s="1536" t="s">
        <v>469</v>
      </c>
      <c r="F120" s="1536"/>
      <c r="G120" s="1536"/>
      <c r="H120" s="1235"/>
      <c r="I120" s="1536">
        <v>0</v>
      </c>
      <c r="J120" s="1536">
        <v>0.6</v>
      </c>
      <c r="K120" s="1537">
        <f t="shared" si="5"/>
        <v>0.6</v>
      </c>
      <c r="L120" s="1235" t="s">
        <v>636</v>
      </c>
      <c r="M120" s="1236">
        <v>0.1</v>
      </c>
      <c r="N120" s="2900">
        <f>+AVERAGE(M120:M122)</f>
        <v>1.62</v>
      </c>
      <c r="O120" s="1628"/>
      <c r="P120" s="1536"/>
      <c r="Q120" s="1536"/>
      <c r="R120" s="1567"/>
    </row>
    <row r="121" spans="1:19" ht="15.6" customHeight="1">
      <c r="A121" s="1811">
        <v>45873</v>
      </c>
      <c r="B121" s="2204"/>
      <c r="C121" s="1536"/>
      <c r="D121" s="1536"/>
      <c r="E121" s="1536"/>
      <c r="F121" s="1536"/>
      <c r="G121" s="1536"/>
      <c r="H121" s="1235"/>
      <c r="I121" s="1536">
        <v>0.6</v>
      </c>
      <c r="J121" s="1536">
        <v>1.2</v>
      </c>
      <c r="K121" s="1536">
        <f t="shared" si="5"/>
        <v>0.6</v>
      </c>
      <c r="L121" s="1235" t="s">
        <v>637</v>
      </c>
      <c r="M121" s="1236">
        <v>3.9</v>
      </c>
      <c r="N121" s="2903"/>
      <c r="O121" s="1628"/>
      <c r="P121" s="1536"/>
      <c r="Q121" s="1536"/>
      <c r="R121" s="1567"/>
    </row>
    <row r="122" spans="1:19" ht="15.6" customHeight="1">
      <c r="A122" s="1811">
        <v>45873</v>
      </c>
      <c r="B122" s="2204"/>
      <c r="C122" s="1536"/>
      <c r="D122" s="1536"/>
      <c r="E122" s="1536"/>
      <c r="F122" s="1536"/>
      <c r="G122" s="1536"/>
      <c r="H122" s="1235"/>
      <c r="I122" s="1536">
        <v>1.2</v>
      </c>
      <c r="J122" s="1536">
        <v>1.8</v>
      </c>
      <c r="K122" s="1537">
        <f t="shared" si="5"/>
        <v>0.60000000000000009</v>
      </c>
      <c r="L122" s="1235" t="s">
        <v>638</v>
      </c>
      <c r="M122" s="1236">
        <v>0.86</v>
      </c>
      <c r="N122" s="2903"/>
      <c r="O122" s="1628"/>
      <c r="P122" s="1536"/>
      <c r="Q122" s="1536"/>
      <c r="R122" s="1567"/>
    </row>
    <row r="123" spans="1:19" ht="15.6" customHeight="1" thickBot="1">
      <c r="A123" s="1811">
        <v>45873</v>
      </c>
      <c r="B123" s="2204"/>
      <c r="C123" s="1536"/>
      <c r="D123" s="1536"/>
      <c r="E123" s="1536"/>
      <c r="F123" s="1536"/>
      <c r="G123" s="1536"/>
      <c r="H123" s="1235"/>
      <c r="I123" s="2905" t="s">
        <v>618</v>
      </c>
      <c r="J123" s="2905"/>
      <c r="K123" s="1537"/>
      <c r="L123" s="1235" t="s">
        <v>639</v>
      </c>
      <c r="M123" s="1236">
        <v>0.08</v>
      </c>
      <c r="N123" s="2902"/>
      <c r="O123" s="1628"/>
      <c r="P123" s="1536"/>
      <c r="Q123" s="1536"/>
      <c r="R123" s="1567"/>
    </row>
    <row r="124" spans="1:19" ht="15.6" hidden="1" customHeight="1">
      <c r="A124" s="1811">
        <v>45873</v>
      </c>
      <c r="B124" s="2204" t="s">
        <v>509</v>
      </c>
      <c r="C124" s="1536" t="s">
        <v>510</v>
      </c>
      <c r="D124" s="1536" t="s">
        <v>511</v>
      </c>
      <c r="E124" s="1536" t="s">
        <v>482</v>
      </c>
      <c r="F124" s="1536">
        <v>19.5</v>
      </c>
      <c r="G124" s="1536" t="s">
        <v>474</v>
      </c>
      <c r="H124" s="1235" t="s">
        <v>512</v>
      </c>
      <c r="I124" s="1536">
        <v>0</v>
      </c>
      <c r="J124" s="1536">
        <v>0.6</v>
      </c>
      <c r="K124" s="1537">
        <f t="shared" si="5"/>
        <v>0.6</v>
      </c>
      <c r="L124" s="1235" t="s">
        <v>640</v>
      </c>
      <c r="M124" s="1236">
        <v>0.04</v>
      </c>
      <c r="N124" s="2900">
        <f>AVERAGE(M124:M125)</f>
        <v>4.4999999999999998E-2</v>
      </c>
      <c r="O124" s="1628"/>
      <c r="P124" s="1536"/>
      <c r="Q124" s="1536"/>
      <c r="R124" s="1567"/>
    </row>
    <row r="125" spans="1:19" ht="15.6" hidden="1" customHeight="1">
      <c r="A125" s="1811">
        <v>45873</v>
      </c>
      <c r="B125" s="2204"/>
      <c r="C125" s="1536"/>
      <c r="D125" s="1536"/>
      <c r="E125" s="1536"/>
      <c r="F125" s="1536"/>
      <c r="G125" s="1536"/>
      <c r="H125" s="1235"/>
      <c r="I125" s="1536">
        <v>0.6</v>
      </c>
      <c r="J125" s="1536">
        <v>1.2</v>
      </c>
      <c r="K125" s="1537">
        <f t="shared" si="5"/>
        <v>0.6</v>
      </c>
      <c r="L125" s="1235" t="s">
        <v>641</v>
      </c>
      <c r="M125" s="1236">
        <v>0.05</v>
      </c>
      <c r="N125" s="2902"/>
      <c r="O125" s="1628"/>
      <c r="P125" s="1536"/>
      <c r="Q125" s="1536"/>
      <c r="R125" s="1567"/>
    </row>
    <row r="126" spans="1:19" ht="15.6" hidden="1" customHeight="1">
      <c r="A126" s="1811">
        <v>45873</v>
      </c>
      <c r="B126" s="2204" t="s">
        <v>509</v>
      </c>
      <c r="C126" s="1536" t="s">
        <v>510</v>
      </c>
      <c r="D126" s="1536" t="s">
        <v>511</v>
      </c>
      <c r="E126" s="1536" t="s">
        <v>482</v>
      </c>
      <c r="F126" s="1536">
        <v>19.5</v>
      </c>
      <c r="G126" s="1536" t="s">
        <v>474</v>
      </c>
      <c r="H126" s="1235" t="s">
        <v>512</v>
      </c>
      <c r="I126" s="1536">
        <v>0</v>
      </c>
      <c r="J126" s="1536">
        <v>0.6</v>
      </c>
      <c r="K126" s="1537">
        <f t="shared" si="5"/>
        <v>0.6</v>
      </c>
      <c r="L126" s="1235" t="s">
        <v>642</v>
      </c>
      <c r="M126" s="1236">
        <v>0.03</v>
      </c>
      <c r="N126" s="2900">
        <f>AVERAGE(M126:M127)</f>
        <v>2.5000000000000001E-2</v>
      </c>
      <c r="O126" s="1628"/>
      <c r="P126" s="1536"/>
      <c r="Q126" s="1536"/>
      <c r="R126" s="1567"/>
    </row>
    <row r="127" spans="1:19" ht="15.6" hidden="1" customHeight="1" thickBot="1">
      <c r="A127" s="2608">
        <v>45873</v>
      </c>
      <c r="B127" s="2209"/>
      <c r="C127" s="1538"/>
      <c r="D127" s="1538"/>
      <c r="E127" s="1538"/>
      <c r="F127" s="1538"/>
      <c r="G127" s="1538"/>
      <c r="H127" s="1535"/>
      <c r="I127" s="1538">
        <v>0.6</v>
      </c>
      <c r="J127" s="1538">
        <v>1.2</v>
      </c>
      <c r="K127" s="1556">
        <f t="shared" si="5"/>
        <v>0.6</v>
      </c>
      <c r="L127" s="1535" t="s">
        <v>643</v>
      </c>
      <c r="M127" s="1236">
        <v>0.02</v>
      </c>
      <c r="N127" s="2903"/>
      <c r="O127" s="1632"/>
      <c r="P127" s="1538"/>
      <c r="Q127" s="1538"/>
      <c r="R127" s="1592"/>
    </row>
    <row r="128" spans="1:19" ht="15.6" customHeight="1">
      <c r="A128" s="1880">
        <v>45874</v>
      </c>
      <c r="B128" s="2216" t="s">
        <v>466</v>
      </c>
      <c r="C128" s="1564" t="s">
        <v>500</v>
      </c>
      <c r="D128" s="1564" t="s">
        <v>552</v>
      </c>
      <c r="E128" s="1564" t="s">
        <v>469</v>
      </c>
      <c r="F128" s="1564">
        <v>11.3</v>
      </c>
      <c r="G128" s="1564" t="s">
        <v>545</v>
      </c>
      <c r="H128" s="966" t="s">
        <v>644</v>
      </c>
      <c r="I128" s="1564">
        <v>0</v>
      </c>
      <c r="J128" s="1564">
        <v>1</v>
      </c>
      <c r="K128" s="1565">
        <f t="shared" si="5"/>
        <v>1</v>
      </c>
      <c r="L128" s="966" t="s">
        <v>645</v>
      </c>
      <c r="M128" s="1236">
        <v>0.22</v>
      </c>
      <c r="N128" s="2609"/>
      <c r="O128" s="1634"/>
      <c r="P128" s="1564"/>
      <c r="Q128" s="1564"/>
      <c r="R128" s="1566"/>
      <c r="S128" s="1423" t="s">
        <v>576</v>
      </c>
    </row>
    <row r="129" spans="1:19" ht="15.6" customHeight="1">
      <c r="A129" s="1881">
        <v>45874</v>
      </c>
      <c r="B129" s="1913" t="s">
        <v>466</v>
      </c>
      <c r="C129" s="1536" t="s">
        <v>500</v>
      </c>
      <c r="D129" s="1536" t="s">
        <v>552</v>
      </c>
      <c r="E129" s="1536" t="s">
        <v>469</v>
      </c>
      <c r="F129" s="1536">
        <v>11.3</v>
      </c>
      <c r="G129" s="1536" t="s">
        <v>545</v>
      </c>
      <c r="H129" s="1235" t="s">
        <v>644</v>
      </c>
      <c r="I129" s="1536">
        <v>0</v>
      </c>
      <c r="J129" s="1536">
        <v>1</v>
      </c>
      <c r="K129" s="1537">
        <f t="shared" si="5"/>
        <v>1</v>
      </c>
      <c r="L129" s="1235" t="s">
        <v>646</v>
      </c>
      <c r="M129" s="1236">
        <v>0.13</v>
      </c>
      <c r="N129" s="2600"/>
      <c r="O129" s="1628"/>
      <c r="P129" s="1536"/>
      <c r="Q129" s="1536"/>
      <c r="R129" s="1567"/>
      <c r="S129" s="1423" t="s">
        <v>574</v>
      </c>
    </row>
    <row r="130" spans="1:19" ht="15.6" customHeight="1">
      <c r="A130" s="1881">
        <v>45874</v>
      </c>
      <c r="B130" s="1913" t="s">
        <v>479</v>
      </c>
      <c r="C130" s="1536" t="s">
        <v>540</v>
      </c>
      <c r="D130" s="1536" t="s">
        <v>451</v>
      </c>
      <c r="E130" s="1536" t="s">
        <v>469</v>
      </c>
      <c r="F130" s="1536">
        <v>5.3</v>
      </c>
      <c r="G130" s="1536" t="s">
        <v>474</v>
      </c>
      <c r="H130" s="1235" t="s">
        <v>569</v>
      </c>
      <c r="I130" s="1536">
        <v>0</v>
      </c>
      <c r="J130" s="1536">
        <v>1</v>
      </c>
      <c r="K130" s="1537">
        <f t="shared" si="5"/>
        <v>1</v>
      </c>
      <c r="L130" s="1235" t="s">
        <v>647</v>
      </c>
      <c r="M130" s="1236">
        <v>0.21</v>
      </c>
      <c r="N130" s="2600"/>
      <c r="O130" s="1628"/>
      <c r="P130" s="1536"/>
      <c r="Q130" s="1536"/>
      <c r="R130" s="1567"/>
    </row>
    <row r="131" spans="1:19" ht="15.6" customHeight="1">
      <c r="A131" s="1881">
        <v>45874</v>
      </c>
      <c r="B131" s="1913"/>
      <c r="C131" s="1536"/>
      <c r="D131" s="1536"/>
      <c r="E131" s="1536"/>
      <c r="F131" s="1536"/>
      <c r="G131" s="1536"/>
      <c r="H131" s="1235"/>
      <c r="I131" s="1536">
        <v>1</v>
      </c>
      <c r="J131" s="1536">
        <v>2</v>
      </c>
      <c r="K131" s="1536">
        <f t="shared" si="5"/>
        <v>1</v>
      </c>
      <c r="L131" s="1235" t="s">
        <v>648</v>
      </c>
      <c r="M131" s="1236">
        <v>0.13</v>
      </c>
      <c r="N131" s="2600"/>
      <c r="O131" s="1628"/>
      <c r="P131" s="1536"/>
      <c r="Q131" s="1536"/>
      <c r="R131" s="1567"/>
    </row>
    <row r="132" spans="1:19" ht="15.6" customHeight="1">
      <c r="A132" s="1881">
        <v>45874</v>
      </c>
      <c r="B132" s="1913"/>
      <c r="C132" s="1536"/>
      <c r="D132" s="1536"/>
      <c r="E132" s="1536"/>
      <c r="F132" s="1536"/>
      <c r="G132" s="1536"/>
      <c r="H132" s="1235"/>
      <c r="I132" s="1536">
        <v>2</v>
      </c>
      <c r="J132" s="1536">
        <v>3</v>
      </c>
      <c r="K132" s="1536">
        <f t="shared" si="5"/>
        <v>1</v>
      </c>
      <c r="L132" s="1235" t="s">
        <v>649</v>
      </c>
      <c r="M132" s="1236">
        <v>0.03</v>
      </c>
      <c r="N132" s="2600"/>
      <c r="O132" s="1628"/>
      <c r="P132" s="1536"/>
      <c r="Q132" s="1536"/>
      <c r="R132" s="1567"/>
    </row>
    <row r="133" spans="1:19" ht="15.6" customHeight="1">
      <c r="A133" s="1881">
        <v>45874</v>
      </c>
      <c r="B133" s="1913" t="s">
        <v>479</v>
      </c>
      <c r="C133" s="1536" t="s">
        <v>540</v>
      </c>
      <c r="D133" s="1536" t="s">
        <v>1922</v>
      </c>
      <c r="E133" s="1536" t="s">
        <v>469</v>
      </c>
      <c r="F133" s="1536">
        <v>5.2</v>
      </c>
      <c r="G133" s="1536" t="s">
        <v>518</v>
      </c>
      <c r="H133" s="1235" t="s">
        <v>569</v>
      </c>
      <c r="I133" s="1536">
        <v>0</v>
      </c>
      <c r="J133" s="1536">
        <v>0.6</v>
      </c>
      <c r="K133" s="1536">
        <f t="shared" si="5"/>
        <v>0.6</v>
      </c>
      <c r="L133" s="1235" t="s">
        <v>650</v>
      </c>
      <c r="M133" s="1236">
        <v>0.27</v>
      </c>
      <c r="N133" s="2600"/>
      <c r="O133" s="1628"/>
      <c r="P133" s="1536"/>
      <c r="Q133" s="1536"/>
      <c r="R133" s="1567"/>
    </row>
    <row r="134" spans="1:19" ht="15.6" customHeight="1">
      <c r="A134" s="1881">
        <v>45874</v>
      </c>
      <c r="B134" s="1913"/>
      <c r="C134" s="1536"/>
      <c r="D134" s="1536"/>
      <c r="E134" s="1536"/>
      <c r="F134" s="1536"/>
      <c r="G134" s="1536"/>
      <c r="H134" s="1235"/>
      <c r="I134" s="1536">
        <v>0.6</v>
      </c>
      <c r="J134" s="1536">
        <v>1.2</v>
      </c>
      <c r="K134" s="1536">
        <f t="shared" si="5"/>
        <v>0.6</v>
      </c>
      <c r="L134" s="1235" t="s">
        <v>651</v>
      </c>
      <c r="M134" s="1236">
        <v>0.09</v>
      </c>
      <c r="N134" s="2600"/>
      <c r="O134" s="1628"/>
      <c r="P134" s="1536"/>
      <c r="Q134" s="1536"/>
      <c r="R134" s="1567"/>
    </row>
    <row r="135" spans="1:19" ht="15.6" customHeight="1">
      <c r="A135" s="1881">
        <v>45874</v>
      </c>
      <c r="B135" s="1913" t="s">
        <v>479</v>
      </c>
      <c r="C135" s="1536" t="s">
        <v>540</v>
      </c>
      <c r="D135" s="1536" t="s">
        <v>517</v>
      </c>
      <c r="E135" s="1536" t="s">
        <v>469</v>
      </c>
      <c r="F135" s="1536">
        <v>3</v>
      </c>
      <c r="G135" s="1536" t="s">
        <v>541</v>
      </c>
      <c r="H135" s="1235" t="s">
        <v>542</v>
      </c>
      <c r="I135" s="1536">
        <v>0</v>
      </c>
      <c r="J135" s="1536">
        <v>1</v>
      </c>
      <c r="K135" s="1536">
        <f t="shared" si="5"/>
        <v>1</v>
      </c>
      <c r="L135" s="1235" t="s">
        <v>652</v>
      </c>
      <c r="M135" s="1236">
        <v>0.9</v>
      </c>
      <c r="N135" s="2600"/>
      <c r="O135" s="1628"/>
      <c r="P135" s="1536"/>
      <c r="Q135" s="1536"/>
      <c r="R135" s="1567"/>
    </row>
    <row r="136" spans="1:19" ht="15.6" customHeight="1">
      <c r="A136" s="1881">
        <v>45874</v>
      </c>
      <c r="B136" s="1913"/>
      <c r="C136" s="1536"/>
      <c r="D136" s="1536"/>
      <c r="E136" s="1536"/>
      <c r="F136" s="1536"/>
      <c r="G136" s="1536"/>
      <c r="H136" s="1235"/>
      <c r="I136" s="1536">
        <v>0</v>
      </c>
      <c r="J136" s="1536">
        <v>1</v>
      </c>
      <c r="K136" s="1536">
        <f t="shared" si="5"/>
        <v>1</v>
      </c>
      <c r="L136" s="1235" t="s">
        <v>653</v>
      </c>
      <c r="M136" s="1236">
        <v>0.86</v>
      </c>
      <c r="N136" s="2600"/>
      <c r="O136" s="1628"/>
      <c r="P136" s="1536"/>
      <c r="Q136" s="1536"/>
      <c r="R136" s="1567"/>
    </row>
    <row r="137" spans="1:19" ht="15.6" customHeight="1">
      <c r="A137" s="1881">
        <v>45874</v>
      </c>
      <c r="B137" s="1913" t="s">
        <v>577</v>
      </c>
      <c r="C137" s="1536" t="s">
        <v>450</v>
      </c>
      <c r="D137" s="1536" t="s">
        <v>451</v>
      </c>
      <c r="E137" s="1536" t="s">
        <v>452</v>
      </c>
      <c r="F137" s="1536">
        <v>10</v>
      </c>
      <c r="G137" s="1536" t="s">
        <v>470</v>
      </c>
      <c r="H137" s="1235" t="s">
        <v>654</v>
      </c>
      <c r="I137" s="1536">
        <v>0</v>
      </c>
      <c r="J137" s="1536">
        <v>0.6</v>
      </c>
      <c r="K137" s="1536">
        <f t="shared" si="5"/>
        <v>0.6</v>
      </c>
      <c r="L137" s="1235" t="s">
        <v>655</v>
      </c>
      <c r="M137" s="1236">
        <v>0.18</v>
      </c>
      <c r="N137" s="2600"/>
      <c r="O137" s="1628"/>
      <c r="P137" s="1536"/>
      <c r="Q137" s="1536">
        <v>9</v>
      </c>
      <c r="R137" s="1567"/>
    </row>
    <row r="138" spans="1:19" ht="15.6" customHeight="1">
      <c r="A138" s="1881">
        <v>45874</v>
      </c>
      <c r="B138" s="1913" t="s">
        <v>577</v>
      </c>
      <c r="C138" s="1536" t="s">
        <v>450</v>
      </c>
      <c r="D138" s="1536" t="s">
        <v>451</v>
      </c>
      <c r="E138" s="1536" t="s">
        <v>452</v>
      </c>
      <c r="F138" s="1536">
        <v>10</v>
      </c>
      <c r="G138" s="1536" t="s">
        <v>470</v>
      </c>
      <c r="H138" s="1235" t="s">
        <v>654</v>
      </c>
      <c r="I138" s="1536">
        <v>0.6</v>
      </c>
      <c r="J138" s="1536">
        <v>1.3</v>
      </c>
      <c r="K138" s="1536">
        <f t="shared" si="5"/>
        <v>0.70000000000000007</v>
      </c>
      <c r="L138" s="1235" t="s">
        <v>656</v>
      </c>
      <c r="M138" s="1236">
        <v>0.15</v>
      </c>
      <c r="N138" s="2600"/>
      <c r="O138" s="1628"/>
      <c r="P138" s="1536"/>
      <c r="Q138" s="1536"/>
      <c r="R138" s="1567"/>
    </row>
    <row r="139" spans="1:19" ht="15.6" customHeight="1">
      <c r="A139" s="1881">
        <v>45874</v>
      </c>
      <c r="B139" s="1913" t="s">
        <v>577</v>
      </c>
      <c r="C139" s="1536" t="s">
        <v>450</v>
      </c>
      <c r="D139" s="1536" t="s">
        <v>451</v>
      </c>
      <c r="E139" s="1536" t="s">
        <v>452</v>
      </c>
      <c r="F139" s="1536">
        <v>12</v>
      </c>
      <c r="G139" s="1536" t="s">
        <v>470</v>
      </c>
      <c r="H139" s="1235" t="s">
        <v>654</v>
      </c>
      <c r="I139" s="1536">
        <v>0</v>
      </c>
      <c r="J139" s="1536">
        <v>0.6</v>
      </c>
      <c r="K139" s="1536">
        <f t="shared" si="5"/>
        <v>0.6</v>
      </c>
      <c r="L139" s="1235" t="s">
        <v>657</v>
      </c>
      <c r="M139" s="1236">
        <v>0.55000000000000004</v>
      </c>
      <c r="N139" s="2600"/>
      <c r="O139" s="1628"/>
      <c r="P139" s="1536"/>
      <c r="Q139" s="1536">
        <v>10</v>
      </c>
      <c r="R139" s="1567"/>
    </row>
    <row r="140" spans="1:19" ht="15.6" customHeight="1">
      <c r="A140" s="1881">
        <v>45874</v>
      </c>
      <c r="B140" s="1913" t="s">
        <v>577</v>
      </c>
      <c r="C140" s="1536" t="s">
        <v>450</v>
      </c>
      <c r="D140" s="1536" t="s">
        <v>451</v>
      </c>
      <c r="E140" s="1536" t="s">
        <v>452</v>
      </c>
      <c r="F140" s="1536">
        <v>12</v>
      </c>
      <c r="G140" s="1536" t="s">
        <v>470</v>
      </c>
      <c r="H140" s="1235" t="s">
        <v>654</v>
      </c>
      <c r="I140" s="1536">
        <v>0.6</v>
      </c>
      <c r="J140" s="1536">
        <v>1.2</v>
      </c>
      <c r="K140" s="1536">
        <f t="shared" si="5"/>
        <v>0.6</v>
      </c>
      <c r="L140" s="1235" t="s">
        <v>658</v>
      </c>
      <c r="M140" s="1236">
        <v>0.17</v>
      </c>
      <c r="N140" s="2600"/>
      <c r="O140" s="1628"/>
      <c r="P140" s="1536"/>
      <c r="Q140" s="1536"/>
      <c r="R140" s="1567"/>
    </row>
    <row r="141" spans="1:19" ht="15.6" customHeight="1">
      <c r="A141" s="1881">
        <v>45874</v>
      </c>
      <c r="B141" s="1913" t="s">
        <v>577</v>
      </c>
      <c r="C141" s="1536" t="s">
        <v>450</v>
      </c>
      <c r="D141" s="1536" t="s">
        <v>451</v>
      </c>
      <c r="E141" s="1536" t="s">
        <v>452</v>
      </c>
      <c r="F141" s="1536">
        <v>14</v>
      </c>
      <c r="G141" s="1536" t="s">
        <v>470</v>
      </c>
      <c r="H141" s="1235" t="s">
        <v>654</v>
      </c>
      <c r="I141" s="1536">
        <v>0</v>
      </c>
      <c r="J141" s="1536">
        <v>0.6</v>
      </c>
      <c r="K141" s="1536">
        <f t="shared" si="5"/>
        <v>0.6</v>
      </c>
      <c r="L141" s="1235" t="s">
        <v>659</v>
      </c>
      <c r="M141" s="1236">
        <v>0.19</v>
      </c>
      <c r="N141" s="2600"/>
      <c r="O141" s="1628"/>
      <c r="P141" s="1536"/>
      <c r="Q141" s="1536">
        <v>11</v>
      </c>
      <c r="R141" s="1567"/>
    </row>
    <row r="142" spans="1:19" ht="15.6" customHeight="1">
      <c r="A142" s="1881">
        <v>45874</v>
      </c>
      <c r="B142" s="1913" t="s">
        <v>577</v>
      </c>
      <c r="C142" s="1536" t="s">
        <v>450</v>
      </c>
      <c r="D142" s="1536" t="s">
        <v>451</v>
      </c>
      <c r="E142" s="1536" t="s">
        <v>452</v>
      </c>
      <c r="F142" s="1536">
        <v>14</v>
      </c>
      <c r="G142" s="1536" t="s">
        <v>470</v>
      </c>
      <c r="H142" s="1235" t="s">
        <v>654</v>
      </c>
      <c r="I142" s="1536">
        <v>0.6</v>
      </c>
      <c r="J142" s="1536">
        <v>1.2</v>
      </c>
      <c r="K142" s="1536">
        <f t="shared" si="5"/>
        <v>0.6</v>
      </c>
      <c r="L142" s="1235" t="s">
        <v>660</v>
      </c>
      <c r="M142" s="1236">
        <v>0.11</v>
      </c>
      <c r="N142" s="2600"/>
      <c r="O142" s="1628"/>
      <c r="P142" s="1536"/>
      <c r="Q142" s="1536"/>
      <c r="R142" s="1567"/>
    </row>
    <row r="143" spans="1:19" ht="15.6" customHeight="1">
      <c r="A143" s="1881">
        <v>45874</v>
      </c>
      <c r="B143" s="1913" t="s">
        <v>577</v>
      </c>
      <c r="C143" s="1536" t="s">
        <v>450</v>
      </c>
      <c r="D143" s="1536" t="s">
        <v>451</v>
      </c>
      <c r="E143" s="1536" t="s">
        <v>452</v>
      </c>
      <c r="F143" s="1536">
        <v>16</v>
      </c>
      <c r="G143" s="1536" t="s">
        <v>470</v>
      </c>
      <c r="H143" s="1235" t="s">
        <v>654</v>
      </c>
      <c r="I143" s="1536">
        <v>0</v>
      </c>
      <c r="J143" s="1536">
        <v>0.6</v>
      </c>
      <c r="K143" s="1536">
        <f t="shared" si="5"/>
        <v>0.6</v>
      </c>
      <c r="L143" s="1235" t="s">
        <v>661</v>
      </c>
      <c r="M143" s="1236">
        <v>0.13</v>
      </c>
      <c r="N143" s="2600"/>
      <c r="O143" s="1628"/>
      <c r="P143" s="1536"/>
      <c r="Q143" s="1536">
        <v>12</v>
      </c>
      <c r="R143" s="1567"/>
    </row>
    <row r="144" spans="1:19" ht="15.6" customHeight="1">
      <c r="A144" s="1881">
        <v>45874</v>
      </c>
      <c r="B144" s="1913"/>
      <c r="C144" s="1536"/>
      <c r="D144" s="1536"/>
      <c r="E144" s="1536"/>
      <c r="F144" s="1536"/>
      <c r="G144" s="1536"/>
      <c r="H144" s="1235"/>
      <c r="I144" s="2905" t="s">
        <v>618</v>
      </c>
      <c r="J144" s="2905"/>
      <c r="K144" s="1536" t="e">
        <f t="shared" ref="K144:K175" si="6">J144-I144</f>
        <v>#VALUE!</v>
      </c>
      <c r="L144" s="1235" t="s">
        <v>662</v>
      </c>
      <c r="M144" s="1236">
        <v>0.12</v>
      </c>
      <c r="N144" s="2600"/>
      <c r="O144" s="1628"/>
      <c r="P144" s="1536"/>
      <c r="Q144" s="1536"/>
      <c r="R144" s="1567"/>
    </row>
    <row r="145" spans="1:18" ht="15.6" customHeight="1">
      <c r="A145" s="1881">
        <v>45874</v>
      </c>
      <c r="B145" s="1913" t="s">
        <v>577</v>
      </c>
      <c r="C145" s="1536" t="s">
        <v>450</v>
      </c>
      <c r="D145" s="1536" t="s">
        <v>451</v>
      </c>
      <c r="E145" s="1536" t="s">
        <v>452</v>
      </c>
      <c r="F145" s="1536">
        <v>16</v>
      </c>
      <c r="G145" s="1536" t="s">
        <v>470</v>
      </c>
      <c r="H145" s="1235" t="s">
        <v>654</v>
      </c>
      <c r="I145" s="1536">
        <v>0.6</v>
      </c>
      <c r="J145" s="1536">
        <v>1.2</v>
      </c>
      <c r="K145" s="1536">
        <f t="shared" si="6"/>
        <v>0.6</v>
      </c>
      <c r="L145" s="1235" t="s">
        <v>663</v>
      </c>
      <c r="M145" s="1236">
        <v>0.13</v>
      </c>
      <c r="N145" s="2333"/>
      <c r="O145" s="1628"/>
      <c r="P145" s="1536"/>
      <c r="Q145" s="1536"/>
      <c r="R145" s="1567"/>
    </row>
    <row r="146" spans="1:18" ht="15.6" customHeight="1">
      <c r="A146" s="1881">
        <v>45874</v>
      </c>
      <c r="B146" s="1913" t="s">
        <v>499</v>
      </c>
      <c r="C146" s="1536" t="s">
        <v>500</v>
      </c>
      <c r="D146" s="1536" t="s">
        <v>481</v>
      </c>
      <c r="E146" s="1536" t="s">
        <v>452</v>
      </c>
      <c r="F146" s="1536">
        <v>2</v>
      </c>
      <c r="G146" s="1536" t="s">
        <v>474</v>
      </c>
      <c r="H146" s="1235" t="s">
        <v>501</v>
      </c>
      <c r="I146" s="1536">
        <v>0</v>
      </c>
      <c r="J146" s="1536">
        <v>0.6</v>
      </c>
      <c r="K146" s="1536">
        <f t="shared" si="6"/>
        <v>0.6</v>
      </c>
      <c r="L146" s="1235" t="s">
        <v>664</v>
      </c>
      <c r="M146" s="1236">
        <v>8.3000000000000004E-2</v>
      </c>
      <c r="N146" s="2900">
        <f>+AVERAGE(M146:M147)</f>
        <v>0.11449999999999999</v>
      </c>
      <c r="O146" s="1628"/>
      <c r="P146" s="1536"/>
      <c r="Q146" s="1536">
        <v>6</v>
      </c>
      <c r="R146" s="1567"/>
    </row>
    <row r="147" spans="1:18" ht="16.350000000000001" customHeight="1">
      <c r="A147" s="1881">
        <v>45874</v>
      </c>
      <c r="B147" s="1913" t="s">
        <v>499</v>
      </c>
      <c r="C147" s="1536" t="s">
        <v>500</v>
      </c>
      <c r="D147" s="1536" t="s">
        <v>481</v>
      </c>
      <c r="E147" s="1536" t="s">
        <v>452</v>
      </c>
      <c r="F147" s="1536">
        <v>2</v>
      </c>
      <c r="G147" s="1536" t="s">
        <v>474</v>
      </c>
      <c r="H147" s="1235" t="s">
        <v>501</v>
      </c>
      <c r="I147" s="1536">
        <v>0.6</v>
      </c>
      <c r="J147" s="1536">
        <v>0.9</v>
      </c>
      <c r="K147" s="1536">
        <f t="shared" si="6"/>
        <v>0.30000000000000004</v>
      </c>
      <c r="L147" s="1235" t="s">
        <v>665</v>
      </c>
      <c r="M147" s="1236">
        <v>0.14599999999999999</v>
      </c>
      <c r="N147" s="2902"/>
      <c r="O147" s="1628"/>
      <c r="P147" s="1536"/>
      <c r="Q147" s="1536"/>
      <c r="R147" s="1567"/>
    </row>
    <row r="148" spans="1:18">
      <c r="A148" s="1881">
        <v>45874</v>
      </c>
      <c r="B148" s="1913" t="s">
        <v>499</v>
      </c>
      <c r="C148" s="1536" t="s">
        <v>500</v>
      </c>
      <c r="D148" s="1536" t="s">
        <v>481</v>
      </c>
      <c r="E148" s="1536" t="s">
        <v>452</v>
      </c>
      <c r="F148" s="1536">
        <v>4</v>
      </c>
      <c r="G148" s="1536" t="s">
        <v>474</v>
      </c>
      <c r="H148" s="1235" t="s">
        <v>501</v>
      </c>
      <c r="I148" s="1536">
        <v>0</v>
      </c>
      <c r="J148" s="1536">
        <v>0.6</v>
      </c>
      <c r="K148" s="1536">
        <f t="shared" si="6"/>
        <v>0.6</v>
      </c>
      <c r="L148" s="1235" t="s">
        <v>666</v>
      </c>
      <c r="M148" s="1236">
        <v>0.107</v>
      </c>
      <c r="N148" s="2900">
        <f>+AVERAGE(M148:M149)</f>
        <v>0.2445</v>
      </c>
      <c r="O148" s="1628"/>
      <c r="P148" s="1536"/>
      <c r="Q148" s="1536">
        <v>7</v>
      </c>
      <c r="R148" s="1567"/>
    </row>
    <row r="149" spans="1:18">
      <c r="A149" s="1881">
        <v>45874</v>
      </c>
      <c r="B149" s="1913" t="s">
        <v>499</v>
      </c>
      <c r="C149" s="1536" t="s">
        <v>500</v>
      </c>
      <c r="D149" s="1536" t="s">
        <v>481</v>
      </c>
      <c r="E149" s="1536" t="s">
        <v>452</v>
      </c>
      <c r="F149" s="1536">
        <v>4</v>
      </c>
      <c r="G149" s="1536" t="s">
        <v>474</v>
      </c>
      <c r="H149" s="1235" t="s">
        <v>501</v>
      </c>
      <c r="I149" s="1536">
        <v>0.6</v>
      </c>
      <c r="J149" s="1536">
        <v>0.9</v>
      </c>
      <c r="K149" s="1536">
        <f t="shared" si="6"/>
        <v>0.30000000000000004</v>
      </c>
      <c r="L149" s="1235" t="s">
        <v>667</v>
      </c>
      <c r="M149" s="1236">
        <v>0.38200000000000001</v>
      </c>
      <c r="N149" s="2902"/>
      <c r="O149" s="1628"/>
      <c r="P149" s="1536"/>
      <c r="Q149" s="1536"/>
      <c r="R149" s="1567"/>
    </row>
    <row r="150" spans="1:18">
      <c r="A150" s="1881">
        <v>45874</v>
      </c>
      <c r="B150" s="1913" t="s">
        <v>499</v>
      </c>
      <c r="C150" s="1536" t="s">
        <v>500</v>
      </c>
      <c r="D150" s="1536" t="s">
        <v>481</v>
      </c>
      <c r="E150" s="1536" t="s">
        <v>452</v>
      </c>
      <c r="F150" s="1536">
        <v>6</v>
      </c>
      <c r="G150" s="1536" t="s">
        <v>474</v>
      </c>
      <c r="H150" s="1235" t="s">
        <v>501</v>
      </c>
      <c r="I150" s="1536">
        <v>0</v>
      </c>
      <c r="J150" s="1536">
        <v>0.6</v>
      </c>
      <c r="K150" s="1536">
        <f t="shared" si="6"/>
        <v>0.6</v>
      </c>
      <c r="L150" s="1235" t="s">
        <v>668</v>
      </c>
      <c r="M150" s="1236">
        <v>1.8660000000000001</v>
      </c>
      <c r="N150" s="2900">
        <f>+AVERAGE(M150,M152)</f>
        <v>1.0165</v>
      </c>
      <c r="O150" s="1628"/>
      <c r="P150" s="1536"/>
      <c r="Q150" s="1536">
        <v>8</v>
      </c>
      <c r="R150" s="1567"/>
    </row>
    <row r="151" spans="1:18">
      <c r="A151" s="1881">
        <v>45874</v>
      </c>
      <c r="B151" s="1913"/>
      <c r="C151" s="1536"/>
      <c r="D151" s="1536"/>
      <c r="E151" s="1536"/>
      <c r="F151" s="1536"/>
      <c r="G151" s="1536"/>
      <c r="H151" s="1235"/>
      <c r="I151" s="2905" t="s">
        <v>529</v>
      </c>
      <c r="J151" s="2905"/>
      <c r="K151" s="1536" t="e">
        <f t="shared" si="6"/>
        <v>#VALUE!</v>
      </c>
      <c r="L151" s="1235" t="s">
        <v>669</v>
      </c>
      <c r="M151" s="1236">
        <v>0</v>
      </c>
      <c r="N151" s="2903"/>
      <c r="O151" s="1628"/>
      <c r="P151" s="1536"/>
      <c r="Q151" s="1536"/>
      <c r="R151" s="1567"/>
    </row>
    <row r="152" spans="1:18">
      <c r="A152" s="1881">
        <v>45874</v>
      </c>
      <c r="B152" s="1913" t="s">
        <v>499</v>
      </c>
      <c r="C152" s="1536" t="s">
        <v>500</v>
      </c>
      <c r="D152" s="1536" t="s">
        <v>481</v>
      </c>
      <c r="E152" s="1536" t="s">
        <v>452</v>
      </c>
      <c r="F152" s="1536">
        <v>6</v>
      </c>
      <c r="G152" s="1536" t="s">
        <v>474</v>
      </c>
      <c r="H152" s="1235" t="s">
        <v>501</v>
      </c>
      <c r="I152" s="1536">
        <v>0.6</v>
      </c>
      <c r="J152" s="1536">
        <v>1.1000000000000001</v>
      </c>
      <c r="K152" s="1536">
        <f t="shared" si="6"/>
        <v>0.50000000000000011</v>
      </c>
      <c r="L152" s="1235" t="s">
        <v>670</v>
      </c>
      <c r="M152" s="1236">
        <v>0.16700000000000001</v>
      </c>
      <c r="N152" s="2902"/>
      <c r="O152" s="1628"/>
      <c r="P152" s="1536"/>
      <c r="Q152" s="1536"/>
      <c r="R152" s="1567"/>
    </row>
    <row r="153" spans="1:18">
      <c r="A153" s="1881">
        <v>45874</v>
      </c>
      <c r="B153" s="1913" t="s">
        <v>499</v>
      </c>
      <c r="C153" s="1536" t="s">
        <v>500</v>
      </c>
      <c r="D153" s="1536" t="s">
        <v>481</v>
      </c>
      <c r="E153" s="1536" t="s">
        <v>452</v>
      </c>
      <c r="F153" s="1536">
        <v>8</v>
      </c>
      <c r="G153" s="1536" t="s">
        <v>474</v>
      </c>
      <c r="H153" s="1235" t="s">
        <v>501</v>
      </c>
      <c r="I153" s="1536">
        <v>0</v>
      </c>
      <c r="J153" s="1536">
        <v>0.6</v>
      </c>
      <c r="K153" s="1536">
        <f t="shared" si="6"/>
        <v>0.6</v>
      </c>
      <c r="L153" s="1235" t="s">
        <v>671</v>
      </c>
      <c r="M153" s="1236">
        <v>0.99099999999999999</v>
      </c>
      <c r="N153" s="2900">
        <f>+AVERAGE(M153:M154)</f>
        <v>1.0594999999999999</v>
      </c>
      <c r="O153" s="1628"/>
      <c r="P153" s="1536"/>
      <c r="Q153" s="1536">
        <v>9</v>
      </c>
      <c r="R153" s="1567"/>
    </row>
    <row r="154" spans="1:18">
      <c r="A154" s="1881">
        <v>45874</v>
      </c>
      <c r="B154" s="1913" t="s">
        <v>499</v>
      </c>
      <c r="C154" s="1536" t="s">
        <v>500</v>
      </c>
      <c r="D154" s="1536" t="s">
        <v>481</v>
      </c>
      <c r="E154" s="1536" t="s">
        <v>452</v>
      </c>
      <c r="F154" s="1536">
        <v>8</v>
      </c>
      <c r="G154" s="1536" t="s">
        <v>474</v>
      </c>
      <c r="H154" s="1235" t="s">
        <v>501</v>
      </c>
      <c r="I154" s="1536">
        <v>0.6</v>
      </c>
      <c r="J154" s="1536">
        <v>1.1000000000000001</v>
      </c>
      <c r="K154" s="1536">
        <f t="shared" si="6"/>
        <v>0.50000000000000011</v>
      </c>
      <c r="L154" s="1235" t="s">
        <v>672</v>
      </c>
      <c r="M154" s="1236">
        <v>1.1279999999999999</v>
      </c>
      <c r="N154" s="2902"/>
      <c r="O154" s="1628"/>
      <c r="P154" s="1536"/>
      <c r="Q154" s="1536"/>
      <c r="R154" s="1567"/>
    </row>
    <row r="155" spans="1:18">
      <c r="A155" s="1881">
        <v>45874</v>
      </c>
      <c r="B155" s="1913" t="s">
        <v>499</v>
      </c>
      <c r="C155" s="1536" t="s">
        <v>500</v>
      </c>
      <c r="D155" s="1536" t="s">
        <v>481</v>
      </c>
      <c r="E155" s="1536" t="s">
        <v>452</v>
      </c>
      <c r="F155" s="1536">
        <v>10</v>
      </c>
      <c r="G155" s="1536" t="s">
        <v>474</v>
      </c>
      <c r="H155" s="1235" t="s">
        <v>501</v>
      </c>
      <c r="I155" s="1536">
        <v>0</v>
      </c>
      <c r="J155" s="1536">
        <v>0.6</v>
      </c>
      <c r="K155" s="1536">
        <f t="shared" si="6"/>
        <v>0.6</v>
      </c>
      <c r="L155" s="1235" t="s">
        <v>673</v>
      </c>
      <c r="M155" s="1236">
        <v>1.2929999999999999</v>
      </c>
      <c r="N155" s="2900">
        <f>+AVERAGE(M155,M157)</f>
        <v>0.69550000000000001</v>
      </c>
      <c r="O155" s="1628"/>
      <c r="P155" s="1536"/>
      <c r="Q155" s="1536">
        <v>10</v>
      </c>
      <c r="R155" s="1567"/>
    </row>
    <row r="156" spans="1:18">
      <c r="A156" s="1881">
        <v>45874</v>
      </c>
      <c r="B156" s="1913"/>
      <c r="C156" s="1536"/>
      <c r="D156" s="1536"/>
      <c r="E156" s="1536"/>
      <c r="F156" s="1536"/>
      <c r="G156" s="1536"/>
      <c r="H156" s="1235"/>
      <c r="I156" s="2905" t="s">
        <v>535</v>
      </c>
      <c r="J156" s="2905"/>
      <c r="K156" s="1536" t="e">
        <f t="shared" si="6"/>
        <v>#VALUE!</v>
      </c>
      <c r="L156" s="1235" t="s">
        <v>674</v>
      </c>
      <c r="M156" s="1236">
        <v>3.25</v>
      </c>
      <c r="N156" s="2903"/>
      <c r="O156" s="1628"/>
      <c r="P156" s="1536"/>
      <c r="Q156" s="1536"/>
      <c r="R156" s="1567"/>
    </row>
    <row r="157" spans="1:18">
      <c r="A157" s="1881">
        <v>45874</v>
      </c>
      <c r="B157" s="1913" t="s">
        <v>499</v>
      </c>
      <c r="C157" s="1536" t="s">
        <v>500</v>
      </c>
      <c r="D157" s="1536" t="s">
        <v>481</v>
      </c>
      <c r="E157" s="1536" t="s">
        <v>452</v>
      </c>
      <c r="F157" s="1536">
        <v>10</v>
      </c>
      <c r="G157" s="1536" t="s">
        <v>474</v>
      </c>
      <c r="H157" s="1235" t="s">
        <v>501</v>
      </c>
      <c r="I157" s="1536">
        <v>0.6</v>
      </c>
      <c r="J157" s="1536">
        <v>0.9</v>
      </c>
      <c r="K157" s="1536">
        <f t="shared" si="6"/>
        <v>0.30000000000000004</v>
      </c>
      <c r="L157" s="1235" t="s">
        <v>675</v>
      </c>
      <c r="M157" s="1236">
        <v>9.8000000000000004E-2</v>
      </c>
      <c r="N157" s="2902"/>
      <c r="O157" s="1628"/>
      <c r="P157" s="1536"/>
      <c r="Q157" s="1536"/>
      <c r="R157" s="1567"/>
    </row>
    <row r="158" spans="1:18">
      <c r="A158" s="1881">
        <v>45874</v>
      </c>
      <c r="B158" s="1913" t="s">
        <v>499</v>
      </c>
      <c r="C158" s="1536" t="s">
        <v>500</v>
      </c>
      <c r="D158" s="1536" t="s">
        <v>481</v>
      </c>
      <c r="E158" s="1536" t="s">
        <v>452</v>
      </c>
      <c r="F158" s="1536">
        <v>12</v>
      </c>
      <c r="G158" s="1536" t="s">
        <v>474</v>
      </c>
      <c r="H158" s="1235" t="s">
        <v>501</v>
      </c>
      <c r="I158" s="1536">
        <v>0</v>
      </c>
      <c r="J158" s="1536">
        <v>0.6</v>
      </c>
      <c r="K158" s="1536">
        <f t="shared" si="6"/>
        <v>0.6</v>
      </c>
      <c r="L158" s="1235" t="s">
        <v>676</v>
      </c>
      <c r="M158" s="1236">
        <v>0.16400000000000001</v>
      </c>
      <c r="N158" s="2900">
        <f>+AVERAGE(M158:M159)</f>
        <v>0.1565</v>
      </c>
      <c r="O158" s="1628"/>
      <c r="P158" s="1536"/>
      <c r="Q158" s="1536">
        <v>11</v>
      </c>
      <c r="R158" s="1567"/>
    </row>
    <row r="159" spans="1:18">
      <c r="A159" s="1881">
        <v>45874</v>
      </c>
      <c r="B159" s="1913" t="s">
        <v>499</v>
      </c>
      <c r="C159" s="1536" t="s">
        <v>500</v>
      </c>
      <c r="D159" s="1536" t="s">
        <v>481</v>
      </c>
      <c r="E159" s="1536" t="s">
        <v>452</v>
      </c>
      <c r="F159" s="1536">
        <v>12</v>
      </c>
      <c r="G159" s="1536" t="s">
        <v>474</v>
      </c>
      <c r="H159" s="1235" t="s">
        <v>501</v>
      </c>
      <c r="I159" s="1536">
        <v>0.6</v>
      </c>
      <c r="J159" s="1536">
        <v>0.9</v>
      </c>
      <c r="K159" s="1536">
        <f t="shared" si="6"/>
        <v>0.30000000000000004</v>
      </c>
      <c r="L159" s="1235" t="s">
        <v>677</v>
      </c>
      <c r="M159" s="1236">
        <v>0.14899999999999999</v>
      </c>
      <c r="N159" s="2902"/>
      <c r="O159" s="1628"/>
      <c r="P159" s="1536"/>
      <c r="Q159" s="1536"/>
      <c r="R159" s="1567"/>
    </row>
    <row r="160" spans="1:18">
      <c r="A160" s="1881">
        <v>45874</v>
      </c>
      <c r="B160" s="1913" t="s">
        <v>499</v>
      </c>
      <c r="C160" s="1536" t="s">
        <v>500</v>
      </c>
      <c r="D160" s="1536" t="s">
        <v>481</v>
      </c>
      <c r="E160" s="1536" t="s">
        <v>452</v>
      </c>
      <c r="F160" s="1536">
        <v>14</v>
      </c>
      <c r="G160" s="1536" t="s">
        <v>474</v>
      </c>
      <c r="H160" s="1235" t="s">
        <v>501</v>
      </c>
      <c r="I160" s="1536">
        <v>0</v>
      </c>
      <c r="J160" s="1536">
        <v>0.6</v>
      </c>
      <c r="K160" s="1536">
        <f t="shared" si="6"/>
        <v>0.6</v>
      </c>
      <c r="L160" s="1235" t="s">
        <v>678</v>
      </c>
      <c r="M160" s="1236">
        <v>1.403</v>
      </c>
      <c r="N160" s="2900">
        <f>+AVERAGE(M160,M162)</f>
        <v>0.79700000000000004</v>
      </c>
      <c r="O160" s="1628"/>
      <c r="P160" s="1536"/>
      <c r="Q160" s="1536">
        <v>12</v>
      </c>
      <c r="R160" s="1567"/>
    </row>
    <row r="161" spans="1:18">
      <c r="A161" s="1881">
        <v>45874</v>
      </c>
      <c r="B161" s="1913"/>
      <c r="C161" s="1536"/>
      <c r="D161" s="1536"/>
      <c r="E161" s="1536"/>
      <c r="F161" s="1536"/>
      <c r="G161" s="1536"/>
      <c r="H161" s="1235"/>
      <c r="I161" s="2905" t="s">
        <v>618</v>
      </c>
      <c r="J161" s="2905"/>
      <c r="K161" s="1536" t="e">
        <f t="shared" si="6"/>
        <v>#VALUE!</v>
      </c>
      <c r="L161" s="1235" t="s">
        <v>679</v>
      </c>
      <c r="M161" s="1236">
        <v>1.41</v>
      </c>
      <c r="N161" s="2903"/>
      <c r="O161" s="1628"/>
      <c r="P161" s="1536"/>
      <c r="Q161" s="1536"/>
      <c r="R161" s="1567"/>
    </row>
    <row r="162" spans="1:18">
      <c r="A162" s="1881">
        <v>45874</v>
      </c>
      <c r="B162" s="1913" t="s">
        <v>499</v>
      </c>
      <c r="C162" s="1536" t="s">
        <v>500</v>
      </c>
      <c r="D162" s="1536" t="s">
        <v>481</v>
      </c>
      <c r="E162" s="1536" t="s">
        <v>452</v>
      </c>
      <c r="F162" s="1536">
        <v>14</v>
      </c>
      <c r="G162" s="1536" t="s">
        <v>474</v>
      </c>
      <c r="H162" s="1235" t="s">
        <v>501</v>
      </c>
      <c r="I162" s="1536">
        <v>0.6</v>
      </c>
      <c r="J162" s="1536">
        <v>1</v>
      </c>
      <c r="K162" s="1536">
        <f t="shared" si="6"/>
        <v>0.4</v>
      </c>
      <c r="L162" s="1235" t="s">
        <v>680</v>
      </c>
      <c r="M162" s="1236">
        <v>0.191</v>
      </c>
      <c r="N162" s="2902"/>
      <c r="O162" s="1628"/>
      <c r="P162" s="1536"/>
      <c r="Q162" s="1536"/>
      <c r="R162" s="1567"/>
    </row>
    <row r="163" spans="1:18">
      <c r="A163" s="1881">
        <v>45874</v>
      </c>
      <c r="B163" s="1913" t="s">
        <v>499</v>
      </c>
      <c r="C163" s="1536" t="s">
        <v>500</v>
      </c>
      <c r="D163" s="1536" t="s">
        <v>481</v>
      </c>
      <c r="E163" s="1536" t="s">
        <v>452</v>
      </c>
      <c r="F163" s="1536">
        <v>16</v>
      </c>
      <c r="G163" s="1536" t="s">
        <v>474</v>
      </c>
      <c r="H163" s="1235" t="s">
        <v>501</v>
      </c>
      <c r="I163" s="1536">
        <v>0</v>
      </c>
      <c r="J163" s="1536">
        <v>0.6</v>
      </c>
      <c r="K163" s="1536">
        <f t="shared" si="6"/>
        <v>0.6</v>
      </c>
      <c r="L163" s="1235" t="s">
        <v>681</v>
      </c>
      <c r="M163" s="1236">
        <v>0.4</v>
      </c>
      <c r="N163" s="2900">
        <f>+AVERAGE(M163:M164)</f>
        <v>0.27550000000000002</v>
      </c>
      <c r="O163" s="1628"/>
      <c r="P163" s="1536"/>
      <c r="Q163" s="1536">
        <v>13</v>
      </c>
      <c r="R163" s="1567"/>
    </row>
    <row r="164" spans="1:18">
      <c r="A164" s="1881">
        <v>45874</v>
      </c>
      <c r="B164" s="1913" t="s">
        <v>499</v>
      </c>
      <c r="C164" s="1536" t="s">
        <v>500</v>
      </c>
      <c r="D164" s="1536" t="s">
        <v>481</v>
      </c>
      <c r="E164" s="1536" t="s">
        <v>452</v>
      </c>
      <c r="F164" s="1536">
        <v>16</v>
      </c>
      <c r="G164" s="1536" t="s">
        <v>474</v>
      </c>
      <c r="H164" s="1235" t="s">
        <v>501</v>
      </c>
      <c r="I164" s="1536">
        <v>0.6</v>
      </c>
      <c r="J164" s="1536">
        <v>0.9</v>
      </c>
      <c r="K164" s="1536">
        <f t="shared" si="6"/>
        <v>0.30000000000000004</v>
      </c>
      <c r="L164" s="1235" t="s">
        <v>682</v>
      </c>
      <c r="M164" s="1236">
        <v>0.151</v>
      </c>
      <c r="N164" s="2902"/>
      <c r="O164" s="1628"/>
      <c r="P164" s="1536"/>
      <c r="Q164" s="1536"/>
      <c r="R164" s="1567"/>
    </row>
    <row r="165" spans="1:18">
      <c r="A165" s="1881">
        <v>45874</v>
      </c>
      <c r="B165" s="1913" t="s">
        <v>499</v>
      </c>
      <c r="C165" s="1536" t="s">
        <v>500</v>
      </c>
      <c r="D165" s="1536" t="s">
        <v>481</v>
      </c>
      <c r="E165" s="1536" t="s">
        <v>452</v>
      </c>
      <c r="F165" s="1536">
        <v>18</v>
      </c>
      <c r="G165" s="1536" t="s">
        <v>474</v>
      </c>
      <c r="H165" s="1235" t="s">
        <v>501</v>
      </c>
      <c r="I165" s="1536">
        <v>0</v>
      </c>
      <c r="J165" s="1536">
        <v>0.6</v>
      </c>
      <c r="K165" s="1536">
        <f t="shared" si="6"/>
        <v>0.6</v>
      </c>
      <c r="L165" s="1235" t="s">
        <v>683</v>
      </c>
      <c r="M165" s="1236">
        <v>0.183</v>
      </c>
      <c r="N165" s="2900">
        <f>+AVERAGE(M165:M166)</f>
        <v>0.26100000000000001</v>
      </c>
      <c r="O165" s="1628"/>
      <c r="P165" s="1536"/>
      <c r="Q165" s="1536">
        <v>14</v>
      </c>
      <c r="R165" s="1567"/>
    </row>
    <row r="166" spans="1:18">
      <c r="A166" s="1881">
        <v>45874</v>
      </c>
      <c r="B166" s="1913" t="s">
        <v>499</v>
      </c>
      <c r="C166" s="1536" t="s">
        <v>500</v>
      </c>
      <c r="D166" s="1536" t="s">
        <v>481</v>
      </c>
      <c r="E166" s="1536" t="s">
        <v>452</v>
      </c>
      <c r="F166" s="1536">
        <v>18</v>
      </c>
      <c r="G166" s="1536" t="s">
        <v>474</v>
      </c>
      <c r="H166" s="1235" t="s">
        <v>501</v>
      </c>
      <c r="I166" s="1536">
        <v>0.6</v>
      </c>
      <c r="J166" s="1536">
        <v>0.9</v>
      </c>
      <c r="K166" s="1536">
        <f t="shared" si="6"/>
        <v>0.30000000000000004</v>
      </c>
      <c r="L166" s="1235" t="s">
        <v>684</v>
      </c>
      <c r="M166" s="1236">
        <v>0.33900000000000002</v>
      </c>
      <c r="N166" s="2902"/>
      <c r="O166" s="1628"/>
      <c r="P166" s="1536"/>
      <c r="Q166" s="1536"/>
      <c r="R166" s="1567"/>
    </row>
    <row r="167" spans="1:18">
      <c r="A167" s="1881">
        <v>45874</v>
      </c>
      <c r="B167" s="1913" t="s">
        <v>499</v>
      </c>
      <c r="C167" s="1536" t="s">
        <v>500</v>
      </c>
      <c r="D167" s="1536" t="s">
        <v>481</v>
      </c>
      <c r="E167" s="1536" t="s">
        <v>452</v>
      </c>
      <c r="F167" s="1536">
        <v>20</v>
      </c>
      <c r="G167" s="1536" t="s">
        <v>474</v>
      </c>
      <c r="H167" s="1235" t="s">
        <v>501</v>
      </c>
      <c r="I167" s="1536">
        <v>0</v>
      </c>
      <c r="J167" s="1536">
        <v>0.6</v>
      </c>
      <c r="K167" s="1536">
        <f t="shared" si="6"/>
        <v>0.6</v>
      </c>
      <c r="L167" s="1235" t="s">
        <v>685</v>
      </c>
      <c r="M167" s="1236">
        <v>1.784</v>
      </c>
      <c r="N167" s="2900">
        <f>+AVERAGE(M167:M168)</f>
        <v>2.2515000000000001</v>
      </c>
      <c r="O167" s="1628"/>
      <c r="P167" s="1536"/>
      <c r="Q167" s="1536">
        <v>15</v>
      </c>
      <c r="R167" s="1567"/>
    </row>
    <row r="168" spans="1:18" ht="16.5" customHeight="1">
      <c r="A168" s="1888">
        <v>45874</v>
      </c>
      <c r="B168" s="2212" t="s">
        <v>499</v>
      </c>
      <c r="C168" s="1538" t="s">
        <v>500</v>
      </c>
      <c r="D168" s="1538" t="s">
        <v>481</v>
      </c>
      <c r="E168" s="1538" t="s">
        <v>452</v>
      </c>
      <c r="F168" s="1538">
        <v>20</v>
      </c>
      <c r="G168" s="1538" t="s">
        <v>474</v>
      </c>
      <c r="H168" s="1535" t="s">
        <v>501</v>
      </c>
      <c r="I168" s="1538">
        <v>0.6</v>
      </c>
      <c r="J168" s="1538">
        <v>1</v>
      </c>
      <c r="K168" s="1538">
        <f t="shared" si="6"/>
        <v>0.4</v>
      </c>
      <c r="L168" s="1535" t="s">
        <v>686</v>
      </c>
      <c r="M168" s="1872">
        <v>2.7189999999999999</v>
      </c>
      <c r="N168" s="2904"/>
      <c r="O168" s="1632"/>
      <c r="P168" s="1538"/>
      <c r="Q168" s="1538"/>
      <c r="R168" s="1592"/>
    </row>
    <row r="169" spans="1:18">
      <c r="A169" s="1920">
        <v>45875</v>
      </c>
      <c r="B169" s="2216" t="s">
        <v>687</v>
      </c>
      <c r="C169" s="1564" t="s">
        <v>688</v>
      </c>
      <c r="D169" s="1564" t="s">
        <v>517</v>
      </c>
      <c r="E169" s="1564" t="s">
        <v>469</v>
      </c>
      <c r="F169" s="1564">
        <v>5.8</v>
      </c>
      <c r="G169" s="1564" t="s">
        <v>518</v>
      </c>
      <c r="H169" s="966" t="s">
        <v>689</v>
      </c>
      <c r="I169" s="1564">
        <v>0</v>
      </c>
      <c r="J169" s="1564">
        <v>0.6</v>
      </c>
      <c r="K169" s="1564">
        <f t="shared" si="6"/>
        <v>0.6</v>
      </c>
      <c r="L169" s="966" t="s">
        <v>690</v>
      </c>
      <c r="M169" s="1882"/>
      <c r="N169" s="2609"/>
      <c r="O169" s="1634"/>
      <c r="P169" s="1564"/>
      <c r="Q169" s="1564"/>
      <c r="R169" s="1566"/>
    </row>
    <row r="170" spans="1:18">
      <c r="A170" s="2634">
        <v>45875</v>
      </c>
      <c r="B170" s="2204"/>
      <c r="C170" s="1536"/>
      <c r="D170" s="1536"/>
      <c r="E170" s="1536"/>
      <c r="F170" s="1536"/>
      <c r="G170" s="1536"/>
      <c r="H170" s="1235"/>
      <c r="I170" s="1536">
        <v>0.6</v>
      </c>
      <c r="J170" s="1536">
        <v>1.2</v>
      </c>
      <c r="K170" s="1536">
        <f t="shared" si="6"/>
        <v>0.6</v>
      </c>
      <c r="L170" s="1235" t="s">
        <v>691</v>
      </c>
      <c r="M170" s="1236"/>
      <c r="N170" s="2600"/>
      <c r="O170" s="1628"/>
      <c r="P170" s="1536"/>
      <c r="Q170" s="1536"/>
      <c r="R170" s="1567"/>
    </row>
    <row r="171" spans="1:18">
      <c r="A171" s="2640">
        <v>45875</v>
      </c>
      <c r="B171" s="2204" t="s">
        <v>692</v>
      </c>
      <c r="C171" s="1536" t="s">
        <v>693</v>
      </c>
      <c r="D171" s="1536" t="s">
        <v>517</v>
      </c>
      <c r="E171" s="1536" t="s">
        <v>469</v>
      </c>
      <c r="F171" s="1536">
        <v>1.2</v>
      </c>
      <c r="G171" s="1536" t="s">
        <v>474</v>
      </c>
      <c r="H171" s="1235" t="s">
        <v>694</v>
      </c>
      <c r="I171" s="1536">
        <v>0</v>
      </c>
      <c r="J171" s="1536">
        <v>0.6</v>
      </c>
      <c r="K171" s="1536">
        <f t="shared" si="6"/>
        <v>0.6</v>
      </c>
      <c r="L171" s="1235" t="s">
        <v>695</v>
      </c>
      <c r="M171" s="1236"/>
      <c r="N171" s="2600"/>
      <c r="O171" s="1628"/>
      <c r="P171" s="1536"/>
      <c r="Q171" s="1536"/>
      <c r="R171" s="1567"/>
    </row>
    <row r="172" spans="1:18">
      <c r="A172" s="1811">
        <v>45875</v>
      </c>
      <c r="B172" s="2204"/>
      <c r="C172" s="1536"/>
      <c r="D172" s="1536"/>
      <c r="E172" s="1536"/>
      <c r="F172" s="1536"/>
      <c r="G172" s="1536"/>
      <c r="H172" s="1235"/>
      <c r="I172" s="1536">
        <v>0.6</v>
      </c>
      <c r="J172" s="1536">
        <v>1.2</v>
      </c>
      <c r="K172" s="1536">
        <f t="shared" si="6"/>
        <v>0.6</v>
      </c>
      <c r="L172" s="1235" t="s">
        <v>696</v>
      </c>
      <c r="M172" s="1236"/>
      <c r="N172" s="2600"/>
      <c r="O172" s="1628"/>
      <c r="P172" s="1536"/>
      <c r="Q172" s="1536"/>
      <c r="R172" s="1567"/>
    </row>
    <row r="173" spans="1:18">
      <c r="A173" s="1811">
        <v>45875</v>
      </c>
      <c r="B173" s="2204" t="s">
        <v>692</v>
      </c>
      <c r="C173" s="1536" t="s">
        <v>693</v>
      </c>
      <c r="D173" s="1536" t="s">
        <v>517</v>
      </c>
      <c r="E173" s="1536" t="s">
        <v>469</v>
      </c>
      <c r="F173" s="1536">
        <v>1.2</v>
      </c>
      <c r="G173" s="1536" t="s">
        <v>518</v>
      </c>
      <c r="H173" s="1235" t="s">
        <v>697</v>
      </c>
      <c r="I173" s="1536">
        <v>0</v>
      </c>
      <c r="J173" s="1536">
        <v>0.35</v>
      </c>
      <c r="K173" s="1536">
        <f t="shared" si="6"/>
        <v>0.35</v>
      </c>
      <c r="L173" s="1235" t="s">
        <v>698</v>
      </c>
      <c r="M173" s="1236"/>
      <c r="N173" s="2600"/>
      <c r="O173" s="1628"/>
      <c r="P173" s="1536"/>
      <c r="Q173" s="1536"/>
      <c r="R173" s="1567"/>
    </row>
    <row r="174" spans="1:18">
      <c r="A174" s="1811">
        <v>45875</v>
      </c>
      <c r="B174" s="2204"/>
      <c r="C174" s="1536"/>
      <c r="D174" s="1536"/>
      <c r="E174" s="1536"/>
      <c r="F174" s="1536"/>
      <c r="G174" s="1536"/>
      <c r="H174" s="1235"/>
      <c r="I174" s="1536">
        <v>0.35</v>
      </c>
      <c r="J174" s="1536">
        <v>0.85</v>
      </c>
      <c r="K174" s="1536">
        <f t="shared" si="6"/>
        <v>0.5</v>
      </c>
      <c r="L174" s="1235" t="s">
        <v>699</v>
      </c>
      <c r="M174" s="1236"/>
      <c r="N174" s="2600"/>
      <c r="O174" s="1628"/>
      <c r="P174" s="1536"/>
      <c r="Q174" s="1536"/>
      <c r="R174" s="1567"/>
    </row>
    <row r="175" spans="1:18">
      <c r="A175" s="1811">
        <v>45875</v>
      </c>
      <c r="B175" s="2204"/>
      <c r="C175" s="1536"/>
      <c r="D175" s="1536"/>
      <c r="E175" s="1536"/>
      <c r="F175" s="1536"/>
      <c r="G175" s="1536"/>
      <c r="H175" s="1235"/>
      <c r="I175" s="1536">
        <v>0.85</v>
      </c>
      <c r="J175" s="1536">
        <v>1.45</v>
      </c>
      <c r="K175" s="1536">
        <f t="shared" si="6"/>
        <v>0.6</v>
      </c>
      <c r="L175" s="1235" t="s">
        <v>700</v>
      </c>
      <c r="M175" s="1236"/>
      <c r="N175" s="2600"/>
      <c r="O175" s="1628"/>
      <c r="P175" s="1536"/>
      <c r="Q175" s="1536"/>
      <c r="R175" s="1567"/>
    </row>
    <row r="176" spans="1:18">
      <c r="A176" s="1811">
        <v>45875</v>
      </c>
      <c r="B176" s="2204" t="s">
        <v>692</v>
      </c>
      <c r="C176" s="1536" t="s">
        <v>693</v>
      </c>
      <c r="D176" s="1536" t="s">
        <v>517</v>
      </c>
      <c r="E176" s="1536" t="s">
        <v>469</v>
      </c>
      <c r="F176" s="1536">
        <v>1.2</v>
      </c>
      <c r="G176" s="1536" t="s">
        <v>518</v>
      </c>
      <c r="H176" s="1235" t="s">
        <v>701</v>
      </c>
      <c r="I176" s="1536">
        <v>0</v>
      </c>
      <c r="J176" s="1536">
        <v>0.6</v>
      </c>
      <c r="K176" s="1536">
        <f t="shared" ref="K176:K207" si="7">J176-I176</f>
        <v>0.6</v>
      </c>
      <c r="L176" s="1235" t="s">
        <v>702</v>
      </c>
      <c r="M176" s="1236"/>
      <c r="N176" s="2600"/>
      <c r="O176" s="1628"/>
      <c r="P176" s="1536"/>
      <c r="Q176" s="1536"/>
      <c r="R176" s="1567"/>
    </row>
    <row r="177" spans="1:19">
      <c r="A177" s="1811">
        <v>45875</v>
      </c>
      <c r="B177" s="2204"/>
      <c r="C177" s="1536"/>
      <c r="D177" s="1536"/>
      <c r="E177" s="1536"/>
      <c r="F177" s="1536"/>
      <c r="G177" s="1536"/>
      <c r="H177" s="1235"/>
      <c r="I177" s="1536">
        <v>0.6</v>
      </c>
      <c r="J177" s="1536">
        <v>1.2</v>
      </c>
      <c r="K177" s="1536">
        <f t="shared" si="7"/>
        <v>0.6</v>
      </c>
      <c r="L177" s="1235" t="s">
        <v>703</v>
      </c>
      <c r="M177" s="1236"/>
      <c r="N177" s="2600"/>
      <c r="O177" s="1628"/>
      <c r="P177" s="1536"/>
      <c r="Q177" s="1536"/>
      <c r="R177" s="1567"/>
    </row>
    <row r="178" spans="1:19">
      <c r="A178" s="1811">
        <v>45875</v>
      </c>
      <c r="B178" s="2204" t="s">
        <v>692</v>
      </c>
      <c r="C178" s="1536" t="s">
        <v>704</v>
      </c>
      <c r="D178" s="1536" t="s">
        <v>481</v>
      </c>
      <c r="E178" s="1536" t="s">
        <v>469</v>
      </c>
      <c r="F178" s="1536">
        <v>2</v>
      </c>
      <c r="G178" s="1536" t="s">
        <v>474</v>
      </c>
      <c r="H178" s="1235" t="s">
        <v>705</v>
      </c>
      <c r="I178" s="1536">
        <v>0</v>
      </c>
      <c r="J178" s="1536">
        <v>0.6</v>
      </c>
      <c r="K178" s="1536">
        <f t="shared" si="7"/>
        <v>0.6</v>
      </c>
      <c r="L178" s="1235" t="s">
        <v>706</v>
      </c>
      <c r="M178" s="1236"/>
      <c r="N178" s="2600"/>
      <c r="O178" s="1628"/>
      <c r="P178" s="1536"/>
      <c r="Q178" s="1536"/>
      <c r="R178" s="1567"/>
    </row>
    <row r="179" spans="1:19">
      <c r="A179" s="1811">
        <v>45875</v>
      </c>
      <c r="B179" s="2204"/>
      <c r="C179" s="1536"/>
      <c r="D179" s="1536"/>
      <c r="E179" s="1536"/>
      <c r="F179" s="1536"/>
      <c r="G179" s="1536"/>
      <c r="H179" s="1235"/>
      <c r="I179" s="1536">
        <v>0.6</v>
      </c>
      <c r="J179" s="1536">
        <v>0.9</v>
      </c>
      <c r="K179" s="1536">
        <f t="shared" si="7"/>
        <v>0.30000000000000004</v>
      </c>
      <c r="L179" s="1235" t="s">
        <v>707</v>
      </c>
      <c r="M179" s="1236"/>
      <c r="N179" s="2600"/>
      <c r="O179" s="1628"/>
      <c r="P179" s="1536"/>
      <c r="Q179" s="1536"/>
      <c r="R179" s="1567"/>
    </row>
    <row r="180" spans="1:19">
      <c r="A180" s="1811">
        <v>45875</v>
      </c>
      <c r="B180" s="2204" t="s">
        <v>692</v>
      </c>
      <c r="C180" s="1536" t="s">
        <v>704</v>
      </c>
      <c r="D180" s="1536" t="s">
        <v>481</v>
      </c>
      <c r="E180" s="1536" t="s">
        <v>469</v>
      </c>
      <c r="F180" s="1536">
        <v>2</v>
      </c>
      <c r="G180" s="1536" t="s">
        <v>470</v>
      </c>
      <c r="H180" s="1235" t="s">
        <v>708</v>
      </c>
      <c r="I180" s="1536">
        <v>0</v>
      </c>
      <c r="J180" s="1536">
        <v>0.6</v>
      </c>
      <c r="K180" s="1536">
        <f t="shared" si="7"/>
        <v>0.6</v>
      </c>
      <c r="L180" s="1235" t="s">
        <v>709</v>
      </c>
      <c r="M180" s="1236"/>
      <c r="N180" s="2600"/>
      <c r="O180" s="1628"/>
      <c r="P180" s="1536"/>
      <c r="Q180" s="1536"/>
      <c r="R180" s="1567"/>
    </row>
    <row r="181" spans="1:19">
      <c r="A181" s="1811">
        <v>45875</v>
      </c>
      <c r="B181" s="2204"/>
      <c r="C181" s="1536"/>
      <c r="D181" s="1536"/>
      <c r="E181" s="1536"/>
      <c r="F181" s="1536"/>
      <c r="G181" s="1536"/>
      <c r="H181" s="1235"/>
      <c r="I181" s="1536">
        <v>0.6</v>
      </c>
      <c r="J181" s="1536">
        <v>0.9</v>
      </c>
      <c r="K181" s="1536">
        <f t="shared" si="7"/>
        <v>0.30000000000000004</v>
      </c>
      <c r="L181" s="1235" t="s">
        <v>710</v>
      </c>
      <c r="M181" s="1236"/>
      <c r="N181" s="2600"/>
      <c r="O181" s="1628"/>
      <c r="P181" s="1536"/>
      <c r="Q181" s="1536"/>
      <c r="R181" s="1567"/>
    </row>
    <row r="182" spans="1:19">
      <c r="A182" s="1811">
        <v>45875</v>
      </c>
      <c r="B182" s="2204"/>
      <c r="C182" s="1536"/>
      <c r="D182" s="1536"/>
      <c r="E182" s="1536"/>
      <c r="F182" s="1536"/>
      <c r="G182" s="1536"/>
      <c r="H182" s="1235"/>
      <c r="I182" s="1536">
        <v>0.9</v>
      </c>
      <c r="J182" s="1536">
        <v>1.4</v>
      </c>
      <c r="K182" s="1536">
        <f t="shared" si="7"/>
        <v>0.49999999999999989</v>
      </c>
      <c r="L182" s="1235" t="s">
        <v>711</v>
      </c>
      <c r="M182" s="1236"/>
      <c r="N182" s="2600"/>
      <c r="O182" s="1628"/>
      <c r="P182" s="1536"/>
      <c r="Q182" s="1536"/>
      <c r="R182" s="1567"/>
    </row>
    <row r="183" spans="1:19">
      <c r="A183" s="1811">
        <v>45875</v>
      </c>
      <c r="B183" s="2204" t="s">
        <v>466</v>
      </c>
      <c r="C183" s="1536" t="s">
        <v>500</v>
      </c>
      <c r="D183" s="1536" t="s">
        <v>552</v>
      </c>
      <c r="E183" s="1536" t="s">
        <v>469</v>
      </c>
      <c r="F183" s="1536">
        <v>12.3</v>
      </c>
      <c r="G183" s="1536" t="s">
        <v>541</v>
      </c>
      <c r="H183" s="1235" t="s">
        <v>644</v>
      </c>
      <c r="I183" s="1536">
        <v>0</v>
      </c>
      <c r="J183" s="1536">
        <v>1</v>
      </c>
      <c r="K183" s="1536">
        <f t="shared" si="7"/>
        <v>1</v>
      </c>
      <c r="L183" s="1235" t="s">
        <v>712</v>
      </c>
      <c r="M183" s="1236"/>
      <c r="N183" s="2600"/>
      <c r="O183" s="1628"/>
      <c r="P183" s="1536"/>
      <c r="Q183" s="1536"/>
      <c r="R183" s="1567"/>
    </row>
    <row r="184" spans="1:19">
      <c r="A184" s="1811">
        <v>45875</v>
      </c>
      <c r="B184" s="2204"/>
      <c r="C184" s="1536"/>
      <c r="D184" s="1536"/>
      <c r="E184" s="1536"/>
      <c r="F184" s="1536"/>
      <c r="G184" s="1536"/>
      <c r="H184" s="1235"/>
      <c r="I184" s="1536">
        <v>0</v>
      </c>
      <c r="J184" s="1536">
        <v>1</v>
      </c>
      <c r="K184" s="1536">
        <f t="shared" si="7"/>
        <v>1</v>
      </c>
      <c r="L184" s="1235" t="s">
        <v>713</v>
      </c>
      <c r="M184" s="1236"/>
      <c r="N184" s="2600"/>
      <c r="O184" s="1628"/>
      <c r="P184" s="1536"/>
      <c r="Q184" s="1536"/>
      <c r="R184" s="1567"/>
    </row>
    <row r="185" spans="1:19">
      <c r="A185" s="1811">
        <v>45875</v>
      </c>
      <c r="B185" s="2204" t="s">
        <v>479</v>
      </c>
      <c r="C185" s="1536" t="s">
        <v>540</v>
      </c>
      <c r="D185" s="1536" t="s">
        <v>451</v>
      </c>
      <c r="E185" s="1536" t="s">
        <v>469</v>
      </c>
      <c r="F185" s="1536">
        <v>6.5</v>
      </c>
      <c r="G185" s="1536" t="s">
        <v>474</v>
      </c>
      <c r="H185" s="1235" t="s">
        <v>569</v>
      </c>
      <c r="I185" s="1536">
        <v>0</v>
      </c>
      <c r="J185" s="1536">
        <v>1</v>
      </c>
      <c r="K185" s="1536">
        <f t="shared" si="7"/>
        <v>1</v>
      </c>
      <c r="L185" s="1235" t="s">
        <v>714</v>
      </c>
      <c r="M185" s="1236"/>
      <c r="N185" s="2600"/>
      <c r="O185" s="1628"/>
      <c r="P185" s="1536"/>
      <c r="Q185" s="1536"/>
      <c r="R185" s="1567"/>
    </row>
    <row r="186" spans="1:19">
      <c r="A186" s="1811">
        <v>45875</v>
      </c>
      <c r="B186" s="2204"/>
      <c r="C186" s="1536"/>
      <c r="D186" s="1536"/>
      <c r="E186" s="1536"/>
      <c r="F186" s="1536"/>
      <c r="G186" s="1536"/>
      <c r="H186" s="1235"/>
      <c r="I186" s="1536">
        <v>1</v>
      </c>
      <c r="J186" s="1536">
        <v>2</v>
      </c>
      <c r="K186" s="1536">
        <f t="shared" si="7"/>
        <v>1</v>
      </c>
      <c r="L186" s="1235" t="s">
        <v>715</v>
      </c>
      <c r="M186" s="1236"/>
      <c r="N186" s="2600"/>
      <c r="O186" s="1628"/>
      <c r="P186" s="1536"/>
      <c r="Q186" s="1536"/>
      <c r="R186" s="1567"/>
    </row>
    <row r="187" spans="1:19">
      <c r="A187" s="1811">
        <v>45875</v>
      </c>
      <c r="B187" s="2204"/>
      <c r="C187" s="1536"/>
      <c r="D187" s="1536"/>
      <c r="E187" s="1536"/>
      <c r="F187" s="1536"/>
      <c r="G187" s="1536"/>
      <c r="H187" s="1235"/>
      <c r="I187" s="1536">
        <v>2</v>
      </c>
      <c r="J187" s="1536">
        <v>3</v>
      </c>
      <c r="K187" s="1536">
        <f t="shared" si="7"/>
        <v>1</v>
      </c>
      <c r="L187" s="1235" t="s">
        <v>716</v>
      </c>
      <c r="M187" s="1236"/>
      <c r="N187" s="2600"/>
      <c r="O187" s="1628"/>
      <c r="P187" s="1536"/>
      <c r="Q187" s="1536"/>
      <c r="R187" s="1567"/>
    </row>
    <row r="188" spans="1:19">
      <c r="A188" s="1811">
        <v>45875</v>
      </c>
      <c r="B188" s="2204" t="s">
        <v>479</v>
      </c>
      <c r="C188" s="1536" t="s">
        <v>540</v>
      </c>
      <c r="D188" s="1536" t="s">
        <v>517</v>
      </c>
      <c r="E188" s="1536" t="s">
        <v>469</v>
      </c>
      <c r="F188" s="1536">
        <v>4.4000000000000004</v>
      </c>
      <c r="G188" s="1536" t="s">
        <v>541</v>
      </c>
      <c r="H188" s="1235" t="s">
        <v>717</v>
      </c>
      <c r="I188" s="1536">
        <v>3</v>
      </c>
      <c r="J188" s="1536">
        <v>4</v>
      </c>
      <c r="K188" s="1536">
        <f t="shared" si="7"/>
        <v>1</v>
      </c>
      <c r="L188" s="1235" t="s">
        <v>718</v>
      </c>
      <c r="M188" s="1236"/>
      <c r="N188" s="2600"/>
      <c r="O188" s="1628"/>
      <c r="P188" s="1536"/>
      <c r="Q188" s="1536"/>
      <c r="R188" s="1567"/>
    </row>
    <row r="189" spans="1:19">
      <c r="A189" s="1811">
        <v>45875</v>
      </c>
      <c r="B189" s="2204"/>
      <c r="C189" s="1536"/>
      <c r="D189" s="1536"/>
      <c r="E189" s="1536"/>
      <c r="F189" s="1536"/>
      <c r="G189" s="1536"/>
      <c r="H189" s="1235"/>
      <c r="I189" s="1536">
        <v>3</v>
      </c>
      <c r="J189" s="1536">
        <v>4</v>
      </c>
      <c r="K189" s="1536">
        <f t="shared" si="7"/>
        <v>1</v>
      </c>
      <c r="L189" s="1235" t="s">
        <v>719</v>
      </c>
      <c r="M189" s="1236"/>
      <c r="N189" s="2600"/>
      <c r="O189" s="1628"/>
      <c r="P189" s="1536"/>
      <c r="Q189" s="1536"/>
      <c r="R189" s="1567"/>
    </row>
    <row r="190" spans="1:19">
      <c r="A190" s="1811">
        <v>45875</v>
      </c>
      <c r="B190" s="2204" t="s">
        <v>479</v>
      </c>
      <c r="C190" s="1536" t="s">
        <v>720</v>
      </c>
      <c r="D190" s="1536" t="s">
        <v>468</v>
      </c>
      <c r="E190" s="1536" t="s">
        <v>469</v>
      </c>
      <c r="F190" s="1536">
        <v>8.6</v>
      </c>
      <c r="G190" s="1536" t="s">
        <v>474</v>
      </c>
      <c r="H190" s="1235" t="s">
        <v>721</v>
      </c>
      <c r="I190" s="1536">
        <v>0</v>
      </c>
      <c r="J190" s="1536">
        <v>0.6</v>
      </c>
      <c r="K190" s="1536">
        <f t="shared" si="7"/>
        <v>0.6</v>
      </c>
      <c r="L190" s="1235" t="s">
        <v>722</v>
      </c>
      <c r="M190" s="1236"/>
      <c r="N190" s="2600"/>
      <c r="O190" s="1628"/>
      <c r="P190" s="1536"/>
      <c r="Q190" s="1536"/>
      <c r="R190" s="1567"/>
    </row>
    <row r="191" spans="1:19">
      <c r="A191" s="1811">
        <v>45875</v>
      </c>
      <c r="B191" s="2204"/>
      <c r="C191" s="1536"/>
      <c r="D191" s="1536"/>
      <c r="E191" s="1536"/>
      <c r="F191" s="1536"/>
      <c r="G191" s="1536"/>
      <c r="H191" s="1235"/>
      <c r="I191" s="1536">
        <v>0.6</v>
      </c>
      <c r="J191" s="1536">
        <v>1.2</v>
      </c>
      <c r="K191" s="1536">
        <f t="shared" si="7"/>
        <v>0.6</v>
      </c>
      <c r="L191" s="1235" t="s">
        <v>723</v>
      </c>
      <c r="M191" s="1236"/>
      <c r="N191" s="2600"/>
      <c r="O191" s="1628"/>
      <c r="P191" s="1536"/>
      <c r="Q191" s="1536"/>
      <c r="R191" s="1567"/>
    </row>
    <row r="192" spans="1:19">
      <c r="A192" s="1811">
        <v>45875</v>
      </c>
      <c r="B192" s="2204" t="s">
        <v>509</v>
      </c>
      <c r="C192" s="1536" t="s">
        <v>510</v>
      </c>
      <c r="D192" s="1536" t="s">
        <v>511</v>
      </c>
      <c r="E192" s="1536" t="s">
        <v>559</v>
      </c>
      <c r="F192" s="1536">
        <v>0</v>
      </c>
      <c r="G192" s="1536" t="s">
        <v>541</v>
      </c>
      <c r="H192" s="1235" t="s">
        <v>512</v>
      </c>
      <c r="I192" s="1536">
        <v>0</v>
      </c>
      <c r="J192" s="1536">
        <v>0.6</v>
      </c>
      <c r="K192" s="1536">
        <f t="shared" si="7"/>
        <v>0.6</v>
      </c>
      <c r="L192" s="1235" t="s">
        <v>724</v>
      </c>
      <c r="M192" s="1236">
        <v>7.0000000000000007E-2</v>
      </c>
      <c r="N192" s="2600"/>
      <c r="O192" s="1628"/>
      <c r="P192" s="1536"/>
      <c r="Q192" s="1536"/>
      <c r="R192" s="1567"/>
      <c r="S192" s="1423" t="s">
        <v>574</v>
      </c>
    </row>
    <row r="193" spans="1:19">
      <c r="A193" s="1811">
        <v>45875</v>
      </c>
      <c r="B193" s="2204"/>
      <c r="C193" s="1536"/>
      <c r="D193" s="1536"/>
      <c r="E193" s="1536"/>
      <c r="F193" s="1536"/>
      <c r="G193" s="1536"/>
      <c r="H193" s="1235"/>
      <c r="I193" s="1536">
        <v>0.6</v>
      </c>
      <c r="J193" s="1536">
        <v>1.2</v>
      </c>
      <c r="K193" s="1536">
        <f t="shared" si="7"/>
        <v>0.6</v>
      </c>
      <c r="L193" s="1235" t="s">
        <v>725</v>
      </c>
      <c r="M193" s="1236">
        <v>0.42</v>
      </c>
      <c r="N193" s="2600"/>
      <c r="O193" s="1628"/>
      <c r="P193" s="1536"/>
      <c r="Q193" s="1536"/>
      <c r="R193" s="1567"/>
    </row>
    <row r="194" spans="1:19">
      <c r="A194" s="1811">
        <v>45875</v>
      </c>
      <c r="B194" s="2204"/>
      <c r="C194" s="1536"/>
      <c r="D194" s="1536"/>
      <c r="E194" s="1536"/>
      <c r="F194" s="1536"/>
      <c r="G194" s="1536"/>
      <c r="H194" s="1235"/>
      <c r="I194" s="2905" t="s">
        <v>529</v>
      </c>
      <c r="J194" s="2905"/>
      <c r="K194" s="1536"/>
      <c r="L194" s="1235" t="s">
        <v>726</v>
      </c>
      <c r="M194" s="1236">
        <v>0</v>
      </c>
      <c r="N194" s="2600"/>
      <c r="O194" s="1628"/>
      <c r="P194" s="1536"/>
      <c r="Q194" s="1536"/>
      <c r="R194" s="1567"/>
    </row>
    <row r="195" spans="1:19">
      <c r="A195" s="1811">
        <v>45875</v>
      </c>
      <c r="B195" s="2204"/>
      <c r="C195" s="1536"/>
      <c r="D195" s="1536"/>
      <c r="E195" s="1536"/>
      <c r="F195" s="1536"/>
      <c r="G195" s="1536"/>
      <c r="H195" s="1235"/>
      <c r="I195" s="1536">
        <v>1.2</v>
      </c>
      <c r="J195" s="1536">
        <v>1.4</v>
      </c>
      <c r="K195" s="1536">
        <f t="shared" si="7"/>
        <v>0.19999999999999996</v>
      </c>
      <c r="L195" s="1235" t="s">
        <v>727</v>
      </c>
      <c r="M195" s="1236">
        <v>0.42</v>
      </c>
      <c r="N195" s="2600"/>
      <c r="O195" s="1628"/>
      <c r="P195" s="1536"/>
      <c r="Q195" s="1536"/>
      <c r="R195" s="1567"/>
    </row>
    <row r="196" spans="1:19">
      <c r="A196" s="1811">
        <v>45875</v>
      </c>
      <c r="B196" s="2204"/>
      <c r="C196" s="1536"/>
      <c r="D196" s="1536"/>
      <c r="E196" s="1536"/>
      <c r="F196" s="1536"/>
      <c r="G196" s="1536"/>
      <c r="H196" s="1235"/>
      <c r="I196" s="1536">
        <v>1.4</v>
      </c>
      <c r="J196" s="1536">
        <v>1.6</v>
      </c>
      <c r="K196" s="1536">
        <f t="shared" si="7"/>
        <v>0.20000000000000018</v>
      </c>
      <c r="L196" s="1235" t="s">
        <v>728</v>
      </c>
      <c r="M196" s="1236">
        <v>0.11</v>
      </c>
      <c r="N196" s="2600"/>
      <c r="O196" s="1628"/>
      <c r="P196" s="1536"/>
      <c r="Q196" s="1536"/>
      <c r="R196" s="1567"/>
    </row>
    <row r="197" spans="1:19">
      <c r="A197" s="1811">
        <v>45875</v>
      </c>
      <c r="B197" s="2204"/>
      <c r="C197" s="1536"/>
      <c r="D197" s="1536"/>
      <c r="E197" s="1536"/>
      <c r="F197" s="1536"/>
      <c r="G197" s="1536"/>
      <c r="H197" s="1235"/>
      <c r="I197" s="1536">
        <v>1.6</v>
      </c>
      <c r="J197" s="1536">
        <v>1.8</v>
      </c>
      <c r="K197" s="1536">
        <f t="shared" si="7"/>
        <v>0.19999999999999996</v>
      </c>
      <c r="L197" s="1235" t="s">
        <v>729</v>
      </c>
      <c r="M197" s="1236">
        <v>0.36</v>
      </c>
      <c r="N197" s="2600"/>
      <c r="O197" s="1628"/>
      <c r="P197" s="1536"/>
      <c r="Q197" s="1536"/>
      <c r="R197" s="1567"/>
    </row>
    <row r="198" spans="1:19">
      <c r="A198" s="1811">
        <v>45875</v>
      </c>
      <c r="B198" s="2204"/>
      <c r="C198" s="1536"/>
      <c r="D198" s="1536"/>
      <c r="E198" s="1536"/>
      <c r="F198" s="1536"/>
      <c r="G198" s="1536"/>
      <c r="H198" s="1235"/>
      <c r="I198" s="1536">
        <v>1.8</v>
      </c>
      <c r="J198" s="1536">
        <v>2</v>
      </c>
      <c r="K198" s="1536">
        <f t="shared" si="7"/>
        <v>0.19999999999999996</v>
      </c>
      <c r="L198" s="1235" t="s">
        <v>730</v>
      </c>
      <c r="M198" s="1236">
        <v>0.1</v>
      </c>
      <c r="N198" s="1879"/>
      <c r="O198" s="1628"/>
      <c r="P198" s="1536"/>
      <c r="Q198" s="1536"/>
      <c r="R198" s="1567"/>
    </row>
    <row r="199" spans="1:19">
      <c r="A199" s="1811">
        <v>45875</v>
      </c>
      <c r="B199" s="2204"/>
      <c r="C199" s="1536"/>
      <c r="D199" s="1536"/>
      <c r="E199" s="1536"/>
      <c r="F199" s="1536"/>
      <c r="G199" s="1536"/>
      <c r="H199" s="1235"/>
      <c r="I199" s="2905" t="s">
        <v>535</v>
      </c>
      <c r="J199" s="2905"/>
      <c r="K199" s="1536"/>
      <c r="L199" s="1235" t="s">
        <v>731</v>
      </c>
      <c r="M199" s="1236">
        <v>3.25</v>
      </c>
      <c r="N199" s="2600"/>
      <c r="O199" s="1628"/>
      <c r="P199" s="1536"/>
      <c r="Q199" s="1536"/>
      <c r="R199" s="1567"/>
    </row>
    <row r="200" spans="1:19">
      <c r="A200" s="1811">
        <v>45875</v>
      </c>
      <c r="B200" s="2204"/>
      <c r="C200" s="1536"/>
      <c r="D200" s="1536"/>
      <c r="E200" s="1536"/>
      <c r="F200" s="1536"/>
      <c r="G200" s="1536"/>
      <c r="H200" s="1235"/>
      <c r="I200" s="1536">
        <v>2</v>
      </c>
      <c r="J200" s="1536">
        <v>2.6</v>
      </c>
      <c r="K200" s="1536">
        <f t="shared" si="7"/>
        <v>0.60000000000000009</v>
      </c>
      <c r="L200" s="1235" t="s">
        <v>732</v>
      </c>
      <c r="M200" s="1236">
        <v>0.06</v>
      </c>
      <c r="N200" s="2600"/>
      <c r="O200" s="1628"/>
      <c r="P200" s="1536"/>
      <c r="Q200" s="1536"/>
      <c r="R200" s="1567"/>
    </row>
    <row r="201" spans="1:19">
      <c r="A201" s="1811">
        <v>45875</v>
      </c>
      <c r="B201" s="2204" t="s">
        <v>509</v>
      </c>
      <c r="C201" s="1536" t="s">
        <v>510</v>
      </c>
      <c r="D201" s="1536" t="s">
        <v>511</v>
      </c>
      <c r="E201" s="1536" t="s">
        <v>469</v>
      </c>
      <c r="F201" s="1536">
        <v>2.6</v>
      </c>
      <c r="G201" s="1536" t="s">
        <v>541</v>
      </c>
      <c r="H201" s="1235" t="s">
        <v>512</v>
      </c>
      <c r="I201" s="1536">
        <v>0</v>
      </c>
      <c r="J201" s="1536">
        <v>0.6</v>
      </c>
      <c r="K201" s="1536">
        <f t="shared" si="7"/>
        <v>0.6</v>
      </c>
      <c r="L201" s="1235" t="s">
        <v>733</v>
      </c>
      <c r="M201" s="1236">
        <v>0.05</v>
      </c>
      <c r="N201" s="2600"/>
      <c r="O201" s="1628"/>
      <c r="P201" s="1536"/>
      <c r="Q201" s="1536"/>
      <c r="R201" s="1567"/>
    </row>
    <row r="202" spans="1:19">
      <c r="A202" s="1811">
        <v>45875</v>
      </c>
      <c r="B202" s="2204"/>
      <c r="C202" s="1536"/>
      <c r="D202" s="1536"/>
      <c r="E202" s="1536"/>
      <c r="F202" s="1536"/>
      <c r="G202" s="1536"/>
      <c r="H202" s="1235"/>
      <c r="I202" s="1536">
        <v>0.6</v>
      </c>
      <c r="J202" s="1536">
        <v>1.2</v>
      </c>
      <c r="K202" s="1536">
        <f t="shared" si="7"/>
        <v>0.6</v>
      </c>
      <c r="L202" s="1235" t="s">
        <v>734</v>
      </c>
      <c r="M202" s="1236">
        <v>0.04</v>
      </c>
      <c r="N202" s="2600"/>
      <c r="O202" s="1628"/>
      <c r="P202" s="1536"/>
      <c r="Q202" s="1536"/>
      <c r="R202" s="1567"/>
    </row>
    <row r="203" spans="1:19">
      <c r="A203" s="1811">
        <v>45875</v>
      </c>
      <c r="B203" s="2204"/>
      <c r="C203" s="1536"/>
      <c r="D203" s="1536"/>
      <c r="E203" s="1536"/>
      <c r="F203" s="1536"/>
      <c r="G203" s="1536"/>
      <c r="H203" s="1235"/>
      <c r="I203" s="1536">
        <v>1.2</v>
      </c>
      <c r="J203" s="1536">
        <v>1.6</v>
      </c>
      <c r="K203" s="1536">
        <f t="shared" si="7"/>
        <v>0.40000000000000013</v>
      </c>
      <c r="L203" s="1235" t="s">
        <v>735</v>
      </c>
      <c r="M203" s="1236">
        <v>0.04</v>
      </c>
      <c r="N203" s="2600"/>
      <c r="O203" s="1628"/>
      <c r="P203" s="1536"/>
      <c r="Q203" s="1536"/>
      <c r="R203" s="1567"/>
    </row>
    <row r="204" spans="1:19">
      <c r="A204" s="1811">
        <v>45875</v>
      </c>
      <c r="B204" s="2204"/>
      <c r="C204" s="1536"/>
      <c r="D204" s="1536"/>
      <c r="E204" s="1536"/>
      <c r="F204" s="1536"/>
      <c r="G204" s="1536"/>
      <c r="H204" s="1235"/>
      <c r="I204" s="2905" t="s">
        <v>529</v>
      </c>
      <c r="J204" s="2905"/>
      <c r="K204" s="1536"/>
      <c r="L204" s="1235" t="s">
        <v>736</v>
      </c>
      <c r="M204" s="1236">
        <v>0</v>
      </c>
      <c r="N204" s="2600"/>
      <c r="O204" s="1628"/>
      <c r="P204" s="1536"/>
      <c r="Q204" s="1536"/>
      <c r="R204" s="1567"/>
    </row>
    <row r="205" spans="1:19">
      <c r="A205" s="1811">
        <v>45875</v>
      </c>
      <c r="B205" s="2204" t="s">
        <v>509</v>
      </c>
      <c r="C205" s="1536" t="s">
        <v>510</v>
      </c>
      <c r="D205" s="1536" t="s">
        <v>511</v>
      </c>
      <c r="E205" s="1536" t="s">
        <v>469</v>
      </c>
      <c r="F205" s="1536">
        <v>0</v>
      </c>
      <c r="G205" s="1536" t="s">
        <v>541</v>
      </c>
      <c r="H205" s="1235" t="s">
        <v>512</v>
      </c>
      <c r="I205" s="1536">
        <v>0</v>
      </c>
      <c r="J205" s="1536">
        <v>1.2</v>
      </c>
      <c r="K205" s="1536">
        <f t="shared" si="7"/>
        <v>1.2</v>
      </c>
      <c r="L205" s="1235" t="s">
        <v>737</v>
      </c>
      <c r="M205" s="1236">
        <v>0.04</v>
      </c>
      <c r="N205" s="2600"/>
      <c r="O205" s="1628"/>
      <c r="P205" s="1536"/>
      <c r="Q205" s="1536"/>
      <c r="R205" s="1567"/>
      <c r="S205" s="1423" t="s">
        <v>576</v>
      </c>
    </row>
    <row r="206" spans="1:19">
      <c r="A206" s="1811">
        <v>45875</v>
      </c>
      <c r="B206" s="2204"/>
      <c r="C206" s="1536"/>
      <c r="D206" s="1536"/>
      <c r="E206" s="1536"/>
      <c r="F206" s="1536"/>
      <c r="G206" s="1536"/>
      <c r="H206" s="1235"/>
      <c r="I206" s="1536">
        <v>1.2</v>
      </c>
      <c r="J206" s="1536">
        <v>1.6</v>
      </c>
      <c r="K206" s="1536">
        <f t="shared" si="7"/>
        <v>0.40000000000000013</v>
      </c>
      <c r="L206" s="1235" t="s">
        <v>738</v>
      </c>
      <c r="M206" s="1236">
        <v>0.43</v>
      </c>
      <c r="N206" s="2600"/>
      <c r="O206" s="1628"/>
      <c r="P206" s="1536"/>
      <c r="Q206" s="1536"/>
      <c r="R206" s="1567"/>
    </row>
    <row r="207" spans="1:19">
      <c r="A207" s="1811">
        <v>45875</v>
      </c>
      <c r="B207" s="2204"/>
      <c r="C207" s="1536"/>
      <c r="D207" s="1536"/>
      <c r="E207" s="1536"/>
      <c r="F207" s="1536"/>
      <c r="G207" s="1536"/>
      <c r="H207" s="1235"/>
      <c r="I207" s="1536">
        <v>1.6</v>
      </c>
      <c r="J207" s="1536">
        <v>2.4</v>
      </c>
      <c r="K207" s="1536">
        <f t="shared" si="7"/>
        <v>0.79999999999999982</v>
      </c>
      <c r="L207" s="1235" t="s">
        <v>739</v>
      </c>
      <c r="M207" s="1236">
        <v>0.06</v>
      </c>
      <c r="N207" s="2600"/>
      <c r="O207" s="1628"/>
      <c r="P207" s="1536"/>
      <c r="Q207" s="1536"/>
      <c r="R207" s="1567"/>
    </row>
    <row r="208" spans="1:19">
      <c r="A208" s="1811">
        <v>45875</v>
      </c>
      <c r="B208" s="2204"/>
      <c r="C208" s="1536"/>
      <c r="D208" s="1536"/>
      <c r="E208" s="1536"/>
      <c r="F208" s="1536"/>
      <c r="G208" s="1536"/>
      <c r="H208" s="1235"/>
      <c r="I208" s="1536">
        <v>2.4</v>
      </c>
      <c r="J208" s="1536">
        <v>2.9</v>
      </c>
      <c r="K208" s="1536">
        <f t="shared" ref="K208:K227" si="8">J208-I208</f>
        <v>0.5</v>
      </c>
      <c r="L208" s="1235" t="s">
        <v>740</v>
      </c>
      <c r="M208" s="1236">
        <v>0.46</v>
      </c>
      <c r="N208" s="2600"/>
      <c r="O208" s="1628"/>
      <c r="P208" s="1536"/>
      <c r="Q208" s="1536"/>
      <c r="R208" s="1567"/>
    </row>
    <row r="209" spans="1:18">
      <c r="A209" s="1811">
        <v>45875</v>
      </c>
      <c r="B209" s="2204"/>
      <c r="C209" s="1536"/>
      <c r="D209" s="1536"/>
      <c r="E209" s="1536"/>
      <c r="F209" s="1536"/>
      <c r="G209" s="1536"/>
      <c r="H209" s="1235"/>
      <c r="I209" s="1536">
        <v>2.9</v>
      </c>
      <c r="J209" s="1536">
        <v>3.1</v>
      </c>
      <c r="K209" s="1536">
        <f t="shared" si="8"/>
        <v>0.20000000000000018</v>
      </c>
      <c r="L209" s="1235" t="s">
        <v>741</v>
      </c>
      <c r="M209" s="1236">
        <v>0.09</v>
      </c>
      <c r="N209" s="2600"/>
      <c r="O209" s="1628"/>
      <c r="P209" s="1536"/>
      <c r="Q209" s="1536"/>
      <c r="R209" s="1567"/>
    </row>
    <row r="210" spans="1:18">
      <c r="A210" s="1811">
        <v>45875</v>
      </c>
      <c r="B210" s="2204"/>
      <c r="C210" s="1536"/>
      <c r="D210" s="1536"/>
      <c r="E210" s="1536"/>
      <c r="F210" s="1536"/>
      <c r="G210" s="1536"/>
      <c r="H210" s="1235"/>
      <c r="I210" s="1536">
        <v>3.1</v>
      </c>
      <c r="J210" s="1536">
        <v>3.5</v>
      </c>
      <c r="K210" s="1536">
        <f t="shared" si="8"/>
        <v>0.39999999999999991</v>
      </c>
      <c r="L210" s="1235" t="s">
        <v>742</v>
      </c>
      <c r="M210" s="1236">
        <v>7.0000000000000007E-2</v>
      </c>
      <c r="N210" s="2600"/>
      <c r="O210" s="1628"/>
      <c r="P210" s="1536"/>
      <c r="Q210" s="1536"/>
      <c r="R210" s="1567"/>
    </row>
    <row r="211" spans="1:18">
      <c r="A211" s="1811">
        <v>45875</v>
      </c>
      <c r="B211" s="2204" t="s">
        <v>509</v>
      </c>
      <c r="C211" s="1536" t="s">
        <v>516</v>
      </c>
      <c r="D211" s="1536" t="s">
        <v>517</v>
      </c>
      <c r="E211" s="1536" t="s">
        <v>469</v>
      </c>
      <c r="F211" s="1536">
        <v>11.4</v>
      </c>
      <c r="G211" s="1536" t="s">
        <v>518</v>
      </c>
      <c r="H211" s="1235" t="s">
        <v>519</v>
      </c>
      <c r="I211" s="1536">
        <v>0</v>
      </c>
      <c r="J211" s="1536">
        <v>0.6</v>
      </c>
      <c r="K211" s="1536">
        <f t="shared" si="8"/>
        <v>0.6</v>
      </c>
      <c r="L211" s="1235" t="s">
        <v>743</v>
      </c>
      <c r="M211" s="1236"/>
      <c r="N211" s="2600"/>
      <c r="O211" s="1628"/>
      <c r="P211" s="1536"/>
      <c r="Q211" s="1536"/>
      <c r="R211" s="1567"/>
    </row>
    <row r="212" spans="1:18">
      <c r="A212" s="1811">
        <v>45875</v>
      </c>
      <c r="B212" s="2204"/>
      <c r="C212" s="1536"/>
      <c r="D212" s="1536"/>
      <c r="E212" s="1536"/>
      <c r="F212" s="1536"/>
      <c r="G212" s="1536"/>
      <c r="H212" s="1235"/>
      <c r="I212" s="1536">
        <v>0.6</v>
      </c>
      <c r="J212" s="1536">
        <v>1.2</v>
      </c>
      <c r="K212" s="1536">
        <f t="shared" si="8"/>
        <v>0.6</v>
      </c>
      <c r="L212" s="1235" t="s">
        <v>744</v>
      </c>
      <c r="M212" s="1236"/>
      <c r="N212" s="2600"/>
      <c r="O212" s="1628"/>
      <c r="P212" s="1536"/>
      <c r="Q212" s="1536"/>
      <c r="R212" s="1567"/>
    </row>
    <row r="213" spans="1:18">
      <c r="A213" s="1811">
        <v>45875</v>
      </c>
      <c r="B213" s="2204" t="s">
        <v>509</v>
      </c>
      <c r="C213" s="1536" t="s">
        <v>516</v>
      </c>
      <c r="D213" s="1536" t="s">
        <v>517</v>
      </c>
      <c r="E213" s="1536" t="s">
        <v>559</v>
      </c>
      <c r="F213" s="1536">
        <v>0</v>
      </c>
      <c r="G213" s="1536"/>
      <c r="H213" s="1235" t="s">
        <v>519</v>
      </c>
      <c r="I213" s="1536">
        <v>0</v>
      </c>
      <c r="J213" s="1536">
        <v>0.6</v>
      </c>
      <c r="K213" s="1536">
        <f t="shared" si="8"/>
        <v>0.6</v>
      </c>
      <c r="L213" s="1235" t="s">
        <v>745</v>
      </c>
      <c r="M213" s="1236"/>
      <c r="N213" s="2600"/>
      <c r="O213" s="1628"/>
      <c r="P213" s="1536"/>
      <c r="Q213" s="1536"/>
      <c r="R213" s="1567"/>
    </row>
    <row r="214" spans="1:18">
      <c r="A214" s="1811">
        <v>45875</v>
      </c>
      <c r="B214" s="2204"/>
      <c r="C214" s="1536"/>
      <c r="D214" s="1536"/>
      <c r="E214" s="1536"/>
      <c r="F214" s="1536"/>
      <c r="G214" s="1536"/>
      <c r="H214" s="1235"/>
      <c r="I214" s="2905"/>
      <c r="J214" s="2905"/>
      <c r="K214" s="1536">
        <f t="shared" si="8"/>
        <v>0</v>
      </c>
      <c r="L214" s="1235" t="s">
        <v>746</v>
      </c>
      <c r="M214" s="1236"/>
      <c r="N214" s="2600"/>
      <c r="O214" s="1628"/>
      <c r="P214" s="1536"/>
      <c r="Q214" s="1536"/>
      <c r="R214" s="1567"/>
    </row>
    <row r="215" spans="1:18">
      <c r="A215" s="1811">
        <v>45875</v>
      </c>
      <c r="B215" s="2204"/>
      <c r="C215" s="1536"/>
      <c r="D215" s="1536"/>
      <c r="E215" s="1536"/>
      <c r="F215" s="1536"/>
      <c r="G215" s="1536"/>
      <c r="H215" s="1235"/>
      <c r="I215" s="1536">
        <v>0.6</v>
      </c>
      <c r="J215" s="1536">
        <v>1.2</v>
      </c>
      <c r="K215" s="1536">
        <f t="shared" si="8"/>
        <v>0.6</v>
      </c>
      <c r="L215" s="1235" t="s">
        <v>747</v>
      </c>
      <c r="M215" s="1236"/>
      <c r="N215" s="2600"/>
      <c r="O215" s="1628"/>
      <c r="P215" s="1536"/>
      <c r="Q215" s="1536"/>
      <c r="R215" s="1567"/>
    </row>
    <row r="216" spans="1:18">
      <c r="A216" s="1811">
        <v>45875</v>
      </c>
      <c r="B216" s="2204" t="s">
        <v>509</v>
      </c>
      <c r="C216" s="1536" t="s">
        <v>510</v>
      </c>
      <c r="D216" s="1536" t="s">
        <v>511</v>
      </c>
      <c r="E216" s="1536" t="s">
        <v>469</v>
      </c>
      <c r="F216" s="1536">
        <v>1.5</v>
      </c>
      <c r="G216" s="1536" t="s">
        <v>474</v>
      </c>
      <c r="H216" s="1235" t="s">
        <v>512</v>
      </c>
      <c r="I216" s="1536">
        <v>0</v>
      </c>
      <c r="J216" s="1536">
        <v>0.6</v>
      </c>
      <c r="K216" s="1536">
        <f t="shared" si="8"/>
        <v>0.6</v>
      </c>
      <c r="L216" s="1235" t="s">
        <v>748</v>
      </c>
      <c r="M216" s="1236"/>
      <c r="N216" s="2600"/>
      <c r="O216" s="1628"/>
      <c r="P216" s="1536"/>
      <c r="Q216" s="1536"/>
      <c r="R216" s="1567"/>
    </row>
    <row r="217" spans="1:18">
      <c r="A217" s="1811">
        <v>45875</v>
      </c>
      <c r="B217" s="2204"/>
      <c r="C217" s="1536"/>
      <c r="D217" s="1536"/>
      <c r="E217" s="1536"/>
      <c r="F217" s="1536"/>
      <c r="G217" s="1536"/>
      <c r="H217" s="1235"/>
      <c r="I217" s="1536">
        <v>0.6</v>
      </c>
      <c r="J217" s="1536">
        <v>1.2</v>
      </c>
      <c r="K217" s="1536">
        <f t="shared" si="8"/>
        <v>0.6</v>
      </c>
      <c r="L217" s="1235" t="s">
        <v>749</v>
      </c>
      <c r="M217" s="1236"/>
      <c r="N217" s="1879"/>
      <c r="O217" s="1628"/>
      <c r="P217" s="1536"/>
      <c r="Q217" s="1536"/>
      <c r="R217" s="1567"/>
    </row>
    <row r="218" spans="1:18">
      <c r="A218" s="1811">
        <v>45875</v>
      </c>
      <c r="B218" s="2204" t="s">
        <v>509</v>
      </c>
      <c r="C218" s="1536" t="s">
        <v>510</v>
      </c>
      <c r="D218" s="1536" t="s">
        <v>511</v>
      </c>
      <c r="E218" s="1536" t="s">
        <v>469</v>
      </c>
      <c r="F218" s="1536">
        <v>16.100000000000001</v>
      </c>
      <c r="G218" s="1536" t="s">
        <v>474</v>
      </c>
      <c r="H218" s="1235" t="s">
        <v>512</v>
      </c>
      <c r="I218" s="1536">
        <v>0</v>
      </c>
      <c r="J218" s="1536">
        <v>0.6</v>
      </c>
      <c r="K218" s="1536">
        <f t="shared" si="8"/>
        <v>0.6</v>
      </c>
      <c r="L218" s="1235" t="s">
        <v>750</v>
      </c>
      <c r="M218" s="1236"/>
      <c r="N218" s="2600"/>
      <c r="O218" s="1628"/>
      <c r="P218" s="1536"/>
      <c r="Q218" s="1536"/>
      <c r="R218" s="1567"/>
    </row>
    <row r="219" spans="1:18">
      <c r="A219" s="1811">
        <v>45875</v>
      </c>
      <c r="B219" s="2204"/>
      <c r="C219" s="1536"/>
      <c r="D219" s="1536"/>
      <c r="E219" s="1536"/>
      <c r="F219" s="1536"/>
      <c r="G219" s="1536"/>
      <c r="H219" s="1235"/>
      <c r="I219" s="2905"/>
      <c r="J219" s="2905"/>
      <c r="K219" s="1536">
        <f t="shared" si="8"/>
        <v>0</v>
      </c>
      <c r="L219" s="1235" t="s">
        <v>751</v>
      </c>
      <c r="M219" s="1236"/>
      <c r="N219" s="2600"/>
      <c r="O219" s="1628"/>
      <c r="P219" s="1536"/>
      <c r="Q219" s="1536"/>
      <c r="R219" s="1567"/>
    </row>
    <row r="220" spans="1:18">
      <c r="A220" s="1811">
        <v>45875</v>
      </c>
      <c r="B220" s="2204"/>
      <c r="C220" s="1536"/>
      <c r="D220" s="1536"/>
      <c r="E220" s="1536"/>
      <c r="F220" s="1536"/>
      <c r="G220" s="1536"/>
      <c r="H220" s="1235"/>
      <c r="I220" s="1536">
        <v>0.6</v>
      </c>
      <c r="J220" s="1536">
        <v>1.2</v>
      </c>
      <c r="K220" s="1536">
        <f t="shared" si="8"/>
        <v>0.6</v>
      </c>
      <c r="L220" s="1235" t="s">
        <v>752</v>
      </c>
      <c r="M220" s="1236"/>
      <c r="N220" s="2600"/>
      <c r="O220" s="1628"/>
      <c r="P220" s="1536"/>
      <c r="Q220" s="1536"/>
      <c r="R220" s="1567"/>
    </row>
    <row r="221" spans="1:18">
      <c r="A221" s="1811">
        <v>45875</v>
      </c>
      <c r="B221" s="2204"/>
      <c r="C221" s="1536"/>
      <c r="D221" s="1536"/>
      <c r="E221" s="1536"/>
      <c r="F221" s="1536"/>
      <c r="G221" s="1536"/>
      <c r="H221" s="1235"/>
      <c r="I221" s="1536">
        <v>1.2</v>
      </c>
      <c r="J221" s="1536">
        <v>1.4</v>
      </c>
      <c r="K221" s="1536">
        <f t="shared" si="8"/>
        <v>0.19999999999999996</v>
      </c>
      <c r="L221" s="1235" t="s">
        <v>753</v>
      </c>
      <c r="M221" s="1236"/>
      <c r="N221" s="2600"/>
      <c r="O221" s="1628"/>
      <c r="P221" s="1536"/>
      <c r="Q221" s="1536"/>
      <c r="R221" s="1567"/>
    </row>
    <row r="222" spans="1:18">
      <c r="A222" s="1811">
        <v>45875</v>
      </c>
      <c r="B222" s="2204" t="s">
        <v>509</v>
      </c>
      <c r="C222" s="1536" t="s">
        <v>510</v>
      </c>
      <c r="D222" s="1536" t="s">
        <v>468</v>
      </c>
      <c r="E222" s="1536" t="s">
        <v>469</v>
      </c>
      <c r="F222" s="1536">
        <v>22</v>
      </c>
      <c r="G222" s="1536" t="s">
        <v>474</v>
      </c>
      <c r="H222" s="1235" t="s">
        <v>512</v>
      </c>
      <c r="I222" s="1536">
        <v>0</v>
      </c>
      <c r="J222" s="1536">
        <v>0.6</v>
      </c>
      <c r="K222" s="1536">
        <f t="shared" si="8"/>
        <v>0.6</v>
      </c>
      <c r="L222" s="1235" t="s">
        <v>754</v>
      </c>
      <c r="M222" s="1236"/>
      <c r="N222" s="1879"/>
      <c r="O222" s="1628"/>
      <c r="P222" s="1536"/>
      <c r="Q222" s="1536"/>
      <c r="R222" s="1567"/>
    </row>
    <row r="223" spans="1:18">
      <c r="A223" s="1811">
        <v>45875</v>
      </c>
      <c r="B223" s="2204"/>
      <c r="C223" s="1536"/>
      <c r="D223" s="1536"/>
      <c r="E223" s="1536"/>
      <c r="F223" s="1536"/>
      <c r="G223" s="1536"/>
      <c r="H223" s="1235"/>
      <c r="I223" s="1536">
        <v>0.6</v>
      </c>
      <c r="J223" s="1536">
        <v>1.2</v>
      </c>
      <c r="K223" s="1536">
        <f t="shared" si="8"/>
        <v>0.6</v>
      </c>
      <c r="L223" s="1235" t="s">
        <v>755</v>
      </c>
      <c r="M223" s="1236"/>
      <c r="N223" s="2600"/>
      <c r="O223" s="1628"/>
      <c r="P223" s="1536"/>
      <c r="Q223" s="1536"/>
      <c r="R223" s="1567"/>
    </row>
    <row r="224" spans="1:18">
      <c r="A224" s="1811">
        <v>45875</v>
      </c>
      <c r="B224" s="2204"/>
      <c r="C224" s="1536"/>
      <c r="D224" s="1536"/>
      <c r="E224" s="1536"/>
      <c r="F224" s="1536"/>
      <c r="G224" s="1536"/>
      <c r="H224" s="1235"/>
      <c r="I224" s="2905"/>
      <c r="J224" s="2905"/>
      <c r="K224" s="1536">
        <f t="shared" si="8"/>
        <v>0</v>
      </c>
      <c r="L224" s="1235" t="s">
        <v>756</v>
      </c>
      <c r="M224" s="1236"/>
      <c r="N224" s="2600"/>
      <c r="O224" s="1628"/>
      <c r="P224" s="1536"/>
      <c r="Q224" s="1536"/>
      <c r="R224" s="1567"/>
    </row>
    <row r="225" spans="1:18">
      <c r="A225" s="1811">
        <v>45875</v>
      </c>
      <c r="B225" s="2204" t="s">
        <v>499</v>
      </c>
      <c r="C225" s="1536" t="s">
        <v>500</v>
      </c>
      <c r="D225" s="1536" t="s">
        <v>481</v>
      </c>
      <c r="E225" s="1536" t="s">
        <v>469</v>
      </c>
      <c r="F225" s="1536">
        <v>24</v>
      </c>
      <c r="G225" s="1536" t="s">
        <v>474</v>
      </c>
      <c r="H225" s="1235" t="s">
        <v>501</v>
      </c>
      <c r="I225" s="1536">
        <v>0</v>
      </c>
      <c r="J225" s="1536">
        <v>0.6</v>
      </c>
      <c r="K225" s="1536">
        <f t="shared" si="8"/>
        <v>0.6</v>
      </c>
      <c r="L225" s="1235" t="s">
        <v>757</v>
      </c>
      <c r="M225" s="1236"/>
      <c r="N225" s="2600"/>
      <c r="O225" s="1628"/>
      <c r="P225" s="1536"/>
      <c r="Q225" s="1536"/>
      <c r="R225" s="1567"/>
    </row>
    <row r="226" spans="1:18">
      <c r="A226" s="1811">
        <v>45875</v>
      </c>
      <c r="B226" s="2204"/>
      <c r="C226" s="1536"/>
      <c r="D226" s="1536"/>
      <c r="E226" s="1536"/>
      <c r="F226" s="1536"/>
      <c r="G226" s="1536"/>
      <c r="H226" s="1235"/>
      <c r="I226" s="1536">
        <v>0.6</v>
      </c>
      <c r="J226" s="1536">
        <v>1</v>
      </c>
      <c r="K226" s="1536">
        <f t="shared" si="8"/>
        <v>0.4</v>
      </c>
      <c r="L226" s="1235" t="s">
        <v>758</v>
      </c>
      <c r="M226" s="1236"/>
      <c r="N226" s="2600"/>
      <c r="O226" s="1628"/>
      <c r="P226" s="1536"/>
      <c r="Q226" s="1536"/>
      <c r="R226" s="1567"/>
    </row>
    <row r="227" spans="1:18">
      <c r="A227" s="1811">
        <v>45875</v>
      </c>
      <c r="B227" s="2204" t="s">
        <v>499</v>
      </c>
      <c r="C227" s="1536" t="s">
        <v>500</v>
      </c>
      <c r="D227" s="1536" t="s">
        <v>468</v>
      </c>
      <c r="E227" s="1536" t="s">
        <v>469</v>
      </c>
      <c r="F227" s="1536">
        <v>4.7</v>
      </c>
      <c r="G227" s="1536" t="s">
        <v>470</v>
      </c>
      <c r="H227" s="1235" t="s">
        <v>504</v>
      </c>
      <c r="I227" s="1536">
        <v>0</v>
      </c>
      <c r="J227" s="1536">
        <v>0.6</v>
      </c>
      <c r="K227" s="1536">
        <f t="shared" si="8"/>
        <v>0.6</v>
      </c>
      <c r="L227" s="1235" t="s">
        <v>759</v>
      </c>
      <c r="M227" s="1236"/>
      <c r="N227" s="1879"/>
      <c r="O227" s="1628"/>
      <c r="P227" s="1536"/>
      <c r="Q227" s="1536"/>
      <c r="R227" s="1567"/>
    </row>
    <row r="228" spans="1:18">
      <c r="A228" s="2634">
        <v>45875</v>
      </c>
      <c r="B228" s="2635"/>
      <c r="C228" s="2232"/>
      <c r="D228" s="2232"/>
      <c r="E228" s="2232" t="s">
        <v>469</v>
      </c>
      <c r="F228" s="2232"/>
      <c r="G228" s="2232"/>
      <c r="H228" s="2234"/>
      <c r="I228" s="2232">
        <v>0.6</v>
      </c>
      <c r="J228" s="2232">
        <v>1.2</v>
      </c>
      <c r="K228" s="2232">
        <f>J228-I228</f>
        <v>0.6</v>
      </c>
      <c r="L228" s="2234" t="s">
        <v>760</v>
      </c>
      <c r="M228" s="2018"/>
      <c r="N228" s="2592"/>
      <c r="O228" s="2636"/>
      <c r="P228" s="2232"/>
      <c r="Q228" s="2232"/>
      <c r="R228" s="2232"/>
    </row>
    <row r="229" spans="1:18">
      <c r="A229" s="2634">
        <v>45875</v>
      </c>
      <c r="B229" s="1869" t="s">
        <v>499</v>
      </c>
      <c r="C229" s="1869" t="s">
        <v>467</v>
      </c>
      <c r="D229" s="2232" t="s">
        <v>468</v>
      </c>
      <c r="E229" s="2232" t="s">
        <v>469</v>
      </c>
      <c r="F229" s="2232">
        <v>11</v>
      </c>
      <c r="G229" s="2232" t="s">
        <v>474</v>
      </c>
      <c r="H229" s="2234" t="s">
        <v>607</v>
      </c>
      <c r="I229" s="2232">
        <v>0</v>
      </c>
      <c r="J229" s="2232">
        <v>1.2</v>
      </c>
      <c r="K229" s="2232">
        <f>J229-I229</f>
        <v>1.2</v>
      </c>
      <c r="L229" s="1869" t="s">
        <v>761</v>
      </c>
      <c r="M229" s="1869"/>
      <c r="N229" s="2637"/>
      <c r="O229" s="2637"/>
      <c r="P229" s="2638"/>
      <c r="Q229" s="2639"/>
      <c r="R229" s="1869"/>
    </row>
    <row r="230" spans="1:18">
      <c r="A230" s="1881"/>
      <c r="B230" s="1913"/>
      <c r="C230" s="1536"/>
      <c r="D230" s="1536"/>
      <c r="E230" s="1536"/>
      <c r="F230" s="1536"/>
      <c r="G230" s="1536"/>
      <c r="H230" s="1235"/>
      <c r="I230" s="1536"/>
      <c r="J230" s="1536"/>
      <c r="K230" s="1537"/>
      <c r="L230" s="1235"/>
      <c r="M230" s="1236"/>
      <c r="N230" s="2333"/>
      <c r="O230" s="1628"/>
      <c r="P230" s="1536"/>
      <c r="Q230" s="1536"/>
      <c r="R230" s="1567"/>
    </row>
    <row r="231" spans="1:18">
      <c r="A231" s="1881"/>
      <c r="B231" s="1913"/>
      <c r="C231" s="1536"/>
      <c r="D231" s="1536"/>
      <c r="E231" s="1536"/>
      <c r="F231" s="1536"/>
      <c r="G231" s="1536"/>
      <c r="H231" s="1235"/>
      <c r="I231" s="1536"/>
      <c r="J231" s="1536"/>
      <c r="K231" s="1537"/>
      <c r="L231" s="1235"/>
      <c r="M231" s="1236"/>
      <c r="N231" s="2334"/>
      <c r="O231" s="1628"/>
      <c r="P231" s="1536"/>
      <c r="Q231" s="1536"/>
      <c r="R231" s="1567"/>
    </row>
    <row r="232" spans="1:18">
      <c r="A232" s="1881"/>
      <c r="B232" s="1913"/>
      <c r="C232" s="1536"/>
      <c r="D232" s="1536"/>
      <c r="E232" s="1536"/>
      <c r="F232" s="1536"/>
      <c r="G232" s="1536"/>
      <c r="H232" s="1235"/>
      <c r="I232" s="1536"/>
      <c r="J232" s="1536"/>
      <c r="K232" s="1537"/>
      <c r="L232" s="1235"/>
      <c r="M232" s="1236"/>
      <c r="N232" s="2333"/>
      <c r="O232" s="1628"/>
      <c r="P232" s="1536"/>
      <c r="Q232" s="1536"/>
      <c r="R232" s="1567"/>
    </row>
    <row r="233" spans="1:18">
      <c r="A233" s="1881"/>
      <c r="B233" s="1913"/>
      <c r="C233" s="1536"/>
      <c r="D233" s="1536"/>
      <c r="E233" s="1536"/>
      <c r="F233" s="1536"/>
      <c r="G233" s="1536"/>
      <c r="H233" s="1235"/>
      <c r="I233" s="1536"/>
      <c r="J233" s="1536"/>
      <c r="K233" s="1537"/>
      <c r="L233" s="1235"/>
      <c r="M233" s="1236"/>
      <c r="N233" s="2334"/>
      <c r="O233" s="1628"/>
      <c r="P233" s="1536"/>
      <c r="Q233" s="1536"/>
      <c r="R233" s="1567"/>
    </row>
    <row r="234" spans="1:18">
      <c r="A234" s="1881"/>
      <c r="B234" s="1913"/>
      <c r="C234" s="1536"/>
      <c r="D234" s="1536"/>
      <c r="E234" s="1536"/>
      <c r="F234" s="1536"/>
      <c r="G234" s="1536"/>
      <c r="H234" s="1235"/>
      <c r="I234" s="1536"/>
      <c r="J234" s="1536"/>
      <c r="K234" s="1537"/>
      <c r="L234" s="1235"/>
      <c r="M234" s="1236"/>
      <c r="N234" s="2333"/>
      <c r="O234" s="1628"/>
      <c r="P234" s="1536"/>
      <c r="Q234" s="1536"/>
      <c r="R234" s="1567"/>
    </row>
    <row r="235" spans="1:18">
      <c r="A235" s="1881"/>
      <c r="B235" s="1913"/>
      <c r="C235" s="1536"/>
      <c r="D235" s="1536"/>
      <c r="E235" s="1536"/>
      <c r="F235" s="1536"/>
      <c r="G235" s="1536"/>
      <c r="H235" s="1235"/>
      <c r="I235" s="1536"/>
      <c r="J235" s="1536"/>
      <c r="K235" s="1537"/>
      <c r="L235" s="1235"/>
      <c r="M235" s="1236"/>
      <c r="N235" s="2334"/>
      <c r="O235" s="1628"/>
      <c r="P235" s="1536"/>
      <c r="Q235" s="1536"/>
      <c r="R235" s="1567"/>
    </row>
    <row r="236" spans="1:18">
      <c r="A236" s="1881"/>
      <c r="B236" s="1913"/>
      <c r="C236" s="1536"/>
      <c r="D236" s="1536"/>
      <c r="E236" s="1536"/>
      <c r="F236" s="1536"/>
      <c r="G236" s="1536"/>
      <c r="H236" s="1235"/>
      <c r="I236" s="1536"/>
      <c r="J236" s="1536"/>
      <c r="K236" s="1537"/>
      <c r="L236" s="1235"/>
      <c r="M236" s="1236"/>
      <c r="N236" s="2333"/>
      <c r="O236" s="1628"/>
      <c r="P236" s="1536"/>
      <c r="Q236" s="1536"/>
      <c r="R236" s="1567"/>
    </row>
    <row r="237" spans="1:18">
      <c r="A237" s="1881"/>
      <c r="B237" s="1913"/>
      <c r="C237" s="1536"/>
      <c r="D237" s="1536"/>
      <c r="E237" s="1536"/>
      <c r="F237" s="1536"/>
      <c r="G237" s="1536"/>
      <c r="H237" s="1235"/>
      <c r="I237" s="1536"/>
      <c r="J237" s="1536"/>
      <c r="K237" s="1537"/>
      <c r="L237" s="1235"/>
      <c r="M237" s="1236"/>
      <c r="N237" s="2334"/>
      <c r="O237" s="1628"/>
      <c r="P237" s="1536"/>
      <c r="Q237" s="1536"/>
      <c r="R237" s="1567"/>
    </row>
    <row r="238" spans="1:18">
      <c r="A238" s="1881"/>
      <c r="B238" s="1913"/>
      <c r="C238" s="1536"/>
      <c r="D238" s="1536"/>
      <c r="E238" s="1536"/>
      <c r="F238" s="1536"/>
      <c r="G238" s="1536"/>
      <c r="H238" s="1235"/>
      <c r="I238" s="1536"/>
      <c r="J238" s="1536"/>
      <c r="K238" s="1537"/>
      <c r="L238" s="1235"/>
      <c r="M238" s="1236"/>
      <c r="N238" s="2333"/>
      <c r="O238" s="1628"/>
      <c r="P238" s="1536"/>
      <c r="Q238" s="1536"/>
      <c r="R238" s="1567"/>
    </row>
    <row r="239" spans="1:18">
      <c r="A239" s="1881"/>
      <c r="B239" s="1913"/>
      <c r="C239" s="1536"/>
      <c r="D239" s="1536"/>
      <c r="E239" s="1536"/>
      <c r="F239" s="1536"/>
      <c r="G239" s="1536"/>
      <c r="H239" s="1235"/>
      <c r="I239" s="1536"/>
      <c r="J239" s="1536"/>
      <c r="K239" s="1537"/>
      <c r="L239" s="1235"/>
      <c r="M239" s="1236"/>
      <c r="N239" s="2334"/>
      <c r="O239" s="1628"/>
      <c r="P239" s="1536"/>
      <c r="Q239" s="1536"/>
      <c r="R239" s="1567"/>
    </row>
    <row r="240" spans="1:18">
      <c r="A240" s="1881"/>
      <c r="B240" s="1913"/>
      <c r="C240" s="1536"/>
      <c r="D240" s="1536"/>
      <c r="E240" s="1536"/>
      <c r="F240" s="1536"/>
      <c r="G240" s="1536"/>
      <c r="H240" s="1235"/>
      <c r="I240" s="1536"/>
      <c r="J240" s="1536"/>
      <c r="K240" s="1537"/>
      <c r="L240" s="1235"/>
      <c r="M240" s="1236"/>
      <c r="N240" s="2333"/>
      <c r="O240" s="1628"/>
      <c r="P240" s="1536"/>
      <c r="Q240" s="1536"/>
      <c r="R240" s="1567"/>
    </row>
    <row r="241" spans="1:18">
      <c r="A241" s="1881"/>
      <c r="B241" s="1913"/>
      <c r="C241" s="1536"/>
      <c r="D241" s="1536"/>
      <c r="E241" s="1536"/>
      <c r="F241" s="1536"/>
      <c r="G241" s="1536"/>
      <c r="H241" s="1235"/>
      <c r="I241" s="1536"/>
      <c r="J241" s="1536"/>
      <c r="K241" s="1537"/>
      <c r="L241" s="1235"/>
      <c r="M241" s="1236"/>
      <c r="N241" s="2334"/>
      <c r="O241" s="1628"/>
      <c r="P241" s="1536"/>
      <c r="Q241" s="1536"/>
      <c r="R241" s="1567"/>
    </row>
    <row r="242" spans="1:18">
      <c r="A242" s="1881"/>
      <c r="B242" s="1913"/>
      <c r="C242" s="1536"/>
      <c r="D242" s="1536"/>
      <c r="E242" s="1536"/>
      <c r="F242" s="1536"/>
      <c r="G242" s="1536"/>
      <c r="H242" s="1235"/>
      <c r="I242" s="1536"/>
      <c r="J242" s="1536"/>
      <c r="K242" s="1537"/>
      <c r="L242" s="1235"/>
      <c r="M242" s="1236"/>
      <c r="N242" s="2333"/>
      <c r="O242" s="1628"/>
      <c r="P242" s="1536"/>
      <c r="Q242" s="1536"/>
      <c r="R242" s="1567"/>
    </row>
    <row r="243" spans="1:18">
      <c r="A243" s="1881"/>
      <c r="B243" s="1913"/>
      <c r="C243" s="1536"/>
      <c r="D243" s="1536"/>
      <c r="E243" s="1536"/>
      <c r="F243" s="1536"/>
      <c r="G243" s="1536"/>
      <c r="H243" s="1235"/>
      <c r="I243" s="1536"/>
      <c r="J243" s="1536"/>
      <c r="K243" s="1537"/>
      <c r="L243" s="1235"/>
      <c r="M243" s="1236"/>
      <c r="N243" s="2334"/>
      <c r="O243" s="1628"/>
      <c r="P243" s="1536"/>
      <c r="Q243" s="1536"/>
      <c r="R243" s="1567"/>
    </row>
    <row r="244" spans="1:18">
      <c r="A244" s="1881"/>
      <c r="B244" s="1913"/>
      <c r="C244" s="1536"/>
      <c r="D244" s="1536"/>
      <c r="E244" s="1536"/>
      <c r="F244" s="1536"/>
      <c r="G244" s="1536"/>
      <c r="H244" s="1235"/>
      <c r="I244" s="1536"/>
      <c r="J244" s="1536"/>
      <c r="K244" s="1537"/>
      <c r="L244" s="1235"/>
      <c r="M244" s="1236"/>
      <c r="N244" s="2333"/>
      <c r="O244" s="1628"/>
      <c r="P244" s="1536"/>
      <c r="Q244" s="1536"/>
      <c r="R244" s="1567"/>
    </row>
    <row r="245" spans="1:18">
      <c r="A245" s="1881"/>
      <c r="B245" s="1913"/>
      <c r="C245" s="1536"/>
      <c r="D245" s="1536"/>
      <c r="E245" s="1536"/>
      <c r="F245" s="1536"/>
      <c r="G245" s="1536"/>
      <c r="H245" s="1235"/>
      <c r="I245" s="1536"/>
      <c r="J245" s="1536"/>
      <c r="K245" s="1537"/>
      <c r="L245" s="1235"/>
      <c r="M245" s="1236"/>
      <c r="N245" s="2594"/>
      <c r="O245" s="1628"/>
      <c r="P245" s="1536"/>
      <c r="Q245" s="1536"/>
      <c r="R245" s="1567"/>
    </row>
    <row r="246" spans="1:18">
      <c r="A246" s="1881"/>
      <c r="B246" s="1913"/>
      <c r="C246" s="1536"/>
      <c r="D246" s="1536"/>
      <c r="E246" s="1536"/>
      <c r="F246" s="1536"/>
      <c r="G246" s="1536"/>
      <c r="H246" s="1235"/>
      <c r="I246" s="1536"/>
      <c r="J246" s="1536"/>
      <c r="K246" s="1537"/>
      <c r="L246" s="1235"/>
      <c r="M246" s="1236"/>
      <c r="N246" s="2594"/>
      <c r="O246" s="1628"/>
      <c r="P246" s="1536"/>
      <c r="Q246" s="1536"/>
      <c r="R246" s="1567"/>
    </row>
    <row r="247" spans="1:18">
      <c r="A247" s="1881"/>
      <c r="B247" s="1913"/>
      <c r="C247" s="1536"/>
      <c r="D247" s="1536"/>
      <c r="E247" s="1536"/>
      <c r="F247" s="1536"/>
      <c r="G247" s="1536"/>
      <c r="H247" s="1235"/>
      <c r="I247" s="1536"/>
      <c r="J247" s="1536"/>
      <c r="K247" s="1537"/>
      <c r="L247" s="1235"/>
      <c r="M247" s="1236"/>
      <c r="N247" s="2334"/>
      <c r="O247" s="1628"/>
      <c r="P247" s="1536"/>
      <c r="Q247" s="1536"/>
      <c r="R247" s="1567"/>
    </row>
    <row r="248" spans="1:18">
      <c r="A248" s="1881"/>
      <c r="B248" s="1913"/>
      <c r="C248" s="1536"/>
      <c r="D248" s="1536"/>
      <c r="E248" s="1536"/>
      <c r="F248" s="1536"/>
      <c r="G248" s="1536"/>
      <c r="H248" s="1235"/>
      <c r="I248" s="1536"/>
      <c r="J248" s="1536"/>
      <c r="K248" s="1537"/>
      <c r="L248" s="1235"/>
      <c r="M248" s="1236"/>
      <c r="N248" s="2333"/>
      <c r="O248" s="1628"/>
      <c r="P248" s="1536"/>
      <c r="Q248" s="1536"/>
      <c r="R248" s="1567"/>
    </row>
    <row r="249" spans="1:18">
      <c r="A249" s="1881"/>
      <c r="B249" s="1913"/>
      <c r="C249" s="1536"/>
      <c r="D249" s="1536"/>
      <c r="E249" s="1536"/>
      <c r="F249" s="1536"/>
      <c r="G249" s="1536"/>
      <c r="H249" s="1235"/>
      <c r="I249" s="1536"/>
      <c r="J249" s="1536"/>
      <c r="K249" s="1537"/>
      <c r="L249" s="1235"/>
      <c r="M249" s="1236"/>
      <c r="N249" s="2334"/>
      <c r="O249" s="1628"/>
      <c r="P249" s="1536"/>
      <c r="Q249" s="1536"/>
      <c r="R249" s="1567"/>
    </row>
    <row r="250" spans="1:18">
      <c r="A250" s="1881"/>
      <c r="B250" s="1913"/>
      <c r="C250" s="1536"/>
      <c r="D250" s="1536"/>
      <c r="E250" s="1536"/>
      <c r="F250" s="1536"/>
      <c r="G250" s="1536"/>
      <c r="H250" s="1235"/>
      <c r="I250" s="1536"/>
      <c r="J250" s="1536"/>
      <c r="K250" s="1537"/>
      <c r="L250" s="1235"/>
      <c r="M250" s="1236"/>
      <c r="N250" s="2333"/>
      <c r="O250" s="1628"/>
      <c r="P250" s="1536"/>
      <c r="Q250" s="1536"/>
      <c r="R250" s="1567"/>
    </row>
    <row r="251" spans="1:18">
      <c r="A251" s="1881"/>
      <c r="B251" s="1913"/>
      <c r="C251" s="1536"/>
      <c r="D251" s="1536"/>
      <c r="E251" s="1536"/>
      <c r="F251" s="1536"/>
      <c r="G251" s="1536"/>
      <c r="H251" s="1235"/>
      <c r="I251" s="1536"/>
      <c r="J251" s="1536"/>
      <c r="K251" s="1537"/>
      <c r="L251" s="1235"/>
      <c r="M251" s="1236"/>
      <c r="N251" s="2334"/>
      <c r="O251" s="1628"/>
      <c r="P251" s="1536"/>
      <c r="Q251" s="1536"/>
      <c r="R251" s="1567"/>
    </row>
    <row r="252" spans="1:18">
      <c r="A252" s="1881"/>
      <c r="B252" s="1913"/>
      <c r="C252" s="1536"/>
      <c r="D252" s="1536"/>
      <c r="E252" s="1536"/>
      <c r="F252" s="1536"/>
      <c r="G252" s="1536"/>
      <c r="H252" s="1235"/>
      <c r="I252" s="1536"/>
      <c r="J252" s="1536"/>
      <c r="K252" s="1537"/>
      <c r="L252" s="1235"/>
      <c r="M252" s="1236"/>
      <c r="N252" s="2333"/>
      <c r="O252" s="1628"/>
      <c r="P252" s="1536"/>
      <c r="Q252" s="1536"/>
      <c r="R252" s="1567"/>
    </row>
    <row r="253" spans="1:18">
      <c r="A253" s="1881"/>
      <c r="B253" s="1913"/>
      <c r="C253" s="1536"/>
      <c r="D253" s="1536"/>
      <c r="E253" s="1536"/>
      <c r="F253" s="1536"/>
      <c r="G253" s="1536"/>
      <c r="H253" s="1235"/>
      <c r="I253" s="1536"/>
      <c r="J253" s="1536"/>
      <c r="K253" s="1537"/>
      <c r="L253" s="1235"/>
      <c r="M253" s="1236"/>
      <c r="N253" s="2334"/>
      <c r="O253" s="1628"/>
      <c r="P253" s="1536"/>
      <c r="Q253" s="1536"/>
      <c r="R253" s="1567"/>
    </row>
    <row r="254" spans="1:18">
      <c r="A254" s="1881"/>
      <c r="B254" s="1913"/>
      <c r="C254" s="1536"/>
      <c r="D254" s="1536"/>
      <c r="E254" s="1536"/>
      <c r="F254" s="1536"/>
      <c r="G254" s="1536"/>
      <c r="H254" s="1235"/>
      <c r="I254" s="1536"/>
      <c r="J254" s="1536"/>
      <c r="K254" s="1537"/>
      <c r="L254" s="1235"/>
      <c r="M254" s="1236"/>
      <c r="N254" s="2333"/>
      <c r="O254" s="1628"/>
      <c r="P254" s="1536"/>
      <c r="Q254" s="1536"/>
      <c r="R254" s="1567"/>
    </row>
    <row r="255" spans="1:18">
      <c r="A255" s="1881"/>
      <c r="B255" s="1913"/>
      <c r="C255" s="1536"/>
      <c r="D255" s="1536"/>
      <c r="E255" s="1536"/>
      <c r="F255" s="1536"/>
      <c r="G255" s="1536"/>
      <c r="H255" s="1235"/>
      <c r="I255" s="1536"/>
      <c r="J255" s="1536"/>
      <c r="K255" s="1537"/>
      <c r="L255" s="1235"/>
      <c r="M255" s="1236"/>
      <c r="N255" s="2334"/>
      <c r="O255" s="1628"/>
      <c r="P255" s="1536"/>
      <c r="Q255" s="1536"/>
      <c r="R255" s="1567"/>
    </row>
    <row r="256" spans="1:18">
      <c r="A256" s="1881"/>
      <c r="B256" s="1913"/>
      <c r="C256" s="1536"/>
      <c r="D256" s="1536"/>
      <c r="E256" s="1536"/>
      <c r="F256" s="1536"/>
      <c r="G256" s="1536"/>
      <c r="H256" s="1235"/>
      <c r="I256" s="1536"/>
      <c r="J256" s="1536"/>
      <c r="K256" s="1537"/>
      <c r="L256" s="1235"/>
      <c r="M256" s="1236"/>
      <c r="N256" s="2333"/>
      <c r="O256" s="1628"/>
      <c r="P256" s="1536"/>
      <c r="Q256" s="1536"/>
      <c r="R256" s="1567"/>
    </row>
    <row r="257" spans="1:18">
      <c r="A257" s="1881"/>
      <c r="B257" s="1913"/>
      <c r="C257" s="1536"/>
      <c r="D257" s="1536"/>
      <c r="E257" s="1536"/>
      <c r="F257" s="1536"/>
      <c r="G257" s="1536"/>
      <c r="H257" s="1235"/>
      <c r="I257" s="1536"/>
      <c r="J257" s="1536"/>
      <c r="K257" s="1537"/>
      <c r="L257" s="1235"/>
      <c r="M257" s="1236"/>
      <c r="N257" s="2334"/>
      <c r="O257" s="1628"/>
      <c r="P257" s="1536"/>
      <c r="Q257" s="1536"/>
      <c r="R257" s="1567"/>
    </row>
    <row r="258" spans="1:18">
      <c r="A258" s="1881"/>
      <c r="B258" s="1913"/>
      <c r="C258" s="1536"/>
      <c r="D258" s="1536"/>
      <c r="E258" s="1536"/>
      <c r="F258" s="1536"/>
      <c r="G258" s="1536"/>
      <c r="H258" s="1235"/>
      <c r="I258" s="1536"/>
      <c r="J258" s="1536"/>
      <c r="K258" s="1537"/>
      <c r="L258" s="1235"/>
      <c r="M258" s="1236"/>
      <c r="N258" s="2333"/>
      <c r="O258" s="1628"/>
      <c r="P258" s="1536"/>
      <c r="Q258" s="1536"/>
      <c r="R258" s="1567"/>
    </row>
    <row r="259" spans="1:18">
      <c r="A259" s="1881"/>
      <c r="B259" s="1913"/>
      <c r="C259" s="1536"/>
      <c r="D259" s="1536"/>
      <c r="E259" s="1536"/>
      <c r="F259" s="1536"/>
      <c r="G259" s="1536"/>
      <c r="H259" s="1235"/>
      <c r="I259" s="1536"/>
      <c r="J259" s="1536"/>
      <c r="K259" s="1537"/>
      <c r="L259" s="1235"/>
      <c r="M259" s="1236"/>
      <c r="N259" s="2334"/>
      <c r="O259" s="1628"/>
      <c r="P259" s="1536"/>
      <c r="Q259" s="1536"/>
      <c r="R259" s="1567"/>
    </row>
    <row r="260" spans="1:18">
      <c r="A260" s="1881"/>
      <c r="B260" s="1913"/>
      <c r="C260" s="1536"/>
      <c r="D260" s="1536"/>
      <c r="E260" s="1536"/>
      <c r="F260" s="1536"/>
      <c r="G260" s="1536"/>
      <c r="H260" s="1235"/>
      <c r="I260" s="1536"/>
      <c r="J260" s="1536"/>
      <c r="K260" s="1537"/>
      <c r="L260" s="1235"/>
      <c r="M260" s="1236"/>
      <c r="N260" s="2333"/>
      <c r="O260" s="1628"/>
      <c r="P260" s="1536"/>
      <c r="Q260" s="1536"/>
      <c r="R260" s="1567"/>
    </row>
    <row r="261" spans="1:18">
      <c r="A261" s="1881"/>
      <c r="B261" s="1913"/>
      <c r="C261" s="1536"/>
      <c r="D261" s="1536"/>
      <c r="E261" s="1536"/>
      <c r="F261" s="1536"/>
      <c r="G261" s="1536"/>
      <c r="H261" s="1235"/>
      <c r="I261" s="1536"/>
      <c r="J261" s="1536"/>
      <c r="K261" s="1537"/>
      <c r="L261" s="1235"/>
      <c r="M261" s="1236"/>
      <c r="N261" s="2334"/>
      <c r="O261" s="1628"/>
      <c r="P261" s="1536"/>
      <c r="Q261" s="1536"/>
      <c r="R261" s="1567"/>
    </row>
    <row r="262" spans="1:18">
      <c r="A262" s="1881"/>
      <c r="B262" s="1913"/>
      <c r="C262" s="1536"/>
      <c r="D262" s="1536"/>
      <c r="E262" s="1536"/>
      <c r="F262" s="1536"/>
      <c r="G262" s="1536"/>
      <c r="H262" s="1235"/>
      <c r="I262" s="1536"/>
      <c r="J262" s="1536"/>
      <c r="K262" s="1537"/>
      <c r="L262" s="1235"/>
      <c r="M262" s="1236"/>
      <c r="N262" s="2333"/>
      <c r="O262" s="1628"/>
      <c r="P262" s="1536"/>
      <c r="Q262" s="1536"/>
      <c r="R262" s="1567"/>
    </row>
    <row r="263" spans="1:18">
      <c r="A263" s="1881"/>
      <c r="B263" s="1913"/>
      <c r="C263" s="1536"/>
      <c r="D263" s="1536"/>
      <c r="E263" s="1536"/>
      <c r="F263" s="1536"/>
      <c r="G263" s="1536"/>
      <c r="H263" s="1235"/>
      <c r="I263" s="1536"/>
      <c r="J263" s="1536"/>
      <c r="K263" s="1537"/>
      <c r="L263" s="1235"/>
      <c r="M263" s="1236"/>
      <c r="N263" s="2594"/>
      <c r="O263" s="1628"/>
      <c r="P263" s="1536"/>
      <c r="Q263" s="1536"/>
      <c r="R263" s="1567"/>
    </row>
    <row r="264" spans="1:18">
      <c r="A264" s="1881"/>
      <c r="B264" s="1913"/>
      <c r="C264" s="1536"/>
      <c r="D264" s="1536"/>
      <c r="E264" s="1536"/>
      <c r="F264" s="1536"/>
      <c r="G264" s="1536"/>
      <c r="H264" s="1235"/>
      <c r="I264" s="1536"/>
      <c r="J264" s="1536"/>
      <c r="K264" s="1537"/>
      <c r="L264" s="1235"/>
      <c r="M264" s="1236"/>
      <c r="N264" s="2334"/>
      <c r="O264" s="1628"/>
      <c r="P264" s="1536"/>
      <c r="Q264" s="1536"/>
      <c r="R264" s="1567"/>
    </row>
    <row r="265" spans="1:18">
      <c r="A265" s="1881"/>
      <c r="B265" s="1913"/>
      <c r="C265" s="1536"/>
      <c r="D265" s="1536"/>
      <c r="E265" s="1536"/>
      <c r="F265" s="1536"/>
      <c r="G265" s="1536"/>
      <c r="H265" s="1235"/>
      <c r="I265" s="1536"/>
      <c r="J265" s="1536"/>
      <c r="K265" s="1537"/>
      <c r="L265" s="1235"/>
      <c r="M265" s="1236"/>
      <c r="N265" s="2333"/>
      <c r="O265" s="1628"/>
      <c r="P265" s="1536"/>
      <c r="Q265" s="1536"/>
      <c r="R265" s="1567"/>
    </row>
    <row r="266" spans="1:18">
      <c r="A266" s="1881"/>
      <c r="B266" s="1913"/>
      <c r="C266" s="1536"/>
      <c r="D266" s="1536"/>
      <c r="E266" s="1536"/>
      <c r="F266" s="1536"/>
      <c r="G266" s="1536"/>
      <c r="H266" s="1235"/>
      <c r="I266" s="1235"/>
      <c r="J266" s="1235"/>
      <c r="K266" s="1537"/>
      <c r="L266" s="1235"/>
      <c r="M266" s="1236"/>
      <c r="N266" s="2594"/>
      <c r="O266" s="1628"/>
      <c r="P266" s="1536"/>
      <c r="Q266" s="1536"/>
      <c r="R266" s="1567"/>
    </row>
    <row r="267" spans="1:18">
      <c r="A267" s="1881"/>
      <c r="B267" s="1913"/>
      <c r="C267" s="1536"/>
      <c r="D267" s="1536"/>
      <c r="E267" s="1536"/>
      <c r="F267" s="1536"/>
      <c r="G267" s="1536"/>
      <c r="H267" s="1235"/>
      <c r="I267" s="1536"/>
      <c r="J267" s="1536"/>
      <c r="K267" s="1537"/>
      <c r="L267" s="1235"/>
      <c r="M267" s="1236"/>
      <c r="N267" s="2594"/>
      <c r="O267" s="1628"/>
      <c r="P267" s="1536"/>
      <c r="Q267" s="1536"/>
      <c r="R267" s="1567"/>
    </row>
    <row r="268" spans="1:18">
      <c r="A268" s="1881"/>
      <c r="B268" s="1913"/>
      <c r="C268" s="1536"/>
      <c r="D268" s="1536"/>
      <c r="E268" s="1536"/>
      <c r="F268" s="1536"/>
      <c r="G268" s="1536"/>
      <c r="H268" s="1235"/>
      <c r="I268" s="1536"/>
      <c r="J268" s="1536"/>
      <c r="K268" s="1537"/>
      <c r="L268" s="1235"/>
      <c r="M268" s="1236"/>
      <c r="N268" s="2334"/>
      <c r="O268" s="1628"/>
      <c r="P268" s="1536"/>
      <c r="Q268" s="1536"/>
      <c r="R268" s="1567"/>
    </row>
    <row r="269" spans="1:18">
      <c r="A269" s="1881"/>
      <c r="B269" s="1913"/>
      <c r="C269" s="1536"/>
      <c r="D269" s="1536"/>
      <c r="E269" s="1536"/>
      <c r="F269" s="1910"/>
      <c r="G269" s="1536"/>
      <c r="H269" s="1235"/>
      <c r="I269" s="1536"/>
      <c r="J269" s="1536"/>
      <c r="K269" s="1537"/>
      <c r="L269" s="1235"/>
      <c r="M269" s="1236"/>
      <c r="N269" s="2333"/>
      <c r="O269" s="1628"/>
      <c r="P269" s="1536"/>
      <c r="Q269" s="1536"/>
      <c r="R269" s="1567"/>
    </row>
    <row r="270" spans="1:18">
      <c r="A270" s="1881"/>
      <c r="B270" s="1913"/>
      <c r="C270" s="1536"/>
      <c r="D270" s="1536"/>
      <c r="E270" s="1536"/>
      <c r="F270" s="1536"/>
      <c r="G270" s="1536"/>
      <c r="H270" s="1235"/>
      <c r="I270" s="1536"/>
      <c r="J270" s="1536"/>
      <c r="K270" s="1537"/>
      <c r="L270" s="1235"/>
      <c r="M270" s="1236"/>
      <c r="N270" s="2594"/>
      <c r="O270" s="1628"/>
      <c r="P270" s="1536"/>
      <c r="Q270" s="1536"/>
      <c r="R270" s="1567"/>
    </row>
    <row r="271" spans="1:18">
      <c r="A271" s="1881"/>
      <c r="B271" s="1913"/>
      <c r="C271" s="1536"/>
      <c r="D271" s="1536"/>
      <c r="E271" s="1536"/>
      <c r="F271" s="1536"/>
      <c r="G271" s="1536"/>
      <c r="H271" s="1235"/>
      <c r="I271" s="1235"/>
      <c r="J271" s="1235"/>
      <c r="K271" s="1537"/>
      <c r="L271" s="1235"/>
      <c r="M271" s="1236"/>
      <c r="N271" s="2594"/>
      <c r="O271" s="1628"/>
      <c r="P271" s="1536"/>
      <c r="Q271" s="1536"/>
      <c r="R271" s="1567"/>
    </row>
    <row r="272" spans="1:18">
      <c r="A272" s="1881"/>
      <c r="B272" s="1913"/>
      <c r="C272" s="1536"/>
      <c r="D272" s="1536"/>
      <c r="E272" s="1536"/>
      <c r="F272" s="1536"/>
      <c r="G272" s="1536"/>
      <c r="H272" s="1235"/>
      <c r="I272" s="1536"/>
      <c r="J272" s="1536"/>
      <c r="K272" s="1537"/>
      <c r="L272" s="1235"/>
      <c r="M272" s="1236"/>
      <c r="N272" s="2334"/>
      <c r="O272" s="1628"/>
      <c r="P272" s="1536"/>
      <c r="Q272" s="1536"/>
      <c r="R272" s="1567"/>
    </row>
    <row r="273" spans="1:18">
      <c r="A273" s="1881"/>
      <c r="B273" s="1913"/>
      <c r="C273" s="1536"/>
      <c r="D273" s="1536"/>
      <c r="E273" s="1536"/>
      <c r="F273" s="1536"/>
      <c r="G273" s="1536"/>
      <c r="H273" s="1235"/>
      <c r="I273" s="1536"/>
      <c r="J273" s="1536"/>
      <c r="K273" s="1537"/>
      <c r="L273" s="1235"/>
      <c r="M273" s="1236"/>
      <c r="N273" s="2333"/>
      <c r="O273" s="1628"/>
      <c r="P273" s="1536"/>
      <c r="Q273" s="1536"/>
      <c r="R273" s="1567"/>
    </row>
    <row r="274" spans="1:18">
      <c r="A274" s="1881"/>
      <c r="B274" s="1913"/>
      <c r="C274" s="1536"/>
      <c r="D274" s="1536"/>
      <c r="E274" s="1536"/>
      <c r="F274" s="1536"/>
      <c r="G274" s="1536"/>
      <c r="H274" s="1235"/>
      <c r="I274" s="1536"/>
      <c r="J274" s="1536"/>
      <c r="K274" s="1537"/>
      <c r="L274" s="1235"/>
      <c r="M274" s="1236"/>
      <c r="N274" s="2594"/>
      <c r="O274" s="1628"/>
      <c r="P274" s="1536"/>
      <c r="Q274" s="1536"/>
      <c r="R274" s="1567"/>
    </row>
    <row r="275" spans="1:18">
      <c r="A275" s="1881"/>
      <c r="B275" s="1913"/>
      <c r="C275" s="1536"/>
      <c r="D275" s="1536"/>
      <c r="E275" s="1536"/>
      <c r="F275" s="1536"/>
      <c r="G275" s="1536"/>
      <c r="H275" s="1235"/>
      <c r="I275" s="1536"/>
      <c r="J275" s="1536"/>
      <c r="K275" s="1537"/>
      <c r="L275" s="1235"/>
      <c r="M275" s="1236"/>
      <c r="N275" s="2594"/>
      <c r="O275" s="1628"/>
      <c r="P275" s="1536"/>
      <c r="Q275" s="1536"/>
      <c r="R275" s="1567"/>
    </row>
    <row r="276" spans="1:18">
      <c r="A276" s="1881"/>
      <c r="B276" s="1913"/>
      <c r="C276" s="1536"/>
      <c r="D276" s="1536"/>
      <c r="E276" s="1536"/>
      <c r="F276" s="1536"/>
      <c r="G276" s="1536"/>
      <c r="H276" s="1235"/>
      <c r="I276" s="1235"/>
      <c r="J276" s="1235"/>
      <c r="K276" s="1537"/>
      <c r="L276" s="1235"/>
      <c r="M276" s="1236"/>
      <c r="N276" s="2334"/>
      <c r="O276" s="1628"/>
      <c r="P276" s="1536"/>
      <c r="Q276" s="1536"/>
      <c r="R276" s="1567"/>
    </row>
    <row r="277" spans="1:18">
      <c r="A277" s="1881"/>
      <c r="B277" s="1913"/>
      <c r="C277" s="1536"/>
      <c r="D277" s="1536"/>
      <c r="E277" s="1536"/>
      <c r="F277" s="1536"/>
      <c r="G277" s="1536"/>
      <c r="H277" s="1235"/>
      <c r="I277" s="1536"/>
      <c r="J277" s="1536"/>
      <c r="K277" s="1537"/>
      <c r="L277" s="1235"/>
      <c r="M277" s="1236"/>
      <c r="N277" s="2333"/>
      <c r="O277" s="1628"/>
      <c r="P277" s="1536"/>
      <c r="Q277" s="1536"/>
      <c r="R277" s="1567"/>
    </row>
    <row r="278" spans="1:18">
      <c r="A278" s="1881"/>
      <c r="B278" s="1913"/>
      <c r="C278" s="1536"/>
      <c r="D278" s="1536"/>
      <c r="E278" s="1536"/>
      <c r="F278" s="1536"/>
      <c r="G278" s="1536"/>
      <c r="H278" s="1235"/>
      <c r="I278" s="1536"/>
      <c r="J278" s="1536"/>
      <c r="K278" s="1537"/>
      <c r="L278" s="1235"/>
      <c r="M278" s="1236"/>
      <c r="N278" s="2594"/>
      <c r="O278" s="1628"/>
      <c r="P278" s="1536"/>
      <c r="Q278" s="1536"/>
      <c r="R278" s="1567"/>
    </row>
    <row r="279" spans="1:18">
      <c r="A279" s="1881"/>
      <c r="B279" s="1913"/>
      <c r="C279" s="1536"/>
      <c r="D279" s="1536"/>
      <c r="E279" s="1536"/>
      <c r="F279" s="1536"/>
      <c r="G279" s="1536"/>
      <c r="H279" s="1235"/>
      <c r="I279" s="1536"/>
      <c r="J279" s="1536"/>
      <c r="K279" s="1537"/>
      <c r="L279" s="1235"/>
      <c r="M279" s="1236"/>
      <c r="N279" s="2334"/>
      <c r="O279" s="1628"/>
      <c r="P279" s="1536"/>
      <c r="Q279" s="1536"/>
      <c r="R279" s="1567"/>
    </row>
    <row r="280" spans="1:18">
      <c r="A280" s="1881"/>
      <c r="B280" s="1913"/>
      <c r="C280" s="1536"/>
      <c r="D280" s="1536"/>
      <c r="E280" s="1536"/>
      <c r="F280" s="1536"/>
      <c r="G280" s="1536"/>
      <c r="H280" s="1235"/>
      <c r="I280" s="1536"/>
      <c r="J280" s="1536"/>
      <c r="K280" s="1537"/>
      <c r="L280" s="1235"/>
      <c r="M280" s="1236"/>
      <c r="N280" s="2333"/>
      <c r="O280" s="1628"/>
      <c r="P280" s="1536"/>
      <c r="Q280" s="1536"/>
      <c r="R280" s="1567"/>
    </row>
    <row r="281" spans="1:18">
      <c r="A281" s="1881"/>
      <c r="B281" s="1913"/>
      <c r="C281" s="1536"/>
      <c r="D281" s="1536"/>
      <c r="E281" s="1536"/>
      <c r="F281" s="1536"/>
      <c r="G281" s="1536"/>
      <c r="H281" s="1235"/>
      <c r="I281" s="1235"/>
      <c r="J281" s="1235"/>
      <c r="K281" s="1537"/>
      <c r="L281" s="1235"/>
      <c r="M281" s="1236"/>
      <c r="N281" s="2594"/>
      <c r="O281" s="1628"/>
      <c r="P281" s="1536"/>
      <c r="Q281" s="1536"/>
      <c r="R281" s="1567"/>
    </row>
    <row r="282" spans="1:18">
      <c r="A282" s="1881"/>
      <c r="B282" s="1913"/>
      <c r="C282" s="1536"/>
      <c r="D282" s="1536"/>
      <c r="E282" s="1536"/>
      <c r="F282" s="1536"/>
      <c r="G282" s="1536"/>
      <c r="H282" s="1235"/>
      <c r="I282" s="1536"/>
      <c r="J282" s="1536"/>
      <c r="K282" s="1537"/>
      <c r="L282" s="1235"/>
      <c r="M282" s="1236"/>
      <c r="N282" s="2594"/>
      <c r="O282" s="1628"/>
      <c r="P282" s="1536"/>
      <c r="Q282" s="1536"/>
      <c r="R282" s="1567"/>
    </row>
    <row r="283" spans="1:18">
      <c r="A283" s="1881"/>
      <c r="B283" s="1913"/>
      <c r="C283" s="1536"/>
      <c r="D283" s="1536"/>
      <c r="E283" s="1536"/>
      <c r="F283" s="1536"/>
      <c r="G283" s="1536"/>
      <c r="H283" s="1235"/>
      <c r="I283" s="1536"/>
      <c r="J283" s="1536"/>
      <c r="K283" s="1537"/>
      <c r="L283" s="1235"/>
      <c r="M283" s="1236"/>
      <c r="N283" s="2334"/>
      <c r="O283" s="1628"/>
      <c r="P283" s="1536"/>
      <c r="Q283" s="1536"/>
      <c r="R283" s="1567"/>
    </row>
    <row r="284" spans="1:18">
      <c r="A284" s="1881"/>
      <c r="B284" s="1913"/>
      <c r="C284" s="1536"/>
      <c r="D284" s="1536"/>
      <c r="E284" s="1536"/>
      <c r="F284" s="1536"/>
      <c r="G284" s="1536"/>
      <c r="H284" s="1235"/>
      <c r="I284" s="1536"/>
      <c r="J284" s="1536"/>
      <c r="K284" s="1537"/>
      <c r="L284" s="1235"/>
      <c r="M284" s="1236"/>
      <c r="N284" s="2333"/>
      <c r="O284" s="1628"/>
      <c r="P284" s="1536"/>
      <c r="Q284" s="1536"/>
      <c r="R284" s="1567"/>
    </row>
    <row r="285" spans="1:18">
      <c r="A285" s="1881"/>
      <c r="B285" s="1913"/>
      <c r="C285" s="1536"/>
      <c r="D285" s="1536"/>
      <c r="E285" s="1536"/>
      <c r="F285" s="1536"/>
      <c r="G285" s="1536"/>
      <c r="H285" s="1235"/>
      <c r="I285" s="1536"/>
      <c r="J285" s="1536"/>
      <c r="K285" s="1537"/>
      <c r="L285" s="1235"/>
      <c r="M285" s="1236"/>
      <c r="N285" s="2594"/>
      <c r="O285" s="1628"/>
      <c r="P285" s="1536"/>
      <c r="Q285" s="1536"/>
      <c r="R285" s="1567"/>
    </row>
    <row r="286" spans="1:18">
      <c r="A286" s="1881"/>
      <c r="B286" s="1913"/>
      <c r="C286" s="1536"/>
      <c r="D286" s="1536"/>
      <c r="E286" s="1536"/>
      <c r="F286" s="1536"/>
      <c r="G286" s="1536"/>
      <c r="H286" s="1235"/>
      <c r="I286" s="1235"/>
      <c r="J286" s="1235"/>
      <c r="K286" s="1537"/>
      <c r="L286" s="1235"/>
      <c r="M286" s="1236"/>
      <c r="N286" s="2594"/>
      <c r="O286" s="1628"/>
      <c r="P286" s="1536"/>
      <c r="Q286" s="1536"/>
      <c r="R286" s="1567"/>
    </row>
    <row r="287" spans="1:18">
      <c r="A287" s="1881"/>
      <c r="B287" s="1913"/>
      <c r="C287" s="1536"/>
      <c r="D287" s="1536"/>
      <c r="E287" s="1536"/>
      <c r="F287" s="1536"/>
      <c r="G287" s="1536"/>
      <c r="H287" s="1235"/>
      <c r="I287" s="1536"/>
      <c r="J287" s="1536"/>
      <c r="K287" s="1537"/>
      <c r="L287" s="1235"/>
      <c r="M287" s="1236"/>
      <c r="N287" s="2334"/>
      <c r="O287" s="1628"/>
      <c r="P287" s="1536"/>
      <c r="Q287" s="1536"/>
      <c r="R287" s="1567"/>
    </row>
    <row r="288" spans="1:18">
      <c r="A288" s="1881"/>
      <c r="B288" s="1913"/>
      <c r="C288" s="1536"/>
      <c r="D288" s="1536"/>
      <c r="E288" s="1536"/>
      <c r="F288" s="1536"/>
      <c r="G288" s="1536"/>
      <c r="H288" s="1235"/>
      <c r="I288" s="1536"/>
      <c r="J288" s="1536"/>
      <c r="K288" s="1537"/>
      <c r="L288" s="1235"/>
      <c r="M288" s="1236"/>
      <c r="N288" s="2333"/>
      <c r="O288" s="1628"/>
      <c r="P288" s="1536"/>
      <c r="Q288" s="1536"/>
      <c r="R288" s="1567"/>
    </row>
    <row r="289" spans="1:18">
      <c r="A289" s="1888"/>
      <c r="B289" s="2212"/>
      <c r="C289" s="1538"/>
      <c r="D289" s="1538"/>
      <c r="E289" s="1538"/>
      <c r="F289" s="1538"/>
      <c r="G289" s="1538"/>
      <c r="H289" s="1535"/>
      <c r="I289" s="1538"/>
      <c r="J289" s="1538"/>
      <c r="K289" s="1556"/>
      <c r="L289" s="1535"/>
      <c r="M289" s="1872"/>
      <c r="N289" s="2594"/>
      <c r="O289" s="1632"/>
      <c r="P289" s="1538"/>
      <c r="Q289" s="1538"/>
      <c r="R289" s="1592"/>
    </row>
    <row r="290" spans="1:18">
      <c r="A290" s="1923"/>
      <c r="B290" s="2213"/>
      <c r="C290" s="1924"/>
      <c r="D290" s="1924"/>
      <c r="E290" s="1924"/>
      <c r="F290" s="1924"/>
      <c r="G290" s="1924"/>
      <c r="H290" s="1925"/>
      <c r="I290" s="1924"/>
      <c r="J290" s="1924"/>
      <c r="K290" s="1926"/>
      <c r="L290" s="1925"/>
      <c r="M290" s="1927"/>
      <c r="N290" s="2593"/>
      <c r="O290" s="1928"/>
      <c r="P290" s="1924"/>
      <c r="Q290" s="1924"/>
      <c r="R290" s="1929"/>
    </row>
    <row r="291" spans="1:18" ht="16.2" thickBot="1">
      <c r="A291" s="1930"/>
      <c r="B291" s="2214"/>
      <c r="C291" s="1553"/>
      <c r="D291" s="1553"/>
      <c r="E291" s="1553"/>
      <c r="F291" s="1553"/>
      <c r="G291" s="1553"/>
      <c r="H291" s="1543"/>
      <c r="I291" s="1553"/>
      <c r="J291" s="1553"/>
      <c r="K291" s="1554"/>
      <c r="L291" s="1543"/>
      <c r="M291" s="1877"/>
      <c r="N291" s="2598"/>
      <c r="O291" s="1629"/>
      <c r="P291" s="1553"/>
      <c r="Q291" s="1553"/>
      <c r="R291" s="1931"/>
    </row>
    <row r="292" spans="1:18" ht="15.6" customHeight="1">
      <c r="A292" s="1932"/>
      <c r="B292" s="2208"/>
      <c r="C292" s="1552"/>
      <c r="D292" s="1552"/>
      <c r="E292" s="1552"/>
      <c r="F292" s="1552"/>
      <c r="G292" s="1552"/>
      <c r="H292" s="1539"/>
      <c r="I292" s="1912"/>
      <c r="J292" s="1912"/>
      <c r="K292" s="1555"/>
      <c r="L292" s="1539"/>
      <c r="M292" s="1873"/>
      <c r="N292" s="2594"/>
      <c r="O292" s="1633"/>
      <c r="P292" s="1552"/>
      <c r="Q292" s="1552"/>
      <c r="R292" s="1698"/>
    </row>
    <row r="293" spans="1:18" ht="15.6" customHeight="1">
      <c r="A293" s="1881"/>
      <c r="B293" s="2204"/>
      <c r="C293" s="1536"/>
      <c r="D293" s="1536"/>
      <c r="E293" s="1536"/>
      <c r="F293" s="1536"/>
      <c r="G293" s="1536"/>
      <c r="H293" s="1235"/>
      <c r="I293" s="1913"/>
      <c r="J293" s="1913"/>
      <c r="K293" s="1555"/>
      <c r="L293" s="1539"/>
      <c r="M293" s="1236"/>
      <c r="N293" s="2594"/>
      <c r="O293" s="1628"/>
      <c r="P293" s="1536"/>
      <c r="Q293" s="1536"/>
      <c r="R293" s="1567"/>
    </row>
    <row r="294" spans="1:18" ht="15.6" customHeight="1">
      <c r="A294" s="1881"/>
      <c r="B294" s="2204"/>
      <c r="C294" s="1536"/>
      <c r="D294" s="1536"/>
      <c r="E294" s="1536"/>
      <c r="F294" s="1536"/>
      <c r="G294" s="1536"/>
      <c r="H294" s="1235"/>
      <c r="I294" s="1913"/>
      <c r="J294" s="1913"/>
      <c r="K294" s="1555"/>
      <c r="L294" s="1539"/>
      <c r="M294" s="1236"/>
      <c r="N294" s="2594"/>
      <c r="O294" s="1628"/>
      <c r="P294" s="1536"/>
      <c r="Q294" s="1536"/>
      <c r="R294" s="1567"/>
    </row>
    <row r="295" spans="1:18">
      <c r="A295" s="1881"/>
      <c r="B295" s="2204"/>
      <c r="C295" s="1536"/>
      <c r="D295" s="1536"/>
      <c r="E295" s="1536"/>
      <c r="F295" s="1536"/>
      <c r="G295" s="1536"/>
      <c r="H295" s="1235"/>
      <c r="I295" s="2622"/>
      <c r="J295" s="2623"/>
      <c r="K295" s="1555"/>
      <c r="L295" s="1539"/>
      <c r="M295" s="1236"/>
      <c r="N295" s="2334"/>
      <c r="O295" s="1628"/>
      <c r="P295" s="1536"/>
      <c r="Q295" s="1536"/>
      <c r="R295" s="1567"/>
    </row>
    <row r="296" spans="1:18">
      <c r="A296" s="1881"/>
      <c r="B296" s="2204"/>
      <c r="C296" s="1536"/>
      <c r="D296" s="1536"/>
      <c r="E296" s="1536"/>
      <c r="F296" s="1536"/>
      <c r="G296" s="1536"/>
      <c r="H296" s="1235"/>
      <c r="I296" s="1913"/>
      <c r="J296" s="1913"/>
      <c r="K296" s="1555"/>
      <c r="L296" s="1539"/>
      <c r="M296" s="1236"/>
      <c r="N296" s="2333"/>
      <c r="O296" s="1628"/>
      <c r="P296" s="1536"/>
      <c r="Q296" s="1536"/>
      <c r="R296" s="1567"/>
    </row>
    <row r="297" spans="1:18">
      <c r="A297" s="1881"/>
      <c r="B297" s="2204"/>
      <c r="C297" s="1536"/>
      <c r="D297" s="1536"/>
      <c r="E297" s="1536"/>
      <c r="F297" s="1536"/>
      <c r="G297" s="1536"/>
      <c r="H297" s="1235"/>
      <c r="I297" s="1913"/>
      <c r="J297" s="1913"/>
      <c r="K297" s="1555"/>
      <c r="L297" s="1539"/>
      <c r="M297" s="1236"/>
      <c r="N297" s="2594"/>
      <c r="O297" s="1628"/>
      <c r="P297" s="1536"/>
      <c r="Q297" s="1536"/>
      <c r="R297" s="1567"/>
    </row>
    <row r="298" spans="1:18">
      <c r="A298" s="1881"/>
      <c r="B298" s="2204"/>
      <c r="C298" s="1536"/>
      <c r="D298" s="1536"/>
      <c r="E298" s="1536"/>
      <c r="F298" s="1536"/>
      <c r="G298" s="1536"/>
      <c r="H298" s="1235"/>
      <c r="I298" s="1913"/>
      <c r="J298" s="1913"/>
      <c r="K298" s="1555"/>
      <c r="L298" s="1539"/>
      <c r="M298" s="1236"/>
      <c r="N298" s="2334"/>
      <c r="O298" s="1628"/>
      <c r="P298" s="1536"/>
      <c r="Q298" s="1536"/>
      <c r="R298" s="1567"/>
    </row>
    <row r="299" spans="1:18">
      <c r="A299" s="1881"/>
      <c r="B299" s="2204"/>
      <c r="C299" s="1536"/>
      <c r="D299" s="1536"/>
      <c r="E299" s="1536"/>
      <c r="F299" s="1536"/>
      <c r="G299" s="1536"/>
      <c r="H299" s="1235"/>
      <c r="I299" s="1913"/>
      <c r="J299" s="1913"/>
      <c r="K299" s="1555"/>
      <c r="L299" s="1539"/>
      <c r="M299" s="1236"/>
      <c r="N299" s="2333"/>
      <c r="O299" s="1628"/>
      <c r="P299" s="1536"/>
      <c r="Q299" s="1536"/>
      <c r="R299" s="1567"/>
    </row>
    <row r="300" spans="1:18">
      <c r="A300" s="1881"/>
      <c r="B300" s="2204"/>
      <c r="C300" s="1536"/>
      <c r="D300" s="1536"/>
      <c r="E300" s="1536"/>
      <c r="F300" s="1536"/>
      <c r="G300" s="1536"/>
      <c r="H300" s="1235"/>
      <c r="I300" s="2622"/>
      <c r="J300" s="2623"/>
      <c r="K300" s="1555"/>
      <c r="L300" s="1539"/>
      <c r="M300" s="1236"/>
      <c r="N300" s="2594"/>
      <c r="O300" s="1628"/>
      <c r="P300" s="1536"/>
      <c r="Q300" s="1536"/>
      <c r="R300" s="1567"/>
    </row>
    <row r="301" spans="1:18">
      <c r="A301" s="1881"/>
      <c r="B301" s="2204"/>
      <c r="C301" s="1536"/>
      <c r="D301" s="1536"/>
      <c r="E301" s="1536"/>
      <c r="F301" s="1536"/>
      <c r="G301" s="1536"/>
      <c r="H301" s="1235"/>
      <c r="I301" s="1913"/>
      <c r="J301" s="1913"/>
      <c r="K301" s="1555"/>
      <c r="L301" s="1539"/>
      <c r="M301" s="1236"/>
      <c r="N301" s="2594"/>
      <c r="O301" s="1628"/>
      <c r="P301" s="1536"/>
      <c r="Q301" s="1536"/>
      <c r="R301" s="1567"/>
    </row>
    <row r="302" spans="1:18">
      <c r="A302" s="1881"/>
      <c r="B302" s="2204"/>
      <c r="C302" s="1536"/>
      <c r="D302" s="1536"/>
      <c r="E302" s="1536"/>
      <c r="F302" s="1536"/>
      <c r="G302" s="1536"/>
      <c r="H302" s="1235"/>
      <c r="I302" s="1913"/>
      <c r="J302" s="1913"/>
      <c r="K302" s="1555"/>
      <c r="L302" s="1539"/>
      <c r="M302" s="1236"/>
      <c r="N302" s="2334"/>
      <c r="O302" s="1628"/>
      <c r="P302" s="1536"/>
      <c r="Q302" s="1536"/>
      <c r="R302" s="1567"/>
    </row>
    <row r="303" spans="1:18">
      <c r="A303" s="1881"/>
      <c r="B303" s="2204"/>
      <c r="C303" s="1536"/>
      <c r="D303" s="1536"/>
      <c r="E303" s="1536"/>
      <c r="F303" s="1536"/>
      <c r="G303" s="1536"/>
      <c r="H303" s="1235"/>
      <c r="I303" s="1913"/>
      <c r="J303" s="1913"/>
      <c r="K303" s="1555"/>
      <c r="L303" s="1539"/>
      <c r="M303" s="1236"/>
      <c r="N303" s="2333"/>
      <c r="O303" s="1628"/>
      <c r="P303" s="1536"/>
      <c r="Q303" s="1536"/>
      <c r="R303" s="1567"/>
    </row>
    <row r="304" spans="1:18">
      <c r="A304" s="1881"/>
      <c r="B304" s="2204"/>
      <c r="C304" s="1536"/>
      <c r="D304" s="1536"/>
      <c r="E304" s="1536"/>
      <c r="F304" s="1536"/>
      <c r="G304" s="1536"/>
      <c r="H304" s="1235"/>
      <c r="I304" s="1913"/>
      <c r="J304" s="1913"/>
      <c r="K304" s="1555"/>
      <c r="L304" s="1539"/>
      <c r="M304" s="1236"/>
      <c r="N304" s="2594"/>
      <c r="O304" s="1628"/>
      <c r="P304" s="1536"/>
      <c r="Q304" s="1536"/>
      <c r="R304" s="1567"/>
    </row>
    <row r="305" spans="1:18">
      <c r="A305" s="1881"/>
      <c r="B305" s="2204"/>
      <c r="C305" s="1536"/>
      <c r="D305" s="1536"/>
      <c r="E305" s="1536"/>
      <c r="F305" s="1536"/>
      <c r="G305" s="1536"/>
      <c r="H305" s="1235"/>
      <c r="I305" s="1913"/>
      <c r="J305" s="1913"/>
      <c r="K305" s="1555"/>
      <c r="L305" s="1539"/>
      <c r="M305" s="1236"/>
      <c r="N305" s="2334"/>
      <c r="O305" s="1628"/>
      <c r="P305" s="1536"/>
      <c r="Q305" s="1536"/>
      <c r="R305" s="1567"/>
    </row>
    <row r="306" spans="1:18">
      <c r="A306" s="1881"/>
      <c r="B306" s="2204"/>
      <c r="C306" s="1536"/>
      <c r="D306" s="1536"/>
      <c r="E306" s="1536"/>
      <c r="F306" s="1536"/>
      <c r="G306" s="1536"/>
      <c r="H306" s="1235"/>
      <c r="I306" s="1913"/>
      <c r="J306" s="1913"/>
      <c r="K306" s="1555"/>
      <c r="L306" s="1539"/>
      <c r="M306" s="1236"/>
      <c r="N306" s="2333"/>
      <c r="O306" s="1628"/>
      <c r="P306" s="1536"/>
      <c r="Q306" s="1536"/>
      <c r="R306" s="1567"/>
    </row>
    <row r="307" spans="1:18">
      <c r="A307" s="1881"/>
      <c r="B307" s="2204"/>
      <c r="C307" s="1536"/>
      <c r="D307" s="1536"/>
      <c r="E307" s="1536"/>
      <c r="F307" s="1536"/>
      <c r="G307" s="1536"/>
      <c r="H307" s="1235"/>
      <c r="I307" s="1913"/>
      <c r="J307" s="1913"/>
      <c r="K307" s="1555"/>
      <c r="L307" s="1539"/>
      <c r="M307" s="1236"/>
      <c r="N307" s="2334"/>
      <c r="O307" s="1628"/>
      <c r="P307" s="1536"/>
      <c r="Q307" s="1536"/>
      <c r="R307" s="1567"/>
    </row>
    <row r="308" spans="1:18">
      <c r="A308" s="1881"/>
      <c r="B308" s="2204"/>
      <c r="C308" s="1536"/>
      <c r="D308" s="1536"/>
      <c r="E308" s="1536"/>
      <c r="F308" s="1536"/>
      <c r="G308" s="1536"/>
      <c r="H308" s="1235"/>
      <c r="I308" s="1913"/>
      <c r="J308" s="1913"/>
      <c r="K308" s="1555"/>
      <c r="L308" s="1539"/>
      <c r="M308" s="1236"/>
      <c r="N308" s="2333"/>
      <c r="O308" s="1628"/>
      <c r="P308" s="1536"/>
      <c r="Q308" s="1536"/>
      <c r="R308" s="1567"/>
    </row>
    <row r="309" spans="1:18">
      <c r="A309" s="1881"/>
      <c r="B309" s="2204"/>
      <c r="C309" s="1536"/>
      <c r="D309" s="1536"/>
      <c r="E309" s="1536"/>
      <c r="F309" s="1536"/>
      <c r="G309" s="1536"/>
      <c r="H309" s="1235"/>
      <c r="I309" s="1913"/>
      <c r="J309" s="1913"/>
      <c r="K309" s="1555"/>
      <c r="L309" s="1539"/>
      <c r="M309" s="1236"/>
      <c r="N309" s="2594"/>
      <c r="O309" s="1628"/>
      <c r="P309" s="1536"/>
      <c r="Q309" s="1536"/>
      <c r="R309" s="1567"/>
    </row>
    <row r="310" spans="1:18">
      <c r="A310" s="1881"/>
      <c r="B310" s="2204"/>
      <c r="C310" s="1536"/>
      <c r="D310" s="1536"/>
      <c r="E310" s="1536"/>
      <c r="F310" s="1536"/>
      <c r="G310" s="1536"/>
      <c r="H310" s="1235"/>
      <c r="I310" s="2622"/>
      <c r="J310" s="2623"/>
      <c r="K310" s="1555"/>
      <c r="L310" s="1539"/>
      <c r="M310" s="1236"/>
      <c r="N310" s="2594"/>
      <c r="O310" s="1628"/>
      <c r="P310" s="1536"/>
      <c r="Q310" s="1536"/>
      <c r="R310" s="1567"/>
    </row>
    <row r="311" spans="1:18">
      <c r="A311" s="1881"/>
      <c r="B311" s="2204"/>
      <c r="C311" s="1536"/>
      <c r="D311" s="1536"/>
      <c r="E311" s="1536"/>
      <c r="F311" s="1536"/>
      <c r="G311" s="1536"/>
      <c r="H311" s="1235"/>
      <c r="I311" s="1913"/>
      <c r="J311" s="1913"/>
      <c r="K311" s="1555"/>
      <c r="L311" s="1539"/>
      <c r="M311" s="1236"/>
      <c r="N311" s="2594"/>
      <c r="O311" s="1628"/>
      <c r="P311" s="1536"/>
      <c r="Q311" s="1536"/>
      <c r="R311" s="1567"/>
    </row>
    <row r="312" spans="1:18">
      <c r="A312" s="1881"/>
      <c r="B312" s="2204"/>
      <c r="C312" s="1536"/>
      <c r="D312" s="1536"/>
      <c r="E312" s="1536"/>
      <c r="F312" s="1536"/>
      <c r="G312" s="1536"/>
      <c r="H312" s="1235"/>
      <c r="I312" s="1913"/>
      <c r="J312" s="1913"/>
      <c r="K312" s="1555"/>
      <c r="L312" s="1539"/>
      <c r="M312" s="1236"/>
      <c r="N312" s="2334"/>
      <c r="O312" s="1628"/>
      <c r="P312" s="1536"/>
      <c r="Q312" s="1536"/>
      <c r="R312" s="1567"/>
    </row>
    <row r="313" spans="1:18">
      <c r="A313" s="1881"/>
      <c r="B313" s="2204"/>
      <c r="C313" s="1536"/>
      <c r="D313" s="1536"/>
      <c r="E313" s="1536"/>
      <c r="F313" s="1536"/>
      <c r="G313" s="1536"/>
      <c r="H313" s="1235"/>
      <c r="I313" s="1536"/>
      <c r="J313" s="1536"/>
      <c r="K313" s="1555"/>
      <c r="L313" s="1235"/>
      <c r="M313" s="1236"/>
      <c r="N313" s="2333"/>
      <c r="O313" s="1628"/>
      <c r="P313" s="1536"/>
      <c r="Q313" s="1536"/>
      <c r="R313" s="1567"/>
    </row>
    <row r="314" spans="1:18">
      <c r="A314" s="1881"/>
      <c r="B314" s="2204"/>
      <c r="C314" s="1536"/>
      <c r="D314" s="1536"/>
      <c r="E314" s="1536"/>
      <c r="F314" s="1536"/>
      <c r="G314" s="1536"/>
      <c r="H314" s="1235"/>
      <c r="I314" s="1536"/>
      <c r="J314" s="1536"/>
      <c r="K314" s="1555"/>
      <c r="L314" s="1235"/>
      <c r="M314" s="1236"/>
      <c r="N314" s="2334"/>
      <c r="O314" s="1628"/>
      <c r="P314" s="1536"/>
      <c r="Q314" s="1536"/>
      <c r="R314" s="1567"/>
    </row>
    <row r="315" spans="1:18">
      <c r="A315" s="1881"/>
      <c r="B315" s="2204"/>
      <c r="C315" s="1536"/>
      <c r="D315" s="1536"/>
      <c r="E315" s="1536"/>
      <c r="F315" s="1536"/>
      <c r="G315" s="1536"/>
      <c r="H315" s="1235"/>
      <c r="I315" s="1536"/>
      <c r="J315" s="1536"/>
      <c r="K315" s="1555"/>
      <c r="L315" s="1235"/>
      <c r="M315" s="1236"/>
      <c r="N315" s="2333"/>
      <c r="O315" s="1628"/>
      <c r="P315" s="1536"/>
      <c r="Q315" s="1536"/>
      <c r="R315" s="1567"/>
    </row>
    <row r="316" spans="1:18">
      <c r="A316" s="1881"/>
      <c r="B316" s="2204"/>
      <c r="C316" s="1536"/>
      <c r="D316" s="1536"/>
      <c r="E316" s="1536"/>
      <c r="F316" s="1536"/>
      <c r="G316" s="1536"/>
      <c r="H316" s="1235"/>
      <c r="I316" s="1708"/>
      <c r="J316" s="1709"/>
      <c r="K316" s="1555"/>
      <c r="L316" s="1235"/>
      <c r="M316" s="1236"/>
      <c r="N316" s="2594"/>
      <c r="O316" s="1628"/>
      <c r="P316" s="1536"/>
      <c r="Q316" s="1536"/>
      <c r="R316" s="1567"/>
    </row>
    <row r="317" spans="1:18">
      <c r="A317" s="1881"/>
      <c r="B317" s="2204"/>
      <c r="C317" s="1536"/>
      <c r="D317" s="1536"/>
      <c r="E317" s="1536"/>
      <c r="F317" s="1536"/>
      <c r="G317" s="1536"/>
      <c r="H317" s="1235"/>
      <c r="I317" s="1536"/>
      <c r="J317" s="1536"/>
      <c r="K317" s="1555"/>
      <c r="L317" s="1235"/>
      <c r="M317" s="1236"/>
      <c r="N317" s="2334"/>
      <c r="O317" s="1628"/>
      <c r="P317" s="1536"/>
      <c r="Q317" s="1536"/>
      <c r="R317" s="1567"/>
    </row>
    <row r="318" spans="1:18">
      <c r="A318" s="1881"/>
      <c r="B318" s="2204"/>
      <c r="C318" s="1536"/>
      <c r="D318" s="1536"/>
      <c r="E318" s="1536"/>
      <c r="F318" s="1536"/>
      <c r="G318" s="1536"/>
      <c r="H318" s="1235"/>
      <c r="I318" s="1536"/>
      <c r="J318" s="1536"/>
      <c r="K318" s="1555"/>
      <c r="L318" s="1235"/>
      <c r="M318" s="1236"/>
      <c r="N318" s="2333"/>
      <c r="O318" s="1628"/>
      <c r="P318" s="1536"/>
      <c r="Q318" s="1536"/>
      <c r="R318" s="1567"/>
    </row>
    <row r="319" spans="1:18">
      <c r="A319" s="1881"/>
      <c r="B319" s="2204"/>
      <c r="C319" s="1536"/>
      <c r="D319" s="1536"/>
      <c r="E319" s="1536"/>
      <c r="F319" s="1536"/>
      <c r="G319" s="1536"/>
      <c r="H319" s="1235"/>
      <c r="I319" s="1536"/>
      <c r="J319" s="1536"/>
      <c r="K319" s="1555"/>
      <c r="L319" s="1235"/>
      <c r="M319" s="1236"/>
      <c r="N319" s="2334"/>
      <c r="O319" s="1628"/>
      <c r="P319" s="1536"/>
      <c r="Q319" s="1536"/>
      <c r="R319" s="1567"/>
    </row>
    <row r="320" spans="1:18">
      <c r="A320" s="1881"/>
      <c r="B320" s="2204"/>
      <c r="C320" s="1536"/>
      <c r="D320" s="1536"/>
      <c r="E320" s="1536"/>
      <c r="F320" s="1536"/>
      <c r="G320" s="1536"/>
      <c r="H320" s="1235"/>
      <c r="I320" s="1536"/>
      <c r="J320" s="1536"/>
      <c r="K320" s="1555"/>
      <c r="L320" s="1235"/>
      <c r="M320" s="1236"/>
      <c r="N320" s="2333"/>
      <c r="O320" s="1628"/>
      <c r="P320" s="1536"/>
      <c r="Q320" s="1536"/>
      <c r="R320" s="1567"/>
    </row>
    <row r="321" spans="1:18">
      <c r="A321" s="1881"/>
      <c r="B321" s="2204"/>
      <c r="C321" s="1536"/>
      <c r="D321" s="1536"/>
      <c r="E321" s="1536"/>
      <c r="F321" s="1536"/>
      <c r="G321" s="1536"/>
      <c r="H321" s="1235"/>
      <c r="I321" s="1536"/>
      <c r="J321" s="1536"/>
      <c r="K321" s="1555"/>
      <c r="L321" s="1235"/>
      <c r="M321" s="1236"/>
      <c r="N321" s="2334"/>
      <c r="O321" s="1628"/>
      <c r="P321" s="1536"/>
      <c r="Q321" s="1536"/>
      <c r="R321" s="1567"/>
    </row>
    <row r="322" spans="1:18">
      <c r="A322" s="1881"/>
      <c r="B322" s="2204"/>
      <c r="C322" s="1536"/>
      <c r="D322" s="1536"/>
      <c r="E322" s="1536"/>
      <c r="F322" s="1536"/>
      <c r="G322" s="1536"/>
      <c r="H322" s="1235"/>
      <c r="I322" s="1536"/>
      <c r="J322" s="1536"/>
      <c r="K322" s="1555"/>
      <c r="L322" s="1235"/>
      <c r="M322" s="1236"/>
      <c r="N322" s="2333"/>
      <c r="O322" s="1628"/>
      <c r="P322" s="1536"/>
      <c r="Q322" s="1536"/>
      <c r="R322" s="1567"/>
    </row>
    <row r="323" spans="1:18">
      <c r="A323" s="1881"/>
      <c r="B323" s="2204"/>
      <c r="C323" s="1536"/>
      <c r="D323" s="1536"/>
      <c r="E323" s="1536"/>
      <c r="F323" s="1536"/>
      <c r="G323" s="1536"/>
      <c r="H323" s="1235"/>
      <c r="I323" s="1536"/>
      <c r="J323" s="1536"/>
      <c r="K323" s="1555"/>
      <c r="L323" s="1235"/>
      <c r="M323" s="1236"/>
      <c r="N323" s="2334"/>
      <c r="O323" s="1628"/>
      <c r="P323" s="1536"/>
      <c r="Q323" s="1536"/>
      <c r="R323" s="1567"/>
    </row>
    <row r="324" spans="1:18">
      <c r="A324" s="1881"/>
      <c r="B324" s="2204"/>
      <c r="C324" s="1536"/>
      <c r="D324" s="1536"/>
      <c r="E324" s="1536"/>
      <c r="F324" s="1536"/>
      <c r="G324" s="1536"/>
      <c r="H324" s="1235"/>
      <c r="I324" s="1536"/>
      <c r="J324" s="1536"/>
      <c r="K324" s="1555"/>
      <c r="L324" s="1235"/>
      <c r="M324" s="1236"/>
      <c r="N324" s="2333"/>
      <c r="O324" s="1628"/>
      <c r="P324" s="1536"/>
      <c r="Q324" s="1536"/>
      <c r="R324" s="1567"/>
    </row>
    <row r="325" spans="1:18">
      <c r="A325" s="1881"/>
      <c r="B325" s="2204"/>
      <c r="C325" s="1536"/>
      <c r="D325" s="1536"/>
      <c r="E325" s="1536"/>
      <c r="F325" s="1536"/>
      <c r="G325" s="1536"/>
      <c r="H325" s="1235"/>
      <c r="I325" s="1536"/>
      <c r="J325" s="1536"/>
      <c r="K325" s="1555"/>
      <c r="L325" s="1235"/>
      <c r="M325" s="1236"/>
      <c r="N325" s="2594"/>
      <c r="O325" s="1628"/>
      <c r="P325" s="1536"/>
      <c r="Q325" s="1536"/>
      <c r="R325" s="1567"/>
    </row>
    <row r="326" spans="1:18">
      <c r="A326" s="1888"/>
      <c r="B326" s="2209"/>
      <c r="C326" s="1538"/>
      <c r="D326" s="1538"/>
      <c r="E326" s="1538"/>
      <c r="F326" s="1538"/>
      <c r="G326" s="1538"/>
      <c r="H326" s="1535"/>
      <c r="I326" s="2012"/>
      <c r="J326" s="2236"/>
      <c r="K326" s="1933"/>
      <c r="L326" s="1535"/>
      <c r="M326" s="1872"/>
      <c r="N326" s="2594"/>
      <c r="O326" s="1632"/>
      <c r="P326" s="1538"/>
      <c r="Q326" s="1538"/>
      <c r="R326" s="1592"/>
    </row>
    <row r="327" spans="1:18">
      <c r="A327" s="1923"/>
      <c r="B327" s="2211"/>
      <c r="C327" s="1924"/>
      <c r="D327" s="1924"/>
      <c r="E327" s="1924"/>
      <c r="F327" s="1924"/>
      <c r="G327" s="1924"/>
      <c r="H327" s="1925"/>
      <c r="I327" s="1924"/>
      <c r="J327" s="1924"/>
      <c r="K327" s="1926"/>
      <c r="L327" s="1925"/>
      <c r="M327" s="1927"/>
      <c r="N327" s="2593"/>
      <c r="O327" s="1928"/>
      <c r="P327" s="1924"/>
      <c r="Q327" s="1924"/>
      <c r="R327" s="1929"/>
    </row>
    <row r="328" spans="1:18" ht="16.2" thickBot="1">
      <c r="A328" s="1888"/>
      <c r="B328" s="2209"/>
      <c r="C328" s="1538"/>
      <c r="D328" s="1538"/>
      <c r="E328" s="1538"/>
      <c r="F328" s="1538"/>
      <c r="G328" s="1538"/>
      <c r="H328" s="1535"/>
      <c r="I328" s="1538"/>
      <c r="J328" s="1538"/>
      <c r="K328" s="1933"/>
      <c r="L328" s="1535"/>
      <c r="M328" s="1872"/>
      <c r="N328" s="2594"/>
      <c r="O328" s="1632"/>
      <c r="P328" s="1538"/>
      <c r="Q328" s="1538"/>
      <c r="R328" s="1592"/>
    </row>
    <row r="329" spans="1:18">
      <c r="A329" s="1920"/>
      <c r="B329" s="2215"/>
      <c r="C329" s="1564"/>
      <c r="D329" s="1564"/>
      <c r="E329" s="1564"/>
      <c r="F329" s="1564"/>
      <c r="G329" s="1564"/>
      <c r="H329" s="966"/>
      <c r="I329" s="1564"/>
      <c r="J329" s="1564"/>
      <c r="K329" s="1565"/>
      <c r="L329" s="966"/>
      <c r="M329" s="1882"/>
      <c r="N329" s="2599"/>
      <c r="O329" s="1634"/>
      <c r="P329" s="1564"/>
      <c r="Q329" s="1564"/>
      <c r="R329" s="1566"/>
    </row>
    <row r="330" spans="1:18">
      <c r="A330" s="1888"/>
      <c r="B330" s="2204"/>
      <c r="C330" s="1536"/>
      <c r="D330" s="1536"/>
      <c r="E330" s="1536"/>
      <c r="F330" s="1536"/>
      <c r="G330" s="1536"/>
      <c r="H330" s="1235"/>
      <c r="I330" s="1536"/>
      <c r="J330" s="1536"/>
      <c r="K330" s="1555"/>
      <c r="L330" s="1539"/>
      <c r="M330" s="1236"/>
      <c r="N330" s="2334"/>
      <c r="O330" s="1628"/>
      <c r="P330" s="1536"/>
      <c r="Q330" s="1536"/>
      <c r="R330" s="1698"/>
    </row>
    <row r="331" spans="1:18">
      <c r="A331" s="1888"/>
      <c r="B331" s="2204"/>
      <c r="C331" s="1536"/>
      <c r="D331" s="1536"/>
      <c r="E331" s="1536"/>
      <c r="F331" s="1536"/>
      <c r="G331" s="1536"/>
      <c r="H331" s="1235"/>
      <c r="I331" s="1536"/>
      <c r="J331" s="1536"/>
      <c r="K331" s="1555"/>
      <c r="L331" s="1539"/>
      <c r="M331" s="1236"/>
      <c r="N331" s="2333"/>
      <c r="O331" s="1628"/>
      <c r="P331" s="1536"/>
      <c r="Q331" s="1536"/>
      <c r="R331" s="1698"/>
    </row>
    <row r="332" spans="1:18">
      <c r="A332" s="1888"/>
      <c r="B332" s="2204"/>
      <c r="C332" s="1536"/>
      <c r="D332" s="1536"/>
      <c r="E332" s="1536"/>
      <c r="F332" s="1536"/>
      <c r="G332" s="1536"/>
      <c r="H332" s="1235"/>
      <c r="I332" s="1536"/>
      <c r="J332" s="1536"/>
      <c r="K332" s="1555"/>
      <c r="L332" s="1539"/>
      <c r="M332" s="1236"/>
      <c r="N332" s="2334"/>
      <c r="O332" s="1628"/>
      <c r="P332" s="1536"/>
      <c r="Q332" s="1536"/>
      <c r="R332" s="1698"/>
    </row>
    <row r="333" spans="1:18">
      <c r="A333" s="1888"/>
      <c r="B333" s="2204"/>
      <c r="C333" s="1536"/>
      <c r="D333" s="1536"/>
      <c r="E333" s="1536"/>
      <c r="F333" s="1536"/>
      <c r="G333" s="1536"/>
      <c r="H333" s="1235"/>
      <c r="I333" s="1536"/>
      <c r="J333" s="1536"/>
      <c r="K333" s="1555"/>
      <c r="L333" s="1539"/>
      <c r="M333" s="1236"/>
      <c r="N333" s="2333"/>
      <c r="O333" s="1628"/>
      <c r="P333" s="1536"/>
      <c r="Q333" s="1536"/>
      <c r="R333" s="1698"/>
    </row>
    <row r="334" spans="1:18">
      <c r="A334" s="1888"/>
      <c r="B334" s="2204"/>
      <c r="C334" s="1536"/>
      <c r="D334" s="1536"/>
      <c r="E334" s="1536"/>
      <c r="F334" s="1536"/>
      <c r="G334" s="1536"/>
      <c r="H334" s="1235"/>
      <c r="I334" s="1536"/>
      <c r="J334" s="1536"/>
      <c r="K334" s="1555"/>
      <c r="L334" s="1539"/>
      <c r="M334" s="1236"/>
      <c r="N334" s="2334"/>
      <c r="O334" s="1628"/>
      <c r="P334" s="1536"/>
      <c r="Q334" s="1536"/>
      <c r="R334" s="1698"/>
    </row>
    <row r="335" spans="1:18">
      <c r="A335" s="1888"/>
      <c r="B335" s="2204"/>
      <c r="C335" s="1536"/>
      <c r="D335" s="1536"/>
      <c r="E335" s="1536"/>
      <c r="F335" s="1536"/>
      <c r="G335" s="1536"/>
      <c r="H335" s="1235"/>
      <c r="I335" s="1536"/>
      <c r="J335" s="1536"/>
      <c r="K335" s="1555"/>
      <c r="L335" s="1539"/>
      <c r="M335" s="1236"/>
      <c r="N335" s="2333"/>
      <c r="O335" s="1631"/>
      <c r="P335" s="1536"/>
      <c r="Q335" s="1536"/>
      <c r="R335" s="1698"/>
    </row>
    <row r="336" spans="1:18">
      <c r="A336" s="1888"/>
      <c r="B336" s="2204"/>
      <c r="C336" s="1536"/>
      <c r="D336" s="1536"/>
      <c r="E336" s="1536"/>
      <c r="F336" s="1536"/>
      <c r="G336" s="1536"/>
      <c r="H336" s="1235"/>
      <c r="I336" s="1536"/>
      <c r="J336" s="1536"/>
      <c r="K336" s="1555"/>
      <c r="L336" s="1539"/>
      <c r="M336" s="1236"/>
      <c r="N336" s="2334"/>
      <c r="O336" s="1631"/>
      <c r="P336" s="1536"/>
      <c r="Q336" s="1536"/>
      <c r="R336" s="1698"/>
    </row>
    <row r="337" spans="1:18">
      <c r="A337" s="1888"/>
      <c r="B337" s="2204"/>
      <c r="C337" s="1536"/>
      <c r="D337" s="1536"/>
      <c r="E337" s="1536"/>
      <c r="F337" s="1536"/>
      <c r="G337" s="1536"/>
      <c r="H337" s="1235"/>
      <c r="I337" s="1536"/>
      <c r="J337" s="1536"/>
      <c r="K337" s="1537"/>
      <c r="L337" s="1235"/>
      <c r="M337" s="1236"/>
      <c r="N337" s="2333"/>
      <c r="O337" s="1631"/>
      <c r="P337" s="1536"/>
      <c r="Q337" s="1536"/>
      <c r="R337" s="1567"/>
    </row>
    <row r="338" spans="1:18" ht="14.1" customHeight="1">
      <c r="A338" s="1888"/>
      <c r="B338" s="2204"/>
      <c r="C338" s="1536"/>
      <c r="D338" s="1536"/>
      <c r="E338" s="1536"/>
      <c r="F338" s="1536"/>
      <c r="G338" s="1536"/>
      <c r="H338" s="1235"/>
      <c r="I338" s="1536"/>
      <c r="J338" s="1536"/>
      <c r="K338" s="1537"/>
      <c r="L338" s="1235"/>
      <c r="M338" s="1236"/>
      <c r="N338" s="2334"/>
      <c r="O338" s="1631"/>
      <c r="P338" s="1536"/>
      <c r="Q338" s="1536"/>
      <c r="R338" s="1567"/>
    </row>
    <row r="339" spans="1:18">
      <c r="A339" s="1888"/>
      <c r="B339" s="2204"/>
      <c r="C339" s="1536"/>
      <c r="D339" s="1536"/>
      <c r="E339" s="1536"/>
      <c r="F339" s="1536"/>
      <c r="G339" s="1536"/>
      <c r="H339" s="1235"/>
      <c r="I339" s="1536"/>
      <c r="J339" s="1536"/>
      <c r="K339" s="1537"/>
      <c r="L339" s="1235"/>
      <c r="M339" s="1236"/>
      <c r="N339" s="2333"/>
      <c r="O339" s="1628"/>
      <c r="P339" s="1536"/>
      <c r="Q339" s="1536"/>
      <c r="R339" s="1567"/>
    </row>
    <row r="340" spans="1:18">
      <c r="A340" s="1888"/>
      <c r="B340" s="2204"/>
      <c r="C340" s="1536"/>
      <c r="D340" s="1536"/>
      <c r="E340" s="1536"/>
      <c r="F340" s="1536"/>
      <c r="G340" s="1536"/>
      <c r="H340" s="1235"/>
      <c r="I340" s="1536"/>
      <c r="J340" s="1536"/>
      <c r="K340" s="1537"/>
      <c r="L340" s="1235"/>
      <c r="M340" s="1236"/>
      <c r="N340" s="2334"/>
      <c r="O340" s="1628"/>
      <c r="P340" s="1536"/>
      <c r="Q340" s="1536"/>
      <c r="R340" s="1567"/>
    </row>
    <row r="341" spans="1:18">
      <c r="A341" s="1888"/>
      <c r="B341" s="2204"/>
      <c r="C341" s="1536"/>
      <c r="D341" s="1536"/>
      <c r="E341" s="1536"/>
      <c r="F341" s="1536"/>
      <c r="G341" s="1536"/>
      <c r="H341" s="1235"/>
      <c r="I341" s="1536"/>
      <c r="J341" s="1536"/>
      <c r="K341" s="1537"/>
      <c r="L341" s="1235"/>
      <c r="M341" s="1236"/>
      <c r="N341" s="2333"/>
      <c r="O341" s="1628"/>
      <c r="P341" s="1536"/>
      <c r="Q341" s="1536"/>
      <c r="R341" s="1567"/>
    </row>
    <row r="342" spans="1:18">
      <c r="A342" s="1888"/>
      <c r="B342" s="2204"/>
      <c r="C342" s="1536"/>
      <c r="D342" s="1536"/>
      <c r="E342" s="1536"/>
      <c r="F342" s="1536"/>
      <c r="G342" s="1536"/>
      <c r="H342" s="1235"/>
      <c r="I342" s="1536"/>
      <c r="J342" s="1536"/>
      <c r="K342" s="1537"/>
      <c r="L342" s="1235"/>
      <c r="M342" s="1236"/>
      <c r="N342" s="2334"/>
      <c r="O342" s="1628"/>
      <c r="P342" s="1536"/>
      <c r="Q342" s="1536"/>
      <c r="R342" s="1567"/>
    </row>
    <row r="343" spans="1:18">
      <c r="A343" s="1888"/>
      <c r="B343" s="2204"/>
      <c r="C343" s="1536"/>
      <c r="D343" s="1536"/>
      <c r="E343" s="1536"/>
      <c r="F343" s="1536"/>
      <c r="G343" s="1536"/>
      <c r="H343" s="1235"/>
      <c r="I343" s="1536"/>
      <c r="J343" s="1536"/>
      <c r="K343" s="1537"/>
      <c r="L343" s="1235"/>
      <c r="M343" s="1236"/>
      <c r="N343" s="2333"/>
      <c r="O343" s="1628"/>
      <c r="P343" s="1536"/>
      <c r="Q343" s="1536"/>
      <c r="R343" s="1567"/>
    </row>
    <row r="344" spans="1:18">
      <c r="A344" s="1888"/>
      <c r="B344" s="2204"/>
      <c r="C344" s="1536"/>
      <c r="D344" s="1536"/>
      <c r="E344" s="1536"/>
      <c r="F344" s="1536"/>
      <c r="G344" s="1536"/>
      <c r="H344" s="1235"/>
      <c r="I344" s="1536"/>
      <c r="J344" s="1536"/>
      <c r="K344" s="1537"/>
      <c r="L344" s="1235"/>
      <c r="M344" s="1236"/>
      <c r="N344" s="2334"/>
      <c r="O344" s="1628"/>
      <c r="P344" s="1536"/>
      <c r="Q344" s="1536"/>
      <c r="R344" s="1567"/>
    </row>
    <row r="345" spans="1:18">
      <c r="A345" s="1888"/>
      <c r="B345" s="2204"/>
      <c r="C345" s="1536"/>
      <c r="D345" s="1536"/>
      <c r="E345" s="1536"/>
      <c r="F345" s="1536"/>
      <c r="G345" s="1536"/>
      <c r="H345" s="1235"/>
      <c r="I345" s="1536"/>
      <c r="J345" s="1536"/>
      <c r="K345" s="1537"/>
      <c r="L345" s="1235"/>
      <c r="M345" s="1236"/>
      <c r="N345" s="2333"/>
      <c r="O345" s="1628"/>
      <c r="P345" s="1536"/>
      <c r="Q345" s="1536"/>
      <c r="R345" s="1567"/>
    </row>
    <row r="346" spans="1:18">
      <c r="A346" s="1888"/>
      <c r="B346" s="2204"/>
      <c r="C346" s="1536"/>
      <c r="D346" s="1536"/>
      <c r="E346" s="1536"/>
      <c r="F346" s="1536"/>
      <c r="G346" s="1536"/>
      <c r="H346" s="1235"/>
      <c r="I346" s="1536"/>
      <c r="J346" s="1536"/>
      <c r="K346" s="1537"/>
      <c r="L346" s="1235"/>
      <c r="M346" s="1236"/>
      <c r="N346" s="2594"/>
      <c r="O346" s="1628"/>
      <c r="P346" s="1536"/>
      <c r="Q346" s="1536"/>
      <c r="R346" s="1567"/>
    </row>
    <row r="347" spans="1:18">
      <c r="A347" s="1888"/>
      <c r="B347" s="2204"/>
      <c r="C347" s="1536"/>
      <c r="D347" s="1536"/>
      <c r="E347" s="1536"/>
      <c r="F347" s="1536"/>
      <c r="G347" s="1536"/>
      <c r="H347" s="1235"/>
      <c r="I347" s="1536"/>
      <c r="J347" s="1536"/>
      <c r="K347" s="1537"/>
      <c r="L347" s="1235"/>
      <c r="M347" s="1236"/>
      <c r="N347" s="2334"/>
      <c r="O347" s="1628"/>
      <c r="P347" s="1536"/>
      <c r="Q347" s="1536"/>
      <c r="R347" s="1567"/>
    </row>
    <row r="348" spans="1:18">
      <c r="A348" s="1888"/>
      <c r="B348" s="2204"/>
      <c r="C348" s="1536"/>
      <c r="D348" s="1536"/>
      <c r="E348" s="1536"/>
      <c r="F348" s="1536"/>
      <c r="G348" s="1536"/>
      <c r="H348" s="1235"/>
      <c r="I348" s="1536"/>
      <c r="J348" s="1536"/>
      <c r="K348" s="1537"/>
      <c r="L348" s="1235"/>
      <c r="M348" s="1236"/>
      <c r="N348" s="2333"/>
      <c r="O348" s="1628"/>
      <c r="P348" s="1536"/>
      <c r="Q348" s="1536"/>
      <c r="R348" s="1567"/>
    </row>
    <row r="349" spans="1:18">
      <c r="A349" s="1888"/>
      <c r="B349" s="2209"/>
      <c r="C349" s="1538"/>
      <c r="D349" s="1538"/>
      <c r="E349" s="1538"/>
      <c r="F349" s="1538"/>
      <c r="G349" s="1538"/>
      <c r="H349" s="1535"/>
      <c r="I349" s="1538"/>
      <c r="J349" s="1538"/>
      <c r="K349" s="1556"/>
      <c r="L349" s="1535"/>
      <c r="M349" s="1872"/>
      <c r="N349" s="2334"/>
      <c r="O349" s="1632"/>
      <c r="P349" s="1538"/>
      <c r="Q349" s="1538"/>
      <c r="R349" s="1592"/>
    </row>
    <row r="350" spans="1:18">
      <c r="A350" s="1937"/>
      <c r="B350" s="2211"/>
      <c r="C350" s="1924"/>
      <c r="D350" s="1924"/>
      <c r="E350" s="1924"/>
      <c r="F350" s="1924"/>
      <c r="G350" s="1924"/>
      <c r="H350" s="1925"/>
      <c r="I350" s="1924"/>
      <c r="J350" s="1924"/>
      <c r="K350" s="1938"/>
      <c r="L350" s="1939"/>
      <c r="M350" s="1941"/>
      <c r="N350" s="2333"/>
      <c r="O350" s="1928"/>
      <c r="P350" s="1924"/>
      <c r="Q350" s="1924"/>
      <c r="R350" s="1929"/>
    </row>
    <row r="351" spans="1:18">
      <c r="A351" s="1888"/>
      <c r="B351" s="2208"/>
      <c r="C351" s="1552"/>
      <c r="D351" s="1552"/>
      <c r="E351" s="1552"/>
      <c r="F351" s="1552"/>
      <c r="G351" s="1552"/>
      <c r="H351" s="1539"/>
      <c r="I351" s="1552"/>
      <c r="J351" s="1552"/>
      <c r="K351" s="1537"/>
      <c r="L351" s="1235"/>
      <c r="M351" s="1236"/>
      <c r="N351" s="2334"/>
      <c r="O351" s="1633"/>
      <c r="P351" s="1552"/>
      <c r="Q351" s="1552"/>
      <c r="R351" s="1698"/>
    </row>
    <row r="352" spans="1:18">
      <c r="A352" s="1888"/>
      <c r="B352" s="2204"/>
      <c r="C352" s="1536"/>
      <c r="D352" s="1536"/>
      <c r="E352" s="1536"/>
      <c r="F352" s="1536"/>
      <c r="G352" s="1536"/>
      <c r="H352" s="1235"/>
      <c r="I352" s="1536"/>
      <c r="J352" s="1536"/>
      <c r="K352" s="1537"/>
      <c r="L352" s="1235"/>
      <c r="M352" s="1236"/>
      <c r="N352" s="2333"/>
      <c r="O352" s="1628"/>
      <c r="P352" s="1536"/>
      <c r="Q352" s="1536"/>
      <c r="R352" s="1567"/>
    </row>
    <row r="353" spans="1:18">
      <c r="A353" s="1888"/>
      <c r="B353" s="2204"/>
      <c r="C353" s="1536"/>
      <c r="D353" s="1536"/>
      <c r="E353" s="1536"/>
      <c r="F353" s="1536"/>
      <c r="G353" s="1536"/>
      <c r="H353" s="1235"/>
      <c r="I353" s="1536"/>
      <c r="J353" s="1536"/>
      <c r="K353" s="1537"/>
      <c r="L353" s="1235"/>
      <c r="M353" s="1236"/>
      <c r="N353" s="2594"/>
      <c r="O353" s="1628"/>
      <c r="P353" s="1536"/>
      <c r="Q353" s="1536"/>
      <c r="R353" s="1567"/>
    </row>
    <row r="354" spans="1:18">
      <c r="A354" s="1888"/>
      <c r="B354" s="2204"/>
      <c r="C354" s="1536"/>
      <c r="D354" s="1536"/>
      <c r="E354" s="1536"/>
      <c r="F354" s="1536"/>
      <c r="G354" s="1536"/>
      <c r="H354" s="1235"/>
      <c r="I354" s="1536"/>
      <c r="J354" s="1536"/>
      <c r="K354" s="1537"/>
      <c r="L354" s="1235"/>
      <c r="M354" s="1236"/>
      <c r="N354" s="2594"/>
      <c r="O354" s="1628"/>
      <c r="P354" s="1536"/>
      <c r="Q354" s="1536"/>
      <c r="R354" s="1567"/>
    </row>
    <row r="355" spans="1:18">
      <c r="A355" s="1888"/>
      <c r="B355" s="2204"/>
      <c r="C355" s="1536"/>
      <c r="D355" s="1536"/>
      <c r="E355" s="1536"/>
      <c r="F355" s="1536"/>
      <c r="G355" s="1536"/>
      <c r="H355" s="1235"/>
      <c r="I355" s="1536"/>
      <c r="J355" s="1536"/>
      <c r="K355" s="1555"/>
      <c r="L355" s="1539"/>
      <c r="M355" s="1236"/>
      <c r="N355" s="2334"/>
      <c r="O355" s="1628"/>
      <c r="P355" s="1536"/>
      <c r="Q355" s="1536"/>
      <c r="R355" s="1567"/>
    </row>
    <row r="356" spans="1:18">
      <c r="A356" s="1888"/>
      <c r="B356" s="2204"/>
      <c r="C356" s="1536"/>
      <c r="D356" s="1536"/>
      <c r="E356" s="1536"/>
      <c r="F356" s="1536"/>
      <c r="G356" s="1235"/>
      <c r="H356" s="1235"/>
      <c r="I356" s="1536"/>
      <c r="J356" s="1536"/>
      <c r="K356" s="1537"/>
      <c r="L356" s="1235"/>
      <c r="M356" s="1236"/>
      <c r="N356" s="2333"/>
      <c r="O356" s="1628"/>
      <c r="P356" s="1536"/>
      <c r="Q356" s="1536"/>
      <c r="R356" s="1567"/>
    </row>
    <row r="357" spans="1:18">
      <c r="A357" s="1888"/>
      <c r="B357" s="2204"/>
      <c r="C357" s="1536"/>
      <c r="D357" s="1536"/>
      <c r="E357" s="1536"/>
      <c r="F357" s="1536"/>
      <c r="G357" s="1536"/>
      <c r="H357" s="1235"/>
      <c r="I357" s="1536"/>
      <c r="J357" s="1536"/>
      <c r="K357" s="1537"/>
      <c r="L357" s="1235"/>
      <c r="M357" s="1236"/>
      <c r="N357" s="2594"/>
      <c r="O357" s="1628"/>
      <c r="P357" s="1536"/>
      <c r="Q357" s="1536"/>
      <c r="R357" s="1567"/>
    </row>
    <row r="358" spans="1:18">
      <c r="A358" s="1888"/>
      <c r="B358" s="2204"/>
      <c r="C358" s="1536"/>
      <c r="D358" s="1536"/>
      <c r="E358" s="1536"/>
      <c r="F358" s="1536"/>
      <c r="G358" s="1536"/>
      <c r="H358" s="1235"/>
      <c r="I358" s="1708"/>
      <c r="J358" s="1709"/>
      <c r="K358" s="1537"/>
      <c r="L358" s="1235"/>
      <c r="M358" s="1236"/>
      <c r="N358" s="2334"/>
      <c r="O358" s="1628"/>
      <c r="P358" s="1536"/>
      <c r="Q358" s="1536"/>
      <c r="R358" s="1567"/>
    </row>
    <row r="359" spans="1:18">
      <c r="A359" s="1888"/>
      <c r="B359" s="2204"/>
      <c r="C359" s="1536"/>
      <c r="D359" s="1536"/>
      <c r="E359" s="1536"/>
      <c r="F359" s="1536"/>
      <c r="G359" s="1536"/>
      <c r="H359" s="1235"/>
      <c r="I359" s="1536"/>
      <c r="J359" s="1536"/>
      <c r="K359" s="1537"/>
      <c r="L359" s="1235"/>
      <c r="M359" s="1236"/>
      <c r="N359" s="2333"/>
      <c r="O359" s="1628"/>
      <c r="P359" s="1536"/>
      <c r="Q359" s="1536"/>
      <c r="R359" s="1567"/>
    </row>
    <row r="360" spans="1:18">
      <c r="A360" s="1888"/>
      <c r="B360" s="2204"/>
      <c r="C360" s="1536"/>
      <c r="D360" s="1536"/>
      <c r="E360" s="1536"/>
      <c r="F360" s="1536"/>
      <c r="G360" s="1536"/>
      <c r="H360" s="1235"/>
      <c r="I360" s="1536"/>
      <c r="J360" s="1536"/>
      <c r="K360" s="1537"/>
      <c r="L360" s="1235"/>
      <c r="M360" s="1236"/>
      <c r="N360" s="2334"/>
      <c r="O360" s="1628"/>
      <c r="P360" s="1536"/>
      <c r="Q360" s="1536"/>
      <c r="R360" s="1567"/>
    </row>
    <row r="361" spans="1:18">
      <c r="A361" s="1888"/>
      <c r="B361" s="2204"/>
      <c r="C361" s="1536"/>
      <c r="D361" s="1536"/>
      <c r="E361" s="1536"/>
      <c r="F361" s="1536"/>
      <c r="G361" s="1536"/>
      <c r="H361" s="1235"/>
      <c r="I361" s="1536"/>
      <c r="J361" s="1536"/>
      <c r="K361" s="1537"/>
      <c r="L361" s="1235"/>
      <c r="M361" s="1236"/>
      <c r="N361" s="2333"/>
      <c r="O361" s="1628"/>
      <c r="P361" s="1536"/>
      <c r="Q361" s="1536"/>
      <c r="R361" s="1567"/>
    </row>
    <row r="362" spans="1:18">
      <c r="A362" s="1888"/>
      <c r="B362" s="2204"/>
      <c r="C362" s="1536"/>
      <c r="D362" s="1536"/>
      <c r="E362" s="1536"/>
      <c r="F362" s="1536"/>
      <c r="G362" s="1536"/>
      <c r="H362" s="1235"/>
      <c r="I362" s="1536"/>
      <c r="J362" s="1536"/>
      <c r="K362" s="1537"/>
      <c r="L362" s="1235"/>
      <c r="M362" s="1236"/>
      <c r="N362" s="2594"/>
      <c r="O362" s="1628"/>
      <c r="P362" s="1536"/>
      <c r="Q362" s="1536"/>
      <c r="R362" s="1567"/>
    </row>
    <row r="363" spans="1:18">
      <c r="A363" s="1888"/>
      <c r="B363" s="2204"/>
      <c r="C363" s="1536"/>
      <c r="D363" s="1536"/>
      <c r="E363" s="1536"/>
      <c r="F363" s="1536"/>
      <c r="G363" s="1536"/>
      <c r="H363" s="1235"/>
      <c r="I363" s="1708"/>
      <c r="J363" s="1709"/>
      <c r="K363" s="1537"/>
      <c r="L363" s="1235"/>
      <c r="M363" s="1236"/>
      <c r="N363" s="2248"/>
      <c r="O363" s="1628"/>
      <c r="P363" s="1536"/>
      <c r="Q363" s="1536"/>
      <c r="R363" s="1567"/>
    </row>
    <row r="364" spans="1:18">
      <c r="A364" s="1888"/>
      <c r="B364" s="2204"/>
      <c r="C364" s="1536"/>
      <c r="D364" s="1536"/>
      <c r="E364" s="1536"/>
      <c r="F364" s="1536"/>
      <c r="G364" s="1536"/>
      <c r="H364" s="1235"/>
      <c r="I364" s="1536"/>
      <c r="J364" s="1536"/>
      <c r="K364" s="1537"/>
      <c r="L364" s="1235"/>
      <c r="M364" s="1236"/>
      <c r="N364" s="2333"/>
      <c r="O364" s="1628"/>
      <c r="P364" s="1536"/>
      <c r="Q364" s="1536"/>
      <c r="R364" s="1567"/>
    </row>
    <row r="365" spans="1:18">
      <c r="A365" s="1888"/>
      <c r="B365" s="2204"/>
      <c r="C365" s="1536"/>
      <c r="D365" s="1536"/>
      <c r="E365" s="1536"/>
      <c r="F365" s="1536"/>
      <c r="G365" s="1536"/>
      <c r="H365" s="1235"/>
      <c r="I365" s="1536"/>
      <c r="J365" s="1536"/>
      <c r="K365" s="1537"/>
      <c r="L365" s="1235"/>
      <c r="M365" s="1236"/>
      <c r="N365" s="2334"/>
      <c r="O365" s="1628"/>
      <c r="P365" s="1536"/>
      <c r="Q365" s="1536"/>
      <c r="R365" s="1567"/>
    </row>
    <row r="366" spans="1:18">
      <c r="A366" s="1888"/>
      <c r="B366" s="2204"/>
      <c r="C366" s="1536"/>
      <c r="D366" s="1536"/>
      <c r="E366" s="1536"/>
      <c r="F366" s="1536"/>
      <c r="G366" s="1536"/>
      <c r="H366" s="1235"/>
      <c r="I366" s="1536"/>
      <c r="J366" s="1536"/>
      <c r="K366" s="1537"/>
      <c r="L366" s="1235"/>
      <c r="M366" s="1236"/>
      <c r="N366" s="2333"/>
      <c r="O366" s="1628"/>
      <c r="P366" s="1536"/>
      <c r="Q366" s="1536"/>
      <c r="R366" s="1567"/>
    </row>
    <row r="367" spans="1:18">
      <c r="A367" s="1888"/>
      <c r="B367" s="2204"/>
      <c r="C367" s="1536"/>
      <c r="D367" s="1536"/>
      <c r="E367" s="1536"/>
      <c r="F367" s="1536"/>
      <c r="G367" s="1536"/>
      <c r="H367" s="1235"/>
      <c r="I367" s="1536"/>
      <c r="J367" s="1536"/>
      <c r="K367" s="1537"/>
      <c r="L367" s="1235"/>
      <c r="M367" s="1236"/>
      <c r="N367" s="2334"/>
      <c r="O367" s="1628"/>
      <c r="P367" s="1536"/>
      <c r="Q367" s="1536"/>
      <c r="R367" s="1567"/>
    </row>
    <row r="368" spans="1:18">
      <c r="A368" s="1888"/>
      <c r="B368" s="2204"/>
      <c r="C368" s="1536"/>
      <c r="D368" s="1536"/>
      <c r="E368" s="1536"/>
      <c r="F368" s="1536"/>
      <c r="G368" s="1536"/>
      <c r="H368" s="1235"/>
      <c r="I368" s="1536"/>
      <c r="J368" s="1536"/>
      <c r="K368" s="1537"/>
      <c r="L368" s="1235"/>
      <c r="M368" s="1921"/>
      <c r="N368" s="2333"/>
      <c r="O368" s="1628"/>
      <c r="P368" s="1536"/>
      <c r="Q368" s="1536"/>
      <c r="R368" s="1567"/>
    </row>
    <row r="369" spans="1:18" ht="16.2" thickBot="1">
      <c r="A369" s="1888"/>
      <c r="B369" s="2209"/>
      <c r="C369" s="1538"/>
      <c r="D369" s="1538"/>
      <c r="E369" s="1538"/>
      <c r="F369" s="1538"/>
      <c r="G369" s="1538"/>
      <c r="H369" s="1535"/>
      <c r="I369" s="1538"/>
      <c r="J369" s="1538"/>
      <c r="K369" s="1556"/>
      <c r="L369" s="1535"/>
      <c r="M369" s="2056"/>
      <c r="N369" s="2598"/>
      <c r="O369" s="1632"/>
      <c r="P369" s="1538"/>
      <c r="Q369" s="1538"/>
      <c r="R369" s="1592"/>
    </row>
    <row r="370" spans="1:18">
      <c r="A370" s="1880"/>
      <c r="B370" s="2216"/>
      <c r="C370" s="1564"/>
      <c r="D370" s="1564"/>
      <c r="E370" s="1564"/>
      <c r="F370" s="1564"/>
      <c r="G370" s="1564"/>
      <c r="H370" s="966"/>
      <c r="I370" s="1564"/>
      <c r="J370" s="1564"/>
      <c r="K370" s="1565"/>
      <c r="L370" s="966"/>
      <c r="M370" s="1882"/>
      <c r="N370" s="2333"/>
      <c r="O370" s="1634"/>
      <c r="P370" s="1564"/>
      <c r="Q370" s="1564"/>
      <c r="R370" s="1566"/>
    </row>
    <row r="371" spans="1:18">
      <c r="A371" s="1881"/>
      <c r="B371" s="1913"/>
      <c r="C371" s="1536"/>
      <c r="D371" s="1536"/>
      <c r="E371" s="1536"/>
      <c r="F371" s="1536"/>
      <c r="G371" s="1536"/>
      <c r="H371" s="1235"/>
      <c r="I371" s="1536"/>
      <c r="J371" s="1536"/>
      <c r="K371" s="1537"/>
      <c r="L371" s="1235"/>
      <c r="M371" s="1236"/>
      <c r="N371" s="2334"/>
      <c r="O371" s="1628"/>
      <c r="P371" s="1536"/>
      <c r="Q371" s="1536"/>
      <c r="R371" s="1567"/>
    </row>
    <row r="372" spans="1:18">
      <c r="A372" s="1881"/>
      <c r="B372" s="1913"/>
      <c r="C372" s="1536"/>
      <c r="D372" s="1536"/>
      <c r="E372" s="1536"/>
      <c r="F372" s="1536"/>
      <c r="G372" s="1536"/>
      <c r="H372" s="1235"/>
      <c r="I372" s="1536"/>
      <c r="J372" s="1536"/>
      <c r="K372" s="1537"/>
      <c r="L372" s="1235"/>
      <c r="M372" s="1236"/>
      <c r="N372" s="2333"/>
      <c r="O372" s="1628"/>
      <c r="P372" s="1536"/>
      <c r="Q372" s="1536"/>
      <c r="R372" s="1567"/>
    </row>
    <row r="373" spans="1:18">
      <c r="A373" s="1881"/>
      <c r="B373" s="1913"/>
      <c r="C373" s="1536"/>
      <c r="D373" s="1536"/>
      <c r="E373" s="1536"/>
      <c r="F373" s="1536"/>
      <c r="G373" s="1536"/>
      <c r="H373" s="1235"/>
      <c r="I373" s="1536"/>
      <c r="J373" s="1536"/>
      <c r="K373" s="1537"/>
      <c r="L373" s="1235"/>
      <c r="M373" s="1236"/>
      <c r="N373" s="2334"/>
      <c r="O373" s="1628"/>
      <c r="P373" s="1536"/>
      <c r="Q373" s="1536"/>
      <c r="R373" s="1567"/>
    </row>
    <row r="374" spans="1:18">
      <c r="A374" s="1881"/>
      <c r="B374" s="1913"/>
      <c r="C374" s="1536"/>
      <c r="D374" s="1536"/>
      <c r="E374" s="1536"/>
      <c r="F374" s="1536"/>
      <c r="G374" s="1536"/>
      <c r="H374" s="1235"/>
      <c r="I374" s="1536"/>
      <c r="J374" s="1536"/>
      <c r="K374" s="1537"/>
      <c r="L374" s="1235"/>
      <c r="M374" s="1236"/>
      <c r="N374" s="2333"/>
      <c r="O374" s="1628"/>
      <c r="P374" s="1536"/>
      <c r="Q374" s="1536"/>
      <c r="R374" s="1567"/>
    </row>
    <row r="375" spans="1:18">
      <c r="A375" s="1881"/>
      <c r="B375" s="1913"/>
      <c r="C375" s="1536"/>
      <c r="D375" s="1536"/>
      <c r="E375" s="1536"/>
      <c r="F375" s="1536"/>
      <c r="G375" s="1536"/>
      <c r="H375" s="1235"/>
      <c r="I375" s="1536"/>
      <c r="J375" s="1536"/>
      <c r="K375" s="1537"/>
      <c r="L375" s="1235"/>
      <c r="M375" s="1236"/>
      <c r="N375" s="2594"/>
      <c r="O375" s="1628"/>
      <c r="P375" s="1536"/>
      <c r="Q375" s="1536"/>
      <c r="R375" s="1567"/>
    </row>
    <row r="376" spans="1:18">
      <c r="A376" s="1881"/>
      <c r="B376" s="1913"/>
      <c r="C376" s="1536"/>
      <c r="D376" s="1536"/>
      <c r="E376" s="1536"/>
      <c r="F376" s="1536"/>
      <c r="G376" s="1536"/>
      <c r="H376" s="1235"/>
      <c r="I376" s="1536"/>
      <c r="J376" s="1536"/>
      <c r="K376" s="1537"/>
      <c r="L376" s="1235"/>
      <c r="M376" s="1236"/>
      <c r="N376" s="2334"/>
      <c r="O376" s="1628"/>
      <c r="P376" s="1536"/>
      <c r="Q376" s="1536"/>
      <c r="R376" s="1567"/>
    </row>
    <row r="377" spans="1:18">
      <c r="A377" s="1881"/>
      <c r="B377" s="1913"/>
      <c r="C377" s="1536"/>
      <c r="D377" s="1536"/>
      <c r="E377" s="1536"/>
      <c r="F377" s="1536"/>
      <c r="G377" s="1536"/>
      <c r="H377" s="1235"/>
      <c r="I377" s="1536"/>
      <c r="J377" s="1536"/>
      <c r="K377" s="1537"/>
      <c r="L377" s="1235"/>
      <c r="M377" s="1236"/>
      <c r="N377" s="2333"/>
      <c r="O377" s="1628"/>
      <c r="P377" s="1536"/>
      <c r="Q377" s="1536"/>
      <c r="R377" s="1567"/>
    </row>
    <row r="378" spans="1:18">
      <c r="A378" s="1881"/>
      <c r="B378" s="1913"/>
      <c r="C378" s="1536"/>
      <c r="D378" s="1536"/>
      <c r="E378" s="1536"/>
      <c r="F378" s="1536"/>
      <c r="G378" s="1536"/>
      <c r="H378" s="1235"/>
      <c r="I378" s="1536"/>
      <c r="J378" s="1536"/>
      <c r="K378" s="1537"/>
      <c r="L378" s="1235"/>
      <c r="M378" s="1236"/>
      <c r="N378" s="2334"/>
      <c r="O378" s="1628"/>
      <c r="P378" s="1536"/>
      <c r="Q378" s="1536"/>
      <c r="R378" s="1567"/>
    </row>
    <row r="379" spans="1:18">
      <c r="A379" s="1881"/>
      <c r="B379" s="1913"/>
      <c r="C379" s="1536"/>
      <c r="D379" s="1536"/>
      <c r="E379" s="1536"/>
      <c r="F379" s="1536"/>
      <c r="G379" s="1536"/>
      <c r="H379" s="1235"/>
      <c r="I379" s="1536"/>
      <c r="J379" s="1536"/>
      <c r="K379" s="1537"/>
      <c r="L379" s="1235"/>
      <c r="M379" s="1236"/>
      <c r="N379" s="2333"/>
      <c r="O379" s="1628"/>
      <c r="P379" s="1536"/>
      <c r="Q379" s="1536"/>
      <c r="R379" s="1567"/>
    </row>
    <row r="380" spans="1:18">
      <c r="A380" s="1881"/>
      <c r="B380" s="1913"/>
      <c r="C380" s="1536"/>
      <c r="D380" s="1536"/>
      <c r="E380" s="1536"/>
      <c r="F380" s="1536"/>
      <c r="G380" s="1536"/>
      <c r="H380" s="1235"/>
      <c r="I380" s="1536"/>
      <c r="J380" s="1536"/>
      <c r="K380" s="1537"/>
      <c r="L380" s="1235"/>
      <c r="M380" s="1236"/>
      <c r="N380" s="2594"/>
      <c r="O380" s="1628"/>
      <c r="P380" s="1536"/>
      <c r="Q380" s="1536"/>
      <c r="R380" s="1567"/>
    </row>
    <row r="381" spans="1:18">
      <c r="A381" s="1881"/>
      <c r="B381" s="1913"/>
      <c r="C381" s="1536"/>
      <c r="D381" s="1536"/>
      <c r="E381" s="1536"/>
      <c r="F381" s="1536"/>
      <c r="G381" s="1536"/>
      <c r="H381" s="1235"/>
      <c r="I381" s="1536"/>
      <c r="J381" s="1536"/>
      <c r="K381" s="1537"/>
      <c r="L381" s="1235"/>
      <c r="M381" s="1236"/>
      <c r="N381" s="2334"/>
      <c r="O381" s="1628"/>
      <c r="P381" s="1536"/>
      <c r="Q381" s="1536"/>
      <c r="R381" s="1567"/>
    </row>
    <row r="382" spans="1:18">
      <c r="A382" s="1881"/>
      <c r="B382" s="1913"/>
      <c r="C382" s="1536"/>
      <c r="D382" s="1536"/>
      <c r="E382" s="1536"/>
      <c r="F382" s="1536"/>
      <c r="G382" s="1536"/>
      <c r="H382" s="1235"/>
      <c r="I382" s="1536"/>
      <c r="J382" s="1536"/>
      <c r="K382" s="1537"/>
      <c r="L382" s="1235"/>
      <c r="M382" s="1236"/>
      <c r="N382" s="2333"/>
      <c r="O382" s="1628"/>
      <c r="P382" s="1536"/>
      <c r="Q382" s="1536"/>
      <c r="R382" s="1567"/>
    </row>
    <row r="383" spans="1:18">
      <c r="A383" s="1881"/>
      <c r="B383" s="1913"/>
      <c r="C383" s="1536"/>
      <c r="D383" s="1536"/>
      <c r="E383" s="1536"/>
      <c r="F383" s="1536"/>
      <c r="G383" s="1536"/>
      <c r="H383" s="1235"/>
      <c r="I383" s="1536"/>
      <c r="J383" s="1536"/>
      <c r="K383" s="1537"/>
      <c r="L383" s="1235"/>
      <c r="M383" s="1236"/>
      <c r="N383" s="2334"/>
      <c r="O383" s="1628"/>
      <c r="P383" s="1536"/>
      <c r="Q383" s="1536"/>
      <c r="R383" s="1567"/>
    </row>
    <row r="384" spans="1:18">
      <c r="A384" s="1881"/>
      <c r="B384" s="1913"/>
      <c r="C384" s="1536"/>
      <c r="D384" s="1536"/>
      <c r="E384" s="1536"/>
      <c r="F384" s="1536"/>
      <c r="G384" s="1536"/>
      <c r="H384" s="1235"/>
      <c r="I384" s="1536"/>
      <c r="J384" s="1536"/>
      <c r="K384" s="1537"/>
      <c r="L384" s="1235"/>
      <c r="M384" s="1236"/>
      <c r="N384" s="2333"/>
      <c r="O384" s="1628"/>
      <c r="P384" s="1536"/>
      <c r="Q384" s="1536"/>
      <c r="R384" s="1567"/>
    </row>
    <row r="385" spans="1:18">
      <c r="A385" s="1881"/>
      <c r="B385" s="1913"/>
      <c r="C385" s="1536"/>
      <c r="D385" s="1536"/>
      <c r="E385" s="1536"/>
      <c r="F385" s="1536"/>
      <c r="G385" s="1536"/>
      <c r="H385" s="1235"/>
      <c r="I385" s="1536"/>
      <c r="J385" s="1536"/>
      <c r="K385" s="1537"/>
      <c r="L385" s="1235"/>
      <c r="M385" s="1236"/>
      <c r="N385" s="2334"/>
      <c r="O385" s="1628"/>
      <c r="P385" s="1536"/>
      <c r="Q385" s="1536"/>
      <c r="R385" s="1567"/>
    </row>
    <row r="386" spans="1:18">
      <c r="A386" s="1881"/>
      <c r="B386" s="1913"/>
      <c r="C386" s="1536"/>
      <c r="D386" s="1536"/>
      <c r="E386" s="1536"/>
      <c r="F386" s="1536"/>
      <c r="G386" s="1536"/>
      <c r="H386" s="1235"/>
      <c r="I386" s="1536"/>
      <c r="J386" s="1536"/>
      <c r="K386" s="1537"/>
      <c r="L386" s="1235"/>
      <c r="M386" s="1236"/>
      <c r="N386" s="2333"/>
      <c r="O386" s="1628"/>
      <c r="P386" s="1536"/>
      <c r="Q386" s="1536"/>
      <c r="R386" s="1567"/>
    </row>
    <row r="387" spans="1:18">
      <c r="A387" s="1881"/>
      <c r="B387" s="1913"/>
      <c r="C387" s="1536"/>
      <c r="D387" s="1536"/>
      <c r="E387" s="1536"/>
      <c r="F387" s="1536"/>
      <c r="G387" s="1536"/>
      <c r="H387" s="1235"/>
      <c r="I387" s="1536"/>
      <c r="J387" s="1536"/>
      <c r="K387" s="1537"/>
      <c r="L387" s="1235"/>
      <c r="M387" s="1236"/>
      <c r="N387" s="2334"/>
      <c r="O387" s="1628"/>
      <c r="P387" s="1536"/>
      <c r="Q387" s="1536"/>
      <c r="R387" s="1567"/>
    </row>
    <row r="388" spans="1:18">
      <c r="A388" s="1881"/>
      <c r="B388" s="1913"/>
      <c r="C388" s="1536"/>
      <c r="D388" s="1536"/>
      <c r="E388" s="1536"/>
      <c r="F388" s="1536"/>
      <c r="G388" s="1536"/>
      <c r="H388" s="1235"/>
      <c r="I388" s="1536"/>
      <c r="J388" s="1536"/>
      <c r="K388" s="1537"/>
      <c r="L388" s="1235"/>
      <c r="M388" s="1236"/>
      <c r="N388" s="2333"/>
      <c r="O388" s="1628"/>
      <c r="P388" s="1536"/>
      <c r="Q388" s="1536"/>
      <c r="R388" s="1567"/>
    </row>
    <row r="389" spans="1:18">
      <c r="A389" s="1881"/>
      <c r="B389" s="1913"/>
      <c r="C389" s="1536"/>
      <c r="D389" s="1536"/>
      <c r="E389" s="1536"/>
      <c r="F389" s="1536"/>
      <c r="G389" s="1536"/>
      <c r="H389" s="1235"/>
      <c r="I389" s="1536"/>
      <c r="J389" s="1536"/>
      <c r="K389" s="1537"/>
      <c r="L389" s="1235"/>
      <c r="M389" s="1236"/>
      <c r="N389" s="2334"/>
      <c r="O389" s="1628"/>
      <c r="P389" s="1536"/>
      <c r="Q389" s="1536"/>
      <c r="R389" s="1567"/>
    </row>
    <row r="390" spans="1:18">
      <c r="A390" s="1881"/>
      <c r="B390" s="1913"/>
      <c r="C390" s="1536"/>
      <c r="D390" s="1536"/>
      <c r="E390" s="1536"/>
      <c r="F390" s="1536"/>
      <c r="G390" s="1536"/>
      <c r="H390" s="1235"/>
      <c r="I390" s="1536"/>
      <c r="J390" s="1536"/>
      <c r="K390" s="1537"/>
      <c r="L390" s="1235"/>
      <c r="M390" s="1236"/>
      <c r="N390" s="2333"/>
      <c r="O390" s="1628"/>
      <c r="P390" s="1536"/>
      <c r="Q390" s="1536"/>
      <c r="R390" s="1567"/>
    </row>
    <row r="391" spans="1:18">
      <c r="A391" s="1881"/>
      <c r="B391" s="1913"/>
      <c r="C391" s="1536"/>
      <c r="D391" s="1536"/>
      <c r="E391" s="1536"/>
      <c r="F391" s="1536"/>
      <c r="G391" s="1536"/>
      <c r="H391" s="1235"/>
      <c r="I391" s="1536"/>
      <c r="J391" s="1536"/>
      <c r="K391" s="1537"/>
      <c r="L391" s="1235"/>
      <c r="M391" s="1236"/>
      <c r="N391" s="2334"/>
      <c r="O391" s="1628"/>
      <c r="P391" s="1536"/>
      <c r="Q391" s="1536"/>
      <c r="R391" s="1567"/>
    </row>
    <row r="392" spans="1:18">
      <c r="A392" s="1881"/>
      <c r="B392" s="1913"/>
      <c r="C392" s="1536"/>
      <c r="D392" s="1536"/>
      <c r="E392" s="1536"/>
      <c r="F392" s="1536"/>
      <c r="G392" s="1536"/>
      <c r="H392" s="1235"/>
      <c r="I392" s="1536"/>
      <c r="J392" s="1536"/>
      <c r="K392" s="1537"/>
      <c r="L392" s="1235"/>
      <c r="M392" s="1236"/>
      <c r="N392" s="2333"/>
      <c r="O392" s="1628"/>
      <c r="P392" s="1536"/>
      <c r="Q392" s="1536"/>
      <c r="R392" s="1567"/>
    </row>
    <row r="393" spans="1:18">
      <c r="A393" s="1881"/>
      <c r="B393" s="1913"/>
      <c r="C393" s="1536"/>
      <c r="D393" s="1536"/>
      <c r="E393" s="1536"/>
      <c r="F393" s="1536"/>
      <c r="G393" s="1536"/>
      <c r="H393" s="1235"/>
      <c r="I393" s="1536"/>
      <c r="J393" s="1536"/>
      <c r="K393" s="1537"/>
      <c r="L393" s="1235"/>
      <c r="M393" s="1236"/>
      <c r="N393" s="2334"/>
      <c r="O393" s="1628"/>
      <c r="P393" s="1536"/>
      <c r="Q393" s="1536"/>
      <c r="R393" s="1567"/>
    </row>
    <row r="394" spans="1:18">
      <c r="A394" s="1881"/>
      <c r="B394" s="1913"/>
      <c r="C394" s="1536"/>
      <c r="D394" s="1536"/>
      <c r="E394" s="1536"/>
      <c r="F394" s="1536"/>
      <c r="G394" s="1536"/>
      <c r="H394" s="1235"/>
      <c r="I394" s="1536"/>
      <c r="J394" s="1536"/>
      <c r="K394" s="1537"/>
      <c r="L394" s="1235"/>
      <c r="M394" s="1236"/>
      <c r="N394" s="2333"/>
      <c r="O394" s="1628"/>
      <c r="P394" s="1536"/>
      <c r="Q394" s="1536"/>
      <c r="R394" s="1567"/>
    </row>
    <row r="395" spans="1:18">
      <c r="A395" s="1881"/>
      <c r="B395" s="1913"/>
      <c r="C395" s="1536"/>
      <c r="D395" s="1536"/>
      <c r="E395" s="1536"/>
      <c r="F395" s="1536"/>
      <c r="G395" s="1536"/>
      <c r="H395" s="1235"/>
      <c r="I395" s="1235"/>
      <c r="J395" s="1235"/>
      <c r="K395" s="1537"/>
      <c r="L395" s="1235"/>
      <c r="M395" s="1236"/>
      <c r="N395" s="2594"/>
      <c r="O395" s="1628"/>
      <c r="P395" s="1536"/>
      <c r="Q395" s="1536"/>
      <c r="R395" s="1567"/>
    </row>
    <row r="396" spans="1:18">
      <c r="A396" s="1881"/>
      <c r="B396" s="1913"/>
      <c r="C396" s="1536"/>
      <c r="D396" s="1536"/>
      <c r="E396" s="1536"/>
      <c r="F396" s="1536"/>
      <c r="G396" s="1536"/>
      <c r="H396" s="1235"/>
      <c r="I396" s="1536"/>
      <c r="J396" s="1536"/>
      <c r="K396" s="1537"/>
      <c r="L396" s="1235"/>
      <c r="M396" s="1236"/>
      <c r="N396" s="2594"/>
      <c r="O396" s="1628"/>
      <c r="P396" s="1536"/>
      <c r="Q396" s="1536"/>
      <c r="R396" s="1567"/>
    </row>
    <row r="397" spans="1:18">
      <c r="A397" s="1881"/>
      <c r="B397" s="1913"/>
      <c r="C397" s="1536"/>
      <c r="D397" s="1536"/>
      <c r="E397" s="1536"/>
      <c r="F397" s="1536"/>
      <c r="G397" s="1536"/>
      <c r="H397" s="1235"/>
      <c r="I397" s="1536"/>
      <c r="J397" s="1536"/>
      <c r="K397" s="1537"/>
      <c r="L397" s="1235"/>
      <c r="M397" s="1236"/>
      <c r="N397" s="2594"/>
      <c r="O397" s="1628"/>
      <c r="P397" s="1536"/>
      <c r="Q397" s="1536"/>
      <c r="R397" s="1567"/>
    </row>
    <row r="398" spans="1:18">
      <c r="A398" s="1881"/>
      <c r="B398" s="1913"/>
      <c r="C398" s="1536"/>
      <c r="D398" s="1536"/>
      <c r="E398" s="1536"/>
      <c r="F398" s="1536"/>
      <c r="G398" s="1536"/>
      <c r="H398" s="1235"/>
      <c r="I398" s="1536"/>
      <c r="J398" s="1536"/>
      <c r="K398" s="1537"/>
      <c r="L398" s="1235"/>
      <c r="M398" s="1236"/>
      <c r="N398" s="2334"/>
      <c r="O398" s="1628"/>
      <c r="P398" s="1536"/>
      <c r="Q398" s="1536"/>
      <c r="R398" s="1567"/>
    </row>
    <row r="399" spans="1:18">
      <c r="A399" s="1881"/>
      <c r="B399" s="1913"/>
      <c r="C399" s="1536"/>
      <c r="D399" s="1536"/>
      <c r="E399" s="1536"/>
      <c r="F399" s="1536"/>
      <c r="G399" s="1536"/>
      <c r="H399" s="1235"/>
      <c r="I399" s="1536"/>
      <c r="J399" s="1536"/>
      <c r="K399" s="1537"/>
      <c r="L399" s="1235"/>
      <c r="M399" s="1236"/>
      <c r="N399" s="2333"/>
      <c r="O399" s="1628"/>
      <c r="P399" s="1536"/>
      <c r="Q399" s="1536"/>
      <c r="R399" s="1567"/>
    </row>
    <row r="400" spans="1:18">
      <c r="A400" s="1881"/>
      <c r="B400" s="1913"/>
      <c r="C400" s="1536"/>
      <c r="D400" s="1536"/>
      <c r="E400" s="1536"/>
      <c r="F400" s="1536"/>
      <c r="G400" s="1536"/>
      <c r="H400" s="1235"/>
      <c r="I400" s="1536"/>
      <c r="J400" s="1536"/>
      <c r="K400" s="1537"/>
      <c r="L400" s="1235"/>
      <c r="M400" s="1236"/>
      <c r="N400" s="2594"/>
      <c r="O400" s="1628"/>
      <c r="P400" s="1536"/>
      <c r="Q400" s="1536"/>
      <c r="R400" s="1567"/>
    </row>
    <row r="401" spans="1:18">
      <c r="A401" s="1881"/>
      <c r="B401" s="1913"/>
      <c r="C401" s="1536"/>
      <c r="D401" s="1536"/>
      <c r="E401" s="1536"/>
      <c r="F401" s="1536"/>
      <c r="G401" s="1536"/>
      <c r="H401" s="1235"/>
      <c r="I401" s="1536"/>
      <c r="J401" s="1536"/>
      <c r="K401" s="1537"/>
      <c r="L401" s="1235"/>
      <c r="M401" s="1236"/>
      <c r="N401" s="2594"/>
      <c r="O401" s="1628"/>
      <c r="P401" s="1536"/>
      <c r="Q401" s="1536"/>
      <c r="R401" s="1567"/>
    </row>
    <row r="402" spans="1:18">
      <c r="A402" s="1881"/>
      <c r="B402" s="1913"/>
      <c r="C402" s="1536"/>
      <c r="D402" s="1536"/>
      <c r="E402" s="1536"/>
      <c r="F402" s="1536"/>
      <c r="G402" s="1536"/>
      <c r="H402" s="1235"/>
      <c r="I402" s="1536"/>
      <c r="J402" s="1536"/>
      <c r="K402" s="1537"/>
      <c r="L402" s="1235"/>
      <c r="M402" s="1236"/>
      <c r="N402" s="2334"/>
      <c r="O402" s="1628"/>
      <c r="P402" s="1536"/>
      <c r="Q402" s="1536"/>
      <c r="R402" s="1567"/>
    </row>
    <row r="403" spans="1:18">
      <c r="A403" s="1881"/>
      <c r="B403" s="1913"/>
      <c r="C403" s="1536"/>
      <c r="D403" s="1536"/>
      <c r="E403" s="1536"/>
      <c r="F403" s="1536"/>
      <c r="G403" s="1536"/>
      <c r="H403" s="1235"/>
      <c r="I403" s="1536"/>
      <c r="J403" s="1536"/>
      <c r="K403" s="1537"/>
      <c r="L403" s="1235"/>
      <c r="M403" s="1236"/>
      <c r="N403" s="2333"/>
      <c r="O403" s="1628"/>
      <c r="P403" s="1536"/>
      <c r="Q403" s="1536"/>
      <c r="R403" s="1567"/>
    </row>
    <row r="404" spans="1:18">
      <c r="A404" s="1881"/>
      <c r="B404" s="1913"/>
      <c r="C404" s="1536"/>
      <c r="D404" s="1536"/>
      <c r="E404" s="1536"/>
      <c r="F404" s="1536"/>
      <c r="G404" s="1536"/>
      <c r="H404" s="1235"/>
      <c r="I404" s="1536"/>
      <c r="J404" s="1536"/>
      <c r="K404" s="1537"/>
      <c r="L404" s="1235"/>
      <c r="M404" s="1236"/>
      <c r="N404" s="2594"/>
      <c r="O404" s="1628"/>
      <c r="P404" s="1536"/>
      <c r="Q404" s="1536"/>
      <c r="R404" s="1567"/>
    </row>
    <row r="405" spans="1:18">
      <c r="A405" s="1881"/>
      <c r="B405" s="1913"/>
      <c r="C405" s="1536"/>
      <c r="D405" s="1536"/>
      <c r="E405" s="1536"/>
      <c r="F405" s="1536"/>
      <c r="G405" s="1536"/>
      <c r="H405" s="1235"/>
      <c r="I405" s="1235"/>
      <c r="J405" s="1235"/>
      <c r="K405" s="1537"/>
      <c r="L405" s="1235"/>
      <c r="M405" s="1921"/>
      <c r="N405" s="2250"/>
      <c r="O405" s="1631"/>
      <c r="P405" s="1536"/>
      <c r="Q405" s="1536"/>
      <c r="R405" s="1567"/>
    </row>
    <row r="406" spans="1:18">
      <c r="A406" s="1881"/>
      <c r="B406" s="1913"/>
      <c r="C406" s="1536"/>
      <c r="D406" s="1536"/>
      <c r="E406" s="1536"/>
      <c r="F406" s="1536"/>
      <c r="G406" s="1536"/>
      <c r="H406" s="1235"/>
      <c r="I406" s="1536"/>
      <c r="J406" s="1536"/>
      <c r="K406" s="1537"/>
      <c r="L406" s="1235"/>
      <c r="M406" s="1921"/>
      <c r="N406" s="2595"/>
      <c r="O406" s="1631"/>
      <c r="P406" s="1536"/>
      <c r="Q406" s="1536"/>
      <c r="R406" s="1567"/>
    </row>
    <row r="407" spans="1:18">
      <c r="A407" s="1881"/>
      <c r="B407" s="1913"/>
      <c r="C407" s="1536"/>
      <c r="D407" s="1536"/>
      <c r="E407" s="1536"/>
      <c r="F407" s="1536"/>
      <c r="G407" s="1536"/>
      <c r="H407" s="1235"/>
      <c r="I407" s="1536"/>
      <c r="J407" s="1536"/>
      <c r="K407" s="1537"/>
      <c r="L407" s="1235"/>
      <c r="M407" s="1921"/>
      <c r="N407" s="2596"/>
      <c r="O407" s="1631"/>
      <c r="P407" s="1536"/>
      <c r="Q407" s="1536"/>
      <c r="R407" s="1567"/>
    </row>
    <row r="408" spans="1:18">
      <c r="A408" s="1881"/>
      <c r="B408" s="1913"/>
      <c r="C408" s="1536"/>
      <c r="D408" s="1536"/>
      <c r="E408" s="1536"/>
      <c r="F408" s="1536"/>
      <c r="G408" s="1536"/>
      <c r="H408" s="1235"/>
      <c r="I408" s="1536"/>
      <c r="J408" s="1536"/>
      <c r="K408" s="1537"/>
      <c r="L408" s="1235"/>
      <c r="M408" s="1921"/>
      <c r="N408" s="2595"/>
      <c r="O408" s="1631"/>
      <c r="P408" s="1536"/>
      <c r="Q408" s="1536"/>
      <c r="R408" s="1567"/>
    </row>
    <row r="409" spans="1:18">
      <c r="A409" s="1881"/>
      <c r="B409" s="1913"/>
      <c r="C409" s="1536"/>
      <c r="D409" s="1536"/>
      <c r="E409" s="1536"/>
      <c r="F409" s="1536"/>
      <c r="G409" s="1536"/>
      <c r="H409" s="1235"/>
      <c r="I409" s="1536"/>
      <c r="J409" s="1536"/>
      <c r="K409" s="1537"/>
      <c r="L409" s="1235"/>
      <c r="M409" s="1921"/>
      <c r="N409" s="2597"/>
      <c r="O409" s="1631"/>
      <c r="P409" s="1536"/>
      <c r="Q409" s="1536"/>
      <c r="R409" s="1567"/>
    </row>
    <row r="410" spans="1:18">
      <c r="A410" s="1881"/>
      <c r="B410" s="1913"/>
      <c r="C410" s="1536"/>
      <c r="D410" s="1536"/>
      <c r="E410" s="1536"/>
      <c r="F410" s="1536"/>
      <c r="G410" s="1536"/>
      <c r="H410" s="1235"/>
      <c r="I410" s="1536"/>
      <c r="J410" s="1536"/>
      <c r="K410" s="1537"/>
      <c r="L410" s="1235"/>
      <c r="M410" s="1921"/>
      <c r="N410" s="2592"/>
      <c r="O410" s="1631"/>
      <c r="P410" s="1536"/>
      <c r="Q410" s="1536"/>
      <c r="R410" s="1567"/>
    </row>
    <row r="411" spans="1:18">
      <c r="A411" s="1881"/>
      <c r="B411" s="1913"/>
      <c r="C411" s="1536"/>
      <c r="D411" s="1536"/>
      <c r="E411" s="1536"/>
      <c r="F411" s="1536"/>
      <c r="G411" s="1536"/>
      <c r="H411" s="1235"/>
      <c r="I411" s="1536"/>
      <c r="J411" s="1536"/>
      <c r="K411" s="1537"/>
      <c r="L411" s="1235"/>
      <c r="M411" s="1921"/>
      <c r="N411" s="2592"/>
      <c r="O411" s="1631"/>
      <c r="P411" s="1536"/>
      <c r="Q411" s="1536"/>
      <c r="R411" s="1567"/>
    </row>
    <row r="412" spans="1:18">
      <c r="A412" s="1881"/>
      <c r="B412" s="1913"/>
      <c r="C412" s="1536"/>
      <c r="D412" s="1536"/>
      <c r="E412" s="1536"/>
      <c r="F412" s="1536"/>
      <c r="G412" s="1536"/>
      <c r="H412" s="1235"/>
      <c r="I412" s="1536"/>
      <c r="J412" s="1536"/>
      <c r="K412" s="1537"/>
      <c r="L412" s="1235"/>
      <c r="M412" s="1921"/>
      <c r="N412" s="2592"/>
      <c r="O412" s="1631"/>
      <c r="P412" s="1536"/>
      <c r="Q412" s="1536"/>
      <c r="R412" s="1567"/>
    </row>
    <row r="413" spans="1:18">
      <c r="A413" s="1881"/>
      <c r="B413" s="1913"/>
      <c r="C413" s="1536"/>
      <c r="D413" s="1536"/>
      <c r="E413" s="1536"/>
      <c r="F413" s="1536"/>
      <c r="G413" s="1536"/>
      <c r="H413" s="1235"/>
      <c r="I413" s="1536"/>
      <c r="J413" s="1536"/>
      <c r="K413" s="1537"/>
      <c r="L413" s="1235"/>
      <c r="M413" s="1236"/>
      <c r="N413" s="2594"/>
      <c r="O413" s="1628"/>
      <c r="P413" s="1536"/>
      <c r="Q413" s="1536"/>
      <c r="R413" s="1567"/>
    </row>
    <row r="414" spans="1:18">
      <c r="A414" s="1881"/>
      <c r="B414" s="1913"/>
      <c r="C414" s="1536"/>
      <c r="D414" s="1536"/>
      <c r="E414" s="1536"/>
      <c r="F414" s="1536"/>
      <c r="G414" s="1536"/>
      <c r="H414" s="1235"/>
      <c r="I414" s="1536"/>
      <c r="J414" s="1536"/>
      <c r="K414" s="1537"/>
      <c r="L414" s="1235"/>
      <c r="M414" s="1236"/>
      <c r="N414" s="2594"/>
      <c r="O414" s="1628"/>
      <c r="P414" s="1536"/>
      <c r="Q414" s="1536"/>
      <c r="R414" s="1567"/>
    </row>
    <row r="415" spans="1:18">
      <c r="A415" s="1881"/>
      <c r="B415" s="1913"/>
      <c r="C415" s="1536"/>
      <c r="D415" s="1536"/>
      <c r="E415" s="1536"/>
      <c r="F415" s="1536"/>
      <c r="G415" s="1536"/>
      <c r="H415" s="1235"/>
      <c r="I415" s="1536"/>
      <c r="J415" s="1536"/>
      <c r="K415" s="1537"/>
      <c r="L415" s="1235"/>
      <c r="M415" s="1236"/>
      <c r="N415" s="2334"/>
      <c r="O415" s="1628"/>
      <c r="P415" s="1536"/>
      <c r="Q415" s="1536"/>
      <c r="R415" s="1567"/>
    </row>
    <row r="416" spans="1:18">
      <c r="A416" s="1881"/>
      <c r="B416" s="1913"/>
      <c r="C416" s="1536"/>
      <c r="D416" s="1536"/>
      <c r="E416" s="1536"/>
      <c r="F416" s="1536"/>
      <c r="G416" s="1536"/>
      <c r="H416" s="1235"/>
      <c r="I416" s="1536"/>
      <c r="J416" s="1536"/>
      <c r="K416" s="1537"/>
      <c r="L416" s="1235"/>
      <c r="M416" s="1236"/>
      <c r="N416" s="2595"/>
      <c r="O416" s="1628"/>
      <c r="P416" s="1536"/>
      <c r="Q416" s="1536"/>
      <c r="R416" s="1567"/>
    </row>
    <row r="417" spans="1:18">
      <c r="A417" s="1881"/>
      <c r="B417" s="1913"/>
      <c r="C417" s="1536"/>
      <c r="D417" s="1536"/>
      <c r="E417" s="1536"/>
      <c r="F417" s="1536"/>
      <c r="G417" s="1536"/>
      <c r="H417" s="1235"/>
      <c r="I417" s="1536"/>
      <c r="J417" s="1536"/>
      <c r="K417" s="1537"/>
      <c r="L417" s="1235"/>
      <c r="M417" s="1236"/>
      <c r="N417" s="2597"/>
      <c r="O417" s="1628"/>
      <c r="P417" s="1536"/>
      <c r="Q417" s="1536"/>
      <c r="R417" s="1567"/>
    </row>
    <row r="418" spans="1:18">
      <c r="A418" s="1881"/>
      <c r="B418" s="1913"/>
      <c r="C418" s="1536"/>
      <c r="D418" s="1536"/>
      <c r="E418" s="1536"/>
      <c r="F418" s="1536"/>
      <c r="G418" s="1536"/>
      <c r="H418" s="1235"/>
      <c r="I418" s="1536"/>
      <c r="J418" s="1536"/>
      <c r="K418" s="1537"/>
      <c r="L418" s="1235"/>
      <c r="M418" s="1236"/>
      <c r="N418" s="2595"/>
      <c r="O418" s="1628"/>
      <c r="P418" s="1536"/>
      <c r="Q418" s="1536"/>
      <c r="R418" s="1567"/>
    </row>
    <row r="419" spans="1:18">
      <c r="A419" s="1881"/>
      <c r="B419" s="1913"/>
      <c r="C419" s="1536"/>
      <c r="D419" s="1536"/>
      <c r="E419" s="1536"/>
      <c r="F419" s="1536"/>
      <c r="G419" s="1536"/>
      <c r="H419" s="1235"/>
      <c r="I419" s="1536"/>
      <c r="J419" s="1536"/>
      <c r="K419" s="1537"/>
      <c r="L419" s="1235"/>
      <c r="M419" s="1236"/>
      <c r="N419" s="2597"/>
      <c r="O419" s="1628"/>
      <c r="P419" s="1536"/>
      <c r="Q419" s="1536"/>
      <c r="R419" s="1567"/>
    </row>
    <row r="420" spans="1:18" ht="16.5" customHeight="1">
      <c r="A420" s="1881"/>
      <c r="B420" s="1913"/>
      <c r="C420" s="1536"/>
      <c r="D420" s="1536"/>
      <c r="E420" s="1536"/>
      <c r="F420" s="1536"/>
      <c r="G420" s="1536"/>
      <c r="H420" s="1235"/>
      <c r="I420" s="1536"/>
      <c r="J420" s="1536"/>
      <c r="K420" s="1537"/>
      <c r="L420" s="1235"/>
      <c r="M420" s="1236"/>
      <c r="N420" s="2595"/>
      <c r="O420" s="1628"/>
      <c r="P420" s="1536"/>
      <c r="Q420" s="1536"/>
      <c r="R420" s="1567"/>
    </row>
    <row r="421" spans="1:18">
      <c r="A421" s="1881"/>
      <c r="B421" s="1913"/>
      <c r="C421" s="1536"/>
      <c r="D421" s="1536"/>
      <c r="E421" s="1536"/>
      <c r="F421" s="1536"/>
      <c r="G421" s="1536"/>
      <c r="H421" s="1235"/>
      <c r="I421" s="1536"/>
      <c r="J421" s="1536"/>
      <c r="K421" s="1537"/>
      <c r="L421" s="1235"/>
      <c r="M421" s="1236"/>
      <c r="N421" s="2597"/>
      <c r="O421" s="1628"/>
      <c r="P421" s="1536"/>
      <c r="Q421" s="1536"/>
      <c r="R421" s="1567"/>
    </row>
    <row r="422" spans="1:18">
      <c r="A422" s="1881"/>
      <c r="B422" s="1913"/>
      <c r="C422" s="1536"/>
      <c r="D422" s="1536"/>
      <c r="E422" s="1536"/>
      <c r="F422" s="1536"/>
      <c r="G422" s="1536"/>
      <c r="H422" s="1235"/>
      <c r="I422" s="1536"/>
      <c r="J422" s="1536"/>
      <c r="K422" s="1537"/>
      <c r="L422" s="1235"/>
      <c r="M422" s="1236"/>
      <c r="N422" s="2595"/>
      <c r="O422" s="1628"/>
      <c r="P422" s="1536"/>
      <c r="Q422" s="1536"/>
      <c r="R422" s="1567"/>
    </row>
    <row r="423" spans="1:18">
      <c r="A423" s="1881"/>
      <c r="B423" s="1913"/>
      <c r="C423" s="1536"/>
      <c r="D423" s="1536"/>
      <c r="E423" s="1536"/>
      <c r="F423" s="1536"/>
      <c r="G423" s="1536"/>
      <c r="H423" s="1235"/>
      <c r="I423" s="1536"/>
      <c r="J423" s="1536"/>
      <c r="K423" s="1537"/>
      <c r="L423" s="1235"/>
      <c r="M423" s="1236"/>
      <c r="N423" s="2597"/>
      <c r="O423" s="1628"/>
      <c r="P423" s="1536"/>
      <c r="Q423" s="1536"/>
      <c r="R423" s="1567"/>
    </row>
    <row r="424" spans="1:18">
      <c r="A424" s="1881"/>
      <c r="B424" s="1913"/>
      <c r="C424" s="1536"/>
      <c r="D424" s="1536"/>
      <c r="E424" s="1536"/>
      <c r="F424" s="1536"/>
      <c r="G424" s="1536"/>
      <c r="H424" s="1235"/>
      <c r="I424" s="1235"/>
      <c r="J424" s="1235"/>
      <c r="K424" s="1537"/>
      <c r="L424" s="1235"/>
      <c r="M424" s="1236"/>
      <c r="N424" s="2251"/>
      <c r="O424" s="1628"/>
      <c r="P424" s="1536"/>
      <c r="Q424" s="1536"/>
      <c r="R424" s="1567"/>
    </row>
    <row r="425" spans="1:18" ht="15.6" customHeight="1">
      <c r="A425" s="1881"/>
      <c r="B425" s="1913"/>
      <c r="C425" s="1536"/>
      <c r="D425" s="1536"/>
      <c r="E425" s="1536"/>
      <c r="F425" s="1536"/>
      <c r="G425" s="1536"/>
      <c r="H425" s="1235"/>
      <c r="I425" s="1536"/>
      <c r="J425" s="1536"/>
      <c r="K425" s="1537"/>
      <c r="L425" s="1235"/>
      <c r="M425" s="1921"/>
      <c r="N425" s="2592"/>
      <c r="O425" s="1631"/>
      <c r="P425" s="1536"/>
      <c r="Q425" s="1536"/>
      <c r="R425" s="1567"/>
    </row>
    <row r="426" spans="1:18">
      <c r="A426" s="1881"/>
      <c r="B426" s="1913"/>
      <c r="C426" s="1536"/>
      <c r="D426" s="1536"/>
      <c r="E426" s="1536"/>
      <c r="F426" s="1536"/>
      <c r="G426" s="1536"/>
      <c r="H426" s="1235"/>
      <c r="I426" s="1536"/>
      <c r="J426" s="1536"/>
      <c r="K426" s="1537"/>
      <c r="L426" s="1235"/>
      <c r="M426" s="1921"/>
      <c r="N426" s="2592"/>
      <c r="O426" s="1631"/>
      <c r="P426" s="1536"/>
      <c r="Q426" s="1536"/>
      <c r="R426" s="1567"/>
    </row>
    <row r="427" spans="1:18">
      <c r="A427" s="1881"/>
      <c r="B427" s="1913"/>
      <c r="C427" s="1536"/>
      <c r="D427" s="1536"/>
      <c r="E427" s="1536"/>
      <c r="F427" s="1536"/>
      <c r="G427" s="1536"/>
      <c r="H427" s="1235"/>
      <c r="I427" s="1536"/>
      <c r="J427" s="1536"/>
      <c r="K427" s="1537"/>
      <c r="L427" s="1235"/>
      <c r="M427" s="1236"/>
      <c r="N427" s="2592"/>
      <c r="O427" s="1628"/>
      <c r="P427" s="1536"/>
      <c r="Q427" s="1536"/>
      <c r="R427" s="1567"/>
    </row>
    <row r="428" spans="1:18">
      <c r="A428" s="1881"/>
      <c r="B428" s="1913"/>
      <c r="C428" s="1536"/>
      <c r="D428" s="1536"/>
      <c r="E428" s="1536"/>
      <c r="F428" s="1536"/>
      <c r="G428" s="1536"/>
      <c r="H428" s="1235"/>
      <c r="I428" s="1536"/>
      <c r="J428" s="1536"/>
      <c r="K428" s="1537"/>
      <c r="L428" s="1235"/>
      <c r="M428" s="1236"/>
      <c r="N428" s="2592"/>
      <c r="O428" s="1628"/>
      <c r="P428" s="1536"/>
      <c r="Q428" s="1536"/>
      <c r="R428" s="1567"/>
    </row>
    <row r="429" spans="1:18">
      <c r="A429" s="1881"/>
      <c r="B429" s="1913"/>
      <c r="C429" s="1536"/>
      <c r="D429" s="1536"/>
      <c r="E429" s="1536"/>
      <c r="F429" s="1536"/>
      <c r="G429" s="1536"/>
      <c r="H429" s="1235"/>
      <c r="I429" s="1235"/>
      <c r="J429" s="1235"/>
      <c r="K429" s="1537"/>
      <c r="L429" s="1235"/>
      <c r="M429" s="1236"/>
      <c r="N429" s="1879"/>
      <c r="O429" s="1628"/>
      <c r="P429" s="1536"/>
      <c r="Q429" s="1536"/>
      <c r="R429" s="1567"/>
    </row>
    <row r="430" spans="1:18" ht="15.6" customHeight="1">
      <c r="A430" s="1881"/>
      <c r="B430" s="1913"/>
      <c r="C430" s="1536"/>
      <c r="D430" s="1536"/>
      <c r="E430" s="1536"/>
      <c r="F430" s="1536"/>
      <c r="G430" s="1536"/>
      <c r="H430" s="1235"/>
      <c r="I430" s="1536"/>
      <c r="J430" s="1536"/>
      <c r="K430" s="1537"/>
      <c r="L430" s="1235"/>
      <c r="M430" s="1236"/>
      <c r="N430" s="2592"/>
      <c r="O430" s="1628"/>
      <c r="P430" s="1536"/>
      <c r="Q430" s="1536"/>
      <c r="R430" s="1567"/>
    </row>
    <row r="431" spans="1:18">
      <c r="A431" s="1881"/>
      <c r="B431" s="1913"/>
      <c r="C431" s="1536"/>
      <c r="D431" s="1536"/>
      <c r="E431" s="1536"/>
      <c r="F431" s="1536"/>
      <c r="G431" s="1536"/>
      <c r="H431" s="1235"/>
      <c r="I431" s="1536"/>
      <c r="J431" s="1536"/>
      <c r="K431" s="1537"/>
      <c r="L431" s="1235"/>
      <c r="M431" s="1236"/>
      <c r="N431" s="2592"/>
      <c r="O431" s="1628"/>
      <c r="P431" s="1536"/>
      <c r="Q431" s="1536"/>
      <c r="R431" s="1567"/>
    </row>
    <row r="432" spans="1:18">
      <c r="A432" s="1881"/>
      <c r="B432" s="1913"/>
      <c r="C432" s="1536"/>
      <c r="D432" s="1536"/>
      <c r="E432" s="1536"/>
      <c r="F432" s="1536"/>
      <c r="G432" s="1536"/>
      <c r="H432" s="1235"/>
      <c r="I432" s="1536"/>
      <c r="J432" s="1536"/>
      <c r="K432" s="1537"/>
      <c r="L432" s="1235"/>
      <c r="M432" s="1236"/>
      <c r="N432" s="2592"/>
      <c r="O432" s="1628"/>
      <c r="P432" s="1536"/>
      <c r="Q432" s="1536"/>
      <c r="R432" s="1567"/>
    </row>
    <row r="433" spans="1:18">
      <c r="A433" s="1881"/>
      <c r="B433" s="1913"/>
      <c r="C433" s="1536"/>
      <c r="D433" s="1536"/>
      <c r="E433" s="1536"/>
      <c r="F433" s="1536"/>
      <c r="G433" s="1536"/>
      <c r="H433" s="1235"/>
      <c r="I433" s="1536"/>
      <c r="J433" s="1536"/>
      <c r="K433" s="1537"/>
      <c r="L433" s="1235"/>
      <c r="M433" s="1236"/>
      <c r="N433" s="2592"/>
      <c r="O433" s="1628"/>
      <c r="P433" s="1536"/>
      <c r="Q433" s="1536"/>
      <c r="R433" s="1567"/>
    </row>
    <row r="434" spans="1:18" ht="16.2" thickBot="1">
      <c r="A434" s="1930"/>
      <c r="B434" s="2214"/>
      <c r="C434" s="1553"/>
      <c r="D434" s="1553"/>
      <c r="E434" s="1553"/>
      <c r="F434" s="1553"/>
      <c r="G434" s="1553"/>
      <c r="H434" s="1543"/>
      <c r="I434" s="1543"/>
      <c r="J434" s="1543"/>
      <c r="K434" s="1554"/>
      <c r="L434" s="1543"/>
      <c r="M434" s="1877"/>
      <c r="N434" s="2255"/>
      <c r="O434" s="1629"/>
      <c r="P434" s="1553"/>
      <c r="Q434" s="1553"/>
      <c r="R434" s="1931"/>
    </row>
    <row r="435" spans="1:18">
      <c r="A435" s="1932"/>
      <c r="B435" s="2208"/>
      <c r="C435" s="1552"/>
      <c r="D435" s="1552"/>
      <c r="E435" s="1552"/>
      <c r="F435" s="1552"/>
      <c r="G435" s="1552"/>
      <c r="H435" s="1539"/>
      <c r="I435" s="1552"/>
      <c r="J435" s="1552"/>
      <c r="K435" s="1555"/>
      <c r="L435" s="1593"/>
      <c r="M435" s="1873"/>
      <c r="N435" s="2592"/>
      <c r="O435" s="1633"/>
      <c r="P435" s="1552"/>
      <c r="Q435" s="1552"/>
      <c r="R435" s="1559"/>
    </row>
    <row r="436" spans="1:18">
      <c r="A436" s="1888"/>
      <c r="B436" s="2204"/>
      <c r="C436" s="1536"/>
      <c r="D436" s="1536"/>
      <c r="E436" s="1536"/>
      <c r="F436" s="1536"/>
      <c r="G436" s="1536"/>
      <c r="H436" s="1235"/>
      <c r="I436" s="1536"/>
      <c r="J436" s="1536"/>
      <c r="K436" s="1649"/>
      <c r="L436" s="1535"/>
      <c r="M436" s="1979"/>
      <c r="N436" s="2592"/>
      <c r="O436" s="1628"/>
      <c r="P436" s="1536"/>
      <c r="Q436" s="1536"/>
      <c r="R436" s="1557"/>
    </row>
    <row r="437" spans="1:18">
      <c r="A437" s="1888"/>
      <c r="B437" s="2204"/>
      <c r="C437" s="1536"/>
      <c r="D437" s="1536"/>
      <c r="E437" s="1536"/>
      <c r="F437" s="1536"/>
      <c r="G437" s="1536"/>
      <c r="H437" s="1235"/>
      <c r="I437" s="1708"/>
      <c r="J437" s="1709"/>
      <c r="K437" s="1649"/>
      <c r="L437" s="1535"/>
      <c r="M437" s="1979"/>
      <c r="N437" s="1879"/>
      <c r="O437" s="1628"/>
      <c r="P437" s="1536"/>
      <c r="Q437" s="1536"/>
      <c r="R437" s="1557"/>
    </row>
    <row r="438" spans="1:18">
      <c r="A438" s="1888"/>
      <c r="B438" s="2204"/>
      <c r="C438" s="1536"/>
      <c r="D438" s="1536"/>
      <c r="E438" s="1536"/>
      <c r="F438" s="1536"/>
      <c r="G438" s="1536"/>
      <c r="H438" s="1235"/>
      <c r="I438" s="1536"/>
      <c r="J438" s="1536"/>
      <c r="K438" s="1649"/>
      <c r="L438" s="1535"/>
      <c r="M438" s="1979"/>
      <c r="N438" s="2592"/>
      <c r="O438" s="1628"/>
      <c r="P438" s="1536"/>
      <c r="Q438" s="1536"/>
      <c r="R438" s="1557"/>
    </row>
    <row r="439" spans="1:18">
      <c r="A439" s="1888"/>
      <c r="B439" s="2204"/>
      <c r="C439" s="1536"/>
      <c r="D439" s="1536"/>
      <c r="E439" s="1536"/>
      <c r="F439" s="1536"/>
      <c r="G439" s="1536"/>
      <c r="H439" s="1235"/>
      <c r="I439" s="1536"/>
      <c r="J439" s="1536"/>
      <c r="K439" s="1649"/>
      <c r="L439" s="1535"/>
      <c r="M439" s="1979"/>
      <c r="N439" s="2592"/>
      <c r="O439" s="1628"/>
      <c r="P439" s="1536"/>
      <c r="Q439" s="1536"/>
      <c r="R439" s="1557"/>
    </row>
    <row r="440" spans="1:18">
      <c r="A440" s="1888"/>
      <c r="B440" s="2204"/>
      <c r="C440" s="1536"/>
      <c r="D440" s="1536"/>
      <c r="E440" s="1536"/>
      <c r="F440" s="1536"/>
      <c r="G440" s="1536"/>
      <c r="H440" s="1235"/>
      <c r="I440" s="1536"/>
      <c r="J440" s="1536"/>
      <c r="K440" s="1649"/>
      <c r="L440" s="1535"/>
      <c r="M440" s="1979"/>
      <c r="N440" s="2592"/>
      <c r="O440" s="1628"/>
      <c r="P440" s="1536"/>
      <c r="Q440" s="1536"/>
      <c r="R440" s="1557"/>
    </row>
    <row r="441" spans="1:18">
      <c r="A441" s="1888"/>
      <c r="B441" s="2204"/>
      <c r="C441" s="1536"/>
      <c r="D441" s="1536"/>
      <c r="E441" s="1536"/>
      <c r="F441" s="1536"/>
      <c r="G441" s="1536"/>
      <c r="H441" s="1235"/>
      <c r="I441" s="1536"/>
      <c r="J441" s="1536"/>
      <c r="K441" s="1649"/>
      <c r="L441" s="1535"/>
      <c r="M441" s="1979"/>
      <c r="N441" s="2592"/>
      <c r="O441" s="1628"/>
      <c r="P441" s="1536"/>
      <c r="Q441" s="1536"/>
      <c r="R441" s="1557"/>
    </row>
    <row r="442" spans="1:18">
      <c r="A442" s="1888"/>
      <c r="B442" s="2204"/>
      <c r="C442" s="1536"/>
      <c r="D442" s="1536"/>
      <c r="E442" s="1536"/>
      <c r="F442" s="1536"/>
      <c r="G442" s="1536"/>
      <c r="H442" s="1235"/>
      <c r="I442" s="1536"/>
      <c r="J442" s="1536"/>
      <c r="K442" s="1649"/>
      <c r="L442" s="1535"/>
      <c r="M442" s="1979"/>
      <c r="N442" s="2592"/>
      <c r="O442" s="1628"/>
      <c r="P442" s="1536"/>
      <c r="Q442" s="1536"/>
      <c r="R442" s="1557"/>
    </row>
    <row r="443" spans="1:18">
      <c r="A443" s="1888"/>
      <c r="B443" s="2204"/>
      <c r="C443" s="1536"/>
      <c r="D443" s="1536"/>
      <c r="E443" s="1536"/>
      <c r="F443" s="1536"/>
      <c r="G443" s="1536"/>
      <c r="H443" s="1235"/>
      <c r="I443" s="1536"/>
      <c r="J443" s="1536"/>
      <c r="K443" s="1649"/>
      <c r="L443" s="1535"/>
      <c r="M443" s="1979"/>
      <c r="N443" s="2592"/>
      <c r="O443" s="1536"/>
      <c r="P443" s="1235"/>
      <c r="Q443" s="1536"/>
      <c r="R443" s="1557"/>
    </row>
    <row r="444" spans="1:18">
      <c r="A444" s="1888"/>
      <c r="B444" s="2204"/>
      <c r="C444" s="1536"/>
      <c r="D444" s="1536"/>
      <c r="E444" s="1536"/>
      <c r="F444" s="1536"/>
      <c r="G444" s="1536"/>
      <c r="H444" s="1235"/>
      <c r="I444" s="1536"/>
      <c r="J444" s="1536"/>
      <c r="K444" s="1649"/>
      <c r="L444" s="1535"/>
      <c r="M444" s="1979"/>
      <c r="N444" s="2592"/>
      <c r="O444" s="1628"/>
      <c r="P444" s="1536"/>
      <c r="Q444" s="1536"/>
      <c r="R444" s="1557"/>
    </row>
    <row r="445" spans="1:18">
      <c r="A445" s="1888"/>
      <c r="B445" s="2204"/>
      <c r="C445" s="1536"/>
      <c r="D445" s="1536"/>
      <c r="E445" s="1536"/>
      <c r="F445" s="1536"/>
      <c r="G445" s="1536"/>
      <c r="H445" s="1235"/>
      <c r="I445" s="1536"/>
      <c r="J445" s="1536"/>
      <c r="K445" s="1649"/>
      <c r="L445" s="1535"/>
      <c r="M445" s="1979"/>
      <c r="N445" s="2592"/>
      <c r="O445" s="1628"/>
      <c r="P445" s="1536"/>
      <c r="Q445" s="1536"/>
      <c r="R445" s="1557"/>
    </row>
    <row r="446" spans="1:18">
      <c r="A446" s="1888"/>
      <c r="B446" s="2204"/>
      <c r="C446" s="1536"/>
      <c r="D446" s="1536"/>
      <c r="E446" s="1536"/>
      <c r="F446" s="1536"/>
      <c r="G446" s="1536"/>
      <c r="H446" s="1235"/>
      <c r="I446" s="1536"/>
      <c r="J446" s="1536"/>
      <c r="K446" s="1649"/>
      <c r="L446" s="1535"/>
      <c r="M446" s="1979"/>
      <c r="N446" s="2593"/>
      <c r="O446" s="1628"/>
      <c r="P446" s="1536"/>
      <c r="Q446" s="1536"/>
      <c r="R446" s="1557"/>
    </row>
    <row r="447" spans="1:18">
      <c r="A447" s="1888"/>
      <c r="B447" s="2204"/>
      <c r="C447" s="1536"/>
      <c r="D447" s="1536"/>
      <c r="E447" s="1536"/>
      <c r="F447" s="1536"/>
      <c r="G447" s="1536"/>
      <c r="H447" s="1235"/>
      <c r="I447" s="1708"/>
      <c r="J447" s="1709"/>
      <c r="K447" s="1537"/>
      <c r="L447" s="1535"/>
      <c r="M447" s="1236"/>
      <c r="N447" s="2594"/>
      <c r="O447" s="1628"/>
      <c r="P447" s="1536"/>
      <c r="Q447" s="1536"/>
      <c r="R447" s="1557"/>
    </row>
    <row r="448" spans="1:18">
      <c r="A448" s="1888"/>
      <c r="B448" s="2204"/>
      <c r="C448" s="1536"/>
      <c r="D448" s="1536"/>
      <c r="E448" s="1536"/>
      <c r="F448" s="1536"/>
      <c r="G448" s="1536"/>
      <c r="H448" s="1235"/>
      <c r="I448" s="1536"/>
      <c r="J448" s="1536"/>
      <c r="K448" s="1537"/>
      <c r="L448" s="1535"/>
      <c r="M448" s="1236"/>
      <c r="N448" s="2334"/>
      <c r="O448" s="1628"/>
      <c r="P448" s="1536"/>
      <c r="Q448" s="1536"/>
      <c r="R448" s="1557"/>
    </row>
    <row r="449" spans="1:18">
      <c r="A449" s="1888"/>
      <c r="B449" s="2204"/>
      <c r="C449" s="1536"/>
      <c r="D449" s="1536"/>
      <c r="E449" s="1536"/>
      <c r="F449" s="1536"/>
      <c r="G449" s="1536"/>
      <c r="H449" s="1235"/>
      <c r="I449" s="1536"/>
      <c r="J449" s="1536"/>
      <c r="K449" s="1537"/>
      <c r="L449" s="1535"/>
      <c r="M449" s="1236"/>
      <c r="N449" s="2592"/>
      <c r="O449" s="1628"/>
      <c r="P449" s="1536"/>
      <c r="Q449" s="1536"/>
      <c r="R449" s="1557"/>
    </row>
    <row r="450" spans="1:18">
      <c r="A450" s="1888"/>
      <c r="B450" s="2204"/>
      <c r="C450" s="1536"/>
      <c r="D450" s="1536"/>
      <c r="E450" s="1536"/>
      <c r="F450" s="1536"/>
      <c r="G450" s="1536"/>
      <c r="H450" s="1235"/>
      <c r="I450" s="1536"/>
      <c r="J450" s="1536"/>
      <c r="K450" s="1537"/>
      <c r="L450" s="1535"/>
      <c r="M450" s="1236"/>
      <c r="N450" s="2592"/>
      <c r="O450" s="1628"/>
      <c r="P450" s="1536"/>
      <c r="Q450" s="1536"/>
      <c r="R450" s="1557"/>
    </row>
    <row r="451" spans="1:18">
      <c r="A451" s="1888"/>
      <c r="B451" s="2204"/>
      <c r="C451" s="1536"/>
      <c r="D451" s="1536"/>
      <c r="E451" s="1536"/>
      <c r="F451" s="1536"/>
      <c r="G451" s="1536"/>
      <c r="H451" s="1235"/>
      <c r="I451" s="1536"/>
      <c r="J451" s="1536"/>
      <c r="K451" s="1537"/>
      <c r="L451" s="1535"/>
      <c r="M451" s="1236"/>
      <c r="N451" s="2593"/>
      <c r="O451" s="1628"/>
      <c r="P451" s="1536"/>
      <c r="Q451" s="1536"/>
      <c r="R451" s="1557"/>
    </row>
    <row r="452" spans="1:18">
      <c r="A452" s="1888"/>
      <c r="B452" s="2204"/>
      <c r="C452" s="1536"/>
      <c r="D452" s="1536"/>
      <c r="E452" s="1536"/>
      <c r="F452" s="1536"/>
      <c r="G452" s="1536"/>
      <c r="H452" s="1235"/>
      <c r="I452" s="1708"/>
      <c r="J452" s="1709"/>
      <c r="K452" s="1537"/>
      <c r="L452" s="1535"/>
      <c r="M452" s="1236"/>
      <c r="N452" s="2594"/>
      <c r="O452" s="1628"/>
      <c r="P452" s="1536"/>
      <c r="Q452" s="1536"/>
      <c r="R452" s="1557"/>
    </row>
    <row r="453" spans="1:18">
      <c r="A453" s="1888"/>
      <c r="B453" s="2204"/>
      <c r="C453" s="1536"/>
      <c r="D453" s="1536"/>
      <c r="E453" s="1536"/>
      <c r="F453" s="1536"/>
      <c r="G453" s="1536"/>
      <c r="H453" s="1235"/>
      <c r="I453" s="1536"/>
      <c r="J453" s="1536"/>
      <c r="K453" s="1537"/>
      <c r="L453" s="1535"/>
      <c r="M453" s="1236"/>
      <c r="N453" s="2334"/>
      <c r="O453" s="1628"/>
      <c r="P453" s="1536"/>
      <c r="Q453" s="1536"/>
      <c r="R453" s="1557"/>
    </row>
    <row r="454" spans="1:18">
      <c r="A454" s="1888"/>
      <c r="B454" s="2204"/>
      <c r="C454" s="1536"/>
      <c r="D454" s="1536"/>
      <c r="E454" s="1536"/>
      <c r="F454" s="1536"/>
      <c r="G454" s="1536"/>
      <c r="H454" s="1235"/>
      <c r="I454" s="1536"/>
      <c r="J454" s="1536"/>
      <c r="K454" s="1537"/>
      <c r="L454" s="1235"/>
      <c r="M454" s="1236"/>
      <c r="N454" s="2333"/>
      <c r="O454" s="1628"/>
      <c r="P454" s="1536"/>
      <c r="Q454" s="1536"/>
      <c r="R454" s="1557"/>
    </row>
    <row r="455" spans="1:18">
      <c r="A455" s="1888"/>
      <c r="B455" s="2204"/>
      <c r="C455" s="1536"/>
      <c r="D455" s="1536"/>
      <c r="E455" s="1536"/>
      <c r="F455" s="1536"/>
      <c r="G455" s="1536"/>
      <c r="H455" s="1235"/>
      <c r="I455" s="1536"/>
      <c r="J455" s="1536"/>
      <c r="K455" s="1537"/>
      <c r="L455" s="1235"/>
      <c r="M455" s="1236"/>
      <c r="N455" s="2594"/>
      <c r="O455" s="1628"/>
      <c r="P455" s="1536"/>
      <c r="Q455" s="1536"/>
      <c r="R455" s="1557"/>
    </row>
    <row r="456" spans="1:18">
      <c r="A456" s="1888"/>
      <c r="B456" s="2204"/>
      <c r="C456" s="1536"/>
      <c r="D456" s="1536"/>
      <c r="E456" s="1536"/>
      <c r="F456" s="1536"/>
      <c r="G456" s="1536"/>
      <c r="H456" s="1235"/>
      <c r="I456" s="1536"/>
      <c r="J456" s="1536"/>
      <c r="K456" s="1537"/>
      <c r="L456" s="1235"/>
      <c r="M456" s="1236"/>
      <c r="N456" s="2594"/>
      <c r="O456" s="1628"/>
      <c r="P456" s="1536"/>
      <c r="Q456" s="1536"/>
      <c r="R456" s="1557"/>
    </row>
    <row r="457" spans="1:18" ht="15.6" customHeight="1">
      <c r="A457" s="1888"/>
      <c r="B457" s="2204"/>
      <c r="C457" s="1536"/>
      <c r="D457" s="1536"/>
      <c r="E457" s="1536"/>
      <c r="F457" s="1536"/>
      <c r="G457" s="1536"/>
      <c r="H457" s="1235"/>
      <c r="I457" s="1614"/>
      <c r="J457" s="1865"/>
      <c r="K457" s="1526"/>
      <c r="L457" s="1235"/>
      <c r="M457" s="1236"/>
      <c r="N457" s="2334"/>
      <c r="O457" s="1628"/>
      <c r="P457" s="1536"/>
      <c r="Q457" s="1536"/>
      <c r="R457" s="1557"/>
    </row>
    <row r="458" spans="1:18">
      <c r="A458" s="1888"/>
      <c r="B458" s="2204"/>
      <c r="C458" s="1536"/>
      <c r="D458" s="1536"/>
      <c r="E458" s="1536"/>
      <c r="F458" s="1536"/>
      <c r="G458" s="1536"/>
      <c r="H458" s="1235"/>
      <c r="I458" s="1536"/>
      <c r="J458" s="1536"/>
      <c r="K458" s="1537"/>
      <c r="L458" s="1235"/>
      <c r="M458" s="1236"/>
      <c r="N458" s="2333"/>
      <c r="O458" s="1628"/>
      <c r="P458" s="1536"/>
      <c r="Q458" s="1536"/>
      <c r="R458" s="1557"/>
    </row>
    <row r="459" spans="1:18">
      <c r="A459" s="1888"/>
      <c r="B459" s="2204"/>
      <c r="C459" s="1536"/>
      <c r="D459" s="1536"/>
      <c r="E459" s="1536"/>
      <c r="F459" s="1536"/>
      <c r="G459" s="1536"/>
      <c r="H459" s="1235"/>
      <c r="I459" s="1708"/>
      <c r="J459" s="1709"/>
      <c r="K459" s="1537"/>
      <c r="L459" s="1235"/>
      <c r="M459" s="1236"/>
      <c r="N459" s="2594"/>
      <c r="O459" s="1628"/>
      <c r="P459" s="1536"/>
      <c r="Q459" s="1536"/>
      <c r="R459" s="1557"/>
    </row>
    <row r="460" spans="1:18">
      <c r="A460" s="1888"/>
      <c r="B460" s="2204"/>
      <c r="C460" s="1536"/>
      <c r="D460" s="1536"/>
      <c r="E460" s="1536"/>
      <c r="F460" s="1536"/>
      <c r="G460" s="1536"/>
      <c r="H460" s="1235"/>
      <c r="I460" s="1536"/>
      <c r="J460" s="1536"/>
      <c r="K460" s="1537"/>
      <c r="L460" s="1235"/>
      <c r="M460" s="1236"/>
      <c r="N460" s="2594"/>
      <c r="O460" s="1628"/>
      <c r="P460" s="1536"/>
      <c r="Q460" s="1536"/>
      <c r="R460" s="1557"/>
    </row>
    <row r="461" spans="1:18">
      <c r="A461" s="1888"/>
      <c r="B461" s="2204"/>
      <c r="C461" s="1536"/>
      <c r="D461" s="1536"/>
      <c r="E461" s="1536"/>
      <c r="F461" s="1536"/>
      <c r="G461" s="1536"/>
      <c r="H461" s="1235"/>
      <c r="I461" s="1536"/>
      <c r="J461" s="1536"/>
      <c r="K461" s="1537"/>
      <c r="L461" s="1235"/>
      <c r="M461" s="1236"/>
      <c r="N461" s="2334"/>
      <c r="O461" s="1628"/>
      <c r="P461" s="1536"/>
      <c r="Q461" s="1536"/>
      <c r="R461" s="1557"/>
    </row>
    <row r="462" spans="1:18" ht="15.6" customHeight="1">
      <c r="A462" s="1888"/>
      <c r="B462" s="2204"/>
      <c r="C462" s="1536"/>
      <c r="D462" s="1536"/>
      <c r="E462" s="1536"/>
      <c r="F462" s="1536"/>
      <c r="G462" s="1536"/>
      <c r="H462" s="1235"/>
      <c r="I462" s="1614"/>
      <c r="J462" s="1865"/>
      <c r="K462" s="1537"/>
      <c r="L462" s="1235"/>
      <c r="M462" s="1236"/>
      <c r="N462" s="2333"/>
      <c r="O462" s="1628"/>
      <c r="P462" s="1536"/>
      <c r="Q462" s="1536"/>
      <c r="R462" s="1557"/>
    </row>
    <row r="463" spans="1:18">
      <c r="A463" s="1888"/>
      <c r="B463" s="2204"/>
      <c r="C463" s="1536"/>
      <c r="D463" s="1536"/>
      <c r="E463" s="1536"/>
      <c r="F463" s="1536"/>
      <c r="G463" s="1536"/>
      <c r="H463" s="1235"/>
      <c r="I463" s="1536"/>
      <c r="J463" s="1536"/>
      <c r="K463" s="1537"/>
      <c r="L463" s="1235"/>
      <c r="M463" s="1236"/>
      <c r="N463" s="2594"/>
      <c r="O463" s="1628"/>
      <c r="P463" s="1536"/>
      <c r="Q463" s="1536"/>
      <c r="R463" s="1557"/>
    </row>
    <row r="464" spans="1:18">
      <c r="A464" s="1888"/>
      <c r="B464" s="2204"/>
      <c r="C464" s="1536"/>
      <c r="D464" s="1536"/>
      <c r="E464" s="1536"/>
      <c r="F464" s="1536"/>
      <c r="G464" s="1536"/>
      <c r="H464" s="1235"/>
      <c r="I464" s="1536"/>
      <c r="J464" s="1536"/>
      <c r="K464" s="1537"/>
      <c r="L464" s="1235"/>
      <c r="M464" s="1236"/>
      <c r="N464" s="2594"/>
      <c r="O464" s="1628"/>
      <c r="P464" s="1536"/>
      <c r="Q464" s="1536"/>
      <c r="R464" s="1557"/>
    </row>
    <row r="465" spans="1:18">
      <c r="A465" s="1888"/>
      <c r="B465" s="2204"/>
      <c r="C465" s="1536"/>
      <c r="D465" s="1536"/>
      <c r="E465" s="1536"/>
      <c r="F465" s="1536"/>
      <c r="G465" s="1536"/>
      <c r="H465" s="1235"/>
      <c r="I465" s="1536"/>
      <c r="J465" s="1536"/>
      <c r="K465" s="1537"/>
      <c r="L465" s="1235"/>
      <c r="M465" s="1236"/>
      <c r="N465" s="2334"/>
      <c r="O465" s="1628"/>
      <c r="P465" s="1536"/>
      <c r="Q465" s="1536"/>
      <c r="R465" s="1557"/>
    </row>
    <row r="466" spans="1:18">
      <c r="A466" s="1888"/>
      <c r="B466" s="2204"/>
      <c r="C466" s="1536"/>
      <c r="D466" s="1536"/>
      <c r="E466" s="1536"/>
      <c r="F466" s="1536"/>
      <c r="G466" s="1536"/>
      <c r="H466" s="1235"/>
      <c r="I466" s="1536"/>
      <c r="J466" s="1536"/>
      <c r="K466" s="1537"/>
      <c r="L466" s="1235"/>
      <c r="M466" s="1236"/>
      <c r="N466" s="2333"/>
      <c r="O466" s="1628"/>
      <c r="P466" s="1536"/>
      <c r="Q466" s="1536"/>
      <c r="R466" s="1557"/>
    </row>
    <row r="467" spans="1:18" ht="15.6" customHeight="1">
      <c r="A467" s="1888"/>
      <c r="B467" s="2204"/>
      <c r="C467" s="1536"/>
      <c r="D467" s="1536"/>
      <c r="E467" s="1536"/>
      <c r="F467" s="1536"/>
      <c r="G467" s="1536"/>
      <c r="H467" s="1235"/>
      <c r="I467" s="1614"/>
      <c r="J467" s="1865"/>
      <c r="K467" s="1537"/>
      <c r="L467" s="1235"/>
      <c r="M467" s="1236"/>
      <c r="N467" s="2594"/>
      <c r="O467" s="1628"/>
      <c r="P467" s="1536"/>
      <c r="Q467" s="1536"/>
      <c r="R467" s="1557"/>
    </row>
    <row r="468" spans="1:18">
      <c r="A468" s="1888"/>
      <c r="B468" s="2204"/>
      <c r="C468" s="1536"/>
      <c r="D468" s="1536"/>
      <c r="E468" s="1536"/>
      <c r="F468" s="1536"/>
      <c r="G468" s="1536"/>
      <c r="H468" s="1235"/>
      <c r="I468" s="1536"/>
      <c r="J468" s="1536"/>
      <c r="K468" s="1537"/>
      <c r="L468" s="1235"/>
      <c r="M468" s="1236"/>
      <c r="N468" s="2594"/>
      <c r="O468" s="1628"/>
      <c r="P468" s="1536"/>
      <c r="Q468" s="1536"/>
      <c r="R468" s="1557"/>
    </row>
    <row r="469" spans="1:18">
      <c r="A469" s="1888"/>
      <c r="B469" s="2204"/>
      <c r="C469" s="1536"/>
      <c r="D469" s="1536"/>
      <c r="E469" s="1536"/>
      <c r="F469" s="1536"/>
      <c r="G469" s="1536"/>
      <c r="H469" s="1235"/>
      <c r="I469" s="1708"/>
      <c r="J469" s="1709"/>
      <c r="K469" s="1537"/>
      <c r="L469" s="1235"/>
      <c r="M469" s="1236"/>
      <c r="N469" s="2594"/>
      <c r="O469" s="1628"/>
      <c r="P469" s="1536"/>
      <c r="Q469" s="1536"/>
      <c r="R469" s="1557"/>
    </row>
    <row r="470" spans="1:18">
      <c r="A470" s="1888"/>
      <c r="B470" s="2204"/>
      <c r="C470" s="1536"/>
      <c r="D470" s="1536"/>
      <c r="E470" s="1536"/>
      <c r="F470" s="1536"/>
      <c r="G470" s="1536"/>
      <c r="H470" s="1235"/>
      <c r="I470" s="1536"/>
      <c r="J470" s="1536"/>
      <c r="K470" s="1537"/>
      <c r="L470" s="1235"/>
      <c r="M470" s="1236"/>
      <c r="N470" s="2594"/>
      <c r="O470" s="1628"/>
      <c r="P470" s="1536"/>
      <c r="Q470" s="1536"/>
      <c r="R470" s="1557"/>
    </row>
    <row r="471" spans="1:18">
      <c r="A471" s="1888"/>
      <c r="B471" s="2204"/>
      <c r="C471" s="1536"/>
      <c r="D471" s="1536"/>
      <c r="E471" s="1536"/>
      <c r="F471" s="1536"/>
      <c r="G471" s="1536"/>
      <c r="H471" s="1235"/>
      <c r="I471" s="1536"/>
      <c r="J471" s="1536"/>
      <c r="K471" s="1537"/>
      <c r="L471" s="1235"/>
      <c r="M471" s="1236"/>
      <c r="N471" s="2334"/>
      <c r="O471" s="1628"/>
      <c r="P471" s="1536"/>
      <c r="Q471" s="1536"/>
      <c r="R471" s="1557"/>
    </row>
    <row r="472" spans="1:18">
      <c r="A472" s="1888"/>
      <c r="B472" s="2204"/>
      <c r="C472" s="1536"/>
      <c r="D472" s="1536"/>
      <c r="E472" s="1536"/>
      <c r="F472" s="1536"/>
      <c r="G472" s="1536"/>
      <c r="H472" s="1235"/>
      <c r="I472" s="1536"/>
      <c r="J472" s="1536"/>
      <c r="K472" s="1537"/>
      <c r="L472" s="1235"/>
      <c r="M472" s="1236"/>
      <c r="N472" s="2333"/>
      <c r="O472" s="1628"/>
      <c r="P472" s="1536"/>
      <c r="Q472" s="1536"/>
      <c r="R472" s="1557"/>
    </row>
    <row r="473" spans="1:18">
      <c r="A473" s="1888"/>
      <c r="B473" s="2204"/>
      <c r="C473" s="1536"/>
      <c r="D473" s="1536"/>
      <c r="E473" s="1536"/>
      <c r="F473" s="1536"/>
      <c r="G473" s="1536"/>
      <c r="H473" s="1235"/>
      <c r="I473" s="1536"/>
      <c r="J473" s="1536"/>
      <c r="K473" s="1537"/>
      <c r="L473" s="1235"/>
      <c r="M473" s="1236"/>
      <c r="N473" s="2334"/>
      <c r="O473" s="1628"/>
      <c r="P473" s="1536"/>
      <c r="Q473" s="1536"/>
      <c r="R473" s="1557"/>
    </row>
    <row r="474" spans="1:18">
      <c r="A474" s="1888"/>
      <c r="B474" s="2204"/>
      <c r="C474" s="1536"/>
      <c r="D474" s="1536"/>
      <c r="E474" s="1536"/>
      <c r="F474" s="1536"/>
      <c r="G474" s="1536"/>
      <c r="H474" s="1235"/>
      <c r="I474" s="1536"/>
      <c r="J474" s="1536"/>
      <c r="K474" s="1537"/>
      <c r="L474" s="1235"/>
      <c r="M474" s="1236"/>
      <c r="N474" s="2333"/>
      <c r="O474" s="1628"/>
      <c r="P474" s="1536"/>
      <c r="Q474" s="1536"/>
      <c r="R474" s="1557"/>
    </row>
    <row r="475" spans="1:18">
      <c r="A475" s="1888"/>
      <c r="B475" s="2204"/>
      <c r="C475" s="1536"/>
      <c r="D475" s="1536"/>
      <c r="E475" s="1536"/>
      <c r="F475" s="1536"/>
      <c r="G475" s="1536"/>
      <c r="H475" s="1235"/>
      <c r="I475" s="1536"/>
      <c r="J475" s="1536"/>
      <c r="K475" s="1537"/>
      <c r="L475" s="1235"/>
      <c r="M475" s="1236"/>
      <c r="N475" s="2334"/>
      <c r="O475" s="1628"/>
      <c r="P475" s="1536"/>
      <c r="Q475" s="1536"/>
      <c r="R475" s="1557"/>
    </row>
    <row r="476" spans="1:18">
      <c r="A476" s="1888"/>
      <c r="B476" s="2204"/>
      <c r="C476" s="1536"/>
      <c r="D476" s="1536"/>
      <c r="E476" s="1536"/>
      <c r="F476" s="1536"/>
      <c r="G476" s="1536"/>
      <c r="H476" s="1235"/>
      <c r="I476" s="1536"/>
      <c r="J476" s="1536"/>
      <c r="K476" s="1537"/>
      <c r="L476" s="1235"/>
      <c r="M476" s="1236"/>
      <c r="N476" s="2333"/>
      <c r="O476" s="1628"/>
      <c r="P476" s="1536"/>
      <c r="Q476" s="1536"/>
      <c r="R476" s="1557"/>
    </row>
    <row r="477" spans="1:18">
      <c r="A477" s="1888"/>
      <c r="B477" s="2204"/>
      <c r="C477" s="1536"/>
      <c r="D477" s="1536"/>
      <c r="E477" s="1536"/>
      <c r="F477" s="1536"/>
      <c r="G477" s="1536"/>
      <c r="H477" s="1235"/>
      <c r="I477" s="1536"/>
      <c r="J477" s="1536"/>
      <c r="K477" s="1537"/>
      <c r="L477" s="1235"/>
      <c r="M477" s="1236"/>
      <c r="N477" s="2334"/>
      <c r="O477" s="1628"/>
      <c r="P477" s="1536"/>
      <c r="Q477" s="1536"/>
      <c r="R477" s="1557"/>
    </row>
    <row r="478" spans="1:18">
      <c r="A478" s="1888"/>
      <c r="B478" s="2204"/>
      <c r="C478" s="1536"/>
      <c r="D478" s="1536"/>
      <c r="E478" s="1536"/>
      <c r="F478" s="1536"/>
      <c r="G478" s="1536"/>
      <c r="H478" s="1235"/>
      <c r="I478" s="1536"/>
      <c r="J478" s="1536"/>
      <c r="K478" s="1537"/>
      <c r="L478" s="1235"/>
      <c r="M478" s="1236"/>
      <c r="N478" s="2333"/>
      <c r="O478" s="1628"/>
      <c r="P478" s="1536"/>
      <c r="Q478" s="1536"/>
      <c r="R478" s="1557"/>
    </row>
    <row r="479" spans="1:18">
      <c r="A479" s="1888"/>
      <c r="B479" s="2204"/>
      <c r="C479" s="1536"/>
      <c r="D479" s="1536"/>
      <c r="E479" s="1536"/>
      <c r="F479" s="1536"/>
      <c r="G479" s="1536"/>
      <c r="H479" s="1235"/>
      <c r="I479" s="1536"/>
      <c r="J479" s="1536"/>
      <c r="K479" s="1537"/>
      <c r="L479" s="1235"/>
      <c r="M479" s="1236"/>
      <c r="N479" s="2334"/>
      <c r="O479" s="1628"/>
      <c r="P479" s="1536"/>
      <c r="Q479" s="1536"/>
      <c r="R479" s="1557"/>
    </row>
    <row r="480" spans="1:18">
      <c r="A480" s="1888"/>
      <c r="B480" s="2204"/>
      <c r="C480" s="1536"/>
      <c r="D480" s="1536"/>
      <c r="E480" s="1536"/>
      <c r="F480" s="1536"/>
      <c r="G480" s="1536"/>
      <c r="H480" s="1235"/>
      <c r="I480" s="1536"/>
      <c r="J480" s="1536"/>
      <c r="K480" s="1537"/>
      <c r="L480" s="1235"/>
      <c r="M480" s="1236"/>
      <c r="N480" s="2333"/>
      <c r="O480" s="1628"/>
      <c r="P480" s="1536"/>
      <c r="Q480" s="1536"/>
      <c r="R480" s="1557"/>
    </row>
    <row r="481" spans="1:18">
      <c r="A481" s="1888"/>
      <c r="B481" s="2204"/>
      <c r="C481" s="1536"/>
      <c r="D481" s="1536"/>
      <c r="E481" s="1536"/>
      <c r="F481" s="1536"/>
      <c r="G481" s="1536"/>
      <c r="H481" s="1235"/>
      <c r="I481" s="1536"/>
      <c r="J481" s="1536"/>
      <c r="K481" s="1537"/>
      <c r="L481" s="1235"/>
      <c r="M481" s="1236"/>
      <c r="N481" s="2334"/>
      <c r="O481" s="1628"/>
      <c r="P481" s="1536"/>
      <c r="Q481" s="1536"/>
      <c r="R481" s="1557"/>
    </row>
    <row r="482" spans="1:18">
      <c r="A482" s="1888"/>
      <c r="B482" s="2204"/>
      <c r="C482" s="1536"/>
      <c r="D482" s="1536"/>
      <c r="E482" s="1536"/>
      <c r="F482" s="1536"/>
      <c r="G482" s="1536"/>
      <c r="H482" s="1235"/>
      <c r="I482" s="1536"/>
      <c r="J482" s="1536"/>
      <c r="K482" s="1537"/>
      <c r="L482" s="1235"/>
      <c r="M482" s="1236"/>
      <c r="N482" s="2333"/>
      <c r="O482" s="1628"/>
      <c r="P482" s="1536"/>
      <c r="Q482" s="1536"/>
      <c r="R482" s="1557"/>
    </row>
    <row r="483" spans="1:18">
      <c r="A483" s="1888"/>
      <c r="B483" s="2204"/>
      <c r="C483" s="1536"/>
      <c r="D483" s="1536"/>
      <c r="E483" s="1536"/>
      <c r="F483" s="1536"/>
      <c r="G483" s="1536"/>
      <c r="H483" s="1235"/>
      <c r="I483" s="1536"/>
      <c r="J483" s="1536"/>
      <c r="K483" s="1537"/>
      <c r="L483" s="1235"/>
      <c r="M483" s="1236"/>
      <c r="N483" s="2334"/>
      <c r="O483" s="1628"/>
      <c r="P483" s="1536"/>
      <c r="Q483" s="1536"/>
      <c r="R483" s="1557"/>
    </row>
    <row r="484" spans="1:18">
      <c r="A484" s="1888"/>
      <c r="B484" s="2204"/>
      <c r="C484" s="1536"/>
      <c r="D484" s="1536"/>
      <c r="E484" s="1536"/>
      <c r="F484" s="1536"/>
      <c r="G484" s="1536"/>
      <c r="H484" s="1235"/>
      <c r="I484" s="1536"/>
      <c r="J484" s="1536"/>
      <c r="K484" s="1537"/>
      <c r="L484" s="1235"/>
      <c r="M484" s="1236"/>
      <c r="N484" s="2333"/>
      <c r="O484" s="1628"/>
      <c r="P484" s="1536"/>
      <c r="Q484" s="1536"/>
      <c r="R484" s="1557"/>
    </row>
    <row r="485" spans="1:18">
      <c r="A485" s="1888"/>
      <c r="B485" s="2210"/>
      <c r="C485" s="1874"/>
      <c r="D485" s="1874"/>
      <c r="E485" s="1874"/>
      <c r="F485" s="1874"/>
      <c r="G485" s="1874"/>
      <c r="H485" s="1875"/>
      <c r="I485" s="1874"/>
      <c r="J485" s="1874"/>
      <c r="K485" s="2006"/>
      <c r="L485" s="1875"/>
      <c r="M485" s="2007"/>
      <c r="N485" s="2594"/>
      <c r="O485" s="2008"/>
      <c r="P485" s="1874"/>
      <c r="Q485" s="1874"/>
      <c r="R485" s="1876"/>
    </row>
    <row r="486" spans="1:18">
      <c r="A486" s="1888"/>
      <c r="B486" s="2208"/>
      <c r="C486" s="1552"/>
      <c r="D486" s="1552"/>
      <c r="E486" s="1552"/>
      <c r="F486" s="1552"/>
      <c r="G486" s="1552"/>
      <c r="H486" s="1539"/>
      <c r="I486" s="1552"/>
      <c r="J486" s="1552"/>
      <c r="K486" s="1555"/>
      <c r="L486" s="1539"/>
      <c r="M486" s="1873"/>
      <c r="N486" s="2334"/>
      <c r="O486" s="1633"/>
      <c r="P486" s="1552"/>
      <c r="Q486" s="1552"/>
      <c r="R486" s="1559"/>
    </row>
    <row r="487" spans="1:18">
      <c r="A487" s="1888"/>
      <c r="B487" s="2204"/>
      <c r="C487" s="1536"/>
      <c r="D487" s="1536"/>
      <c r="E487" s="1536"/>
      <c r="F487" s="1536"/>
      <c r="G487" s="1536"/>
      <c r="H487" s="1235"/>
      <c r="I487" s="1536"/>
      <c r="J487" s="1536"/>
      <c r="K487" s="1555"/>
      <c r="L487" s="1235"/>
      <c r="M487" s="1236"/>
      <c r="N487" s="2333"/>
      <c r="O487" s="1628"/>
      <c r="P487" s="1536"/>
      <c r="Q487" s="1536"/>
      <c r="R487" s="1557"/>
    </row>
    <row r="488" spans="1:18">
      <c r="A488" s="1888"/>
      <c r="B488" s="2204"/>
      <c r="C488" s="1536"/>
      <c r="D488" s="1536"/>
      <c r="E488" s="1536"/>
      <c r="F488" s="1536"/>
      <c r="G488" s="1536"/>
      <c r="H488" s="1235"/>
      <c r="I488" s="1536"/>
      <c r="J488" s="1536"/>
      <c r="K488" s="1555"/>
      <c r="L488" s="1235"/>
      <c r="M488" s="1236"/>
      <c r="N488" s="2334"/>
      <c r="O488" s="1628"/>
      <c r="P488" s="1536"/>
      <c r="Q488" s="1536"/>
      <c r="R488" s="1557"/>
    </row>
    <row r="489" spans="1:18">
      <c r="A489" s="1888"/>
      <c r="B489" s="2204"/>
      <c r="C489" s="1536"/>
      <c r="D489" s="1536"/>
      <c r="E489" s="1536"/>
      <c r="F489" s="1536"/>
      <c r="G489" s="1536"/>
      <c r="H489" s="1235"/>
      <c r="I489" s="1536"/>
      <c r="J489" s="1536"/>
      <c r="K489" s="1555"/>
      <c r="L489" s="1235"/>
      <c r="M489" s="1236"/>
      <c r="N489" s="2333"/>
      <c r="O489" s="1628"/>
      <c r="P489" s="1536"/>
      <c r="Q489" s="1536"/>
      <c r="R489" s="1557"/>
    </row>
    <row r="490" spans="1:18">
      <c r="A490" s="1888"/>
      <c r="B490" s="2204"/>
      <c r="C490" s="1536"/>
      <c r="D490" s="1536"/>
      <c r="E490" s="1536"/>
      <c r="F490" s="1536"/>
      <c r="G490" s="1536"/>
      <c r="H490" s="1235"/>
      <c r="I490" s="1536"/>
      <c r="J490" s="1536"/>
      <c r="K490" s="1555"/>
      <c r="L490" s="1235"/>
      <c r="M490" s="1236"/>
      <c r="N490" s="2334"/>
      <c r="O490" s="1628"/>
      <c r="P490" s="1536"/>
      <c r="Q490" s="1536"/>
      <c r="R490" s="1557"/>
    </row>
    <row r="491" spans="1:18">
      <c r="A491" s="1888"/>
      <c r="B491" s="2204"/>
      <c r="C491" s="1536"/>
      <c r="D491" s="1536"/>
      <c r="E491" s="1536"/>
      <c r="F491" s="1536"/>
      <c r="G491" s="1536"/>
      <c r="H491" s="1235"/>
      <c r="I491" s="1536"/>
      <c r="J491" s="1536"/>
      <c r="K491" s="1555"/>
      <c r="L491" s="1235"/>
      <c r="M491" s="1236"/>
      <c r="N491" s="2333"/>
      <c r="O491" s="1628"/>
      <c r="P491" s="1536"/>
      <c r="Q491" s="1536"/>
      <c r="R491" s="1557"/>
    </row>
    <row r="492" spans="1:18">
      <c r="A492" s="1888"/>
      <c r="B492" s="2204"/>
      <c r="C492" s="1536"/>
      <c r="D492" s="1536"/>
      <c r="E492" s="1536"/>
      <c r="F492" s="1536"/>
      <c r="G492" s="1536"/>
      <c r="H492" s="1235"/>
      <c r="I492" s="1536"/>
      <c r="J492" s="1536"/>
      <c r="K492" s="1555"/>
      <c r="L492" s="1235"/>
      <c r="M492" s="1236"/>
      <c r="N492" s="2334"/>
      <c r="O492" s="1628"/>
      <c r="P492" s="1536"/>
      <c r="Q492" s="1536"/>
      <c r="R492" s="1557"/>
    </row>
    <row r="493" spans="1:18">
      <c r="A493" s="1888"/>
      <c r="B493" s="2204"/>
      <c r="C493" s="1536"/>
      <c r="D493" s="1536"/>
      <c r="E493" s="1536"/>
      <c r="F493" s="1536"/>
      <c r="G493" s="1536"/>
      <c r="H493" s="1235"/>
      <c r="I493" s="1536"/>
      <c r="J493" s="1536"/>
      <c r="K493" s="1537"/>
      <c r="L493" s="1235"/>
      <c r="M493" s="1236"/>
      <c r="N493" s="2333"/>
      <c r="O493" s="1628"/>
      <c r="P493" s="1536"/>
      <c r="Q493" s="1536"/>
      <c r="R493" s="1557"/>
    </row>
    <row r="494" spans="1:18">
      <c r="A494" s="1888"/>
      <c r="B494" s="2209"/>
      <c r="C494" s="1538"/>
      <c r="D494" s="1538"/>
      <c r="E494" s="1538"/>
      <c r="F494" s="1538"/>
      <c r="G494" s="1538"/>
      <c r="H494" s="1535"/>
      <c r="I494" s="1538"/>
      <c r="J494" s="1538"/>
      <c r="K494" s="1556"/>
      <c r="L494" s="1535"/>
      <c r="M494" s="1872"/>
      <c r="N494" s="2334"/>
      <c r="O494" s="1632"/>
      <c r="P494" s="1538"/>
      <c r="Q494" s="1538"/>
      <c r="R494" s="1560"/>
    </row>
    <row r="495" spans="1:18">
      <c r="A495" s="1888"/>
      <c r="B495" s="2204"/>
      <c r="C495" s="1536"/>
      <c r="D495" s="1536"/>
      <c r="E495" s="1536"/>
      <c r="F495" s="1536"/>
      <c r="G495" s="1536"/>
      <c r="H495" s="1235"/>
      <c r="I495" s="1536"/>
      <c r="J495" s="1536"/>
      <c r="K495" s="1537"/>
      <c r="L495" s="1235"/>
      <c r="M495" s="1236"/>
      <c r="N495" s="2333"/>
      <c r="O495" s="1628"/>
      <c r="P495" s="1536"/>
      <c r="Q495" s="1536"/>
      <c r="R495" s="1557"/>
    </row>
    <row r="496" spans="1:18">
      <c r="A496" s="1930"/>
      <c r="B496" s="2207"/>
      <c r="C496" s="1553"/>
      <c r="D496" s="1553"/>
      <c r="E496" s="1553"/>
      <c r="F496" s="1553"/>
      <c r="G496" s="1553"/>
      <c r="H496" s="1543"/>
      <c r="I496" s="1553"/>
      <c r="J496" s="1553"/>
      <c r="K496" s="1554"/>
      <c r="L496" s="1543"/>
      <c r="M496" s="1877"/>
      <c r="N496" s="2598"/>
      <c r="O496" s="1629"/>
      <c r="P496" s="1553"/>
      <c r="Q496" s="1553"/>
      <c r="R496" s="1558"/>
    </row>
    <row r="497" spans="1:18">
      <c r="A497" s="1922"/>
      <c r="B497" s="1912"/>
      <c r="C497" s="1552"/>
      <c r="D497" s="1552"/>
      <c r="E497" s="1552"/>
      <c r="F497" s="1552"/>
      <c r="G497" s="1552"/>
      <c r="H497" s="1539"/>
      <c r="I497" s="1552"/>
      <c r="J497" s="1552"/>
      <c r="K497" s="1555"/>
      <c r="L497" s="1539"/>
      <c r="M497" s="1873"/>
      <c r="N497" s="2333"/>
      <c r="O497" s="1633"/>
      <c r="P497" s="1552"/>
      <c r="Q497" s="1552"/>
      <c r="R497" s="1698"/>
    </row>
    <row r="498" spans="1:18">
      <c r="A498" s="2003"/>
      <c r="B498" s="1913"/>
      <c r="C498" s="1536"/>
      <c r="D498" s="1536"/>
      <c r="E498" s="1536"/>
      <c r="F498" s="1536"/>
      <c r="G498" s="1536"/>
      <c r="H498" s="1235"/>
      <c r="I498" s="1536"/>
      <c r="J498" s="1536"/>
      <c r="K498" s="1537"/>
      <c r="L498" s="1235"/>
      <c r="M498" s="1236"/>
      <c r="N498" s="2334"/>
      <c r="O498" s="1628"/>
      <c r="P498" s="1536"/>
      <c r="Q498" s="1536"/>
      <c r="R498" s="1567"/>
    </row>
    <row r="499" spans="1:18">
      <c r="A499" s="2003"/>
      <c r="B499" s="1913"/>
      <c r="C499" s="1536"/>
      <c r="D499" s="1536"/>
      <c r="E499" s="1536"/>
      <c r="F499" s="1536"/>
      <c r="G499" s="1536"/>
      <c r="H499" s="1235"/>
      <c r="I499" s="1536"/>
      <c r="J499" s="1536"/>
      <c r="K499" s="1537"/>
      <c r="L499" s="1235"/>
      <c r="M499" s="1236"/>
      <c r="N499" s="2333"/>
      <c r="O499" s="1628"/>
      <c r="P499" s="1536"/>
      <c r="Q499" s="1536"/>
      <c r="R499" s="1567"/>
    </row>
    <row r="500" spans="1:18">
      <c r="A500" s="2003"/>
      <c r="B500" s="1913"/>
      <c r="C500" s="1536"/>
      <c r="D500" s="1536"/>
      <c r="E500" s="1536"/>
      <c r="F500" s="1536"/>
      <c r="G500" s="1536"/>
      <c r="H500" s="1235"/>
      <c r="I500" s="1536"/>
      <c r="J500" s="1536"/>
      <c r="K500" s="1537"/>
      <c r="L500" s="1235"/>
      <c r="M500" s="1236"/>
      <c r="N500" s="2334"/>
      <c r="O500" s="1628"/>
      <c r="P500" s="1536"/>
      <c r="Q500" s="1536"/>
      <c r="R500" s="1567"/>
    </row>
    <row r="501" spans="1:18">
      <c r="A501" s="2003"/>
      <c r="B501" s="1913"/>
      <c r="C501" s="1536"/>
      <c r="D501" s="1536"/>
      <c r="E501" s="1536"/>
      <c r="F501" s="1536"/>
      <c r="G501" s="1536"/>
      <c r="H501" s="1235"/>
      <c r="I501" s="1536"/>
      <c r="J501" s="1536"/>
      <c r="K501" s="1537"/>
      <c r="L501" s="1235"/>
      <c r="M501" s="1236"/>
      <c r="N501" s="2333"/>
      <c r="O501" s="1628"/>
      <c r="P501" s="1536"/>
      <c r="Q501" s="1536"/>
      <c r="R501" s="1567"/>
    </row>
    <row r="502" spans="1:18">
      <c r="A502" s="2003"/>
      <c r="B502" s="1913"/>
      <c r="C502" s="1536"/>
      <c r="D502" s="1536"/>
      <c r="E502" s="1536"/>
      <c r="F502" s="1536"/>
      <c r="G502" s="1536"/>
      <c r="H502" s="1235"/>
      <c r="I502" s="1536"/>
      <c r="J502" s="1536"/>
      <c r="K502" s="1537"/>
      <c r="L502" s="1235"/>
      <c r="M502" s="1236"/>
      <c r="N502" s="2334"/>
      <c r="O502" s="1628"/>
      <c r="P502" s="1536"/>
      <c r="Q502" s="1536"/>
      <c r="R502" s="1567"/>
    </row>
    <row r="503" spans="1:18">
      <c r="A503" s="2003"/>
      <c r="B503" s="1913"/>
      <c r="C503" s="1536"/>
      <c r="D503" s="1536"/>
      <c r="E503" s="1536"/>
      <c r="F503" s="1536"/>
      <c r="G503" s="1536"/>
      <c r="H503" s="1235"/>
      <c r="I503" s="1536"/>
      <c r="J503" s="1536"/>
      <c r="K503" s="1537"/>
      <c r="L503" s="1235"/>
      <c r="M503" s="1236"/>
      <c r="N503" s="2333"/>
      <c r="O503" s="1628"/>
      <c r="P503" s="1536"/>
      <c r="Q503" s="1536"/>
      <c r="R503" s="1567"/>
    </row>
    <row r="504" spans="1:18">
      <c r="A504" s="2003"/>
      <c r="B504" s="1913"/>
      <c r="C504" s="1536"/>
      <c r="D504" s="1536"/>
      <c r="E504" s="1536"/>
      <c r="F504" s="1536"/>
      <c r="G504" s="1536"/>
      <c r="H504" s="1235"/>
      <c r="I504" s="1536"/>
      <c r="J504" s="1536"/>
      <c r="K504" s="1537"/>
      <c r="L504" s="1235"/>
      <c r="M504" s="1236"/>
      <c r="N504" s="2334"/>
      <c r="O504" s="1628"/>
      <c r="P504" s="1536"/>
      <c r="Q504" s="1536"/>
      <c r="R504" s="1567"/>
    </row>
    <row r="505" spans="1:18">
      <c r="A505" s="2003"/>
      <c r="B505" s="1913"/>
      <c r="C505" s="1536"/>
      <c r="D505" s="1536"/>
      <c r="E505" s="1536"/>
      <c r="F505" s="1536"/>
      <c r="G505" s="1536"/>
      <c r="H505" s="1235"/>
      <c r="I505" s="1536"/>
      <c r="J505" s="1536"/>
      <c r="K505" s="1537"/>
      <c r="L505" s="1235"/>
      <c r="M505" s="1236"/>
      <c r="N505" s="2333"/>
      <c r="O505" s="1628"/>
      <c r="P505" s="1536"/>
      <c r="Q505" s="1536"/>
      <c r="R505" s="1567"/>
    </row>
    <row r="506" spans="1:18">
      <c r="A506" s="2003"/>
      <c r="B506" s="1913"/>
      <c r="C506" s="1536"/>
      <c r="D506" s="1536"/>
      <c r="E506" s="1536"/>
      <c r="F506" s="1536"/>
      <c r="G506" s="1536"/>
      <c r="H506" s="1235"/>
      <c r="I506" s="1536"/>
      <c r="J506" s="1536"/>
      <c r="K506" s="1537"/>
      <c r="L506" s="1235"/>
      <c r="M506" s="1236"/>
      <c r="N506" s="2334"/>
      <c r="O506" s="1628"/>
      <c r="P506" s="1536"/>
      <c r="Q506" s="1536"/>
      <c r="R506" s="1567"/>
    </row>
    <row r="507" spans="1:18">
      <c r="A507" s="2003"/>
      <c r="B507" s="1913"/>
      <c r="C507" s="1536"/>
      <c r="D507" s="1536"/>
      <c r="E507" s="1536"/>
      <c r="F507" s="1536"/>
      <c r="G507" s="1536"/>
      <c r="H507" s="1235"/>
      <c r="I507" s="1536"/>
      <c r="J507" s="1536"/>
      <c r="K507" s="1537"/>
      <c r="L507" s="1235"/>
      <c r="M507" s="1236"/>
      <c r="N507" s="2333"/>
      <c r="O507" s="1628"/>
      <c r="P507" s="1536"/>
      <c r="Q507" s="1536"/>
      <c r="R507" s="1567"/>
    </row>
    <row r="508" spans="1:18">
      <c r="A508" s="2003"/>
      <c r="B508" s="1913"/>
      <c r="C508" s="1536"/>
      <c r="D508" s="1536"/>
      <c r="E508" s="1536"/>
      <c r="F508" s="1536"/>
      <c r="G508" s="1536"/>
      <c r="H508" s="1235"/>
      <c r="I508" s="1536"/>
      <c r="J508" s="1536"/>
      <c r="K508" s="1537"/>
      <c r="L508" s="1235"/>
      <c r="M508" s="1236"/>
      <c r="N508" s="2594"/>
      <c r="O508" s="1628"/>
      <c r="P508" s="1536"/>
      <c r="Q508" s="1536"/>
      <c r="R508" s="1567"/>
    </row>
    <row r="509" spans="1:18">
      <c r="A509" s="2003"/>
      <c r="B509" s="1913"/>
      <c r="C509" s="1536"/>
      <c r="D509" s="1536"/>
      <c r="E509" s="1536"/>
      <c r="F509" s="1536"/>
      <c r="G509" s="1536"/>
      <c r="H509" s="1235"/>
      <c r="I509" s="1536"/>
      <c r="J509" s="1536"/>
      <c r="K509" s="1537"/>
      <c r="L509" s="1235"/>
      <c r="M509" s="1236"/>
      <c r="N509" s="2334"/>
      <c r="O509" s="1628"/>
      <c r="P509" s="1536"/>
      <c r="Q509" s="1536"/>
      <c r="R509" s="1567"/>
    </row>
    <row r="510" spans="1:18">
      <c r="A510" s="2003"/>
      <c r="B510" s="1913"/>
      <c r="C510" s="1536"/>
      <c r="D510" s="1536"/>
      <c r="E510" s="1536"/>
      <c r="F510" s="1536"/>
      <c r="G510" s="1536"/>
      <c r="H510" s="1235"/>
      <c r="I510" s="1536"/>
      <c r="J510" s="1536"/>
      <c r="K510" s="1537"/>
      <c r="L510" s="1235"/>
      <c r="M510" s="1236"/>
      <c r="N510" s="2333"/>
      <c r="O510" s="1628"/>
      <c r="P510" s="1536"/>
      <c r="Q510" s="1536"/>
      <c r="R510" s="1567"/>
    </row>
    <row r="511" spans="1:18">
      <c r="A511" s="2003"/>
      <c r="B511" s="1913"/>
      <c r="C511" s="1536"/>
      <c r="D511" s="1536"/>
      <c r="E511" s="1536"/>
      <c r="F511" s="1536"/>
      <c r="G511" s="1536"/>
      <c r="H511" s="1235"/>
      <c r="I511" s="1536"/>
      <c r="J511" s="1536"/>
      <c r="K511" s="1537"/>
      <c r="L511" s="1235"/>
      <c r="M511" s="1236"/>
      <c r="N511" s="2334"/>
      <c r="O511" s="1628"/>
      <c r="P511" s="1536"/>
      <c r="Q511" s="1536"/>
      <c r="R511" s="1567"/>
    </row>
    <row r="512" spans="1:18">
      <c r="A512" s="2003"/>
      <c r="B512" s="1913"/>
      <c r="C512" s="1536"/>
      <c r="D512" s="1536"/>
      <c r="E512" s="1536"/>
      <c r="F512" s="1536"/>
      <c r="G512" s="1536"/>
      <c r="H512" s="1235"/>
      <c r="I512" s="1536"/>
      <c r="J512" s="1536"/>
      <c r="K512" s="1537"/>
      <c r="L512" s="1235"/>
      <c r="M512" s="1236"/>
      <c r="N512" s="2333"/>
      <c r="O512" s="1628"/>
      <c r="P512" s="1536"/>
      <c r="Q512" s="1536"/>
      <c r="R512" s="1567"/>
    </row>
    <row r="513" spans="1:18">
      <c r="A513" s="2003"/>
      <c r="B513" s="1913"/>
      <c r="C513" s="1536"/>
      <c r="D513" s="1536"/>
      <c r="E513" s="1536"/>
      <c r="F513" s="1536"/>
      <c r="G513" s="1536"/>
      <c r="H513" s="1235"/>
      <c r="I513" s="1536"/>
      <c r="J513" s="1536"/>
      <c r="K513" s="1537"/>
      <c r="L513" s="1235"/>
      <c r="M513" s="1236"/>
      <c r="N513" s="2334"/>
      <c r="O513" s="1628"/>
      <c r="P513" s="1536"/>
      <c r="Q513" s="1536"/>
      <c r="R513" s="1567"/>
    </row>
    <row r="514" spans="1:18">
      <c r="A514" s="2003"/>
      <c r="B514" s="1913"/>
      <c r="C514" s="1536"/>
      <c r="D514" s="1536"/>
      <c r="E514" s="1536"/>
      <c r="F514" s="1536"/>
      <c r="G514" s="1536"/>
      <c r="H514" s="1235"/>
      <c r="I514" s="1536"/>
      <c r="J514" s="1536"/>
      <c r="K514" s="1537"/>
      <c r="L514" s="1235"/>
      <c r="M514" s="1236"/>
      <c r="N514" s="2333"/>
      <c r="O514" s="1628"/>
      <c r="P514" s="1536"/>
      <c r="Q514" s="1536"/>
      <c r="R514" s="1567"/>
    </row>
    <row r="515" spans="1:18">
      <c r="A515" s="2003"/>
      <c r="B515" s="1913"/>
      <c r="C515" s="1536"/>
      <c r="D515" s="1536"/>
      <c r="E515" s="1536"/>
      <c r="F515" s="1536"/>
      <c r="G515" s="1536"/>
      <c r="H515" s="1235"/>
      <c r="I515" s="1536"/>
      <c r="J515" s="1536"/>
      <c r="K515" s="1537"/>
      <c r="L515" s="1235"/>
      <c r="M515" s="1236"/>
      <c r="N515" s="2594"/>
      <c r="O515" s="1628"/>
      <c r="P515" s="1536"/>
      <c r="Q515" s="1536"/>
      <c r="R515" s="1567"/>
    </row>
    <row r="516" spans="1:18">
      <c r="A516" s="2009"/>
      <c r="B516" s="2212"/>
      <c r="C516" s="1538"/>
      <c r="D516" s="1538"/>
      <c r="E516" s="1538"/>
      <c r="F516" s="1538"/>
      <c r="G516" s="1538"/>
      <c r="H516" s="1535"/>
      <c r="I516" s="1538"/>
      <c r="J516" s="1538"/>
      <c r="K516" s="1556"/>
      <c r="L516" s="1535"/>
      <c r="M516" s="1872"/>
      <c r="N516" s="2594"/>
      <c r="O516" s="1632"/>
      <c r="P516" s="1538"/>
      <c r="Q516" s="1538"/>
      <c r="R516" s="1592"/>
    </row>
    <row r="517" spans="1:18">
      <c r="A517" s="2010"/>
      <c r="B517" s="1913"/>
      <c r="C517" s="1536"/>
      <c r="D517" s="1536"/>
      <c r="E517" s="1536"/>
      <c r="F517" s="1536"/>
      <c r="G517" s="1536"/>
      <c r="H517" s="1235"/>
      <c r="I517" s="1536"/>
      <c r="J517" s="1536"/>
      <c r="K517" s="1537"/>
      <c r="L517" s="1235"/>
      <c r="M517" s="1921"/>
      <c r="N517" s="2333"/>
      <c r="O517" s="1631"/>
      <c r="P517" s="1536"/>
      <c r="Q517" s="1536"/>
      <c r="R517" s="1567"/>
    </row>
    <row r="518" spans="1:18">
      <c r="A518" s="2046"/>
      <c r="B518" s="2212"/>
      <c r="C518" s="1538"/>
      <c r="D518" s="1538"/>
      <c r="E518" s="1538"/>
      <c r="F518" s="1538"/>
      <c r="G518" s="1538"/>
      <c r="H518" s="1535"/>
      <c r="I518" s="1538"/>
      <c r="J518" s="1538"/>
      <c r="K518" s="1556"/>
      <c r="L518" s="1535"/>
      <c r="M518" s="2056"/>
      <c r="N518" s="2598"/>
      <c r="O518" s="2016"/>
      <c r="P518" s="1538"/>
      <c r="Q518" s="1538"/>
      <c r="R518" s="1592"/>
    </row>
    <row r="519" spans="1:18">
      <c r="A519" s="2047"/>
      <c r="B519" s="2216"/>
      <c r="C519" s="1564"/>
      <c r="D519" s="1564"/>
      <c r="E519" s="1564"/>
      <c r="F519" s="1564"/>
      <c r="G519" s="1564"/>
      <c r="H519" s="966"/>
      <c r="I519" s="1564"/>
      <c r="J519" s="1564"/>
      <c r="K519" s="1565"/>
      <c r="L519" s="966"/>
      <c r="M519" s="1882"/>
      <c r="N519" s="2594"/>
      <c r="O519" s="1634"/>
      <c r="P519" s="1564"/>
      <c r="Q519" s="1564"/>
      <c r="R519" s="1566"/>
    </row>
    <row r="520" spans="1:18">
      <c r="A520" s="2048"/>
      <c r="B520" s="1913"/>
      <c r="C520" s="1536"/>
      <c r="D520" s="1536"/>
      <c r="E520" s="1536"/>
      <c r="F520" s="1536"/>
      <c r="G520" s="1536"/>
      <c r="H520" s="1235"/>
      <c r="I520" s="1536"/>
      <c r="J520" s="1536"/>
      <c r="K520" s="1537"/>
      <c r="L520" s="1235"/>
      <c r="M520" s="1236"/>
      <c r="N520" s="2334"/>
      <c r="O520" s="1628"/>
      <c r="P520" s="1536"/>
      <c r="Q520" s="1536"/>
      <c r="R520" s="1567"/>
    </row>
    <row r="521" spans="1:18">
      <c r="A521" s="2048"/>
      <c r="B521" s="1913"/>
      <c r="C521" s="1536"/>
      <c r="D521" s="1536"/>
      <c r="E521" s="1536"/>
      <c r="F521" s="1536"/>
      <c r="G521" s="1536"/>
      <c r="H521" s="1235"/>
      <c r="I521" s="1536"/>
      <c r="J521" s="1536"/>
      <c r="K521" s="1537"/>
      <c r="L521" s="1235"/>
      <c r="M521" s="1236"/>
      <c r="N521" s="2333"/>
      <c r="O521" s="1628"/>
      <c r="P521" s="1536"/>
      <c r="Q521" s="1536"/>
      <c r="R521" s="1567"/>
    </row>
    <row r="522" spans="1:18">
      <c r="A522" s="2048"/>
      <c r="B522" s="1913"/>
      <c r="C522" s="1536"/>
      <c r="D522" s="1536"/>
      <c r="E522" s="1536"/>
      <c r="F522" s="1536"/>
      <c r="G522" s="1536"/>
      <c r="H522" s="1235"/>
      <c r="I522" s="1536"/>
      <c r="J522" s="1536"/>
      <c r="K522" s="1537"/>
      <c r="L522" s="1235"/>
      <c r="M522" s="1236"/>
      <c r="N522" s="2334"/>
      <c r="O522" s="1628"/>
      <c r="P522" s="1536"/>
      <c r="Q522" s="1536"/>
      <c r="R522" s="1567"/>
    </row>
    <row r="523" spans="1:18">
      <c r="A523" s="2048"/>
      <c r="B523" s="1913"/>
      <c r="C523" s="1536"/>
      <c r="D523" s="1536"/>
      <c r="E523" s="1536"/>
      <c r="F523" s="1536"/>
      <c r="G523" s="1536"/>
      <c r="H523" s="1235"/>
      <c r="I523" s="1536"/>
      <c r="J523" s="1536"/>
      <c r="K523" s="1537"/>
      <c r="L523" s="1235"/>
      <c r="M523" s="1236"/>
      <c r="N523" s="2333"/>
      <c r="O523" s="1628"/>
      <c r="P523" s="1536"/>
      <c r="Q523" s="1536"/>
      <c r="R523" s="1567"/>
    </row>
    <row r="524" spans="1:18">
      <c r="A524" s="2048"/>
      <c r="B524" s="1913"/>
      <c r="C524" s="1536"/>
      <c r="D524" s="1536"/>
      <c r="E524" s="1536"/>
      <c r="F524" s="1536"/>
      <c r="G524" s="1536"/>
      <c r="H524" s="1235"/>
      <c r="I524" s="1536"/>
      <c r="J524" s="1536"/>
      <c r="K524" s="1537"/>
      <c r="L524" s="1235"/>
      <c r="M524" s="1236"/>
      <c r="N524" s="2334"/>
      <c r="O524" s="1628"/>
      <c r="P524" s="1536"/>
      <c r="Q524" s="1536"/>
      <c r="R524" s="1567"/>
    </row>
    <row r="525" spans="1:18">
      <c r="A525" s="2048"/>
      <c r="B525" s="1913"/>
      <c r="C525" s="1536"/>
      <c r="D525" s="1536"/>
      <c r="E525" s="1536"/>
      <c r="F525" s="1536"/>
      <c r="G525" s="1536"/>
      <c r="H525" s="1235"/>
      <c r="I525" s="1536"/>
      <c r="J525" s="1536"/>
      <c r="K525" s="1537"/>
      <c r="L525" s="1235"/>
      <c r="M525" s="1236"/>
      <c r="N525" s="2333"/>
      <c r="O525" s="1628"/>
      <c r="P525" s="1536"/>
      <c r="Q525" s="1536"/>
      <c r="R525" s="1567"/>
    </row>
    <row r="526" spans="1:18">
      <c r="A526" s="2048"/>
      <c r="B526" s="1913"/>
      <c r="C526" s="1536"/>
      <c r="D526" s="1536"/>
      <c r="E526" s="1536"/>
      <c r="F526" s="1536"/>
      <c r="G526" s="1536"/>
      <c r="H526" s="1235"/>
      <c r="I526" s="1536"/>
      <c r="J526" s="1536"/>
      <c r="K526" s="1537"/>
      <c r="L526" s="1235"/>
      <c r="M526" s="1236"/>
      <c r="N526" s="2594"/>
      <c r="O526" s="1628"/>
      <c r="P526" s="1536"/>
      <c r="Q526" s="1536"/>
      <c r="R526" s="1567"/>
    </row>
    <row r="527" spans="1:18">
      <c r="A527" s="2048"/>
      <c r="B527" s="1913"/>
      <c r="C527" s="1536"/>
      <c r="D527" s="1536"/>
      <c r="E527" s="1536"/>
      <c r="F527" s="1536"/>
      <c r="G527" s="1536"/>
      <c r="H527" s="1235"/>
      <c r="I527" s="1536"/>
      <c r="J527" s="1536"/>
      <c r="K527" s="1537"/>
      <c r="L527" s="1235"/>
      <c r="M527" s="1236"/>
      <c r="N527" s="2334"/>
      <c r="O527" s="1628"/>
      <c r="P527" s="1536"/>
      <c r="Q527" s="1536"/>
      <c r="R527" s="1567"/>
    </row>
    <row r="528" spans="1:18">
      <c r="A528" s="2048"/>
      <c r="B528" s="1913"/>
      <c r="C528" s="1536"/>
      <c r="D528" s="1536"/>
      <c r="E528" s="1536"/>
      <c r="F528" s="1536"/>
      <c r="G528" s="1536"/>
      <c r="H528" s="1235"/>
      <c r="I528" s="1536"/>
      <c r="J528" s="1536"/>
      <c r="K528" s="1537"/>
      <c r="L528" s="1235"/>
      <c r="M528" s="1236"/>
      <c r="N528" s="2333"/>
      <c r="O528" s="1628"/>
      <c r="P528" s="1536"/>
      <c r="Q528" s="1536"/>
      <c r="R528" s="1567"/>
    </row>
    <row r="529" spans="1:18">
      <c r="A529" s="2048"/>
      <c r="B529" s="1913"/>
      <c r="C529" s="1536"/>
      <c r="D529" s="1536"/>
      <c r="E529" s="1536"/>
      <c r="F529" s="1536"/>
      <c r="G529" s="1536"/>
      <c r="H529" s="1235"/>
      <c r="I529" s="1536"/>
      <c r="J529" s="1536"/>
      <c r="K529" s="1537"/>
      <c r="L529" s="1235"/>
      <c r="M529" s="1236"/>
      <c r="N529" s="2334"/>
      <c r="O529" s="1628"/>
      <c r="P529" s="1536"/>
      <c r="Q529" s="1536"/>
      <c r="R529" s="1567"/>
    </row>
    <row r="530" spans="1:18">
      <c r="A530" s="2048"/>
      <c r="B530" s="1913"/>
      <c r="C530" s="1536"/>
      <c r="D530" s="1536"/>
      <c r="E530" s="1536"/>
      <c r="F530" s="1536"/>
      <c r="G530" s="1536"/>
      <c r="H530" s="1235"/>
      <c r="I530" s="1536"/>
      <c r="J530" s="1536"/>
      <c r="K530" s="1537"/>
      <c r="L530" s="1235"/>
      <c r="M530" s="1236"/>
      <c r="N530" s="2333"/>
      <c r="O530" s="1628"/>
      <c r="P530" s="1536"/>
      <c r="Q530" s="1536"/>
      <c r="R530" s="1567"/>
    </row>
    <row r="531" spans="1:18">
      <c r="A531" s="2048"/>
      <c r="B531" s="1913"/>
      <c r="C531" s="1536"/>
      <c r="D531" s="1536"/>
      <c r="E531" s="1536"/>
      <c r="F531" s="1536"/>
      <c r="G531" s="1536"/>
      <c r="H531" s="1235"/>
      <c r="I531" s="1536"/>
      <c r="J531" s="1536"/>
      <c r="K531" s="1537"/>
      <c r="L531" s="1235"/>
      <c r="M531" s="1236"/>
      <c r="N531" s="2334"/>
      <c r="O531" s="1628"/>
      <c r="P531" s="1536"/>
      <c r="Q531" s="1536"/>
      <c r="R531" s="1567"/>
    </row>
    <row r="532" spans="1:18">
      <c r="A532" s="2048"/>
      <c r="B532" s="1913"/>
      <c r="C532" s="1536"/>
      <c r="D532" s="1536"/>
      <c r="E532" s="1536"/>
      <c r="F532" s="1536"/>
      <c r="G532" s="1536"/>
      <c r="H532" s="1235"/>
      <c r="I532" s="1536"/>
      <c r="J532" s="1536"/>
      <c r="K532" s="1537"/>
      <c r="L532" s="1235"/>
      <c r="M532" s="1236"/>
      <c r="N532" s="2333"/>
      <c r="O532" s="1628"/>
      <c r="P532" s="1536"/>
      <c r="Q532" s="1536"/>
      <c r="R532" s="1567"/>
    </row>
    <row r="533" spans="1:18">
      <c r="A533" s="2048"/>
      <c r="B533" s="1913"/>
      <c r="C533" s="1536"/>
      <c r="D533" s="1536"/>
      <c r="E533" s="1536"/>
      <c r="F533" s="1536"/>
      <c r="G533" s="1536"/>
      <c r="H533" s="1235"/>
      <c r="I533" s="1536"/>
      <c r="J533" s="1536"/>
      <c r="K533" s="1537"/>
      <c r="L533" s="1235"/>
      <c r="M533" s="1236"/>
      <c r="N533" s="2594"/>
      <c r="O533" s="1628"/>
      <c r="P533" s="1536"/>
      <c r="Q533" s="1536"/>
      <c r="R533" s="1567"/>
    </row>
    <row r="534" spans="1:18">
      <c r="A534" s="2048"/>
      <c r="B534" s="1913"/>
      <c r="C534" s="1536"/>
      <c r="D534" s="1536"/>
      <c r="E534" s="1536"/>
      <c r="F534" s="1536"/>
      <c r="G534" s="1536"/>
      <c r="H534" s="1235"/>
      <c r="I534" s="1536"/>
      <c r="J534" s="1536"/>
      <c r="K534" s="1537"/>
      <c r="L534" s="1235"/>
      <c r="M534" s="1236"/>
      <c r="N534" s="2594"/>
      <c r="O534" s="1628"/>
      <c r="P534" s="1536"/>
      <c r="Q534" s="1536"/>
      <c r="R534" s="1567"/>
    </row>
    <row r="535" spans="1:18">
      <c r="A535" s="2048"/>
      <c r="B535" s="1913"/>
      <c r="C535" s="1536"/>
      <c r="D535" s="1536"/>
      <c r="E535" s="1536"/>
      <c r="F535" s="1536"/>
      <c r="G535" s="1536"/>
      <c r="H535" s="1235"/>
      <c r="I535" s="1536"/>
      <c r="J535" s="1536"/>
      <c r="K535" s="1537"/>
      <c r="L535" s="1235"/>
      <c r="M535" s="1236"/>
      <c r="N535" s="2334"/>
      <c r="O535" s="1628"/>
      <c r="P535" s="1536"/>
      <c r="Q535" s="1536"/>
      <c r="R535" s="1567"/>
    </row>
    <row r="536" spans="1:18">
      <c r="A536" s="2048"/>
      <c r="B536" s="1913"/>
      <c r="C536" s="1536"/>
      <c r="D536" s="1536"/>
      <c r="E536" s="1536"/>
      <c r="F536" s="1536"/>
      <c r="G536" s="1536"/>
      <c r="H536" s="1235"/>
      <c r="I536" s="1536"/>
      <c r="J536" s="1536"/>
      <c r="K536" s="1537"/>
      <c r="L536" s="1235"/>
      <c r="M536" s="1236"/>
      <c r="N536" s="2333"/>
      <c r="O536" s="1628"/>
      <c r="P536" s="1536"/>
      <c r="Q536" s="1536"/>
      <c r="R536" s="1567"/>
    </row>
    <row r="537" spans="1:18">
      <c r="A537" s="2048"/>
      <c r="B537" s="1913"/>
      <c r="C537" s="1536"/>
      <c r="D537" s="1536"/>
      <c r="E537" s="1536"/>
      <c r="F537" s="1536"/>
      <c r="G537" s="1536"/>
      <c r="H537" s="1235"/>
      <c r="I537" s="1536"/>
      <c r="J537" s="1536"/>
      <c r="K537" s="1537"/>
      <c r="L537" s="1235"/>
      <c r="M537" s="1236"/>
      <c r="N537" s="2594"/>
      <c r="O537" s="1628"/>
      <c r="P537" s="1536"/>
      <c r="Q537" s="1536"/>
      <c r="R537" s="1567"/>
    </row>
    <row r="538" spans="1:18">
      <c r="A538" s="2048"/>
      <c r="B538" s="1913"/>
      <c r="C538" s="1536"/>
      <c r="D538" s="1536"/>
      <c r="E538" s="1536"/>
      <c r="F538" s="1536"/>
      <c r="G538" s="1536"/>
      <c r="H538" s="1235"/>
      <c r="I538" s="1536"/>
      <c r="J538" s="1536"/>
      <c r="K538" s="1537"/>
      <c r="L538" s="1235"/>
      <c r="M538" s="1236"/>
      <c r="N538" s="2594"/>
      <c r="O538" s="1628"/>
      <c r="P538" s="1536"/>
      <c r="Q538" s="1536"/>
      <c r="R538" s="1567"/>
    </row>
    <row r="539" spans="1:18">
      <c r="A539" s="2048"/>
      <c r="B539" s="1913"/>
      <c r="C539" s="1536"/>
      <c r="D539" s="1536"/>
      <c r="E539" s="1536"/>
      <c r="F539" s="1536"/>
      <c r="G539" s="1536"/>
      <c r="H539" s="1235"/>
      <c r="I539" s="1708"/>
      <c r="J539" s="1709"/>
      <c r="K539" s="1537"/>
      <c r="L539" s="1235"/>
      <c r="M539" s="1236"/>
      <c r="N539" s="2594"/>
      <c r="O539" s="1628"/>
      <c r="P539" s="1536"/>
      <c r="Q539" s="1536"/>
      <c r="R539" s="1567"/>
    </row>
    <row r="540" spans="1:18">
      <c r="A540" s="2048"/>
      <c r="B540" s="1913"/>
      <c r="C540" s="1536"/>
      <c r="D540" s="1536"/>
      <c r="E540" s="1536"/>
      <c r="F540" s="1536"/>
      <c r="G540" s="1536"/>
      <c r="H540" s="1235"/>
      <c r="I540" s="1536"/>
      <c r="J540" s="1536"/>
      <c r="K540" s="1537"/>
      <c r="L540" s="1235"/>
      <c r="M540" s="1236"/>
      <c r="N540" s="2594"/>
      <c r="O540" s="1628"/>
      <c r="P540" s="1536"/>
      <c r="Q540" s="1536"/>
      <c r="R540" s="1567"/>
    </row>
    <row r="541" spans="1:18">
      <c r="A541" s="2048"/>
      <c r="B541" s="1913"/>
      <c r="C541" s="1536"/>
      <c r="D541" s="1536"/>
      <c r="E541" s="1536"/>
      <c r="F541" s="1536"/>
      <c r="G541" s="1536"/>
      <c r="H541" s="1235"/>
      <c r="I541" s="1536"/>
      <c r="J541" s="1536"/>
      <c r="K541" s="1537"/>
      <c r="L541" s="1235"/>
      <c r="M541" s="1236"/>
      <c r="N541" s="2594"/>
      <c r="O541" s="1628"/>
      <c r="P541" s="1536"/>
      <c r="Q541" s="1536"/>
      <c r="R541" s="1567"/>
    </row>
    <row r="542" spans="1:18">
      <c r="A542" s="2048"/>
      <c r="B542" s="1913"/>
      <c r="C542" s="1536"/>
      <c r="D542" s="1536"/>
      <c r="E542" s="1536"/>
      <c r="F542" s="1536"/>
      <c r="G542" s="1536"/>
      <c r="H542" s="1235"/>
      <c r="I542" s="1536"/>
      <c r="J542" s="1536"/>
      <c r="K542" s="1537"/>
      <c r="L542" s="1235"/>
      <c r="M542" s="1236"/>
      <c r="N542" s="2594"/>
      <c r="O542" s="1628"/>
      <c r="P542" s="1536"/>
      <c r="Q542" s="1536"/>
      <c r="R542" s="1567"/>
    </row>
    <row r="543" spans="1:18">
      <c r="A543" s="2048"/>
      <c r="B543" s="1913"/>
      <c r="C543" s="1536"/>
      <c r="D543" s="1536"/>
      <c r="E543" s="1536"/>
      <c r="F543" s="1536"/>
      <c r="G543" s="1536"/>
      <c r="H543" s="1235"/>
      <c r="I543" s="1536"/>
      <c r="J543" s="1536"/>
      <c r="K543" s="1537"/>
      <c r="L543" s="1235"/>
      <c r="M543" s="1236"/>
      <c r="N543" s="2594"/>
      <c r="O543" s="1628"/>
      <c r="P543" s="1536"/>
      <c r="Q543" s="1536"/>
      <c r="R543" s="1567"/>
    </row>
    <row r="544" spans="1:18">
      <c r="A544" s="2048"/>
      <c r="B544" s="1913"/>
      <c r="C544" s="1536"/>
      <c r="D544" s="1536"/>
      <c r="E544" s="1536"/>
      <c r="F544" s="1536"/>
      <c r="G544" s="1536"/>
      <c r="H544" s="1235"/>
      <c r="I544" s="1536"/>
      <c r="J544" s="1536"/>
      <c r="K544" s="1537"/>
      <c r="L544" s="1235"/>
      <c r="M544" s="1236"/>
      <c r="N544" s="2334"/>
      <c r="O544" s="1628"/>
      <c r="P544" s="1536"/>
      <c r="Q544" s="1536"/>
      <c r="R544" s="1567"/>
    </row>
    <row r="545" spans="1:18">
      <c r="A545" s="2048"/>
      <c r="B545" s="1913"/>
      <c r="C545" s="1536"/>
      <c r="D545" s="1536"/>
      <c r="E545" s="1536"/>
      <c r="F545" s="1536"/>
      <c r="G545" s="1536"/>
      <c r="H545" s="1235"/>
      <c r="I545" s="1536"/>
      <c r="J545" s="1536"/>
      <c r="K545" s="1537"/>
      <c r="L545" s="1235"/>
      <c r="M545" s="1236"/>
      <c r="N545" s="2333"/>
      <c r="O545" s="1628"/>
      <c r="P545" s="1536"/>
      <c r="Q545" s="1536"/>
      <c r="R545" s="1567"/>
    </row>
    <row r="546" spans="1:18">
      <c r="A546" s="2048"/>
      <c r="B546" s="1913"/>
      <c r="C546" s="1536"/>
      <c r="D546" s="1536"/>
      <c r="E546" s="1536"/>
      <c r="F546" s="1536"/>
      <c r="G546" s="1536"/>
      <c r="H546" s="1235"/>
      <c r="I546" s="1536"/>
      <c r="J546" s="1536"/>
      <c r="K546" s="1537"/>
      <c r="L546" s="1235"/>
      <c r="M546" s="1236"/>
      <c r="N546" s="2334"/>
      <c r="O546" s="1628"/>
      <c r="P546" s="1536"/>
      <c r="Q546" s="1536"/>
      <c r="R546" s="1567"/>
    </row>
    <row r="547" spans="1:18">
      <c r="A547" s="2048"/>
      <c r="B547" s="1913"/>
      <c r="C547" s="1536"/>
      <c r="D547" s="1536"/>
      <c r="E547" s="1536"/>
      <c r="F547" s="1536"/>
      <c r="G547" s="1536"/>
      <c r="H547" s="1235"/>
      <c r="I547" s="1536"/>
      <c r="J547" s="1536"/>
      <c r="K547" s="1537"/>
      <c r="L547" s="1235"/>
      <c r="M547" s="1236"/>
      <c r="N547" s="2333"/>
      <c r="O547" s="1628"/>
      <c r="P547" s="1536"/>
      <c r="Q547" s="1536"/>
      <c r="R547" s="1567"/>
    </row>
    <row r="548" spans="1:18">
      <c r="A548" s="2048"/>
      <c r="B548" s="1913"/>
      <c r="C548" s="1536"/>
      <c r="D548" s="1536"/>
      <c r="E548" s="1536"/>
      <c r="F548" s="1536"/>
      <c r="G548" s="1536"/>
      <c r="H548" s="1235"/>
      <c r="I548" s="1536"/>
      <c r="J548" s="1536"/>
      <c r="K548" s="1537"/>
      <c r="L548" s="1235"/>
      <c r="M548" s="1236"/>
      <c r="N548" s="2334"/>
      <c r="O548" s="1628"/>
      <c r="P548" s="1536"/>
      <c r="Q548" s="1536"/>
      <c r="R548" s="1567"/>
    </row>
    <row r="549" spans="1:18">
      <c r="A549" s="2048"/>
      <c r="B549" s="1913"/>
      <c r="C549" s="1536"/>
      <c r="D549" s="1536"/>
      <c r="E549" s="1536"/>
      <c r="F549" s="1536"/>
      <c r="G549" s="1536"/>
      <c r="H549" s="1235"/>
      <c r="I549" s="1536"/>
      <c r="J549" s="1536"/>
      <c r="K549" s="1537"/>
      <c r="L549" s="1235"/>
      <c r="M549" s="1236"/>
      <c r="N549" s="2333"/>
      <c r="O549" s="1628"/>
      <c r="P549" s="1536"/>
      <c r="Q549" s="1536"/>
      <c r="R549" s="1567"/>
    </row>
    <row r="550" spans="1:18">
      <c r="A550" s="2048"/>
      <c r="B550" s="1913"/>
      <c r="C550" s="1536"/>
      <c r="D550" s="1536"/>
      <c r="E550" s="1536"/>
      <c r="F550" s="1536"/>
      <c r="G550" s="1536"/>
      <c r="H550" s="1235"/>
      <c r="I550" s="1536"/>
      <c r="J550" s="1536"/>
      <c r="K550" s="1537"/>
      <c r="L550" s="1235"/>
      <c r="M550" s="1236"/>
      <c r="N550" s="2334"/>
      <c r="O550" s="1628"/>
      <c r="P550" s="1536"/>
      <c r="Q550" s="1536"/>
      <c r="R550" s="1567"/>
    </row>
    <row r="551" spans="1:18">
      <c r="A551" s="2048"/>
      <c r="B551" s="1913"/>
      <c r="C551" s="1536"/>
      <c r="D551" s="1536"/>
      <c r="E551" s="1536"/>
      <c r="F551" s="1536"/>
      <c r="G551" s="1536"/>
      <c r="H551" s="1235"/>
      <c r="I551" s="1536"/>
      <c r="J551" s="1536"/>
      <c r="K551" s="1537"/>
      <c r="L551" s="1235"/>
      <c r="M551" s="1236"/>
      <c r="N551" s="2333"/>
      <c r="O551" s="1628"/>
      <c r="P551" s="1536"/>
      <c r="Q551" s="1536"/>
      <c r="R551" s="1567"/>
    </row>
    <row r="552" spans="1:18">
      <c r="A552" s="2048"/>
      <c r="B552" s="1913"/>
      <c r="C552" s="1536"/>
      <c r="D552" s="1536"/>
      <c r="E552" s="1536"/>
      <c r="F552" s="1536"/>
      <c r="G552" s="1536"/>
      <c r="H552" s="1235"/>
      <c r="I552" s="1536"/>
      <c r="J552" s="1536"/>
      <c r="K552" s="1537"/>
      <c r="L552" s="1235"/>
      <c r="M552" s="1236"/>
      <c r="N552" s="2334"/>
      <c r="O552" s="1628"/>
      <c r="P552" s="1536"/>
      <c r="Q552" s="1536"/>
      <c r="R552" s="1567"/>
    </row>
    <row r="553" spans="1:18">
      <c r="A553" s="2048"/>
      <c r="B553" s="1913"/>
      <c r="C553" s="1536"/>
      <c r="D553" s="1536"/>
      <c r="E553" s="1536"/>
      <c r="F553" s="1536"/>
      <c r="G553" s="1536"/>
      <c r="H553" s="1235"/>
      <c r="I553" s="1536"/>
      <c r="J553" s="1536"/>
      <c r="K553" s="1537"/>
      <c r="L553" s="1235"/>
      <c r="M553" s="1236"/>
      <c r="N553" s="2333"/>
      <c r="O553" s="1628"/>
      <c r="P553" s="1536"/>
      <c r="Q553" s="1536"/>
      <c r="R553" s="1567"/>
    </row>
    <row r="554" spans="1:18">
      <c r="A554" s="2048"/>
      <c r="B554" s="1913"/>
      <c r="C554" s="1536"/>
      <c r="D554" s="1536"/>
      <c r="E554" s="1536"/>
      <c r="F554" s="1536"/>
      <c r="G554" s="1536"/>
      <c r="H554" s="1235"/>
      <c r="I554" s="1235"/>
      <c r="J554" s="1235"/>
      <c r="K554" s="1537"/>
      <c r="L554" s="1235"/>
      <c r="M554" s="1236"/>
      <c r="N554" s="2594"/>
      <c r="O554" s="1628"/>
      <c r="P554" s="1536"/>
      <c r="Q554" s="1536"/>
      <c r="R554" s="1567"/>
    </row>
    <row r="555" spans="1:18">
      <c r="A555" s="2048"/>
      <c r="B555" s="1913"/>
      <c r="C555" s="1536"/>
      <c r="D555" s="1536"/>
      <c r="E555" s="1536"/>
      <c r="F555" s="1536"/>
      <c r="G555" s="1536"/>
      <c r="H555" s="1235"/>
      <c r="I555" s="1536"/>
      <c r="J555" s="1536"/>
      <c r="K555" s="1537"/>
      <c r="L555" s="1235"/>
      <c r="M555" s="1236"/>
      <c r="N555" s="2334"/>
      <c r="O555" s="1628"/>
      <c r="P555" s="1536"/>
      <c r="Q555" s="1536"/>
      <c r="R555" s="1567"/>
    </row>
    <row r="556" spans="1:18">
      <c r="A556" s="2048"/>
      <c r="B556" s="1913"/>
      <c r="C556" s="1536"/>
      <c r="D556" s="1536"/>
      <c r="E556" s="1536"/>
      <c r="F556" s="1536"/>
      <c r="G556" s="1536"/>
      <c r="H556" s="1235"/>
      <c r="I556" s="1536"/>
      <c r="J556" s="1536"/>
      <c r="K556" s="1537"/>
      <c r="L556" s="1235"/>
      <c r="M556" s="1236"/>
      <c r="N556" s="2333"/>
      <c r="O556" s="1628"/>
      <c r="P556" s="1536"/>
      <c r="Q556" s="1536"/>
      <c r="R556" s="1567"/>
    </row>
    <row r="557" spans="1:18">
      <c r="A557" s="2048"/>
      <c r="B557" s="1913"/>
      <c r="C557" s="1536"/>
      <c r="D557" s="1536"/>
      <c r="E557" s="1536"/>
      <c r="F557" s="1536"/>
      <c r="G557" s="1536"/>
      <c r="H557" s="1235"/>
      <c r="I557" s="1536"/>
      <c r="J557" s="1536"/>
      <c r="K557" s="1537"/>
      <c r="L557" s="1235"/>
      <c r="M557" s="1236"/>
      <c r="N557" s="2334"/>
      <c r="O557" s="1628"/>
      <c r="P557" s="1536"/>
      <c r="Q557" s="1536"/>
      <c r="R557" s="1567"/>
    </row>
    <row r="558" spans="1:18">
      <c r="A558" s="2048"/>
      <c r="B558" s="1913"/>
      <c r="C558" s="1536"/>
      <c r="D558" s="1536"/>
      <c r="E558" s="1536"/>
      <c r="F558" s="1536"/>
      <c r="G558" s="1536"/>
      <c r="H558" s="1235"/>
      <c r="I558" s="1536"/>
      <c r="J558" s="1536"/>
      <c r="K558" s="1537"/>
      <c r="L558" s="1235"/>
      <c r="M558" s="1236"/>
      <c r="N558" s="2333"/>
      <c r="O558" s="1628"/>
      <c r="P558" s="1536"/>
      <c r="Q558" s="1536"/>
      <c r="R558" s="1567"/>
    </row>
    <row r="559" spans="1:18">
      <c r="A559" s="2048"/>
      <c r="B559" s="1913"/>
      <c r="C559" s="1536"/>
      <c r="D559" s="1536"/>
      <c r="E559" s="1536"/>
      <c r="F559" s="1536"/>
      <c r="G559" s="1536"/>
      <c r="H559" s="1235"/>
      <c r="I559" s="1235"/>
      <c r="J559" s="1235"/>
      <c r="K559" s="1537"/>
      <c r="L559" s="1235"/>
      <c r="M559" s="1236"/>
      <c r="N559" s="2594"/>
      <c r="O559" s="1628"/>
      <c r="P559" s="1536"/>
      <c r="Q559" s="1536"/>
      <c r="R559" s="1567"/>
    </row>
    <row r="560" spans="1:18">
      <c r="A560" s="2048"/>
      <c r="B560" s="1913"/>
      <c r="C560" s="1536"/>
      <c r="D560" s="1536"/>
      <c r="E560" s="1536"/>
      <c r="F560" s="1536"/>
      <c r="G560" s="1536"/>
      <c r="H560" s="1235"/>
      <c r="I560" s="1536"/>
      <c r="J560" s="1536"/>
      <c r="K560" s="1537"/>
      <c r="L560" s="1235"/>
      <c r="M560" s="1236"/>
      <c r="N560" s="2594"/>
      <c r="O560" s="1628"/>
      <c r="P560" s="1536"/>
      <c r="Q560" s="1536"/>
      <c r="R560" s="1567"/>
    </row>
    <row r="561" spans="1:18">
      <c r="A561" s="2061"/>
      <c r="B561" s="2212"/>
      <c r="C561" s="1538"/>
      <c r="D561" s="1538"/>
      <c r="E561" s="1538"/>
      <c r="F561" s="1538"/>
      <c r="G561" s="1538"/>
      <c r="H561" s="1535"/>
      <c r="I561" s="1538"/>
      <c r="J561" s="1538"/>
      <c r="K561" s="1556"/>
      <c r="L561" s="1535"/>
      <c r="M561" s="1872"/>
      <c r="N561" s="2594"/>
      <c r="O561" s="1632"/>
      <c r="P561" s="1538"/>
      <c r="Q561" s="1538"/>
      <c r="R561" s="1592"/>
    </row>
    <row r="562" spans="1:18">
      <c r="A562" s="2062"/>
      <c r="B562" s="2216"/>
      <c r="C562" s="1564"/>
      <c r="D562" s="1564"/>
      <c r="E562" s="1564"/>
      <c r="F562" s="1564"/>
      <c r="G562" s="1564"/>
      <c r="H562" s="966"/>
      <c r="I562" s="1564"/>
      <c r="J562" s="1564"/>
      <c r="K562" s="1565"/>
      <c r="L562" s="966"/>
      <c r="M562" s="1882"/>
      <c r="N562" s="2609"/>
      <c r="O562" s="1634"/>
      <c r="P562" s="1564"/>
      <c r="Q562" s="1564"/>
      <c r="R562" s="1566"/>
    </row>
    <row r="563" spans="1:18">
      <c r="A563" s="2048"/>
      <c r="B563" s="1913"/>
      <c r="C563" s="1536"/>
      <c r="D563" s="1536"/>
      <c r="E563" s="1536"/>
      <c r="F563" s="1536"/>
      <c r="G563" s="1536"/>
      <c r="H563" s="1235"/>
      <c r="I563" s="1536"/>
      <c r="J563" s="1536"/>
      <c r="K563" s="1537"/>
      <c r="L563" s="1235"/>
      <c r="M563" s="1236"/>
      <c r="N563" s="2600"/>
      <c r="O563" s="1628"/>
      <c r="P563" s="1536"/>
      <c r="Q563" s="1536"/>
      <c r="R563" s="1567"/>
    </row>
    <row r="564" spans="1:18">
      <c r="A564" s="2048"/>
      <c r="B564" s="1913"/>
      <c r="C564" s="1536"/>
      <c r="D564" s="1536"/>
      <c r="E564" s="1536"/>
      <c r="F564" s="1536"/>
      <c r="G564" s="1536"/>
      <c r="H564" s="1235"/>
      <c r="I564" s="1235"/>
      <c r="J564" s="1235"/>
      <c r="K564" s="1537"/>
      <c r="L564" s="1235"/>
      <c r="M564" s="1236"/>
      <c r="N564" s="1879"/>
      <c r="O564" s="1628"/>
      <c r="P564" s="1536"/>
      <c r="Q564" s="1536"/>
      <c r="R564" s="1567"/>
    </row>
    <row r="565" spans="1:18">
      <c r="A565" s="2048"/>
      <c r="B565" s="1913"/>
      <c r="C565" s="1536"/>
      <c r="D565" s="1536"/>
      <c r="E565" s="1536"/>
      <c r="F565" s="1536"/>
      <c r="G565" s="1536"/>
      <c r="H565" s="1235"/>
      <c r="I565" s="1536"/>
      <c r="J565" s="1536"/>
      <c r="K565" s="1537"/>
      <c r="L565" s="1235"/>
      <c r="M565" s="1236"/>
      <c r="N565" s="2600"/>
      <c r="O565" s="1628"/>
      <c r="P565" s="1536"/>
      <c r="Q565" s="1536"/>
      <c r="R565" s="1567"/>
    </row>
    <row r="566" spans="1:18">
      <c r="A566" s="2048"/>
      <c r="B566" s="1913"/>
      <c r="C566" s="1536"/>
      <c r="D566" s="1536"/>
      <c r="E566" s="1536"/>
      <c r="F566" s="1536"/>
      <c r="G566" s="1536"/>
      <c r="H566" s="1235"/>
      <c r="I566" s="1536"/>
      <c r="J566" s="1536"/>
      <c r="K566" s="1537"/>
      <c r="L566" s="1235"/>
      <c r="M566" s="1236"/>
      <c r="N566" s="2600"/>
      <c r="O566" s="1628"/>
      <c r="P566" s="1536"/>
      <c r="Q566" s="1536"/>
      <c r="R566" s="1567"/>
    </row>
    <row r="567" spans="1:18">
      <c r="A567" s="2048"/>
      <c r="B567" s="1913"/>
      <c r="C567" s="1536"/>
      <c r="D567" s="1536"/>
      <c r="E567" s="1536"/>
      <c r="F567" s="1536"/>
      <c r="G567" s="1536"/>
      <c r="H567" s="1235"/>
      <c r="I567" s="1536"/>
      <c r="J567" s="1536"/>
      <c r="K567" s="1537"/>
      <c r="L567" s="1235"/>
      <c r="M567" s="1236"/>
      <c r="N567" s="2600"/>
      <c r="O567" s="1628"/>
      <c r="P567" s="1536"/>
      <c r="Q567" s="1536"/>
      <c r="R567" s="1567"/>
    </row>
    <row r="568" spans="1:18">
      <c r="A568" s="2048"/>
      <c r="B568" s="1913"/>
      <c r="C568" s="1536"/>
      <c r="D568" s="1536"/>
      <c r="E568" s="1536"/>
      <c r="F568" s="1536"/>
      <c r="G568" s="1536"/>
      <c r="H568" s="1235"/>
      <c r="I568" s="1536"/>
      <c r="J568" s="1536"/>
      <c r="K568" s="1537"/>
      <c r="L568" s="1235"/>
      <c r="M568" s="1236"/>
      <c r="N568" s="2600"/>
      <c r="O568" s="1628"/>
      <c r="P568" s="1536"/>
      <c r="Q568" s="1536"/>
      <c r="R568" s="1567"/>
    </row>
    <row r="569" spans="1:18">
      <c r="A569" s="2048"/>
      <c r="B569" s="1913"/>
      <c r="C569" s="1536"/>
      <c r="D569" s="1536"/>
      <c r="E569" s="1536"/>
      <c r="F569" s="1536"/>
      <c r="G569" s="1536"/>
      <c r="H569" s="1235"/>
      <c r="I569" s="1536"/>
      <c r="J569" s="1536"/>
      <c r="K569" s="1537"/>
      <c r="L569" s="1235"/>
      <c r="M569" s="1236"/>
      <c r="N569" s="2600"/>
      <c r="O569" s="1628"/>
      <c r="P569" s="1536"/>
      <c r="Q569" s="1536"/>
      <c r="R569" s="1567"/>
    </row>
    <row r="570" spans="1:18">
      <c r="A570" s="2048"/>
      <c r="B570" s="1913"/>
      <c r="C570" s="1536"/>
      <c r="D570" s="1536"/>
      <c r="E570" s="1536"/>
      <c r="F570" s="1536"/>
      <c r="G570" s="1536"/>
      <c r="H570" s="1235"/>
      <c r="I570" s="1536"/>
      <c r="J570" s="1536"/>
      <c r="K570" s="1537"/>
      <c r="L570" s="1235"/>
      <c r="M570" s="1236"/>
      <c r="N570" s="2600"/>
      <c r="O570" s="1628"/>
      <c r="P570" s="1536"/>
      <c r="Q570" s="1536"/>
      <c r="R570" s="1567"/>
    </row>
    <row r="571" spans="1:18">
      <c r="A571" s="2048"/>
      <c r="B571" s="1913"/>
      <c r="C571" s="1536"/>
      <c r="D571" s="1536"/>
      <c r="E571" s="1536"/>
      <c r="F571" s="1536"/>
      <c r="G571" s="1536"/>
      <c r="H571" s="1235"/>
      <c r="I571" s="1536"/>
      <c r="J571" s="1536"/>
      <c r="K571" s="1537"/>
      <c r="L571" s="1235"/>
      <c r="M571" s="1236"/>
      <c r="N571" s="2600"/>
      <c r="O571" s="1628"/>
      <c r="P571" s="1536"/>
      <c r="Q571" s="1536"/>
      <c r="R571" s="1567"/>
    </row>
    <row r="572" spans="1:18">
      <c r="A572" s="2048"/>
      <c r="B572" s="1913"/>
      <c r="C572" s="1536"/>
      <c r="D572" s="1536"/>
      <c r="E572" s="1536"/>
      <c r="F572" s="1536"/>
      <c r="G572" s="1536"/>
      <c r="H572" s="1235"/>
      <c r="I572" s="1536"/>
      <c r="J572" s="1536"/>
      <c r="K572" s="1537"/>
      <c r="L572" s="1235"/>
      <c r="M572" s="1236"/>
      <c r="N572" s="2600"/>
      <c r="O572" s="1628"/>
      <c r="P572" s="1536"/>
      <c r="Q572" s="1536"/>
      <c r="R572" s="1567"/>
    </row>
    <row r="573" spans="1:18">
      <c r="A573" s="2048"/>
      <c r="B573" s="1913"/>
      <c r="C573" s="1536"/>
      <c r="D573" s="1536"/>
      <c r="E573" s="1536"/>
      <c r="F573" s="1536"/>
      <c r="G573" s="1536"/>
      <c r="H573" s="1235"/>
      <c r="I573" s="1536"/>
      <c r="J573" s="1536"/>
      <c r="K573" s="1537"/>
      <c r="L573" s="1235"/>
      <c r="M573" s="1236"/>
      <c r="N573" s="2600"/>
      <c r="O573" s="1628"/>
      <c r="P573" s="1536"/>
      <c r="Q573" s="1536"/>
      <c r="R573" s="1567"/>
    </row>
    <row r="574" spans="1:18">
      <c r="A574" s="2048"/>
      <c r="B574" s="1913"/>
      <c r="C574" s="1536"/>
      <c r="D574" s="1536"/>
      <c r="E574" s="1536"/>
      <c r="F574" s="1536"/>
      <c r="G574" s="1536"/>
      <c r="H574" s="1235"/>
      <c r="I574" s="1235"/>
      <c r="J574" s="1235"/>
      <c r="K574" s="1537"/>
      <c r="L574" s="1235"/>
      <c r="M574" s="1236"/>
      <c r="N574" s="2600"/>
      <c r="O574" s="1628"/>
      <c r="P574" s="1536"/>
      <c r="Q574" s="1536"/>
      <c r="R574" s="1567"/>
    </row>
    <row r="575" spans="1:18">
      <c r="A575" s="2048"/>
      <c r="B575" s="1913"/>
      <c r="C575" s="1536"/>
      <c r="D575" s="1536"/>
      <c r="E575" s="1536"/>
      <c r="F575" s="1536"/>
      <c r="G575" s="1536"/>
      <c r="H575" s="1235"/>
      <c r="I575" s="1536"/>
      <c r="J575" s="1536"/>
      <c r="K575" s="1537"/>
      <c r="L575" s="1235"/>
      <c r="M575" s="1236"/>
      <c r="N575" s="2600"/>
      <c r="O575" s="1628"/>
      <c r="P575" s="1536"/>
      <c r="Q575" s="1536"/>
      <c r="R575" s="1567"/>
    </row>
    <row r="576" spans="1:18">
      <c r="A576" s="2048"/>
      <c r="B576" s="1913"/>
      <c r="C576" s="1536"/>
      <c r="D576" s="1536"/>
      <c r="E576" s="1536"/>
      <c r="F576" s="1536"/>
      <c r="G576" s="1536"/>
      <c r="H576" s="1235"/>
      <c r="I576" s="1536"/>
      <c r="J576" s="1536"/>
      <c r="K576" s="1537"/>
      <c r="L576" s="1235"/>
      <c r="M576" s="1236"/>
      <c r="N576" s="2600"/>
      <c r="O576" s="1628"/>
      <c r="P576" s="1536"/>
      <c r="Q576" s="1536"/>
      <c r="R576" s="1567"/>
    </row>
    <row r="577" spans="1:18">
      <c r="A577" s="2048"/>
      <c r="B577" s="1913"/>
      <c r="C577" s="1536"/>
      <c r="D577" s="1536"/>
      <c r="E577" s="1536"/>
      <c r="F577" s="1536"/>
      <c r="G577" s="1536"/>
      <c r="H577" s="1235"/>
      <c r="I577" s="1536"/>
      <c r="J577" s="1536"/>
      <c r="K577" s="1537"/>
      <c r="L577" s="1235"/>
      <c r="M577" s="1236"/>
      <c r="N577" s="2600"/>
      <c r="O577" s="1628"/>
      <c r="P577" s="1536"/>
      <c r="Q577" s="1536"/>
      <c r="R577" s="1567"/>
    </row>
    <row r="578" spans="1:18">
      <c r="A578" s="2048"/>
      <c r="B578" s="1913"/>
      <c r="C578" s="1536"/>
      <c r="D578" s="1536"/>
      <c r="E578" s="1536"/>
      <c r="F578" s="1536"/>
      <c r="G578" s="1536"/>
      <c r="H578" s="1235"/>
      <c r="I578" s="1536"/>
      <c r="J578" s="1536"/>
      <c r="K578" s="1537"/>
      <c r="L578" s="1235"/>
      <c r="M578" s="1236"/>
      <c r="N578" s="2600"/>
      <c r="O578" s="1628"/>
      <c r="P578" s="1536"/>
      <c r="Q578" s="1536"/>
      <c r="R578" s="1567"/>
    </row>
    <row r="579" spans="1:18">
      <c r="A579" s="2048"/>
      <c r="B579" s="1913"/>
      <c r="C579" s="1536"/>
      <c r="D579" s="1536"/>
      <c r="E579" s="1536"/>
      <c r="F579" s="1536"/>
      <c r="G579" s="1536"/>
      <c r="H579" s="1235"/>
      <c r="I579" s="1536"/>
      <c r="J579" s="1536"/>
      <c r="K579" s="1537"/>
      <c r="L579" s="1235"/>
      <c r="M579" s="1236"/>
      <c r="N579" s="2600"/>
      <c r="O579" s="1628"/>
      <c r="P579" s="1536"/>
      <c r="Q579" s="1536"/>
      <c r="R579" s="1567"/>
    </row>
    <row r="580" spans="1:18">
      <c r="A580" s="2048"/>
      <c r="B580" s="1913"/>
      <c r="C580" s="1536"/>
      <c r="D580" s="1536"/>
      <c r="E580" s="1536"/>
      <c r="F580" s="1536"/>
      <c r="G580" s="1536"/>
      <c r="H580" s="1235"/>
      <c r="I580" s="1536"/>
      <c r="J580" s="1536"/>
      <c r="K580" s="1537"/>
      <c r="L580" s="1235"/>
      <c r="M580" s="1236"/>
      <c r="N580" s="2600"/>
      <c r="O580" s="1628"/>
      <c r="P580" s="1536"/>
      <c r="Q580" s="1536"/>
      <c r="R580" s="1567"/>
    </row>
    <row r="581" spans="1:18">
      <c r="A581" s="2048"/>
      <c r="B581" s="1913"/>
      <c r="C581" s="1536"/>
      <c r="D581" s="1536"/>
      <c r="E581" s="1536"/>
      <c r="F581" s="1536"/>
      <c r="G581" s="1536"/>
      <c r="H581" s="1235"/>
      <c r="I581" s="1536"/>
      <c r="J581" s="1536"/>
      <c r="K581" s="1537"/>
      <c r="L581" s="1235"/>
      <c r="M581" s="1236"/>
      <c r="N581" s="2600"/>
      <c r="O581" s="1628"/>
      <c r="P581" s="1536"/>
      <c r="Q581" s="1536"/>
      <c r="R581" s="1567"/>
    </row>
    <row r="582" spans="1:18">
      <c r="A582" s="2048"/>
      <c r="B582" s="1913"/>
      <c r="C582" s="1536"/>
      <c r="D582" s="1536"/>
      <c r="E582" s="1536"/>
      <c r="F582" s="1536"/>
      <c r="G582" s="1536"/>
      <c r="H582" s="1235"/>
      <c r="I582" s="1536"/>
      <c r="J582" s="1536"/>
      <c r="K582" s="1537"/>
      <c r="L582" s="1235"/>
      <c r="M582" s="1236"/>
      <c r="N582" s="2600"/>
      <c r="O582" s="1628"/>
      <c r="P582" s="1536"/>
      <c r="Q582" s="1536"/>
      <c r="R582" s="1567"/>
    </row>
    <row r="583" spans="1:18">
      <c r="A583" s="2048"/>
      <c r="B583" s="1913"/>
      <c r="C583" s="1536"/>
      <c r="D583" s="1536"/>
      <c r="E583" s="1536"/>
      <c r="F583" s="1536"/>
      <c r="G583" s="1536"/>
      <c r="H583" s="1235"/>
      <c r="I583" s="1536"/>
      <c r="J583" s="1536"/>
      <c r="K583" s="1537"/>
      <c r="L583" s="1235"/>
      <c r="M583" s="1236"/>
      <c r="N583" s="2600"/>
      <c r="O583" s="1628"/>
      <c r="P583" s="1536"/>
      <c r="Q583" s="1536"/>
      <c r="R583" s="1567"/>
    </row>
    <row r="584" spans="1:18">
      <c r="A584" s="2048"/>
      <c r="B584" s="1913"/>
      <c r="C584" s="1536"/>
      <c r="D584" s="1536"/>
      <c r="E584" s="1536"/>
      <c r="F584" s="1536"/>
      <c r="G584" s="1536"/>
      <c r="H584" s="1235"/>
      <c r="I584" s="1536"/>
      <c r="J584" s="1536"/>
      <c r="K584" s="1537"/>
      <c r="L584" s="1235"/>
      <c r="M584" s="1236"/>
      <c r="N584" s="2600"/>
      <c r="O584" s="1628"/>
      <c r="P584" s="1536"/>
      <c r="Q584" s="1536"/>
      <c r="R584" s="1567"/>
    </row>
    <row r="585" spans="1:18" ht="15.6" customHeight="1">
      <c r="A585" s="2048"/>
      <c r="B585" s="1913"/>
      <c r="C585" s="1536"/>
      <c r="D585" s="1536"/>
      <c r="E585" s="1536"/>
      <c r="F585" s="1536"/>
      <c r="G585" s="1536"/>
      <c r="H585" s="1235"/>
      <c r="I585" s="1536"/>
      <c r="J585" s="1536"/>
      <c r="K585" s="1537"/>
      <c r="L585" s="1235"/>
      <c r="M585" s="1236"/>
      <c r="N585" s="2600"/>
      <c r="O585" s="1628"/>
      <c r="P585" s="1536"/>
      <c r="Q585" s="1536"/>
      <c r="R585" s="1567"/>
    </row>
    <row r="586" spans="1:18" ht="15.6" customHeight="1">
      <c r="A586" s="2048"/>
      <c r="B586" s="1913"/>
      <c r="C586" s="1536"/>
      <c r="D586" s="1536"/>
      <c r="E586" s="1536"/>
      <c r="F586" s="1536"/>
      <c r="G586" s="1536"/>
      <c r="H586" s="1235"/>
      <c r="I586" s="1536"/>
      <c r="J586" s="1536"/>
      <c r="K586" s="1537"/>
      <c r="L586" s="1235"/>
      <c r="M586" s="1236"/>
      <c r="N586" s="2600"/>
      <c r="O586" s="1628"/>
      <c r="P586" s="1536"/>
      <c r="Q586" s="1536"/>
      <c r="R586" s="1567"/>
    </row>
    <row r="587" spans="1:18">
      <c r="A587" s="2048"/>
      <c r="B587" s="1913"/>
      <c r="C587" s="1536"/>
      <c r="D587" s="1536"/>
      <c r="E587" s="1536"/>
      <c r="F587" s="1536"/>
      <c r="G587" s="1536"/>
      <c r="H587" s="1235"/>
      <c r="I587" s="1536"/>
      <c r="J587" s="1536"/>
      <c r="K587" s="1537"/>
      <c r="L587" s="1235"/>
      <c r="M587" s="1236"/>
      <c r="N587" s="2600"/>
      <c r="O587" s="1628"/>
      <c r="P587" s="1536"/>
      <c r="Q587" s="1536"/>
      <c r="R587" s="1567"/>
    </row>
    <row r="588" spans="1:18">
      <c r="A588" s="2048"/>
      <c r="B588" s="1913"/>
      <c r="C588" s="1536"/>
      <c r="D588" s="1536"/>
      <c r="E588" s="1536"/>
      <c r="F588" s="1536"/>
      <c r="G588" s="1536"/>
      <c r="H588" s="1235"/>
      <c r="I588" s="1536"/>
      <c r="J588" s="1536"/>
      <c r="K588" s="1537"/>
      <c r="L588" s="1235"/>
      <c r="M588" s="1236"/>
      <c r="N588" s="2600"/>
      <c r="O588" s="1628"/>
      <c r="P588" s="1536"/>
      <c r="Q588" s="1536"/>
      <c r="R588" s="1567"/>
    </row>
    <row r="589" spans="1:18">
      <c r="A589" s="2048"/>
      <c r="B589" s="1913"/>
      <c r="C589" s="1536"/>
      <c r="D589" s="1536"/>
      <c r="E589" s="1536"/>
      <c r="F589" s="1536"/>
      <c r="G589" s="1536"/>
      <c r="H589" s="1235"/>
      <c r="I589" s="1536"/>
      <c r="J589" s="1536"/>
      <c r="K589" s="1537"/>
      <c r="L589" s="1235"/>
      <c r="M589" s="1236"/>
      <c r="N589" s="2600"/>
      <c r="O589" s="1628"/>
      <c r="P589" s="1536"/>
      <c r="Q589" s="1536"/>
      <c r="R589" s="1567"/>
    </row>
    <row r="590" spans="1:18">
      <c r="A590" s="2048"/>
      <c r="B590" s="1913"/>
      <c r="C590" s="1536"/>
      <c r="D590" s="1536"/>
      <c r="E590" s="1536"/>
      <c r="F590" s="1536"/>
      <c r="G590" s="1536"/>
      <c r="H590" s="1235"/>
      <c r="I590" s="1536"/>
      <c r="J590" s="1536"/>
      <c r="K590" s="1537"/>
      <c r="L590" s="1235"/>
      <c r="M590" s="1236"/>
      <c r="N590" s="2333"/>
      <c r="O590" s="1628"/>
      <c r="P590" s="1536"/>
      <c r="Q590" s="1536"/>
      <c r="R590" s="1567"/>
    </row>
    <row r="591" spans="1:18">
      <c r="A591" s="2048"/>
      <c r="B591" s="1913"/>
      <c r="C591" s="1536"/>
      <c r="D591" s="1536"/>
      <c r="E591" s="1536"/>
      <c r="F591" s="1536"/>
      <c r="G591" s="1536"/>
      <c r="H591" s="1235"/>
      <c r="I591" s="1536"/>
      <c r="J591" s="1536"/>
      <c r="K591" s="1537"/>
      <c r="L591" s="1235"/>
      <c r="M591" s="1236"/>
      <c r="N591" s="2594"/>
      <c r="O591" s="1628"/>
      <c r="P591" s="1536"/>
      <c r="Q591" s="1536"/>
      <c r="R591" s="1567"/>
    </row>
    <row r="592" spans="1:18">
      <c r="A592" s="2048"/>
      <c r="B592" s="1913"/>
      <c r="C592" s="1536"/>
      <c r="D592" s="1536"/>
      <c r="E592" s="1536"/>
      <c r="F592" s="1536"/>
      <c r="G592" s="1536"/>
      <c r="H592" s="1235"/>
      <c r="I592" s="1536"/>
      <c r="J592" s="1536"/>
      <c r="K592" s="1537"/>
      <c r="L592" s="1235"/>
      <c r="M592" s="1236"/>
      <c r="N592" s="2334"/>
      <c r="O592" s="1628"/>
      <c r="P592" s="1536"/>
      <c r="Q592" s="1536"/>
      <c r="R592" s="1567"/>
    </row>
    <row r="593" spans="1:18" ht="15.6" customHeight="1">
      <c r="A593" s="2048"/>
      <c r="B593" s="1913"/>
      <c r="C593" s="1536"/>
      <c r="D593" s="1536"/>
      <c r="E593" s="1536"/>
      <c r="F593" s="1536"/>
      <c r="G593" s="1536"/>
      <c r="H593" s="1235"/>
      <c r="I593" s="1536"/>
      <c r="J593" s="1536"/>
      <c r="K593" s="1537"/>
      <c r="L593" s="1235"/>
      <c r="M593" s="1236"/>
      <c r="N593" s="2333"/>
      <c r="O593" s="1628"/>
      <c r="P593" s="1536"/>
      <c r="Q593" s="1536"/>
      <c r="R593" s="1567"/>
    </row>
    <row r="594" spans="1:18" ht="15.6" customHeight="1">
      <c r="A594" s="2048"/>
      <c r="B594" s="1913"/>
      <c r="C594" s="1536"/>
      <c r="D594" s="1536"/>
      <c r="E594" s="1536"/>
      <c r="F594" s="1536"/>
      <c r="G594" s="1536"/>
      <c r="H594" s="1235"/>
      <c r="I594" s="1536"/>
      <c r="J594" s="1536"/>
      <c r="K594" s="1537"/>
      <c r="L594" s="1235"/>
      <c r="M594" s="1236"/>
      <c r="N594" s="2594"/>
      <c r="O594" s="1628"/>
      <c r="P594" s="1536"/>
      <c r="Q594" s="1536"/>
      <c r="R594" s="1567"/>
    </row>
    <row r="595" spans="1:18">
      <c r="A595" s="2049"/>
      <c r="B595" s="2217"/>
      <c r="C595" s="1568"/>
      <c r="D595" s="1568"/>
      <c r="E595" s="1568"/>
      <c r="F595" s="1568"/>
      <c r="G595" s="1568"/>
      <c r="H595" s="969"/>
      <c r="I595" s="1568"/>
      <c r="J595" s="1568"/>
      <c r="K595" s="1569"/>
      <c r="L595" s="969"/>
      <c r="M595" s="2050"/>
      <c r="N595" s="2633"/>
      <c r="O595" s="2051"/>
      <c r="P595" s="1568"/>
      <c r="Q595" s="1568"/>
      <c r="R595" s="1652"/>
    </row>
    <row r="596" spans="1:18">
      <c r="A596" s="2221"/>
      <c r="B596" s="2208"/>
      <c r="C596" s="1552"/>
      <c r="D596" s="1552"/>
      <c r="E596" s="1552"/>
      <c r="F596" s="1552"/>
      <c r="G596" s="1552"/>
      <c r="H596" s="1539"/>
      <c r="I596" s="1552"/>
      <c r="J596" s="1552"/>
      <c r="K596" s="1556"/>
      <c r="L596" s="2011"/>
      <c r="M596" s="2019"/>
      <c r="N596" s="2632"/>
      <c r="O596" s="1630"/>
      <c r="P596" s="1552"/>
      <c r="Q596" s="1552"/>
      <c r="R596" s="1698"/>
    </row>
    <row r="597" spans="1:18">
      <c r="A597" s="2222"/>
      <c r="B597" s="2204"/>
      <c r="C597" s="1536"/>
      <c r="D597" s="1536"/>
      <c r="E597" s="1536"/>
      <c r="F597" s="1536"/>
      <c r="G597" s="1536"/>
      <c r="H597" s="1235"/>
      <c r="I597" s="1536"/>
      <c r="J597" s="1614"/>
      <c r="K597" s="1537"/>
      <c r="L597" s="2011"/>
      <c r="M597" s="2018"/>
      <c r="N597" s="2596"/>
      <c r="O597" s="1631"/>
      <c r="P597" s="1536"/>
      <c r="Q597" s="1536"/>
      <c r="R597" s="1698"/>
    </row>
    <row r="598" spans="1:18">
      <c r="A598" s="2083"/>
      <c r="B598" s="2204"/>
      <c r="C598" s="1536"/>
      <c r="D598" s="1536"/>
      <c r="E598" s="1536"/>
      <c r="F598" s="1536"/>
      <c r="G598" s="1536"/>
      <c r="H598" s="1235"/>
      <c r="I598" s="1536"/>
      <c r="J598" s="1614"/>
      <c r="K598" s="1537"/>
      <c r="L598" s="2011"/>
      <c r="M598" s="2018"/>
      <c r="N598" s="2595"/>
      <c r="O598" s="1631"/>
      <c r="P598" s="1536"/>
      <c r="Q598" s="1536"/>
      <c r="R598" s="1698"/>
    </row>
    <row r="599" spans="1:18">
      <c r="A599" s="2083"/>
      <c r="B599" s="2204"/>
      <c r="C599" s="1536"/>
      <c r="D599" s="1536"/>
      <c r="E599" s="1536"/>
      <c r="F599" s="1536"/>
      <c r="G599" s="1536"/>
      <c r="H599" s="1235"/>
      <c r="I599" s="1708"/>
      <c r="J599" s="1709"/>
      <c r="K599" s="1537"/>
      <c r="L599" s="2011"/>
      <c r="M599" s="2018"/>
      <c r="N599" s="2597"/>
      <c r="O599" s="1631"/>
      <c r="P599" s="1536"/>
      <c r="Q599" s="1536"/>
      <c r="R599" s="1698"/>
    </row>
    <row r="600" spans="1:18">
      <c r="A600" s="2083"/>
      <c r="B600" s="2204"/>
      <c r="C600" s="1536"/>
      <c r="D600" s="1536"/>
      <c r="E600" s="1536"/>
      <c r="F600" s="1536"/>
      <c r="G600" s="1536"/>
      <c r="H600" s="1235"/>
      <c r="I600" s="1536"/>
      <c r="J600" s="1614"/>
      <c r="K600" s="1537"/>
      <c r="L600" s="2011"/>
      <c r="M600" s="2018"/>
      <c r="N600" s="2596"/>
      <c r="O600" s="1631"/>
      <c r="P600" s="1536"/>
      <c r="Q600" s="1536"/>
      <c r="R600" s="1698"/>
    </row>
    <row r="601" spans="1:18">
      <c r="A601" s="2083"/>
      <c r="B601" s="2204"/>
      <c r="C601" s="1536"/>
      <c r="D601" s="1536"/>
      <c r="E601" s="1536"/>
      <c r="F601" s="1536"/>
      <c r="G601" s="1536"/>
      <c r="H601" s="1235"/>
      <c r="I601" s="1536"/>
      <c r="J601" s="1614"/>
      <c r="K601" s="1537"/>
      <c r="L601" s="2011"/>
      <c r="M601" s="2018"/>
      <c r="N601" s="2595"/>
      <c r="O601" s="1631"/>
      <c r="P601" s="1536"/>
      <c r="Q601" s="1536"/>
      <c r="R601" s="1698"/>
    </row>
    <row r="602" spans="1:18">
      <c r="A602" s="2083"/>
      <c r="B602" s="2204"/>
      <c r="C602" s="1536"/>
      <c r="D602" s="1536"/>
      <c r="E602" s="1536"/>
      <c r="F602" s="1536"/>
      <c r="G602" s="1536"/>
      <c r="H602" s="1235"/>
      <c r="I602" s="1536"/>
      <c r="J602" s="1614"/>
      <c r="K602" s="1537"/>
      <c r="L602" s="2011"/>
      <c r="M602" s="2018"/>
      <c r="N602" s="2596"/>
      <c r="O602" s="1631"/>
      <c r="P602" s="1536"/>
      <c r="Q602" s="1536"/>
      <c r="R602" s="1698"/>
    </row>
    <row r="603" spans="1:18">
      <c r="A603" s="2083"/>
      <c r="B603" s="2204"/>
      <c r="C603" s="1536"/>
      <c r="D603" s="1536"/>
      <c r="E603" s="1536"/>
      <c r="F603" s="1536"/>
      <c r="G603" s="1536"/>
      <c r="H603" s="1235"/>
      <c r="I603" s="1536"/>
      <c r="J603" s="1614"/>
      <c r="K603" s="1537"/>
      <c r="L603" s="2011"/>
      <c r="M603" s="2018"/>
      <c r="N603" s="2595"/>
      <c r="O603" s="1631"/>
      <c r="P603" s="1536"/>
      <c r="Q603" s="1536"/>
      <c r="R603" s="1698"/>
    </row>
    <row r="604" spans="1:18">
      <c r="A604" s="2083"/>
      <c r="B604" s="2204"/>
      <c r="C604" s="1536"/>
      <c r="D604" s="1536"/>
      <c r="E604" s="1536"/>
      <c r="F604" s="1536"/>
      <c r="G604" s="1536"/>
      <c r="H604" s="1235"/>
      <c r="I604" s="1708"/>
      <c r="J604" s="1709"/>
      <c r="K604" s="1537"/>
      <c r="L604" s="2011"/>
      <c r="M604" s="2018"/>
      <c r="N604" s="2597"/>
      <c r="O604" s="1631"/>
      <c r="P604" s="1536"/>
      <c r="Q604" s="1536"/>
      <c r="R604" s="1698"/>
    </row>
    <row r="605" spans="1:18">
      <c r="A605" s="2083"/>
      <c r="B605" s="2204"/>
      <c r="C605" s="1536"/>
      <c r="D605" s="1536"/>
      <c r="E605" s="1536"/>
      <c r="F605" s="1536"/>
      <c r="G605" s="1536"/>
      <c r="H605" s="1235"/>
      <c r="I605" s="1536"/>
      <c r="J605" s="1536"/>
      <c r="K605" s="1537"/>
      <c r="L605" s="2011"/>
      <c r="M605" s="2018"/>
      <c r="N605" s="2596"/>
      <c r="O605" s="1631"/>
      <c r="P605" s="1536"/>
      <c r="Q605" s="1536"/>
      <c r="R605" s="1698"/>
    </row>
    <row r="606" spans="1:18">
      <c r="A606" s="2083"/>
      <c r="B606" s="2204"/>
      <c r="C606" s="1536"/>
      <c r="D606" s="1536"/>
      <c r="E606" s="1536"/>
      <c r="F606" s="1536"/>
      <c r="G606" s="1536"/>
      <c r="H606" s="1235"/>
      <c r="I606" s="1536"/>
      <c r="J606" s="1536"/>
      <c r="K606" s="1537"/>
      <c r="L606" s="2011"/>
      <c r="M606" s="2018"/>
      <c r="N606" s="2595"/>
      <c r="O606" s="1631"/>
      <c r="P606" s="1536"/>
      <c r="Q606" s="1536"/>
      <c r="R606" s="1698"/>
    </row>
    <row r="607" spans="1:18">
      <c r="A607" s="2083"/>
      <c r="B607" s="2204"/>
      <c r="C607" s="1536"/>
      <c r="D607" s="1536"/>
      <c r="E607" s="1536"/>
      <c r="F607" s="1536"/>
      <c r="G607" s="1536"/>
      <c r="H607" s="1235"/>
      <c r="I607" s="1536"/>
      <c r="J607" s="1536"/>
      <c r="K607" s="1537"/>
      <c r="L607" s="2011"/>
      <c r="M607" s="2018"/>
      <c r="N607" s="2596"/>
      <c r="O607" s="1631"/>
      <c r="P607" s="1536"/>
      <c r="Q607" s="1536"/>
      <c r="R607" s="1698"/>
    </row>
    <row r="608" spans="1:18">
      <c r="A608" s="2083"/>
      <c r="B608" s="2204"/>
      <c r="C608" s="1536"/>
      <c r="D608" s="1536"/>
      <c r="E608" s="1536"/>
      <c r="F608" s="1536"/>
      <c r="G608" s="1536"/>
      <c r="H608" s="1235"/>
      <c r="I608" s="1536"/>
      <c r="J608" s="1536"/>
      <c r="K608" s="1537"/>
      <c r="L608" s="1708"/>
      <c r="M608" s="2018"/>
      <c r="N608" s="2595"/>
      <c r="O608" s="1631"/>
      <c r="P608" s="1536"/>
      <c r="Q608" s="1536"/>
      <c r="R608" s="1567"/>
    </row>
    <row r="609" spans="1:21">
      <c r="A609" s="2083"/>
      <c r="B609" s="2204"/>
      <c r="C609" s="1536"/>
      <c r="D609" s="1536"/>
      <c r="E609" s="1536"/>
      <c r="F609" s="1536"/>
      <c r="G609" s="1536"/>
      <c r="H609" s="1235"/>
      <c r="I609" s="1536"/>
      <c r="J609" s="1536"/>
      <c r="K609" s="1537"/>
      <c r="L609" s="1708"/>
      <c r="M609" s="2018"/>
      <c r="N609" s="2596"/>
      <c r="O609" s="1631"/>
      <c r="P609" s="1536"/>
      <c r="Q609" s="1536"/>
      <c r="R609" s="1567"/>
    </row>
    <row r="610" spans="1:21">
      <c r="A610" s="2083"/>
      <c r="B610" s="2209"/>
      <c r="C610" s="1538"/>
      <c r="D610" s="1538"/>
      <c r="E610" s="1538"/>
      <c r="F610" s="1538"/>
      <c r="G610" s="1538"/>
      <c r="H610" s="1535"/>
      <c r="I610" s="1538"/>
      <c r="J610" s="1538"/>
      <c r="K610" s="1537"/>
      <c r="L610" s="1708"/>
      <c r="M610" s="2018"/>
      <c r="N610" s="2595"/>
      <c r="O610" s="2016"/>
      <c r="P610" s="1538"/>
      <c r="Q610" s="1538"/>
      <c r="R610" s="1567"/>
    </row>
    <row r="611" spans="1:21">
      <c r="A611" s="2083"/>
      <c r="B611" s="2211"/>
      <c r="C611" s="1924"/>
      <c r="D611" s="1924"/>
      <c r="E611" s="1924"/>
      <c r="F611" s="1924"/>
      <c r="G611" s="1924"/>
      <c r="H611" s="1925"/>
      <c r="I611" s="1924"/>
      <c r="J611" s="1924"/>
      <c r="K611" s="1926"/>
      <c r="L611" s="2075"/>
      <c r="M611" s="2018"/>
      <c r="N611" s="2596"/>
      <c r="O611" s="2076"/>
      <c r="P611" s="1924"/>
      <c r="Q611" s="1924"/>
      <c r="R611" s="1929"/>
    </row>
    <row r="612" spans="1:21">
      <c r="A612" s="2083"/>
      <c r="B612" s="2204"/>
      <c r="C612" s="1536"/>
      <c r="D612" s="1536"/>
      <c r="E612" s="1536"/>
      <c r="F612" s="1536"/>
      <c r="G612" s="1536"/>
      <c r="H612" s="1235"/>
      <c r="I612" s="1536"/>
      <c r="J612" s="1536"/>
      <c r="K612" s="1537"/>
      <c r="L612" s="1708"/>
      <c r="M612" s="2018"/>
      <c r="N612" s="2595"/>
      <c r="O612" s="1631"/>
      <c r="P612" s="1536"/>
      <c r="Q612" s="1536"/>
      <c r="R612" s="1567"/>
    </row>
    <row r="613" spans="1:21">
      <c r="A613" s="2083"/>
      <c r="B613" s="2204"/>
      <c r="C613" s="1536"/>
      <c r="D613" s="1536"/>
      <c r="E613" s="1536"/>
      <c r="F613" s="1536"/>
      <c r="G613" s="1536"/>
      <c r="H613" s="1235"/>
      <c r="I613" s="1536"/>
      <c r="J613" s="1536"/>
      <c r="K613" s="1537"/>
      <c r="L613" s="1708"/>
      <c r="M613" s="2018"/>
      <c r="N613" s="2596"/>
      <c r="O613" s="1631"/>
      <c r="P613" s="1536"/>
      <c r="Q613" s="1536"/>
      <c r="R613" s="1567"/>
    </row>
    <row r="614" spans="1:21">
      <c r="A614" s="2083"/>
      <c r="B614" s="2204"/>
      <c r="C614" s="1536"/>
      <c r="D614" s="1536"/>
      <c r="E614" s="1536"/>
      <c r="F614" s="1536"/>
      <c r="G614" s="1536"/>
      <c r="H614" s="1235"/>
      <c r="I614" s="1536"/>
      <c r="J614" s="1536"/>
      <c r="K614" s="1537"/>
      <c r="L614" s="1708"/>
      <c r="M614" s="2018"/>
      <c r="N614" s="2595"/>
      <c r="O614" s="1631"/>
      <c r="P614" s="1536"/>
      <c r="Q614" s="1536"/>
      <c r="R614" s="1567"/>
    </row>
    <row r="615" spans="1:21">
      <c r="A615" s="2084"/>
      <c r="B615" s="2209"/>
      <c r="C615" s="1538"/>
      <c r="D615" s="1538"/>
      <c r="E615" s="1538"/>
      <c r="F615" s="1538"/>
      <c r="G615" s="1538"/>
      <c r="H615" s="1535"/>
      <c r="I615" s="1538"/>
      <c r="J615" s="1538"/>
      <c r="K615" s="1556"/>
      <c r="L615" s="2012"/>
      <c r="M615" s="2085"/>
      <c r="N615" s="2631"/>
      <c r="O615" s="2016"/>
      <c r="P615" s="1538"/>
      <c r="Q615" s="1538"/>
      <c r="R615" s="1592"/>
    </row>
    <row r="616" spans="1:21" s="31" customFormat="1">
      <c r="A616" s="2062"/>
      <c r="B616" s="2218"/>
      <c r="C616" s="2072"/>
      <c r="D616" s="2072"/>
      <c r="E616" s="2072"/>
      <c r="F616" s="2072"/>
      <c r="G616" s="2072"/>
      <c r="H616" s="1585"/>
      <c r="I616" s="2072"/>
      <c r="J616" s="2072"/>
      <c r="K616" s="2072"/>
      <c r="L616" s="1585"/>
      <c r="M616" s="2090"/>
      <c r="N616" s="2334"/>
      <c r="O616" s="2026"/>
      <c r="P616" s="2026"/>
      <c r="Q616" s="1586"/>
      <c r="R616" s="1587"/>
      <c r="U616" s="1423"/>
    </row>
    <row r="617" spans="1:21" s="31" customFormat="1">
      <c r="A617" s="2048"/>
      <c r="B617" s="1241"/>
      <c r="C617" s="1237"/>
      <c r="D617" s="1237"/>
      <c r="E617" s="1237"/>
      <c r="F617" s="2052"/>
      <c r="G617" s="1237"/>
      <c r="H617" s="1237"/>
      <c r="I617" s="1240"/>
      <c r="J617" s="1240"/>
      <c r="K617" s="1240"/>
      <c r="L617" s="1237"/>
      <c r="M617" s="2091"/>
      <c r="N617" s="2600"/>
      <c r="O617" s="2024"/>
      <c r="P617" s="2024"/>
      <c r="Q617" s="1238"/>
      <c r="R617" s="1239"/>
      <c r="U617" s="1423"/>
    </row>
    <row r="618" spans="1:21" s="31" customFormat="1">
      <c r="A618" s="2048"/>
      <c r="B618" s="2205"/>
      <c r="C618" s="1237"/>
      <c r="D618" s="1237"/>
      <c r="E618" s="1237"/>
      <c r="F618" s="2203"/>
      <c r="G618" s="1237"/>
      <c r="H618" s="1237"/>
      <c r="I618" s="1240"/>
      <c r="J618" s="1240"/>
      <c r="K618" s="1240"/>
      <c r="L618" s="1237"/>
      <c r="M618" s="1572"/>
      <c r="N618" s="2624"/>
      <c r="O618" s="1572"/>
      <c r="P618" s="2024"/>
      <c r="Q618" s="1238"/>
      <c r="R618" s="1239"/>
      <c r="U618" s="1423"/>
    </row>
    <row r="619" spans="1:21" s="31" customFormat="1">
      <c r="A619" s="2048"/>
      <c r="B619" s="2205"/>
      <c r="C619" s="1237"/>
      <c r="D619" s="1237"/>
      <c r="E619" s="1237"/>
      <c r="F619" s="1237"/>
      <c r="G619" s="1237"/>
      <c r="H619" s="1237"/>
      <c r="I619" s="1240"/>
      <c r="J619" s="1240"/>
      <c r="K619" s="1240"/>
      <c r="L619" s="1237"/>
      <c r="M619" s="1572"/>
      <c r="N619" s="2625"/>
      <c r="O619" s="1572"/>
      <c r="P619" s="2024"/>
      <c r="Q619" s="1238"/>
      <c r="R619" s="1239"/>
      <c r="U619" s="1423"/>
    </row>
    <row r="620" spans="1:21" s="31" customFormat="1">
      <c r="A620" s="2048"/>
      <c r="B620" s="2205"/>
      <c r="C620" s="1237"/>
      <c r="D620" s="1237"/>
      <c r="E620" s="1237"/>
      <c r="F620" s="1240"/>
      <c r="G620" s="1237"/>
      <c r="H620" s="1237"/>
      <c r="I620" s="1240"/>
      <c r="J620" s="1240"/>
      <c r="K620" s="1240"/>
      <c r="L620" s="1237"/>
      <c r="M620" s="1572"/>
      <c r="N620" s="2628"/>
      <c r="O620" s="1572"/>
      <c r="P620" s="2024"/>
      <c r="Q620" s="1238"/>
      <c r="R620" s="1239"/>
      <c r="U620" s="1423"/>
    </row>
    <row r="621" spans="1:21" s="31" customFormat="1">
      <c r="A621" s="2048"/>
      <c r="B621" s="1241"/>
      <c r="C621" s="1237"/>
      <c r="D621" s="1237"/>
      <c r="E621" s="1237"/>
      <c r="F621" s="1237"/>
      <c r="G621" s="1237"/>
      <c r="H621" s="1237"/>
      <c r="I621" s="1240"/>
      <c r="J621" s="1240"/>
      <c r="K621" s="1240"/>
      <c r="L621" s="1237"/>
      <c r="M621" s="1572"/>
      <c r="N621" s="2629"/>
      <c r="O621" s="1572"/>
      <c r="P621" s="2024"/>
      <c r="Q621" s="1238"/>
      <c r="R621" s="1239"/>
      <c r="U621" s="1423"/>
    </row>
    <row r="622" spans="1:21" s="31" customFormat="1">
      <c r="A622" s="2048"/>
      <c r="B622" s="1241"/>
      <c r="C622" s="1237"/>
      <c r="D622" s="1237"/>
      <c r="E622" s="1237"/>
      <c r="F622" s="1237"/>
      <c r="G622" s="1237"/>
      <c r="H622" s="1237"/>
      <c r="I622" s="1240"/>
      <c r="J622" s="1240"/>
      <c r="K622" s="1240"/>
      <c r="L622" s="1237"/>
      <c r="M622" s="1572"/>
      <c r="N622" s="2630"/>
      <c r="O622" s="1572"/>
      <c r="P622" s="2024"/>
      <c r="Q622" s="1238"/>
      <c r="R622" s="1239"/>
      <c r="U622" s="1423"/>
    </row>
    <row r="623" spans="1:21">
      <c r="A623" s="2048"/>
      <c r="B623" s="1913"/>
      <c r="C623" s="1536"/>
      <c r="D623" s="1536"/>
      <c r="E623" s="1536"/>
      <c r="F623" s="1536"/>
      <c r="G623" s="1536"/>
      <c r="H623" s="1235"/>
      <c r="I623" s="1536"/>
      <c r="J623" s="1536"/>
      <c r="K623" s="1537"/>
      <c r="L623" s="1235"/>
      <c r="M623" s="1236"/>
      <c r="N623" s="1879"/>
      <c r="O623" s="1628"/>
      <c r="P623" s="1536"/>
      <c r="Q623" s="1536"/>
      <c r="R623" s="1567"/>
    </row>
    <row r="624" spans="1:21">
      <c r="A624" s="2048"/>
      <c r="B624" s="1913"/>
      <c r="C624" s="1536"/>
      <c r="D624" s="1536"/>
      <c r="E624" s="1536"/>
      <c r="F624" s="1536"/>
      <c r="G624" s="1536"/>
      <c r="H624" s="1235"/>
      <c r="I624" s="1536"/>
      <c r="J624" s="1536"/>
      <c r="K624" s="1537"/>
      <c r="L624" s="1235"/>
      <c r="M624" s="1236"/>
      <c r="N624" s="2600"/>
      <c r="O624" s="1628"/>
      <c r="P624" s="1536"/>
      <c r="Q624" s="1536"/>
      <c r="R624" s="1567"/>
    </row>
    <row r="625" spans="1:18">
      <c r="A625" s="2048"/>
      <c r="B625" s="1913"/>
      <c r="C625" s="1536"/>
      <c r="D625" s="1536"/>
      <c r="E625" s="1536"/>
      <c r="F625" s="1536"/>
      <c r="G625" s="1536"/>
      <c r="H625" s="1235"/>
      <c r="I625" s="1536"/>
      <c r="J625" s="1536"/>
      <c r="K625" s="1537"/>
      <c r="L625" s="1235"/>
      <c r="M625" s="1236"/>
      <c r="N625" s="2600"/>
      <c r="O625" s="1628"/>
      <c r="P625" s="1536"/>
      <c r="Q625" s="1536"/>
      <c r="R625" s="1567"/>
    </row>
    <row r="626" spans="1:18">
      <c r="A626" s="2048"/>
      <c r="B626" s="1913"/>
      <c r="C626" s="1536"/>
      <c r="D626" s="1536"/>
      <c r="E626" s="1536"/>
      <c r="F626" s="1536"/>
      <c r="G626" s="1536"/>
      <c r="H626" s="1235"/>
      <c r="I626" s="1536"/>
      <c r="J626" s="1536"/>
      <c r="K626" s="1537"/>
      <c r="L626" s="1235"/>
      <c r="M626" s="1236"/>
      <c r="N626" s="2600"/>
      <c r="O626" s="1628"/>
      <c r="P626" s="1536"/>
      <c r="Q626" s="1536"/>
      <c r="R626" s="1567"/>
    </row>
    <row r="627" spans="1:18">
      <c r="A627" s="2048"/>
      <c r="B627" s="1913"/>
      <c r="C627" s="1536"/>
      <c r="D627" s="1536"/>
      <c r="E627" s="1536"/>
      <c r="F627" s="1536"/>
      <c r="G627" s="1536"/>
      <c r="H627" s="1235"/>
      <c r="I627" s="1536"/>
      <c r="J627" s="1536"/>
      <c r="K627" s="1537"/>
      <c r="L627" s="1235"/>
      <c r="M627" s="1236"/>
      <c r="N627" s="2600"/>
      <c r="O627" s="1628"/>
      <c r="P627" s="1536"/>
      <c r="Q627" s="1536"/>
      <c r="R627" s="1567"/>
    </row>
    <row r="628" spans="1:18">
      <c r="A628" s="2048"/>
      <c r="B628" s="1913"/>
      <c r="C628" s="1536"/>
      <c r="D628" s="1536"/>
      <c r="E628" s="1536"/>
      <c r="F628" s="1536"/>
      <c r="G628" s="1536"/>
      <c r="H628" s="1235"/>
      <c r="I628" s="1536"/>
      <c r="J628" s="1536"/>
      <c r="K628" s="1537"/>
      <c r="L628" s="1235"/>
      <c r="M628" s="1236"/>
      <c r="N628" s="2600"/>
      <c r="O628" s="1628"/>
      <c r="P628" s="1536"/>
      <c r="Q628" s="1536"/>
      <c r="R628" s="1567"/>
    </row>
    <row r="629" spans="1:18">
      <c r="A629" s="2048"/>
      <c r="B629" s="1913"/>
      <c r="C629" s="1536"/>
      <c r="D629" s="1536"/>
      <c r="E629" s="1536"/>
      <c r="F629" s="1536"/>
      <c r="G629" s="1536"/>
      <c r="H629" s="1235"/>
      <c r="I629" s="1536"/>
      <c r="J629" s="1536"/>
      <c r="K629" s="1537"/>
      <c r="L629" s="1235"/>
      <c r="M629" s="1236"/>
      <c r="N629" s="2600"/>
      <c r="O629" s="1628"/>
      <c r="P629" s="1536"/>
      <c r="Q629" s="1536"/>
      <c r="R629" s="1567"/>
    </row>
    <row r="630" spans="1:18">
      <c r="A630" s="2048"/>
      <c r="B630" s="1913"/>
      <c r="C630" s="1536"/>
      <c r="D630" s="1536"/>
      <c r="E630" s="1536"/>
      <c r="F630" s="1536"/>
      <c r="G630" s="1536"/>
      <c r="H630" s="1235"/>
      <c r="I630" s="1536"/>
      <c r="J630" s="1536"/>
      <c r="K630" s="1537"/>
      <c r="L630" s="1235"/>
      <c r="M630" s="1236"/>
      <c r="N630" s="2626"/>
      <c r="O630" s="1628"/>
      <c r="P630" s="1536"/>
      <c r="Q630" s="1536"/>
      <c r="R630" s="1567"/>
    </row>
    <row r="631" spans="1:18">
      <c r="A631" s="2048"/>
      <c r="B631" s="1913"/>
      <c r="C631" s="1536"/>
      <c r="D631" s="1536"/>
      <c r="E631" s="1536"/>
      <c r="F631" s="1536"/>
      <c r="G631" s="1536"/>
      <c r="H631" s="1235"/>
      <c r="I631" s="1536"/>
      <c r="J631" s="1536"/>
      <c r="K631" s="1537"/>
      <c r="L631" s="1235"/>
      <c r="M631" s="1236"/>
      <c r="N631" s="2627"/>
      <c r="O631" s="1628"/>
      <c r="P631" s="1536"/>
      <c r="Q631" s="1536"/>
      <c r="R631" s="1567"/>
    </row>
    <row r="632" spans="1:18">
      <c r="A632" s="2048"/>
      <c r="B632" s="1913"/>
      <c r="C632" s="1536"/>
      <c r="D632" s="1536"/>
      <c r="E632" s="1536"/>
      <c r="F632" s="1536"/>
      <c r="G632" s="1536"/>
      <c r="H632" s="1235"/>
      <c r="I632" s="1536"/>
      <c r="J632" s="1536"/>
      <c r="K632" s="1537"/>
      <c r="L632" s="1235"/>
      <c r="M632" s="1236"/>
      <c r="N632" s="2600"/>
      <c r="O632" s="1628"/>
      <c r="P632" s="1536"/>
      <c r="Q632" s="1536"/>
      <c r="R632" s="1567"/>
    </row>
    <row r="633" spans="1:18">
      <c r="A633" s="2048"/>
      <c r="B633" s="1913"/>
      <c r="C633" s="1536"/>
      <c r="D633" s="1536"/>
      <c r="E633" s="1536"/>
      <c r="F633" s="1536"/>
      <c r="G633" s="1536"/>
      <c r="H633" s="1235"/>
      <c r="I633" s="1536"/>
      <c r="J633" s="1536"/>
      <c r="K633" s="1537"/>
      <c r="L633" s="1235"/>
      <c r="M633" s="1236"/>
      <c r="N633" s="2600"/>
      <c r="O633" s="1628"/>
      <c r="P633" s="1536"/>
      <c r="Q633" s="1536"/>
      <c r="R633" s="1567"/>
    </row>
    <row r="634" spans="1:18">
      <c r="A634" s="2048"/>
      <c r="B634" s="1913"/>
      <c r="C634" s="1536"/>
      <c r="D634" s="1536"/>
      <c r="E634" s="1536"/>
      <c r="F634" s="1536"/>
      <c r="G634" s="1536"/>
      <c r="H634" s="1235"/>
      <c r="I634" s="1536"/>
      <c r="J634" s="1536"/>
      <c r="K634" s="1537"/>
      <c r="L634" s="1235"/>
      <c r="M634" s="1236"/>
      <c r="N634" s="2600"/>
      <c r="O634" s="1628"/>
      <c r="P634" s="1536"/>
      <c r="Q634" s="1536"/>
      <c r="R634" s="1567"/>
    </row>
    <row r="635" spans="1:18">
      <c r="A635" s="2048"/>
      <c r="B635" s="1913"/>
      <c r="C635" s="1536"/>
      <c r="D635" s="1536"/>
      <c r="E635" s="1536"/>
      <c r="F635" s="1536"/>
      <c r="G635" s="1536"/>
      <c r="H635" s="1235"/>
      <c r="I635" s="1536"/>
      <c r="J635" s="1536"/>
      <c r="K635" s="1537"/>
      <c r="L635" s="1235"/>
      <c r="M635" s="1236"/>
      <c r="N635" s="2600"/>
      <c r="O635" s="1628"/>
      <c r="P635" s="1536"/>
      <c r="Q635" s="1536"/>
      <c r="R635" s="1567"/>
    </row>
    <row r="636" spans="1:18">
      <c r="A636" s="2048"/>
      <c r="B636" s="1913"/>
      <c r="C636" s="1536"/>
      <c r="D636" s="1536"/>
      <c r="E636" s="1536"/>
      <c r="F636" s="1536"/>
      <c r="G636" s="1536"/>
      <c r="H636" s="1235"/>
      <c r="I636" s="1536"/>
      <c r="J636" s="1536"/>
      <c r="K636" s="1537"/>
      <c r="L636" s="1235"/>
      <c r="M636" s="1236"/>
      <c r="N636" s="2600"/>
      <c r="O636" s="1628"/>
      <c r="P636" s="1536"/>
      <c r="Q636" s="1536"/>
      <c r="R636" s="1567"/>
    </row>
    <row r="637" spans="1:18">
      <c r="A637" s="2048"/>
      <c r="B637" s="1913"/>
      <c r="C637" s="1536"/>
      <c r="D637" s="1536"/>
      <c r="E637" s="1536"/>
      <c r="F637" s="1536"/>
      <c r="G637" s="1536"/>
      <c r="H637" s="1235"/>
      <c r="I637" s="1536"/>
      <c r="J637" s="1536"/>
      <c r="K637" s="1537"/>
      <c r="L637" s="1235"/>
      <c r="M637" s="1236"/>
      <c r="N637" s="2600"/>
      <c r="O637" s="1628"/>
      <c r="P637" s="1536"/>
      <c r="Q637" s="1536"/>
      <c r="R637" s="1567"/>
    </row>
    <row r="638" spans="1:18">
      <c r="A638" s="2048"/>
      <c r="B638" s="1913"/>
      <c r="C638" s="1536"/>
      <c r="D638" s="1536"/>
      <c r="E638" s="1536"/>
      <c r="F638" s="1910"/>
      <c r="G638" s="1536"/>
      <c r="H638" s="1235"/>
      <c r="I638" s="1536"/>
      <c r="J638" s="1536"/>
      <c r="K638" s="1537"/>
      <c r="L638" s="1235"/>
      <c r="M638" s="1236"/>
      <c r="N638" s="2900"/>
      <c r="O638" s="1628"/>
      <c r="P638" s="1536"/>
      <c r="Q638" s="1536"/>
      <c r="R638" s="1567"/>
    </row>
    <row r="639" spans="1:18">
      <c r="A639" s="2048"/>
      <c r="B639" s="1913"/>
      <c r="C639" s="1536"/>
      <c r="D639" s="1536"/>
      <c r="E639" s="1536"/>
      <c r="F639" s="1536"/>
      <c r="G639" s="1536"/>
      <c r="H639" s="1235"/>
      <c r="I639" s="1536"/>
      <c r="J639" s="1536"/>
      <c r="K639" s="1537"/>
      <c r="L639" s="1235"/>
      <c r="M639" s="1236"/>
      <c r="N639" s="2903"/>
      <c r="O639" s="1628"/>
      <c r="P639" s="1536"/>
      <c r="Q639" s="1536"/>
      <c r="R639" s="1567"/>
    </row>
    <row r="640" spans="1:18">
      <c r="A640" s="2048"/>
      <c r="B640" s="1913"/>
      <c r="C640" s="1536"/>
      <c r="D640" s="1536"/>
      <c r="E640" s="1536"/>
      <c r="F640" s="1536"/>
      <c r="G640" s="1536"/>
      <c r="H640" s="1235"/>
      <c r="I640" s="1536"/>
      <c r="J640" s="1536"/>
      <c r="K640" s="1537"/>
      <c r="L640" s="1235"/>
      <c r="M640" s="1236"/>
      <c r="N640" s="2903"/>
      <c r="O640" s="1628"/>
      <c r="P640" s="1536"/>
      <c r="Q640" s="1536"/>
      <c r="R640" s="1567"/>
    </row>
    <row r="641" spans="1:18">
      <c r="A641" s="2048"/>
      <c r="B641" s="1913"/>
      <c r="C641" s="1536"/>
      <c r="D641" s="1536"/>
      <c r="E641" s="1536"/>
      <c r="F641" s="1536"/>
      <c r="G641" s="1536"/>
      <c r="H641" s="1235"/>
      <c r="I641" s="1536"/>
      <c r="J641" s="1536"/>
      <c r="K641" s="1537"/>
      <c r="L641" s="1235"/>
      <c r="M641" s="1236"/>
      <c r="N641" s="2903"/>
      <c r="O641" s="1628"/>
      <c r="P641" s="1536"/>
      <c r="Q641" s="1536"/>
      <c r="R641" s="1567"/>
    </row>
    <row r="642" spans="1:18">
      <c r="A642" s="2048"/>
      <c r="B642" s="1913"/>
      <c r="C642" s="1536"/>
      <c r="D642" s="1536"/>
      <c r="E642" s="1536"/>
      <c r="F642" s="1536"/>
      <c r="G642" s="1536"/>
      <c r="H642" s="1235"/>
      <c r="I642" s="1536"/>
      <c r="J642" s="1536"/>
      <c r="K642" s="1537"/>
      <c r="L642" s="1235"/>
      <c r="M642" s="1236"/>
      <c r="N642" s="2902"/>
      <c r="O642" s="1628"/>
      <c r="P642" s="1536"/>
      <c r="Q642" s="1536"/>
      <c r="R642" s="1567"/>
    </row>
    <row r="643" spans="1:18">
      <c r="A643" s="2048"/>
      <c r="B643" s="1913"/>
      <c r="C643" s="1536"/>
      <c r="D643" s="1536"/>
      <c r="E643" s="1536"/>
      <c r="F643" s="1536"/>
      <c r="G643" s="1536"/>
      <c r="H643" s="1235"/>
      <c r="I643" s="1536"/>
      <c r="J643" s="1536"/>
      <c r="K643" s="1537"/>
      <c r="L643" s="1235"/>
      <c r="M643" s="1236"/>
      <c r="N643" s="2900"/>
      <c r="O643" s="1628"/>
      <c r="P643" s="1536"/>
      <c r="Q643" s="1536"/>
      <c r="R643" s="1567"/>
    </row>
    <row r="644" spans="1:18">
      <c r="A644" s="2048"/>
      <c r="B644" s="1913"/>
      <c r="C644" s="1536"/>
      <c r="D644" s="1536"/>
      <c r="E644" s="1536"/>
      <c r="F644" s="1536"/>
      <c r="G644" s="1536"/>
      <c r="H644" s="1235"/>
      <c r="I644" s="1536"/>
      <c r="J644" s="1536"/>
      <c r="K644" s="1537"/>
      <c r="L644" s="1235"/>
      <c r="M644" s="1236"/>
      <c r="N644" s="2903"/>
      <c r="O644" s="1628"/>
      <c r="P644" s="1536"/>
      <c r="Q644" s="1536"/>
      <c r="R644" s="1567"/>
    </row>
    <row r="645" spans="1:18">
      <c r="A645" s="2048"/>
      <c r="B645" s="1913"/>
      <c r="C645" s="1536"/>
      <c r="D645" s="1536"/>
      <c r="E645" s="1536"/>
      <c r="F645" s="1536"/>
      <c r="G645" s="1536"/>
      <c r="H645" s="1235"/>
      <c r="I645" s="1536"/>
      <c r="J645" s="1536"/>
      <c r="K645" s="1537"/>
      <c r="L645" s="1235"/>
      <c r="M645" s="1236"/>
      <c r="N645" s="2903"/>
      <c r="O645" s="1628"/>
      <c r="P645" s="1536"/>
      <c r="Q645" s="1536"/>
      <c r="R645" s="1567"/>
    </row>
    <row r="646" spans="1:18">
      <c r="A646" s="2048"/>
      <c r="B646" s="1913"/>
      <c r="C646" s="1536"/>
      <c r="D646" s="1536"/>
      <c r="E646" s="1536"/>
      <c r="F646" s="1536"/>
      <c r="G646" s="1536"/>
      <c r="H646" s="1235"/>
      <c r="I646" s="1536"/>
      <c r="J646" s="1536"/>
      <c r="K646" s="1537"/>
      <c r="L646" s="1235"/>
      <c r="M646" s="1236"/>
      <c r="N646" s="2903"/>
      <c r="O646" s="1628"/>
      <c r="P646" s="1536"/>
      <c r="Q646" s="1536"/>
      <c r="R646" s="1567"/>
    </row>
    <row r="647" spans="1:18">
      <c r="A647" s="2048"/>
      <c r="B647" s="1913"/>
      <c r="C647" s="1536"/>
      <c r="D647" s="1536"/>
      <c r="E647" s="1536"/>
      <c r="F647" s="1536"/>
      <c r="G647" s="1536"/>
      <c r="H647" s="1235"/>
      <c r="I647" s="1536"/>
      <c r="J647" s="1536"/>
      <c r="K647" s="1537"/>
      <c r="L647" s="1235"/>
      <c r="M647" s="1236"/>
      <c r="N647" s="2902"/>
      <c r="O647" s="1628"/>
      <c r="P647" s="1536"/>
      <c r="Q647" s="1536"/>
      <c r="R647" s="1567"/>
    </row>
    <row r="648" spans="1:18">
      <c r="A648" s="2048"/>
      <c r="B648" s="1913"/>
      <c r="C648" s="1536"/>
      <c r="D648" s="1536"/>
      <c r="E648" s="1536"/>
      <c r="F648" s="1536"/>
      <c r="G648" s="1536"/>
      <c r="H648" s="1235"/>
      <c r="I648" s="1536"/>
      <c r="J648" s="1536"/>
      <c r="K648" s="1537"/>
      <c r="L648" s="1235"/>
      <c r="M648" s="1236"/>
      <c r="N648" s="2900"/>
      <c r="O648" s="1628"/>
      <c r="P648" s="1536"/>
      <c r="Q648" s="1536"/>
      <c r="R648" s="1567"/>
    </row>
    <row r="649" spans="1:18">
      <c r="A649" s="2048"/>
      <c r="B649" s="1913"/>
      <c r="C649" s="1536"/>
      <c r="D649" s="1536"/>
      <c r="E649" s="1536"/>
      <c r="F649" s="1536"/>
      <c r="G649" s="1536"/>
      <c r="H649" s="1235"/>
      <c r="I649" s="1536"/>
      <c r="J649" s="1536"/>
      <c r="K649" s="1537"/>
      <c r="L649" s="1235"/>
      <c r="M649" s="1236"/>
      <c r="N649" s="2903"/>
      <c r="O649" s="1628"/>
      <c r="P649" s="1536"/>
      <c r="Q649" s="1536"/>
      <c r="R649" s="1567"/>
    </row>
    <row r="650" spans="1:18">
      <c r="A650" s="2048"/>
      <c r="B650" s="1913"/>
      <c r="C650" s="1536"/>
      <c r="D650" s="1536"/>
      <c r="E650" s="1536"/>
      <c r="F650" s="1536"/>
      <c r="G650" s="1536"/>
      <c r="H650" s="1235"/>
      <c r="I650" s="1536"/>
      <c r="J650" s="1536"/>
      <c r="K650" s="1537"/>
      <c r="L650" s="1235"/>
      <c r="M650" s="1236"/>
      <c r="N650" s="2903"/>
      <c r="O650" s="1628"/>
      <c r="P650" s="1536"/>
      <c r="Q650" s="1536"/>
      <c r="R650" s="1567"/>
    </row>
    <row r="651" spans="1:18">
      <c r="A651" s="2048"/>
      <c r="B651" s="1913"/>
      <c r="C651" s="1536"/>
      <c r="D651" s="1536"/>
      <c r="E651" s="1536"/>
      <c r="F651" s="1536"/>
      <c r="G651" s="1536"/>
      <c r="H651" s="1235"/>
      <c r="I651" s="1536"/>
      <c r="J651" s="1536"/>
      <c r="K651" s="1537"/>
      <c r="L651" s="1235"/>
      <c r="M651" s="1236"/>
      <c r="N651" s="2902"/>
      <c r="O651" s="1628"/>
      <c r="P651" s="1536"/>
      <c r="Q651" s="1536"/>
      <c r="R651" s="1567"/>
    </row>
    <row r="652" spans="1:18">
      <c r="A652" s="2048"/>
      <c r="B652" s="1913"/>
      <c r="C652" s="1536"/>
      <c r="D652" s="1536"/>
      <c r="E652" s="1536"/>
      <c r="F652" s="1536"/>
      <c r="G652" s="1536"/>
      <c r="H652" s="1235"/>
      <c r="I652" s="1536"/>
      <c r="J652" s="1536"/>
      <c r="K652" s="1537"/>
      <c r="L652" s="1235"/>
      <c r="M652" s="1236"/>
      <c r="N652" s="2900"/>
      <c r="O652" s="1628"/>
      <c r="P652" s="1536"/>
      <c r="Q652" s="1536"/>
      <c r="R652" s="1567"/>
    </row>
    <row r="653" spans="1:18">
      <c r="A653" s="2048"/>
      <c r="B653" s="1913"/>
      <c r="C653" s="1536"/>
      <c r="D653" s="1536"/>
      <c r="E653" s="1536"/>
      <c r="F653" s="1536"/>
      <c r="G653" s="1536"/>
      <c r="H653" s="1235"/>
      <c r="I653" s="1536"/>
      <c r="J653" s="1536"/>
      <c r="K653" s="1537"/>
      <c r="L653" s="1235"/>
      <c r="M653" s="1236"/>
      <c r="N653" s="2903"/>
      <c r="O653" s="1628"/>
      <c r="P653" s="1536"/>
      <c r="Q653" s="1536"/>
      <c r="R653" s="1567"/>
    </row>
    <row r="654" spans="1:18">
      <c r="A654" s="2048"/>
      <c r="B654" s="1913"/>
      <c r="C654" s="1536"/>
      <c r="D654" s="1536"/>
      <c r="E654" s="1536"/>
      <c r="F654" s="1536"/>
      <c r="G654" s="1536"/>
      <c r="H654" s="1235"/>
      <c r="I654" s="1536"/>
      <c r="J654" s="1536"/>
      <c r="K654" s="1537"/>
      <c r="L654" s="1235"/>
      <c r="M654" s="1236"/>
      <c r="N654" s="2903"/>
      <c r="O654" s="1628"/>
      <c r="P654" s="1536"/>
      <c r="Q654" s="1536"/>
      <c r="R654" s="1567"/>
    </row>
    <row r="655" spans="1:18">
      <c r="A655" s="2048"/>
      <c r="B655" s="1913"/>
      <c r="C655" s="1536"/>
      <c r="D655" s="1536"/>
      <c r="E655" s="1536"/>
      <c r="F655" s="1536"/>
      <c r="G655" s="1536"/>
      <c r="H655" s="1235"/>
      <c r="I655" s="1536"/>
      <c r="J655" s="1536"/>
      <c r="K655" s="1537"/>
      <c r="L655" s="1235"/>
      <c r="M655" s="1236"/>
      <c r="N655" s="2903"/>
      <c r="O655" s="1628"/>
      <c r="P655" s="1536"/>
      <c r="Q655" s="1536"/>
      <c r="R655" s="1567"/>
    </row>
    <row r="656" spans="1:18">
      <c r="A656" s="2048"/>
      <c r="B656" s="1913"/>
      <c r="C656" s="1536"/>
      <c r="D656" s="1536"/>
      <c r="E656" s="1536"/>
      <c r="F656" s="1536"/>
      <c r="G656" s="1536"/>
      <c r="H656" s="1235"/>
      <c r="I656" s="1536"/>
      <c r="J656" s="1536"/>
      <c r="K656" s="1537"/>
      <c r="L656" s="1235"/>
      <c r="M656" s="1236"/>
      <c r="N656" s="2903"/>
      <c r="O656" s="1628"/>
      <c r="P656" s="1536"/>
      <c r="Q656" s="1536"/>
      <c r="R656" s="1567"/>
    </row>
    <row r="657" spans="1:18">
      <c r="A657" s="2061"/>
      <c r="B657" s="2212"/>
      <c r="C657" s="1538"/>
      <c r="D657" s="1538"/>
      <c r="E657" s="1538"/>
      <c r="F657" s="1538"/>
      <c r="G657" s="1538"/>
      <c r="H657" s="1535"/>
      <c r="I657" s="1538"/>
      <c r="J657" s="1538"/>
      <c r="K657" s="1556"/>
      <c r="L657" s="1535"/>
      <c r="M657" s="1872"/>
      <c r="N657" s="2903"/>
      <c r="O657" s="1632"/>
      <c r="P657" s="1538"/>
      <c r="Q657" s="1538"/>
      <c r="R657" s="1592"/>
    </row>
    <row r="658" spans="1:18">
      <c r="A658" s="2062"/>
      <c r="B658" s="2216"/>
      <c r="C658" s="1564"/>
      <c r="D658" s="1564"/>
      <c r="E658" s="1564"/>
      <c r="F658" s="1564"/>
      <c r="G658" s="1564"/>
      <c r="H658" s="966"/>
      <c r="I658" s="1564"/>
      <c r="J658" s="1564"/>
      <c r="K658" s="1565"/>
      <c r="L658" s="966"/>
      <c r="M658" s="1882"/>
      <c r="N658" s="2914"/>
      <c r="O658" s="1634"/>
      <c r="P658" s="1564"/>
      <c r="Q658" s="1564"/>
      <c r="R658" s="1566"/>
    </row>
    <row r="659" spans="1:18">
      <c r="A659" s="2003"/>
      <c r="B659" s="1913"/>
      <c r="C659" s="1536"/>
      <c r="D659" s="1536"/>
      <c r="E659" s="1536"/>
      <c r="F659" s="1536"/>
      <c r="G659" s="1536"/>
      <c r="H659" s="1235"/>
      <c r="I659" s="1536"/>
      <c r="J659" s="1536"/>
      <c r="K659" s="1537"/>
      <c r="L659" s="1235"/>
      <c r="M659" s="1236"/>
      <c r="N659" s="2903"/>
      <c r="O659" s="1628"/>
      <c r="P659" s="1536"/>
      <c r="Q659" s="1536"/>
      <c r="R659" s="1567"/>
    </row>
    <row r="660" spans="1:18">
      <c r="A660" s="2003"/>
      <c r="B660" s="1913"/>
      <c r="C660" s="1536"/>
      <c r="D660" s="1536"/>
      <c r="E660" s="1536"/>
      <c r="F660" s="1536"/>
      <c r="G660" s="1536"/>
      <c r="H660" s="1235"/>
      <c r="I660" s="1536"/>
      <c r="J660" s="1536"/>
      <c r="K660" s="1537"/>
      <c r="L660" s="1235"/>
      <c r="M660" s="1236"/>
      <c r="N660" s="2903"/>
      <c r="O660" s="1628"/>
      <c r="P660" s="1536"/>
      <c r="Q660" s="1536"/>
      <c r="R660" s="1567"/>
    </row>
    <row r="661" spans="1:18">
      <c r="A661" s="2003"/>
      <c r="B661" s="1913"/>
      <c r="C661" s="1536"/>
      <c r="D661" s="1536"/>
      <c r="E661" s="1536"/>
      <c r="F661" s="1536"/>
      <c r="G661" s="1536"/>
      <c r="H661" s="1235"/>
      <c r="I661" s="1536"/>
      <c r="J661" s="1536"/>
      <c r="K661" s="1537"/>
      <c r="L661" s="1235"/>
      <c r="M661" s="1236"/>
      <c r="N661" s="2902"/>
      <c r="O661" s="1628"/>
      <c r="P661" s="1536"/>
      <c r="Q661" s="1536"/>
      <c r="R661" s="1567"/>
    </row>
    <row r="662" spans="1:18">
      <c r="A662" s="2003"/>
      <c r="B662" s="1913"/>
      <c r="C662" s="1536"/>
      <c r="D662" s="1536"/>
      <c r="E662" s="1536"/>
      <c r="F662" s="1536"/>
      <c r="G662" s="1536"/>
      <c r="H662" s="1235"/>
      <c r="I662" s="1536"/>
      <c r="J662" s="1536"/>
      <c r="K662" s="1537"/>
      <c r="L662" s="1235"/>
      <c r="M662" s="1236"/>
      <c r="N662" s="2900"/>
      <c r="O662" s="1628"/>
      <c r="P662" s="1536"/>
      <c r="Q662" s="1536"/>
      <c r="R662" s="1567"/>
    </row>
    <row r="663" spans="1:18">
      <c r="A663" s="2003"/>
      <c r="B663" s="1913"/>
      <c r="C663" s="1536"/>
      <c r="D663" s="1536"/>
      <c r="E663" s="1536"/>
      <c r="F663" s="1536"/>
      <c r="G663" s="1536"/>
      <c r="H663" s="1235"/>
      <c r="I663" s="1235"/>
      <c r="J663" s="1235"/>
      <c r="K663" s="1537"/>
      <c r="L663" s="1235"/>
      <c r="M663" s="1236"/>
      <c r="N663" s="2903"/>
      <c r="O663" s="1628"/>
      <c r="P663" s="1536"/>
      <c r="Q663" s="1536"/>
      <c r="R663" s="1567"/>
    </row>
    <row r="664" spans="1:18">
      <c r="A664" s="2003"/>
      <c r="B664" s="1913"/>
      <c r="C664" s="1536"/>
      <c r="D664" s="1536"/>
      <c r="E664" s="1536"/>
      <c r="F664" s="1536"/>
      <c r="G664" s="1536"/>
      <c r="H664" s="1235"/>
      <c r="I664" s="1536"/>
      <c r="J664" s="1536"/>
      <c r="K664" s="1537"/>
      <c r="L664" s="1235"/>
      <c r="M664" s="1236"/>
      <c r="N664" s="2903"/>
      <c r="O664" s="1628"/>
      <c r="P664" s="1536"/>
      <c r="Q664" s="1536"/>
      <c r="R664" s="1567"/>
    </row>
    <row r="665" spans="1:18">
      <c r="A665" s="2003"/>
      <c r="B665" s="1913"/>
      <c r="C665" s="1536"/>
      <c r="D665" s="1536"/>
      <c r="E665" s="1536"/>
      <c r="F665" s="1536"/>
      <c r="G665" s="1536"/>
      <c r="H665" s="1235"/>
      <c r="I665" s="1536"/>
      <c r="J665" s="1536"/>
      <c r="K665" s="1537"/>
      <c r="L665" s="1235"/>
      <c r="M665" s="1236"/>
      <c r="N665" s="2903"/>
      <c r="O665" s="1628"/>
      <c r="P665" s="1536"/>
      <c r="Q665" s="1536"/>
      <c r="R665" s="1567"/>
    </row>
    <row r="666" spans="1:18">
      <c r="A666" s="2003"/>
      <c r="B666" s="1913"/>
      <c r="C666" s="1536"/>
      <c r="D666" s="1536"/>
      <c r="E666" s="1536"/>
      <c r="F666" s="1536"/>
      <c r="G666" s="1536"/>
      <c r="H666" s="1235"/>
      <c r="I666" s="1536"/>
      <c r="J666" s="1536"/>
      <c r="K666" s="1537"/>
      <c r="L666" s="1235"/>
      <c r="M666" s="1236"/>
      <c r="N666" s="2902"/>
      <c r="O666" s="1628"/>
      <c r="P666" s="1536"/>
      <c r="Q666" s="1536"/>
      <c r="R666" s="1567"/>
    </row>
    <row r="667" spans="1:18">
      <c r="A667" s="2003"/>
      <c r="B667" s="1913"/>
      <c r="C667" s="1536"/>
      <c r="D667" s="1536"/>
      <c r="E667" s="1536"/>
      <c r="F667" s="1536"/>
      <c r="G667" s="1536"/>
      <c r="H667" s="1235"/>
      <c r="I667" s="1536"/>
      <c r="J667" s="1536"/>
      <c r="K667" s="1537"/>
      <c r="L667" s="1235"/>
      <c r="M667" s="1236"/>
      <c r="N667" s="2900"/>
      <c r="O667" s="1628"/>
      <c r="P667" s="1536"/>
      <c r="Q667" s="1536"/>
      <c r="R667" s="1567"/>
    </row>
    <row r="668" spans="1:18">
      <c r="A668" s="2003"/>
      <c r="B668" s="1913"/>
      <c r="C668" s="1536"/>
      <c r="D668" s="1536"/>
      <c r="E668" s="1536"/>
      <c r="F668" s="1536"/>
      <c r="G668" s="1536"/>
      <c r="H668" s="1235"/>
      <c r="I668" s="1536"/>
      <c r="J668" s="1536"/>
      <c r="K668" s="1537"/>
      <c r="L668" s="1235"/>
      <c r="M668" s="1236"/>
      <c r="N668" s="2903"/>
      <c r="O668" s="1628"/>
      <c r="P668" s="1536"/>
      <c r="Q668" s="1536"/>
      <c r="R668" s="1567"/>
    </row>
    <row r="669" spans="1:18">
      <c r="A669" s="2003"/>
      <c r="B669" s="1913"/>
      <c r="C669" s="1536"/>
      <c r="D669" s="1536"/>
      <c r="E669" s="1536"/>
      <c r="F669" s="1536"/>
      <c r="G669" s="1536"/>
      <c r="H669" s="1235"/>
      <c r="I669" s="1536"/>
      <c r="J669" s="1536"/>
      <c r="K669" s="1537"/>
      <c r="L669" s="1235"/>
      <c r="M669" s="1236"/>
      <c r="N669" s="2903"/>
      <c r="O669" s="1628"/>
      <c r="P669" s="1536"/>
      <c r="Q669" s="1536"/>
      <c r="R669" s="1567"/>
    </row>
    <row r="670" spans="1:18">
      <c r="A670" s="2003"/>
      <c r="B670" s="1913"/>
      <c r="C670" s="1536"/>
      <c r="D670" s="1536"/>
      <c r="E670" s="1536"/>
      <c r="F670" s="1536"/>
      <c r="G670" s="1536"/>
      <c r="H670" s="1235"/>
      <c r="I670" s="1536"/>
      <c r="J670" s="1536"/>
      <c r="K670" s="1537"/>
      <c r="L670" s="1235"/>
      <c r="M670" s="1236"/>
      <c r="N670" s="2902"/>
      <c r="O670" s="1628"/>
      <c r="P670" s="1536"/>
      <c r="Q670" s="1536"/>
      <c r="R670" s="1567"/>
    </row>
    <row r="671" spans="1:18">
      <c r="A671" s="2003"/>
      <c r="B671" s="1913"/>
      <c r="C671" s="1536"/>
      <c r="D671" s="1536"/>
      <c r="E671" s="1536"/>
      <c r="F671" s="1536"/>
      <c r="G671" s="1536"/>
      <c r="H671" s="1235"/>
      <c r="I671" s="1536"/>
      <c r="J671" s="1536"/>
      <c r="K671" s="1537"/>
      <c r="L671" s="1235"/>
      <c r="M671" s="2097"/>
      <c r="N671" s="2900"/>
      <c r="O671" s="1628"/>
      <c r="P671" s="1536"/>
      <c r="Q671" s="1536"/>
      <c r="R671" s="1567"/>
    </row>
    <row r="672" spans="1:18">
      <c r="A672" s="2003"/>
      <c r="B672" s="1913"/>
      <c r="C672" s="1536"/>
      <c r="D672" s="1536"/>
      <c r="E672" s="1536"/>
      <c r="F672" s="1536"/>
      <c r="G672" s="1536"/>
      <c r="H672" s="1235"/>
      <c r="I672" s="1536"/>
      <c r="J672" s="1536"/>
      <c r="K672" s="1537"/>
      <c r="L672" s="1235"/>
      <c r="M672" s="1572"/>
      <c r="N672" s="2903"/>
      <c r="O672" s="1628"/>
      <c r="P672" s="1536"/>
      <c r="Q672" s="1536"/>
      <c r="R672" s="1567"/>
    </row>
    <row r="673" spans="1:18">
      <c r="A673" s="2003"/>
      <c r="B673" s="1913"/>
      <c r="C673" s="1536"/>
      <c r="D673" s="1536"/>
      <c r="E673" s="1536"/>
      <c r="F673" s="1536"/>
      <c r="G673" s="1536"/>
      <c r="H673" s="1235"/>
      <c r="I673" s="1536"/>
      <c r="J673" s="1536"/>
      <c r="K673" s="1537"/>
      <c r="L673" s="1235"/>
      <c r="M673" s="1572"/>
      <c r="N673" s="2903"/>
      <c r="O673" s="1628"/>
      <c r="P673" s="1536"/>
      <c r="Q673" s="1536"/>
      <c r="R673" s="1567"/>
    </row>
    <row r="674" spans="1:18">
      <c r="A674" s="2003"/>
      <c r="B674" s="1913"/>
      <c r="C674" s="1536"/>
      <c r="D674" s="1536"/>
      <c r="E674" s="1536"/>
      <c r="F674" s="1536"/>
      <c r="G674" s="1536"/>
      <c r="H674" s="1235"/>
      <c r="I674" s="1536"/>
      <c r="J674" s="1536"/>
      <c r="K674" s="1537"/>
      <c r="L674" s="1235"/>
      <c r="M674" s="1572"/>
      <c r="N674" s="2903"/>
      <c r="O674" s="1628"/>
      <c r="P674" s="1536"/>
      <c r="Q674" s="1536"/>
      <c r="R674" s="1567"/>
    </row>
    <row r="675" spans="1:18">
      <c r="A675" s="2003"/>
      <c r="B675" s="1913"/>
      <c r="C675" s="1536"/>
      <c r="D675" s="1536"/>
      <c r="E675" s="1536"/>
      <c r="F675" s="1536"/>
      <c r="G675" s="1536"/>
      <c r="H675" s="1235"/>
      <c r="I675" s="1536"/>
      <c r="J675" s="1536"/>
      <c r="K675" s="1537"/>
      <c r="L675" s="1235"/>
      <c r="M675" s="1572"/>
      <c r="N675" s="2903"/>
      <c r="O675" s="1628"/>
      <c r="P675" s="1536"/>
      <c r="Q675" s="1536"/>
      <c r="R675" s="1567"/>
    </row>
    <row r="676" spans="1:18">
      <c r="A676" s="2003"/>
      <c r="B676" s="1913"/>
      <c r="C676" s="1536"/>
      <c r="D676" s="1536"/>
      <c r="E676" s="1536"/>
      <c r="F676" s="1536"/>
      <c r="G676" s="1536"/>
      <c r="H676" s="1235"/>
      <c r="I676" s="1536"/>
      <c r="J676" s="1536"/>
      <c r="K676" s="1537"/>
      <c r="L676" s="1235"/>
      <c r="M676" s="1572"/>
      <c r="N676" s="2903"/>
      <c r="O676" s="1628"/>
      <c r="P676" s="1536"/>
      <c r="Q676" s="1536"/>
      <c r="R676" s="1567"/>
    </row>
    <row r="677" spans="1:18">
      <c r="A677" s="2003"/>
      <c r="B677" s="1913"/>
      <c r="C677" s="1536"/>
      <c r="D677" s="1536"/>
      <c r="E677" s="1536"/>
      <c r="F677" s="1536"/>
      <c r="G677" s="1536"/>
      <c r="H677" s="1235"/>
      <c r="I677" s="1536"/>
      <c r="J677" s="1536"/>
      <c r="K677" s="1537"/>
      <c r="L677" s="1235"/>
      <c r="M677" s="1572"/>
      <c r="N677" s="2903"/>
      <c r="O677" s="1628"/>
      <c r="P677" s="1536"/>
      <c r="Q677" s="1536"/>
      <c r="R677" s="1567"/>
    </row>
    <row r="678" spans="1:18">
      <c r="A678" s="2003"/>
      <c r="B678" s="1913"/>
      <c r="C678" s="1536"/>
      <c r="D678" s="1536"/>
      <c r="E678" s="1536"/>
      <c r="F678" s="1536"/>
      <c r="G678" s="1536"/>
      <c r="H678" s="1235"/>
      <c r="I678" s="1536"/>
      <c r="J678" s="1536"/>
      <c r="K678" s="1537"/>
      <c r="L678" s="1235"/>
      <c r="M678" s="1572"/>
      <c r="N678" s="2903"/>
      <c r="O678" s="1628"/>
      <c r="P678" s="1536"/>
      <c r="Q678" s="1536"/>
      <c r="R678" s="1567"/>
    </row>
    <row r="679" spans="1:18">
      <c r="A679" s="2003"/>
      <c r="B679" s="1913"/>
      <c r="C679" s="1536"/>
      <c r="D679" s="1536"/>
      <c r="E679" s="1536"/>
      <c r="F679" s="1536"/>
      <c r="G679" s="1536"/>
      <c r="H679" s="1235"/>
      <c r="I679" s="1536"/>
      <c r="J679" s="1536"/>
      <c r="K679" s="1537"/>
      <c r="L679" s="1235"/>
      <c r="M679" s="1572"/>
      <c r="N679" s="2903"/>
      <c r="O679" s="1628"/>
      <c r="P679" s="1536"/>
      <c r="Q679" s="1536"/>
      <c r="R679" s="1567"/>
    </row>
    <row r="680" spans="1:18">
      <c r="A680" s="2003"/>
      <c r="B680" s="1913"/>
      <c r="C680" s="1536"/>
      <c r="D680" s="1536"/>
      <c r="E680" s="1536"/>
      <c r="F680" s="1536"/>
      <c r="G680" s="1536"/>
      <c r="H680" s="1235"/>
      <c r="I680" s="1536"/>
      <c r="J680" s="1536"/>
      <c r="K680" s="1537"/>
      <c r="L680" s="1235"/>
      <c r="M680" s="1572"/>
      <c r="N680" s="2903"/>
      <c r="O680" s="1628"/>
      <c r="P680" s="1536"/>
      <c r="Q680" s="1536"/>
      <c r="R680" s="1567"/>
    </row>
    <row r="681" spans="1:18">
      <c r="A681" s="2003"/>
      <c r="B681" s="1913"/>
      <c r="C681" s="1536"/>
      <c r="D681" s="1536"/>
      <c r="E681" s="1536"/>
      <c r="F681" s="1536"/>
      <c r="G681" s="1536"/>
      <c r="H681" s="1235"/>
      <c r="I681" s="1536"/>
      <c r="J681" s="1536"/>
      <c r="K681" s="1537"/>
      <c r="L681" s="1235"/>
      <c r="M681" s="1572"/>
      <c r="N681" s="2902"/>
      <c r="O681" s="1628"/>
      <c r="P681" s="1536"/>
      <c r="Q681" s="1536"/>
      <c r="R681" s="1567"/>
    </row>
    <row r="682" spans="1:18">
      <c r="A682" s="2003"/>
      <c r="B682" s="1913"/>
      <c r="C682" s="1536"/>
      <c r="D682" s="1536"/>
      <c r="E682" s="1536"/>
      <c r="F682" s="1536"/>
      <c r="G682" s="1536"/>
      <c r="H682" s="1235"/>
      <c r="I682" s="1536"/>
      <c r="J682" s="1536"/>
      <c r="K682" s="1537"/>
      <c r="L682" s="1235"/>
      <c r="M682" s="1572"/>
      <c r="N682" s="2900"/>
      <c r="O682" s="1628"/>
      <c r="P682" s="1536"/>
      <c r="Q682" s="1536"/>
      <c r="R682" s="1567"/>
    </row>
    <row r="683" spans="1:18">
      <c r="A683" s="2003"/>
      <c r="B683" s="1913"/>
      <c r="C683" s="1536"/>
      <c r="D683" s="1536"/>
      <c r="E683" s="1536"/>
      <c r="F683" s="1536"/>
      <c r="G683" s="1536"/>
      <c r="H683" s="1235"/>
      <c r="I683" s="1536"/>
      <c r="J683" s="1536"/>
      <c r="K683" s="1537"/>
      <c r="L683" s="1235"/>
      <c r="M683" s="1572"/>
      <c r="N683" s="2903"/>
      <c r="O683" s="1628"/>
      <c r="P683" s="1536"/>
      <c r="Q683" s="1536"/>
      <c r="R683" s="1567"/>
    </row>
    <row r="684" spans="1:18">
      <c r="A684" s="2003"/>
      <c r="B684" s="1913"/>
      <c r="C684" s="1536"/>
      <c r="D684" s="1536"/>
      <c r="E684" s="1536"/>
      <c r="F684" s="1536"/>
      <c r="G684" s="1536"/>
      <c r="H684" s="1235"/>
      <c r="I684" s="1536"/>
      <c r="J684" s="1536"/>
      <c r="K684" s="1537"/>
      <c r="L684" s="1235"/>
      <c r="M684" s="1572"/>
      <c r="N684" s="2903"/>
      <c r="O684" s="1628"/>
      <c r="P684" s="1536"/>
      <c r="Q684" s="1536"/>
      <c r="R684" s="1567"/>
    </row>
    <row r="685" spans="1:18">
      <c r="A685" s="2003"/>
      <c r="B685" s="1913"/>
      <c r="C685" s="1536"/>
      <c r="D685" s="1536"/>
      <c r="E685" s="1536"/>
      <c r="F685" s="1536"/>
      <c r="G685" s="1536"/>
      <c r="H685" s="1235"/>
      <c r="I685" s="1536"/>
      <c r="J685" s="1536"/>
      <c r="K685" s="1537"/>
      <c r="L685" s="1235"/>
      <c r="M685" s="1572"/>
      <c r="N685" s="2903"/>
      <c r="O685" s="1628"/>
      <c r="P685" s="1536"/>
      <c r="Q685" s="1536"/>
      <c r="R685" s="1567"/>
    </row>
    <row r="686" spans="1:18">
      <c r="A686" s="2003"/>
      <c r="B686" s="1913"/>
      <c r="C686" s="1536"/>
      <c r="D686" s="1536"/>
      <c r="E686" s="1536"/>
      <c r="F686" s="1536"/>
      <c r="G686" s="1536"/>
      <c r="H686" s="1235"/>
      <c r="I686" s="1536"/>
      <c r="J686" s="1536"/>
      <c r="K686" s="1537"/>
      <c r="L686" s="1235"/>
      <c r="M686" s="1572"/>
      <c r="N686" s="2903"/>
      <c r="O686" s="1628"/>
      <c r="P686" s="1536"/>
      <c r="Q686" s="1536"/>
      <c r="R686" s="1567"/>
    </row>
    <row r="687" spans="1:18">
      <c r="A687" s="2003"/>
      <c r="B687" s="1913"/>
      <c r="C687" s="1536"/>
      <c r="D687" s="1536"/>
      <c r="E687" s="1536"/>
      <c r="F687" s="1536"/>
      <c r="G687" s="1536"/>
      <c r="H687" s="1235"/>
      <c r="I687" s="1536"/>
      <c r="J687" s="1536"/>
      <c r="K687" s="1537"/>
      <c r="L687" s="1235"/>
      <c r="M687" s="1572"/>
      <c r="N687" s="2903"/>
      <c r="O687" s="1628"/>
      <c r="P687" s="1536"/>
      <c r="Q687" s="1536"/>
      <c r="R687" s="1567"/>
    </row>
    <row r="688" spans="1:18">
      <c r="A688" s="2003"/>
      <c r="B688" s="1913"/>
      <c r="C688" s="1536"/>
      <c r="D688" s="1536"/>
      <c r="E688" s="1536"/>
      <c r="F688" s="1536"/>
      <c r="G688" s="1536"/>
      <c r="H688" s="1235"/>
      <c r="I688" s="1536"/>
      <c r="J688" s="1536"/>
      <c r="K688" s="1536"/>
      <c r="L688" s="1235"/>
      <c r="M688" s="1572"/>
      <c r="N688" s="2903"/>
      <c r="O688" s="1628"/>
      <c r="P688" s="1536"/>
      <c r="Q688" s="1536"/>
      <c r="R688" s="1567"/>
    </row>
    <row r="689" spans="1:18">
      <c r="A689" s="2003"/>
      <c r="B689" s="1913"/>
      <c r="C689" s="1536"/>
      <c r="D689" s="1536"/>
      <c r="E689" s="1536"/>
      <c r="F689" s="1536"/>
      <c r="G689" s="1536"/>
      <c r="H689" s="1235"/>
      <c r="I689" s="1536"/>
      <c r="J689" s="1536"/>
      <c r="K689" s="1537"/>
      <c r="L689" s="1235"/>
      <c r="M689" s="2089"/>
      <c r="N689" s="2903"/>
      <c r="O689" s="1628"/>
      <c r="P689" s="1536"/>
      <c r="Q689" s="1536"/>
      <c r="R689" s="1567"/>
    </row>
    <row r="690" spans="1:18">
      <c r="A690" s="2003"/>
      <c r="B690" s="1913"/>
      <c r="C690" s="1536"/>
      <c r="D690" s="1536"/>
      <c r="E690" s="1536"/>
      <c r="F690" s="1536"/>
      <c r="G690" s="1536"/>
      <c r="H690" s="1235"/>
      <c r="I690" s="1536"/>
      <c r="J690" s="1536"/>
      <c r="K690" s="1537"/>
      <c r="L690" s="1235"/>
      <c r="M690" s="1572"/>
      <c r="N690" s="2903"/>
      <c r="O690" s="1628"/>
      <c r="P690" s="1536"/>
      <c r="Q690" s="1536"/>
      <c r="R690" s="1567"/>
    </row>
    <row r="691" spans="1:18">
      <c r="A691" s="2003"/>
      <c r="B691" s="1913"/>
      <c r="C691" s="1536"/>
      <c r="D691" s="1536"/>
      <c r="E691" s="1536"/>
      <c r="F691" s="1536"/>
      <c r="G691" s="1536"/>
      <c r="H691" s="1235"/>
      <c r="I691" s="1536"/>
      <c r="J691" s="1536"/>
      <c r="K691" s="1537"/>
      <c r="L691" s="1235"/>
      <c r="M691" s="1573"/>
      <c r="N691" s="2903"/>
      <c r="O691" s="1628"/>
      <c r="P691" s="1536"/>
      <c r="Q691" s="1536"/>
      <c r="R691" s="1567"/>
    </row>
    <row r="692" spans="1:18">
      <c r="A692" s="2003"/>
      <c r="B692" s="1913"/>
      <c r="C692" s="1536"/>
      <c r="D692" s="1536"/>
      <c r="E692" s="1536"/>
      <c r="F692" s="1536"/>
      <c r="G692" s="1536"/>
      <c r="H692" s="1235"/>
      <c r="I692" s="1536"/>
      <c r="J692" s="1536"/>
      <c r="K692" s="1537"/>
      <c r="L692" s="1235"/>
      <c r="M692" s="1573"/>
      <c r="N692" s="2902"/>
      <c r="O692" s="1628"/>
      <c r="P692" s="1536"/>
      <c r="Q692" s="1536"/>
      <c r="R692" s="1567"/>
    </row>
    <row r="693" spans="1:18">
      <c r="A693" s="2003"/>
      <c r="B693" s="1913"/>
      <c r="C693" s="1536"/>
      <c r="D693" s="1536"/>
      <c r="E693" s="1536"/>
      <c r="F693" s="1536"/>
      <c r="G693" s="1536"/>
      <c r="H693" s="1235"/>
      <c r="I693" s="1536"/>
      <c r="J693" s="1536"/>
      <c r="K693" s="1537"/>
      <c r="L693" s="1235"/>
      <c r="M693" s="1573"/>
      <c r="N693" s="2900"/>
      <c r="O693" s="1628"/>
      <c r="P693" s="1536"/>
      <c r="Q693" s="1536"/>
      <c r="R693" s="1567"/>
    </row>
    <row r="694" spans="1:18">
      <c r="A694" s="2003"/>
      <c r="B694" s="1913"/>
      <c r="C694" s="1536"/>
      <c r="D694" s="1536"/>
      <c r="E694" s="1536"/>
      <c r="F694" s="1536"/>
      <c r="G694" s="1536"/>
      <c r="H694" s="1235"/>
      <c r="I694" s="1536"/>
      <c r="J694" s="1536"/>
      <c r="K694" s="1537"/>
      <c r="L694" s="1235"/>
      <c r="M694" s="1573"/>
      <c r="N694" s="2902"/>
      <c r="O694" s="1628"/>
      <c r="P694" s="1536"/>
      <c r="Q694" s="1536"/>
      <c r="R694" s="1567"/>
    </row>
    <row r="695" spans="1:18">
      <c r="A695" s="2003"/>
      <c r="B695" s="1913"/>
      <c r="C695" s="1536"/>
      <c r="D695" s="1536"/>
      <c r="E695" s="1536"/>
      <c r="F695" s="1536"/>
      <c r="G695" s="1536"/>
      <c r="H695" s="1235"/>
      <c r="I695" s="1536"/>
      <c r="J695" s="1536"/>
      <c r="K695" s="1537"/>
      <c r="L695" s="1235"/>
      <c r="M695" s="1573"/>
      <c r="N695" s="2900"/>
      <c r="O695" s="1628"/>
      <c r="P695" s="1536"/>
      <c r="Q695" s="1536"/>
      <c r="R695" s="1567"/>
    </row>
    <row r="696" spans="1:18">
      <c r="A696" s="2003"/>
      <c r="B696" s="1913"/>
      <c r="C696" s="1536"/>
      <c r="D696" s="1536"/>
      <c r="E696" s="1536"/>
      <c r="F696" s="1536"/>
      <c r="G696" s="1536"/>
      <c r="H696" s="1235"/>
      <c r="I696" s="1536"/>
      <c r="J696" s="1536"/>
      <c r="K696" s="1537"/>
      <c r="L696" s="1235"/>
      <c r="M696" s="1573"/>
      <c r="N696" s="2902"/>
      <c r="O696" s="1628"/>
      <c r="P696" s="1536"/>
      <c r="Q696" s="1536"/>
      <c r="R696" s="1567"/>
    </row>
    <row r="697" spans="1:18">
      <c r="A697" s="2003"/>
      <c r="B697" s="1913"/>
      <c r="C697" s="1536"/>
      <c r="D697" s="1536"/>
      <c r="E697" s="1536"/>
      <c r="F697" s="1536"/>
      <c r="G697" s="1536"/>
      <c r="H697" s="1235"/>
      <c r="I697" s="1536"/>
      <c r="J697" s="1536"/>
      <c r="K697" s="1537"/>
      <c r="L697" s="1235"/>
      <c r="M697" s="1572"/>
      <c r="N697" s="2900"/>
      <c r="O697" s="1628"/>
      <c r="P697" s="1536"/>
      <c r="Q697" s="1536"/>
      <c r="R697" s="1567"/>
    </row>
    <row r="698" spans="1:18">
      <c r="A698" s="2003"/>
      <c r="B698" s="1913"/>
      <c r="C698" s="1536"/>
      <c r="D698" s="1536"/>
      <c r="E698" s="1536"/>
      <c r="F698" s="1536"/>
      <c r="G698" s="1536"/>
      <c r="H698" s="1235"/>
      <c r="I698" s="1536"/>
      <c r="J698" s="1536"/>
      <c r="K698" s="1537"/>
      <c r="L698" s="1235"/>
      <c r="M698" s="1572"/>
      <c r="N698" s="2902"/>
      <c r="O698" s="1628"/>
      <c r="P698" s="1536"/>
      <c r="Q698" s="1536"/>
      <c r="R698" s="1567"/>
    </row>
    <row r="699" spans="1:18">
      <c r="A699" s="2003"/>
      <c r="B699" s="1913"/>
      <c r="C699" s="1536"/>
      <c r="D699" s="1536"/>
      <c r="E699" s="1536"/>
      <c r="F699" s="1536"/>
      <c r="G699" s="1536"/>
      <c r="H699" s="1235"/>
      <c r="I699" s="1536"/>
      <c r="J699" s="1536"/>
      <c r="K699" s="1537"/>
      <c r="L699" s="1235"/>
      <c r="M699" s="1572"/>
      <c r="N699" s="2900"/>
      <c r="O699" s="1628"/>
      <c r="P699" s="1536"/>
      <c r="Q699" s="1536"/>
      <c r="R699" s="1567"/>
    </row>
    <row r="700" spans="1:18">
      <c r="A700" s="2003"/>
      <c r="B700" s="1913"/>
      <c r="C700" s="1536"/>
      <c r="D700" s="1536"/>
      <c r="E700" s="1536"/>
      <c r="F700" s="1536"/>
      <c r="G700" s="1536"/>
      <c r="H700" s="1235"/>
      <c r="I700" s="1536"/>
      <c r="J700" s="1536"/>
      <c r="K700" s="1537"/>
      <c r="L700" s="1235"/>
      <c r="M700" s="1572"/>
      <c r="N700" s="2902"/>
      <c r="O700" s="1628"/>
      <c r="P700" s="1536"/>
      <c r="Q700" s="1536"/>
      <c r="R700" s="1567"/>
    </row>
    <row r="701" spans="1:18">
      <c r="A701" s="2003"/>
      <c r="B701" s="1913"/>
      <c r="C701" s="1536"/>
      <c r="D701" s="1536"/>
      <c r="E701" s="1536"/>
      <c r="F701" s="1536"/>
      <c r="G701" s="1536"/>
      <c r="H701" s="1235"/>
      <c r="I701" s="1536"/>
      <c r="J701" s="1536"/>
      <c r="K701" s="1537"/>
      <c r="L701" s="1235"/>
      <c r="M701" s="1236"/>
      <c r="N701" s="2900"/>
      <c r="O701" s="1628"/>
      <c r="P701" s="1536"/>
      <c r="Q701" s="1536"/>
      <c r="R701" s="1567"/>
    </row>
    <row r="702" spans="1:18">
      <c r="A702" s="2003"/>
      <c r="B702" s="1913"/>
      <c r="C702" s="1536"/>
      <c r="D702" s="1536"/>
      <c r="E702" s="1536"/>
      <c r="F702" s="1536"/>
      <c r="G702" s="1536"/>
      <c r="H702" s="1235"/>
      <c r="I702" s="1536"/>
      <c r="J702" s="1536"/>
      <c r="K702" s="1537"/>
      <c r="L702" s="1235"/>
      <c r="M702" s="1236"/>
      <c r="N702" s="2903"/>
      <c r="O702" s="1628"/>
      <c r="P702" s="1536"/>
      <c r="Q702" s="1536"/>
      <c r="R702" s="1567"/>
    </row>
    <row r="703" spans="1:18">
      <c r="A703" s="2003"/>
      <c r="B703" s="1913"/>
      <c r="C703" s="1536"/>
      <c r="D703" s="1536"/>
      <c r="E703" s="1536"/>
      <c r="F703" s="1536"/>
      <c r="G703" s="1536"/>
      <c r="H703" s="1235"/>
      <c r="I703" s="1536"/>
      <c r="J703" s="1536"/>
      <c r="K703" s="1537"/>
      <c r="L703" s="1235"/>
      <c r="M703" s="1236"/>
      <c r="N703" s="2902"/>
      <c r="O703" s="1628"/>
      <c r="P703" s="1536"/>
      <c r="Q703" s="1536"/>
      <c r="R703" s="1567"/>
    </row>
    <row r="704" spans="1:18">
      <c r="A704" s="2003"/>
      <c r="B704" s="1913"/>
      <c r="C704" s="1536"/>
      <c r="D704" s="1536"/>
      <c r="E704" s="1536"/>
      <c r="F704" s="1536"/>
      <c r="G704" s="1536"/>
      <c r="H704" s="1235"/>
      <c r="I704" s="1536"/>
      <c r="J704" s="1536"/>
      <c r="K704" s="1537"/>
      <c r="L704" s="1235"/>
      <c r="M704" s="1236"/>
      <c r="N704" s="2900"/>
      <c r="O704" s="1628"/>
      <c r="P704" s="1536"/>
      <c r="Q704" s="1536"/>
      <c r="R704" s="1567"/>
    </row>
    <row r="705" spans="1:18">
      <c r="A705" s="2003"/>
      <c r="B705" s="1913"/>
      <c r="C705" s="1536"/>
      <c r="D705" s="1536"/>
      <c r="E705" s="1536"/>
      <c r="F705" s="1536"/>
      <c r="G705" s="1536"/>
      <c r="H705" s="1235"/>
      <c r="I705" s="1536"/>
      <c r="J705" s="1536"/>
      <c r="K705" s="1537"/>
      <c r="L705" s="1235"/>
      <c r="M705" s="1236"/>
      <c r="N705" s="2902"/>
      <c r="O705" s="1628"/>
      <c r="P705" s="1536"/>
      <c r="Q705" s="1536"/>
      <c r="R705" s="1567"/>
    </row>
    <row r="706" spans="1:18">
      <c r="A706" s="2003"/>
      <c r="B706" s="1913"/>
      <c r="C706" s="1536"/>
      <c r="D706" s="1536"/>
      <c r="E706" s="1536"/>
      <c r="F706" s="1536"/>
      <c r="G706" s="1536"/>
      <c r="H706" s="1235"/>
      <c r="I706" s="1536"/>
      <c r="J706" s="1536"/>
      <c r="K706" s="1537"/>
      <c r="L706" s="1235"/>
      <c r="M706" s="1236"/>
      <c r="N706" s="2900"/>
      <c r="O706" s="1628"/>
      <c r="P706" s="1536"/>
      <c r="Q706" s="1536"/>
      <c r="R706" s="1567"/>
    </row>
    <row r="707" spans="1:18">
      <c r="A707" s="2003"/>
      <c r="B707" s="1913"/>
      <c r="C707" s="1536"/>
      <c r="D707" s="1536"/>
      <c r="E707" s="1536"/>
      <c r="F707" s="1536"/>
      <c r="G707" s="1536"/>
      <c r="H707" s="1235"/>
      <c r="I707" s="1536"/>
      <c r="J707" s="1536"/>
      <c r="K707" s="1537"/>
      <c r="L707" s="1235"/>
      <c r="M707" s="1236"/>
      <c r="N707" s="2902"/>
      <c r="O707" s="1628"/>
      <c r="P707" s="1536"/>
      <c r="Q707" s="1536"/>
      <c r="R707" s="1567"/>
    </row>
    <row r="708" spans="1:18">
      <c r="A708" s="2003"/>
      <c r="B708" s="1913"/>
      <c r="C708" s="1536"/>
      <c r="D708" s="1536"/>
      <c r="E708" s="1536"/>
      <c r="F708" s="1536"/>
      <c r="G708" s="1536"/>
      <c r="H708" s="1235"/>
      <c r="I708" s="1536"/>
      <c r="J708" s="1536"/>
      <c r="K708" s="1537"/>
      <c r="L708" s="1235"/>
      <c r="M708" s="1236"/>
      <c r="N708" s="2900"/>
      <c r="O708" s="1628"/>
      <c r="P708" s="1536"/>
      <c r="Q708" s="1536"/>
      <c r="R708" s="1567"/>
    </row>
    <row r="709" spans="1:18">
      <c r="A709" s="2003"/>
      <c r="B709" s="1913"/>
      <c r="C709" s="1536"/>
      <c r="D709" s="1536"/>
      <c r="E709" s="1536"/>
      <c r="F709" s="1536"/>
      <c r="G709" s="1536"/>
      <c r="H709" s="1235"/>
      <c r="I709" s="1536"/>
      <c r="J709" s="1536"/>
      <c r="K709" s="1537"/>
      <c r="L709" s="1235"/>
      <c r="M709" s="1236"/>
      <c r="N709" s="2902"/>
      <c r="O709" s="1628"/>
      <c r="P709" s="1536"/>
      <c r="Q709" s="1536"/>
      <c r="R709" s="1567"/>
    </row>
    <row r="710" spans="1:18">
      <c r="A710" s="2003"/>
      <c r="B710" s="1913"/>
      <c r="C710" s="1536"/>
      <c r="D710" s="1536"/>
      <c r="E710" s="1536"/>
      <c r="F710" s="1536"/>
      <c r="G710" s="1536"/>
      <c r="H710" s="1235"/>
      <c r="I710" s="1235"/>
      <c r="J710" s="1235"/>
      <c r="K710" s="1537"/>
      <c r="L710" s="1235"/>
      <c r="M710" s="1236"/>
      <c r="N710" s="1879"/>
      <c r="O710" s="1628"/>
      <c r="P710" s="1536"/>
      <c r="Q710" s="1536"/>
      <c r="R710" s="1567"/>
    </row>
    <row r="711" spans="1:18">
      <c r="A711" s="2003"/>
      <c r="B711" s="1913"/>
      <c r="C711" s="1536"/>
      <c r="D711" s="1536"/>
      <c r="E711" s="1536"/>
      <c r="F711" s="1536"/>
      <c r="G711" s="1536"/>
      <c r="H711" s="1235"/>
      <c r="I711" s="1536"/>
      <c r="J711" s="1536"/>
      <c r="K711" s="1537"/>
      <c r="L711" s="1235"/>
      <c r="M711" s="1236"/>
      <c r="N711" s="2900"/>
      <c r="O711" s="1628"/>
      <c r="P711" s="1536"/>
      <c r="Q711" s="1536"/>
      <c r="R711" s="1567"/>
    </row>
    <row r="712" spans="1:18">
      <c r="A712" s="2003"/>
      <c r="B712" s="1913"/>
      <c r="C712" s="1536"/>
      <c r="D712" s="1536"/>
      <c r="E712" s="1536"/>
      <c r="F712" s="1536"/>
      <c r="G712" s="1536"/>
      <c r="H712" s="1235"/>
      <c r="I712" s="1536"/>
      <c r="J712" s="1536"/>
      <c r="K712" s="1537"/>
      <c r="L712" s="1235"/>
      <c r="M712" s="1236"/>
      <c r="N712" s="2902"/>
      <c r="O712" s="1628"/>
      <c r="P712" s="1536"/>
      <c r="Q712" s="1536"/>
      <c r="R712" s="1567"/>
    </row>
    <row r="713" spans="1:18">
      <c r="A713" s="2003"/>
      <c r="B713" s="1913"/>
      <c r="C713" s="1536"/>
      <c r="D713" s="1536"/>
      <c r="E713" s="1536"/>
      <c r="F713" s="1536"/>
      <c r="G713" s="1536"/>
      <c r="H713" s="1235"/>
      <c r="I713" s="1536"/>
      <c r="J713" s="1536"/>
      <c r="K713" s="1537"/>
      <c r="L713" s="1235"/>
      <c r="M713" s="1236"/>
      <c r="N713" s="2900"/>
      <c r="O713" s="1628"/>
      <c r="P713" s="1536"/>
      <c r="Q713" s="1536"/>
      <c r="R713" s="1567"/>
    </row>
    <row r="714" spans="1:18">
      <c r="A714" s="2003"/>
      <c r="B714" s="1913"/>
      <c r="C714" s="1536"/>
      <c r="D714" s="1536"/>
      <c r="E714" s="1536"/>
      <c r="F714" s="1536"/>
      <c r="G714" s="1536"/>
      <c r="H714" s="1235"/>
      <c r="I714" s="1536"/>
      <c r="J714" s="1536"/>
      <c r="K714" s="1537"/>
      <c r="L714" s="1235"/>
      <c r="M714" s="1236"/>
      <c r="N714" s="2902"/>
      <c r="O714" s="1628"/>
      <c r="P714" s="1536"/>
      <c r="Q714" s="1536"/>
      <c r="R714" s="1567"/>
    </row>
    <row r="715" spans="1:18">
      <c r="A715" s="2003"/>
      <c r="B715" s="1913"/>
      <c r="C715" s="1536"/>
      <c r="D715" s="1536"/>
      <c r="E715" s="1536"/>
      <c r="F715" s="1536"/>
      <c r="G715" s="1536"/>
      <c r="H715" s="1235"/>
      <c r="I715" s="1235"/>
      <c r="J715" s="1235"/>
      <c r="K715" s="1537"/>
      <c r="L715" s="1235"/>
      <c r="M715" s="1236"/>
      <c r="N715" s="1879"/>
      <c r="O715" s="1628"/>
      <c r="P715" s="1536"/>
      <c r="Q715" s="1536"/>
      <c r="R715" s="1567"/>
    </row>
    <row r="716" spans="1:18">
      <c r="A716" s="2003"/>
      <c r="B716" s="1913"/>
      <c r="C716" s="1536"/>
      <c r="D716" s="1536"/>
      <c r="E716" s="1536"/>
      <c r="F716" s="1536"/>
      <c r="G716" s="1536"/>
      <c r="H716" s="1235"/>
      <c r="I716" s="1536"/>
      <c r="J716" s="1536"/>
      <c r="K716" s="1537"/>
      <c r="L716" s="1235"/>
      <c r="M716" s="1236"/>
      <c r="N716" s="2900"/>
      <c r="O716" s="1628"/>
      <c r="P716" s="1536"/>
      <c r="Q716" s="1536"/>
      <c r="R716" s="1567"/>
    </row>
    <row r="717" spans="1:18">
      <c r="A717" s="2003"/>
      <c r="B717" s="1913"/>
      <c r="C717" s="1536"/>
      <c r="D717" s="1536"/>
      <c r="E717" s="1536"/>
      <c r="F717" s="1536"/>
      <c r="G717" s="1536"/>
      <c r="H717" s="1235"/>
      <c r="I717" s="1536"/>
      <c r="J717" s="1536"/>
      <c r="K717" s="1537"/>
      <c r="L717" s="1235"/>
      <c r="M717" s="1236"/>
      <c r="N717" s="2902"/>
      <c r="O717" s="1628"/>
      <c r="P717" s="1536"/>
      <c r="Q717" s="1536"/>
      <c r="R717" s="1567"/>
    </row>
    <row r="718" spans="1:18">
      <c r="A718" s="2003"/>
      <c r="B718" s="1913"/>
      <c r="C718" s="1536"/>
      <c r="D718" s="1536"/>
      <c r="E718" s="1536"/>
      <c r="F718" s="1536"/>
      <c r="G718" s="1536"/>
      <c r="H718" s="1235"/>
      <c r="I718" s="1536"/>
      <c r="J718" s="1536"/>
      <c r="K718" s="1537"/>
      <c r="L718" s="1235"/>
      <c r="M718" s="1236"/>
      <c r="N718" s="2900"/>
      <c r="O718" s="1628"/>
      <c r="P718" s="1536"/>
      <c r="Q718" s="1536"/>
      <c r="R718" s="1567"/>
    </row>
    <row r="719" spans="1:18">
      <c r="A719" s="2003"/>
      <c r="B719" s="1913"/>
      <c r="C719" s="1536"/>
      <c r="D719" s="1536"/>
      <c r="E719" s="1536"/>
      <c r="F719" s="1536"/>
      <c r="G719" s="1536"/>
      <c r="H719" s="1235"/>
      <c r="I719" s="1536"/>
      <c r="J719" s="1536"/>
      <c r="K719" s="1537"/>
      <c r="L719" s="1235"/>
      <c r="M719" s="1236"/>
      <c r="N719" s="2902"/>
      <c r="O719" s="1628"/>
      <c r="P719" s="1536"/>
      <c r="Q719" s="1536"/>
      <c r="R719" s="1567"/>
    </row>
    <row r="720" spans="1:18">
      <c r="A720" s="2003"/>
      <c r="B720" s="1913"/>
      <c r="C720" s="1536"/>
      <c r="D720" s="1536"/>
      <c r="E720" s="1536"/>
      <c r="F720" s="1536"/>
      <c r="G720" s="1536"/>
      <c r="H720" s="1235"/>
      <c r="I720" s="1536"/>
      <c r="J720" s="1536"/>
      <c r="K720" s="1537"/>
      <c r="L720" s="1235"/>
      <c r="M720" s="1236"/>
      <c r="N720" s="2900"/>
      <c r="O720" s="1628"/>
      <c r="P720" s="1536"/>
      <c r="Q720" s="1536"/>
      <c r="R720" s="1567"/>
    </row>
    <row r="721" spans="1:18">
      <c r="A721" s="2003"/>
      <c r="B721" s="1913"/>
      <c r="C721" s="1536"/>
      <c r="D721" s="1536"/>
      <c r="E721" s="1536"/>
      <c r="F721" s="1536"/>
      <c r="G721" s="1536"/>
      <c r="H721" s="1235"/>
      <c r="I721" s="1536"/>
      <c r="J721" s="1536"/>
      <c r="K721" s="1537"/>
      <c r="L721" s="1235"/>
      <c r="M721" s="1236"/>
      <c r="N721" s="2902"/>
      <c r="O721" s="1628"/>
      <c r="P721" s="1536"/>
      <c r="Q721" s="1536"/>
      <c r="R721" s="1567"/>
    </row>
    <row r="722" spans="1:18">
      <c r="A722" s="2003"/>
      <c r="B722" s="1913"/>
      <c r="C722" s="1536"/>
      <c r="D722" s="1536"/>
      <c r="E722" s="1536"/>
      <c r="F722" s="1536"/>
      <c r="G722" s="1536"/>
      <c r="H722" s="1235"/>
      <c r="I722" s="1536"/>
      <c r="J722" s="1536"/>
      <c r="K722" s="1537"/>
      <c r="L722" s="1235"/>
      <c r="M722" s="1236"/>
      <c r="N722" s="2900"/>
      <c r="O722" s="1628"/>
      <c r="P722" s="1536"/>
      <c r="Q722" s="1536"/>
      <c r="R722" s="1567"/>
    </row>
    <row r="723" spans="1:18">
      <c r="A723" s="2003"/>
      <c r="B723" s="1913"/>
      <c r="C723" s="1536"/>
      <c r="D723" s="1536"/>
      <c r="E723" s="1536"/>
      <c r="F723" s="1536"/>
      <c r="G723" s="1536"/>
      <c r="H723" s="1235"/>
      <c r="I723" s="1536"/>
      <c r="J723" s="1536"/>
      <c r="K723" s="1537"/>
      <c r="L723" s="1235"/>
      <c r="M723" s="1236"/>
      <c r="N723" s="2902"/>
      <c r="O723" s="1628"/>
      <c r="P723" s="1536"/>
      <c r="Q723" s="1536"/>
      <c r="R723" s="1567"/>
    </row>
    <row r="724" spans="1:18">
      <c r="A724" s="2003"/>
      <c r="B724" s="1913"/>
      <c r="C724" s="1536"/>
      <c r="D724" s="1536"/>
      <c r="E724" s="1536"/>
      <c r="F724" s="1536"/>
      <c r="G724" s="1536"/>
      <c r="H724" s="1235"/>
      <c r="I724" s="1536"/>
      <c r="J724" s="1536"/>
      <c r="K724" s="1537"/>
      <c r="L724" s="1235"/>
      <c r="M724" s="1236"/>
      <c r="N724" s="2900"/>
      <c r="O724" s="1628"/>
      <c r="P724" s="1536"/>
      <c r="Q724" s="1536"/>
      <c r="R724" s="1567"/>
    </row>
    <row r="725" spans="1:18">
      <c r="A725" s="2003"/>
      <c r="B725" s="1913"/>
      <c r="C725" s="1536"/>
      <c r="D725" s="1536"/>
      <c r="E725" s="1536"/>
      <c r="F725" s="1536"/>
      <c r="G725" s="1536"/>
      <c r="H725" s="1235"/>
      <c r="I725" s="1536"/>
      <c r="J725" s="1536"/>
      <c r="K725" s="1537"/>
      <c r="L725" s="1235"/>
      <c r="M725" s="1236"/>
      <c r="N725" s="2902"/>
      <c r="O725" s="1628"/>
      <c r="P725" s="1536"/>
      <c r="Q725" s="1536"/>
      <c r="R725" s="1567"/>
    </row>
    <row r="726" spans="1:18">
      <c r="A726" s="2003"/>
      <c r="B726" s="1913"/>
      <c r="C726" s="1536"/>
      <c r="D726" s="1536"/>
      <c r="E726" s="1536"/>
      <c r="F726" s="1536"/>
      <c r="G726" s="1536"/>
      <c r="H726" s="1235"/>
      <c r="I726" s="1536"/>
      <c r="J726" s="1536"/>
      <c r="K726" s="1537"/>
      <c r="L726" s="1235"/>
      <c r="M726" s="1236"/>
      <c r="N726" s="2900"/>
      <c r="O726" s="1628"/>
      <c r="P726" s="1536"/>
      <c r="Q726" s="1536"/>
      <c r="R726" s="1567"/>
    </row>
    <row r="727" spans="1:18">
      <c r="A727" s="2003"/>
      <c r="B727" s="1913"/>
      <c r="C727" s="1536"/>
      <c r="D727" s="1536"/>
      <c r="E727" s="1536"/>
      <c r="F727" s="1536"/>
      <c r="G727" s="1536"/>
      <c r="H727" s="1235"/>
      <c r="I727" s="1536"/>
      <c r="J727" s="1536"/>
      <c r="K727" s="1537"/>
      <c r="L727" s="1235"/>
      <c r="M727" s="1236"/>
      <c r="N727" s="2902"/>
      <c r="O727" s="1628"/>
      <c r="P727" s="1536"/>
      <c r="Q727" s="1536"/>
      <c r="R727" s="1567"/>
    </row>
    <row r="728" spans="1:18">
      <c r="A728" s="2003"/>
      <c r="B728" s="1913"/>
      <c r="C728" s="1536"/>
      <c r="D728" s="1536"/>
      <c r="E728" s="1536"/>
      <c r="F728" s="1536"/>
      <c r="G728" s="1536"/>
      <c r="H728" s="1235"/>
      <c r="I728" s="1235"/>
      <c r="J728" s="1235"/>
      <c r="K728" s="1537"/>
      <c r="L728" s="1235"/>
      <c r="M728" s="1236"/>
      <c r="N728" s="1879"/>
      <c r="O728" s="1628"/>
      <c r="P728" s="1536"/>
      <c r="Q728" s="1536"/>
      <c r="R728" s="1567"/>
    </row>
    <row r="729" spans="1:18">
      <c r="A729" s="2003"/>
      <c r="B729" s="1913"/>
      <c r="C729" s="1536"/>
      <c r="D729" s="1536"/>
      <c r="E729" s="1536"/>
      <c r="F729" s="1536"/>
      <c r="G729" s="1536"/>
      <c r="H729" s="1235"/>
      <c r="I729" s="1536"/>
      <c r="J729" s="1536"/>
      <c r="K729" s="1537"/>
      <c r="L729" s="1235"/>
      <c r="M729" s="1236"/>
      <c r="N729" s="2900"/>
      <c r="O729" s="1628"/>
      <c r="P729" s="1536"/>
      <c r="Q729" s="1536"/>
      <c r="R729" s="1567"/>
    </row>
    <row r="730" spans="1:18">
      <c r="A730" s="2003"/>
      <c r="B730" s="1913"/>
      <c r="C730" s="1536"/>
      <c r="D730" s="1536"/>
      <c r="E730" s="1536"/>
      <c r="F730" s="1536"/>
      <c r="G730" s="1536"/>
      <c r="H730" s="1235"/>
      <c r="I730" s="1536"/>
      <c r="J730" s="1536"/>
      <c r="K730" s="1537"/>
      <c r="L730" s="1235"/>
      <c r="M730" s="1236"/>
      <c r="N730" s="2902"/>
      <c r="O730" s="1628"/>
      <c r="P730" s="1536"/>
      <c r="Q730" s="1536"/>
      <c r="R730" s="1567"/>
    </row>
    <row r="731" spans="1:18">
      <c r="A731" s="2003"/>
      <c r="B731" s="1913"/>
      <c r="C731" s="1536"/>
      <c r="D731" s="1536"/>
      <c r="E731" s="1536"/>
      <c r="F731" s="1536"/>
      <c r="G731" s="1536"/>
      <c r="H731" s="1235"/>
      <c r="I731" s="1536"/>
      <c r="J731" s="1536"/>
      <c r="K731" s="1537"/>
      <c r="L731" s="1235"/>
      <c r="M731" s="1236"/>
      <c r="N731" s="2900"/>
      <c r="O731" s="1628"/>
      <c r="P731" s="1536"/>
      <c r="Q731" s="1536"/>
      <c r="R731" s="1567"/>
    </row>
    <row r="732" spans="1:18">
      <c r="A732" s="2003"/>
      <c r="B732" s="1913"/>
      <c r="C732" s="1536"/>
      <c r="D732" s="1536"/>
      <c r="E732" s="1536"/>
      <c r="F732" s="1536"/>
      <c r="G732" s="1536"/>
      <c r="H732" s="1235"/>
      <c r="I732" s="1536"/>
      <c r="J732" s="1536"/>
      <c r="K732" s="1537"/>
      <c r="L732" s="1235"/>
      <c r="M732" s="1236"/>
      <c r="N732" s="2902"/>
      <c r="O732" s="1628"/>
      <c r="P732" s="1536"/>
      <c r="Q732" s="1536"/>
      <c r="R732" s="1567"/>
    </row>
    <row r="733" spans="1:18">
      <c r="A733" s="2003"/>
      <c r="B733" s="1913"/>
      <c r="C733" s="1536"/>
      <c r="D733" s="1536"/>
      <c r="E733" s="1536"/>
      <c r="F733" s="1536"/>
      <c r="G733" s="1536"/>
      <c r="H733" s="1235"/>
      <c r="I733" s="1235"/>
      <c r="J733" s="1235"/>
      <c r="K733" s="1537"/>
      <c r="L733" s="1235"/>
      <c r="M733" s="1236"/>
      <c r="N733" s="1879"/>
      <c r="O733" s="1628"/>
      <c r="P733" s="1536"/>
      <c r="Q733" s="1536"/>
      <c r="R733" s="1567"/>
    </row>
    <row r="734" spans="1:18">
      <c r="A734" s="2003"/>
      <c r="B734" s="1913"/>
      <c r="C734" s="1536"/>
      <c r="D734" s="1536"/>
      <c r="E734" s="1536"/>
      <c r="F734" s="1536"/>
      <c r="G734" s="1536"/>
      <c r="H734" s="1235"/>
      <c r="I734" s="1536"/>
      <c r="J734" s="1536"/>
      <c r="K734" s="1537"/>
      <c r="L734" s="1235"/>
      <c r="M734" s="1572"/>
      <c r="N734" s="2900"/>
      <c r="O734" s="1628"/>
      <c r="P734" s="1536"/>
      <c r="Q734" s="1536"/>
      <c r="R734" s="1567"/>
    </row>
    <row r="735" spans="1:18">
      <c r="A735" s="2003"/>
      <c r="B735" s="1913"/>
      <c r="C735" s="1536"/>
      <c r="D735" s="1536"/>
      <c r="E735" s="1536"/>
      <c r="F735" s="1536"/>
      <c r="G735" s="1536"/>
      <c r="H735" s="1235"/>
      <c r="I735" s="1536"/>
      <c r="J735" s="1536"/>
      <c r="K735" s="1537"/>
      <c r="L735" s="1235"/>
      <c r="M735" s="1572"/>
      <c r="N735" s="2902"/>
      <c r="O735" s="1628"/>
      <c r="P735" s="1536"/>
      <c r="Q735" s="1536"/>
      <c r="R735" s="1567"/>
    </row>
    <row r="736" spans="1:18">
      <c r="A736" s="2003"/>
      <c r="B736" s="1913"/>
      <c r="C736" s="1536"/>
      <c r="D736" s="1536"/>
      <c r="E736" s="1536"/>
      <c r="F736" s="1536"/>
      <c r="G736" s="1536"/>
      <c r="H736" s="1235"/>
      <c r="I736" s="1536"/>
      <c r="J736" s="1536"/>
      <c r="K736" s="1537"/>
      <c r="L736" s="1235"/>
      <c r="M736" s="1572"/>
      <c r="N736" s="2900"/>
      <c r="O736" s="1628"/>
      <c r="P736" s="1536"/>
      <c r="Q736" s="1536"/>
      <c r="R736" s="1567"/>
    </row>
    <row r="737" spans="1:18">
      <c r="A737" s="2003"/>
      <c r="B737" s="1913"/>
      <c r="C737" s="1536"/>
      <c r="D737" s="1536"/>
      <c r="E737" s="1536"/>
      <c r="F737" s="1536"/>
      <c r="G737" s="1536"/>
      <c r="H737" s="1235"/>
      <c r="I737" s="1536"/>
      <c r="J737" s="1536"/>
      <c r="K737" s="1537"/>
      <c r="L737" s="1235"/>
      <c r="M737" s="1572"/>
      <c r="N737" s="2902"/>
      <c r="O737" s="1628"/>
      <c r="P737" s="1536"/>
      <c r="Q737" s="1536"/>
      <c r="R737" s="1567"/>
    </row>
    <row r="738" spans="1:18">
      <c r="A738" s="2003"/>
      <c r="B738" s="1913"/>
      <c r="C738" s="1536"/>
      <c r="D738" s="1536"/>
      <c r="E738" s="1536"/>
      <c r="F738" s="1536"/>
      <c r="G738" s="1536"/>
      <c r="H738" s="1235"/>
      <c r="I738" s="1536"/>
      <c r="J738" s="1536"/>
      <c r="K738" s="1537"/>
      <c r="L738" s="1235"/>
      <c r="M738" s="1572"/>
      <c r="N738" s="2900"/>
      <c r="O738" s="1628"/>
      <c r="P738" s="1536"/>
      <c r="Q738" s="1536"/>
      <c r="R738" s="1567"/>
    </row>
    <row r="739" spans="1:18">
      <c r="A739" s="2003"/>
      <c r="B739" s="1913"/>
      <c r="C739" s="1536"/>
      <c r="D739" s="1536"/>
      <c r="E739" s="1536"/>
      <c r="F739" s="1536"/>
      <c r="G739" s="1536"/>
      <c r="H739" s="1235"/>
      <c r="I739" s="1536"/>
      <c r="J739" s="1536"/>
      <c r="K739" s="1537"/>
      <c r="L739" s="1235"/>
      <c r="M739" s="1572"/>
      <c r="N739" s="2902"/>
      <c r="O739" s="1628"/>
      <c r="P739" s="1536"/>
      <c r="Q739" s="1536"/>
      <c r="R739" s="1567"/>
    </row>
    <row r="740" spans="1:18">
      <c r="A740" s="2003"/>
      <c r="B740" s="1913"/>
      <c r="C740" s="1536"/>
      <c r="D740" s="1536"/>
      <c r="E740" s="1536"/>
      <c r="F740" s="1536"/>
      <c r="G740" s="1536"/>
      <c r="H740" s="1235"/>
      <c r="I740" s="1536"/>
      <c r="J740" s="1536"/>
      <c r="K740" s="1537"/>
      <c r="L740" s="1235"/>
      <c r="M740" s="2089"/>
      <c r="N740" s="2900"/>
      <c r="O740" s="1628"/>
      <c r="P740" s="1536"/>
      <c r="Q740" s="1536"/>
      <c r="R740" s="1567"/>
    </row>
    <row r="741" spans="1:18">
      <c r="A741" s="2003"/>
      <c r="B741" s="1913"/>
      <c r="C741" s="1536"/>
      <c r="D741" s="1536"/>
      <c r="E741" s="1536"/>
      <c r="F741" s="1536"/>
      <c r="G741" s="1536"/>
      <c r="H741" s="1235"/>
      <c r="I741" s="1536"/>
      <c r="J741" s="1536"/>
      <c r="K741" s="1537"/>
      <c r="L741" s="1235"/>
      <c r="M741" s="1572"/>
      <c r="N741" s="2902"/>
      <c r="O741" s="1628"/>
      <c r="P741" s="1536"/>
      <c r="Q741" s="1536"/>
      <c r="R741" s="1567"/>
    </row>
    <row r="742" spans="1:18">
      <c r="A742" s="2003"/>
      <c r="B742" s="1913"/>
      <c r="C742" s="1536"/>
      <c r="D742" s="1536"/>
      <c r="E742" s="1536"/>
      <c r="F742" s="1536"/>
      <c r="G742" s="1536"/>
      <c r="H742" s="1235"/>
      <c r="I742" s="1536"/>
      <c r="J742" s="1536"/>
      <c r="K742" s="1537"/>
      <c r="L742" s="1235"/>
      <c r="M742" s="1573"/>
      <c r="N742" s="2900"/>
      <c r="O742" s="1628"/>
      <c r="P742" s="1536"/>
      <c r="Q742" s="1536"/>
      <c r="R742" s="1567"/>
    </row>
    <row r="743" spans="1:18">
      <c r="A743" s="2003"/>
      <c r="B743" s="1913"/>
      <c r="C743" s="1536"/>
      <c r="D743" s="1536"/>
      <c r="E743" s="1536"/>
      <c r="F743" s="1536"/>
      <c r="G743" s="1536"/>
      <c r="H743" s="1235"/>
      <c r="I743" s="1536"/>
      <c r="J743" s="1536"/>
      <c r="K743" s="1537"/>
      <c r="L743" s="1235"/>
      <c r="M743" s="1573"/>
      <c r="N743" s="2902"/>
      <c r="O743" s="1628"/>
      <c r="P743" s="1536"/>
      <c r="Q743" s="1536"/>
      <c r="R743" s="1567"/>
    </row>
    <row r="744" spans="1:18">
      <c r="A744" s="2003"/>
      <c r="B744" s="1913"/>
      <c r="C744" s="1536"/>
      <c r="D744" s="1536"/>
      <c r="E744" s="1536"/>
      <c r="F744" s="1536"/>
      <c r="G744" s="1536"/>
      <c r="H744" s="1235"/>
      <c r="I744" s="1536"/>
      <c r="J744" s="1536"/>
      <c r="K744" s="1537"/>
      <c r="L744" s="1235"/>
      <c r="M744" s="1573"/>
      <c r="N744" s="2900"/>
      <c r="O744" s="1628"/>
      <c r="P744" s="1536"/>
      <c r="Q744" s="1536"/>
      <c r="R744" s="1567"/>
    </row>
    <row r="745" spans="1:18">
      <c r="A745" s="2003"/>
      <c r="B745" s="1913"/>
      <c r="C745" s="1536"/>
      <c r="D745" s="1536"/>
      <c r="E745" s="1536"/>
      <c r="F745" s="1536"/>
      <c r="G745" s="1536"/>
      <c r="H745" s="1235"/>
      <c r="I745" s="1536"/>
      <c r="J745" s="1536"/>
      <c r="K745" s="1537"/>
      <c r="L745" s="1235"/>
      <c r="M745" s="1573"/>
      <c r="N745" s="2902"/>
      <c r="O745" s="1628"/>
      <c r="P745" s="1536"/>
      <c r="Q745" s="1536"/>
      <c r="R745" s="1567"/>
    </row>
    <row r="746" spans="1:18">
      <c r="A746" s="2003"/>
      <c r="B746" s="1913"/>
      <c r="C746" s="1536"/>
      <c r="D746" s="1536"/>
      <c r="E746" s="1536"/>
      <c r="F746" s="1536"/>
      <c r="G746" s="1536"/>
      <c r="H746" s="1235"/>
      <c r="I746" s="1536"/>
      <c r="J746" s="1536"/>
      <c r="K746" s="1537"/>
      <c r="L746" s="1235"/>
      <c r="M746" s="1236"/>
      <c r="N746" s="2900"/>
      <c r="O746" s="1628"/>
      <c r="P746" s="1536"/>
      <c r="Q746" s="1536"/>
      <c r="R746" s="1567"/>
    </row>
    <row r="747" spans="1:18">
      <c r="A747" s="2003"/>
      <c r="B747" s="1913"/>
      <c r="C747" s="1536"/>
      <c r="D747" s="1536"/>
      <c r="E747" s="1536"/>
      <c r="F747" s="1536"/>
      <c r="G747" s="1536"/>
      <c r="H747" s="1235"/>
      <c r="I747" s="1536"/>
      <c r="J747" s="1536"/>
      <c r="K747" s="1537"/>
      <c r="L747" s="1235"/>
      <c r="M747" s="1236"/>
      <c r="N747" s="2902"/>
      <c r="O747" s="1628"/>
      <c r="P747" s="1536"/>
      <c r="Q747" s="1536"/>
      <c r="R747" s="1567"/>
    </row>
    <row r="748" spans="1:18">
      <c r="A748" s="2003"/>
      <c r="B748" s="1913"/>
      <c r="C748" s="1536"/>
      <c r="D748" s="1536"/>
      <c r="E748" s="1536"/>
      <c r="F748" s="1536"/>
      <c r="G748" s="1536"/>
      <c r="H748" s="1235"/>
      <c r="I748" s="1536"/>
      <c r="J748" s="1536"/>
      <c r="K748" s="1537"/>
      <c r="L748" s="1235"/>
      <c r="M748" s="1236"/>
      <c r="N748" s="2900"/>
      <c r="O748" s="1628"/>
      <c r="P748" s="1536"/>
      <c r="Q748" s="1536"/>
      <c r="R748" s="1567"/>
    </row>
    <row r="749" spans="1:18">
      <c r="A749" s="2003"/>
      <c r="B749" s="1913"/>
      <c r="C749" s="1536"/>
      <c r="D749" s="1536"/>
      <c r="E749" s="1536"/>
      <c r="F749" s="1536"/>
      <c r="G749" s="1536"/>
      <c r="H749" s="1235"/>
      <c r="I749" s="1536"/>
      <c r="J749" s="1536"/>
      <c r="K749" s="1537"/>
      <c r="L749" s="1235"/>
      <c r="M749" s="1236"/>
      <c r="N749" s="2902"/>
      <c r="O749" s="1628"/>
      <c r="P749" s="1536"/>
      <c r="Q749" s="1536"/>
      <c r="R749" s="1567"/>
    </row>
    <row r="750" spans="1:18">
      <c r="A750" s="2003"/>
      <c r="B750" s="1913"/>
      <c r="C750" s="1536"/>
      <c r="D750" s="1536"/>
      <c r="E750" s="1536"/>
      <c r="F750" s="1536"/>
      <c r="G750" s="1536"/>
      <c r="H750" s="1235"/>
      <c r="I750" s="1536"/>
      <c r="J750" s="1536"/>
      <c r="K750" s="1537"/>
      <c r="L750" s="1235"/>
      <c r="M750" s="1236"/>
      <c r="N750" s="2900"/>
      <c r="O750" s="1628"/>
      <c r="P750" s="1536"/>
      <c r="Q750" s="1536"/>
      <c r="R750" s="1567"/>
    </row>
    <row r="751" spans="1:18">
      <c r="A751" s="2003"/>
      <c r="B751" s="1913"/>
      <c r="C751" s="1536"/>
      <c r="D751" s="1536"/>
      <c r="E751" s="1536"/>
      <c r="F751" s="1536"/>
      <c r="G751" s="1536"/>
      <c r="H751" s="1235"/>
      <c r="I751" s="1536"/>
      <c r="J751" s="1536"/>
      <c r="K751" s="1537"/>
      <c r="L751" s="1235"/>
      <c r="M751" s="1236"/>
      <c r="N751" s="2902"/>
      <c r="O751" s="1628"/>
      <c r="P751" s="1536"/>
      <c r="Q751" s="1536"/>
      <c r="R751" s="1567"/>
    </row>
    <row r="752" spans="1:18">
      <c r="A752" s="2009"/>
      <c r="B752" s="2214"/>
      <c r="C752" s="1553"/>
      <c r="D752" s="1553"/>
      <c r="E752" s="1553"/>
      <c r="F752" s="1553"/>
      <c r="G752" s="1553"/>
      <c r="H752" s="1543"/>
      <c r="I752" s="1543"/>
      <c r="J752" s="1543"/>
      <c r="K752" s="1554"/>
      <c r="L752" s="1543"/>
      <c r="M752" s="1877"/>
      <c r="N752" s="2255"/>
      <c r="O752" s="1629"/>
      <c r="P752" s="1553"/>
      <c r="Q752" s="1553"/>
      <c r="R752" s="1931"/>
    </row>
    <row r="753" spans="1:18">
      <c r="A753" s="2047"/>
      <c r="B753" s="1912"/>
      <c r="C753" s="1552"/>
      <c r="D753" s="1552"/>
      <c r="E753" s="1552"/>
      <c r="F753" s="1552"/>
      <c r="G753" s="1552"/>
      <c r="H753" s="1539"/>
      <c r="I753" s="1552"/>
      <c r="J753" s="1552"/>
      <c r="K753" s="1555"/>
      <c r="L753" s="1539"/>
      <c r="M753" s="1578"/>
      <c r="N753" s="2903"/>
      <c r="O753" s="1633"/>
      <c r="P753" s="1552"/>
      <c r="Q753" s="1552"/>
      <c r="R753" s="1698"/>
    </row>
    <row r="754" spans="1:18">
      <c r="A754" s="2003"/>
      <c r="B754" s="1913"/>
      <c r="C754" s="1536"/>
      <c r="D754" s="1536"/>
      <c r="E754" s="1536"/>
      <c r="F754" s="1536"/>
      <c r="G754" s="1536"/>
      <c r="H754" s="1235"/>
      <c r="I754" s="1536"/>
      <c r="J754" s="1536"/>
      <c r="K754" s="1537"/>
      <c r="L754" s="1235"/>
      <c r="M754" s="1572"/>
      <c r="N754" s="2902"/>
      <c r="O754" s="1628"/>
      <c r="P754" s="1536"/>
      <c r="Q754" s="1536"/>
      <c r="R754" s="1567"/>
    </row>
    <row r="755" spans="1:18">
      <c r="A755" s="2003"/>
      <c r="B755" s="1913"/>
      <c r="C755" s="1536"/>
      <c r="D755" s="1536"/>
      <c r="E755" s="1536"/>
      <c r="F755" s="1536"/>
      <c r="G755" s="1536"/>
      <c r="H755" s="1235"/>
      <c r="I755" s="1536"/>
      <c r="J755" s="1536"/>
      <c r="K755" s="1537"/>
      <c r="L755" s="1235"/>
      <c r="M755" s="1572"/>
      <c r="N755" s="2900"/>
      <c r="O755" s="1628"/>
      <c r="P755" s="1536"/>
      <c r="Q755" s="1536"/>
      <c r="R755" s="1567"/>
    </row>
    <row r="756" spans="1:18">
      <c r="A756" s="2003"/>
      <c r="B756" s="1913"/>
      <c r="C756" s="1536"/>
      <c r="D756" s="1536"/>
      <c r="E756" s="1536"/>
      <c r="F756" s="1536"/>
      <c r="G756" s="1536"/>
      <c r="H756" s="1235"/>
      <c r="I756" s="1536"/>
      <c r="J756" s="1536"/>
      <c r="K756" s="1537"/>
      <c r="L756" s="1235"/>
      <c r="M756" s="1572"/>
      <c r="N756" s="2902"/>
      <c r="O756" s="1628"/>
      <c r="P756" s="1536"/>
      <c r="Q756" s="1536"/>
      <c r="R756" s="1567"/>
    </row>
    <row r="757" spans="1:18">
      <c r="A757" s="2003"/>
      <c r="B757" s="1913"/>
      <c r="C757" s="1536"/>
      <c r="D757" s="1536"/>
      <c r="E757" s="1536"/>
      <c r="F757" s="1536"/>
      <c r="G757" s="1536"/>
      <c r="H757" s="1235"/>
      <c r="I757" s="1235"/>
      <c r="J757" s="1235"/>
      <c r="K757" s="1537"/>
      <c r="L757" s="1235"/>
      <c r="M757" s="1572"/>
      <c r="N757" s="1879"/>
      <c r="O757" s="1628"/>
      <c r="P757" s="1536"/>
      <c r="Q757" s="1536"/>
      <c r="R757" s="1567"/>
    </row>
    <row r="758" spans="1:18">
      <c r="A758" s="2003"/>
      <c r="B758" s="1913"/>
      <c r="C758" s="1536"/>
      <c r="D758" s="1536"/>
      <c r="E758" s="1536"/>
      <c r="F758" s="1536"/>
      <c r="G758" s="1536"/>
      <c r="H758" s="1235"/>
      <c r="I758" s="1536"/>
      <c r="J758" s="1536"/>
      <c r="K758" s="1537"/>
      <c r="L758" s="1235"/>
      <c r="M758" s="2089"/>
      <c r="N758" s="2900"/>
      <c r="O758" s="1628"/>
      <c r="P758" s="1536"/>
      <c r="Q758" s="1536"/>
      <c r="R758" s="1567"/>
    </row>
    <row r="759" spans="1:18">
      <c r="A759" s="2003"/>
      <c r="B759" s="1913"/>
      <c r="C759" s="1536"/>
      <c r="D759" s="1536"/>
      <c r="E759" s="1536"/>
      <c r="F759" s="1536"/>
      <c r="G759" s="1536"/>
      <c r="H759" s="1235"/>
      <c r="I759" s="1536"/>
      <c r="J759" s="1536"/>
      <c r="K759" s="1537"/>
      <c r="L759" s="1235"/>
      <c r="M759" s="1572"/>
      <c r="N759" s="2902"/>
      <c r="O759" s="1628"/>
      <c r="P759" s="1536"/>
      <c r="Q759" s="1536"/>
      <c r="R759" s="1567"/>
    </row>
    <row r="760" spans="1:18">
      <c r="A760" s="2003"/>
      <c r="B760" s="1913"/>
      <c r="C760" s="1536"/>
      <c r="D760" s="1536"/>
      <c r="E760" s="1536"/>
      <c r="F760" s="1536"/>
      <c r="G760" s="1536"/>
      <c r="H760" s="1235"/>
      <c r="I760" s="1536"/>
      <c r="J760" s="1536"/>
      <c r="K760" s="1537"/>
      <c r="L760" s="1235"/>
      <c r="M760" s="1573"/>
      <c r="N760" s="2900"/>
      <c r="O760" s="1628"/>
      <c r="P760" s="1536"/>
      <c r="Q760" s="1536"/>
      <c r="R760" s="1567"/>
    </row>
    <row r="761" spans="1:18">
      <c r="A761" s="2003"/>
      <c r="B761" s="1913"/>
      <c r="C761" s="1536"/>
      <c r="D761" s="1536"/>
      <c r="E761" s="1536"/>
      <c r="F761" s="1536"/>
      <c r="G761" s="1536"/>
      <c r="H761" s="1235"/>
      <c r="I761" s="1536"/>
      <c r="J761" s="1536"/>
      <c r="K761" s="1537"/>
      <c r="L761" s="1235"/>
      <c r="M761" s="1573"/>
      <c r="N761" s="2902"/>
      <c r="O761" s="1628"/>
      <c r="P761" s="1536"/>
      <c r="Q761" s="1536"/>
      <c r="R761" s="1567"/>
    </row>
    <row r="762" spans="1:18">
      <c r="A762" s="2003"/>
      <c r="B762" s="1913"/>
      <c r="C762" s="1536"/>
      <c r="D762" s="1536"/>
      <c r="E762" s="1536"/>
      <c r="F762" s="1536"/>
      <c r="G762" s="1536"/>
      <c r="H762" s="1235"/>
      <c r="I762" s="1235"/>
      <c r="J762" s="1235"/>
      <c r="K762" s="1537"/>
      <c r="L762" s="1235"/>
      <c r="M762" s="1573"/>
      <c r="N762" s="1879"/>
      <c r="O762" s="1628"/>
      <c r="P762" s="1536"/>
      <c r="Q762" s="1536"/>
      <c r="R762" s="1567"/>
    </row>
    <row r="763" spans="1:18">
      <c r="A763" s="2003"/>
      <c r="B763" s="1913"/>
      <c r="C763" s="1536"/>
      <c r="D763" s="1536"/>
      <c r="E763" s="1536"/>
      <c r="F763" s="1536"/>
      <c r="G763" s="1536"/>
      <c r="H763" s="1235"/>
      <c r="I763" s="1536"/>
      <c r="J763" s="1536"/>
      <c r="K763" s="1537"/>
      <c r="L763" s="1235"/>
      <c r="M763" s="1572"/>
      <c r="N763" s="2900"/>
      <c r="O763" s="1628"/>
      <c r="P763" s="1536"/>
      <c r="Q763" s="1536"/>
      <c r="R763" s="1567"/>
    </row>
    <row r="764" spans="1:18">
      <c r="A764" s="2003"/>
      <c r="B764" s="1913"/>
      <c r="C764" s="1536"/>
      <c r="D764" s="1536"/>
      <c r="E764" s="1536"/>
      <c r="F764" s="1536"/>
      <c r="G764" s="1536"/>
      <c r="H764" s="1235"/>
      <c r="I764" s="1536"/>
      <c r="J764" s="1536"/>
      <c r="K764" s="1537"/>
      <c r="L764" s="1235"/>
      <c r="M764" s="1572"/>
      <c r="N764" s="2903"/>
      <c r="O764" s="1628"/>
      <c r="P764" s="1536"/>
      <c r="Q764" s="1536"/>
      <c r="R764" s="1567"/>
    </row>
    <row r="765" spans="1:18">
      <c r="A765" s="2003"/>
      <c r="B765" s="1913"/>
      <c r="C765" s="1536"/>
      <c r="D765" s="1536"/>
      <c r="E765" s="1536"/>
      <c r="F765" s="1536"/>
      <c r="G765" s="1536"/>
      <c r="H765" s="1235"/>
      <c r="I765" s="1536"/>
      <c r="J765" s="1536"/>
      <c r="K765" s="1537"/>
      <c r="L765" s="1235"/>
      <c r="M765" s="1572"/>
      <c r="N765" s="2902"/>
      <c r="O765" s="1628"/>
      <c r="P765" s="1536"/>
      <c r="Q765" s="1536"/>
      <c r="R765" s="1567"/>
    </row>
    <row r="766" spans="1:18">
      <c r="A766" s="2003"/>
      <c r="B766" s="1913"/>
      <c r="C766" s="1536"/>
      <c r="D766" s="1536"/>
      <c r="E766" s="1536"/>
      <c r="F766" s="1536"/>
      <c r="G766" s="1536"/>
      <c r="H766" s="1235"/>
      <c r="I766" s="1536"/>
      <c r="J766" s="1536"/>
      <c r="K766" s="1537"/>
      <c r="L766" s="1235"/>
      <c r="M766" s="1572"/>
      <c r="N766" s="2900"/>
      <c r="O766" s="1628"/>
      <c r="P766" s="1536"/>
      <c r="Q766" s="1536"/>
      <c r="R766" s="1567"/>
    </row>
    <row r="767" spans="1:18">
      <c r="A767" s="2003"/>
      <c r="B767" s="1913"/>
      <c r="C767" s="1536"/>
      <c r="D767" s="1536"/>
      <c r="E767" s="1536"/>
      <c r="F767" s="1536"/>
      <c r="G767" s="1536"/>
      <c r="H767" s="1235"/>
      <c r="I767" s="1536"/>
      <c r="J767" s="1536"/>
      <c r="K767" s="1537"/>
      <c r="L767" s="1235"/>
      <c r="M767" s="1572"/>
      <c r="N767" s="2902"/>
      <c r="O767" s="1628"/>
      <c r="P767" s="1536"/>
      <c r="Q767" s="1536"/>
      <c r="R767" s="1567"/>
    </row>
    <row r="768" spans="1:18" ht="15.6" customHeight="1">
      <c r="A768" s="2003"/>
      <c r="B768" s="1913"/>
      <c r="C768" s="1536"/>
      <c r="D768" s="1536"/>
      <c r="E768" s="1536"/>
      <c r="F768" s="1536"/>
      <c r="G768" s="1536"/>
      <c r="H768" s="1235"/>
      <c r="I768" s="1536"/>
      <c r="J768" s="1536"/>
      <c r="K768" s="1537"/>
      <c r="L768" s="1235"/>
      <c r="M768" s="2089"/>
      <c r="N768" s="2900"/>
      <c r="O768" s="1628"/>
      <c r="P768" s="1536"/>
      <c r="Q768" s="1536"/>
      <c r="R768" s="1567"/>
    </row>
    <row r="769" spans="1:18" ht="15.6" customHeight="1">
      <c r="A769" s="2003"/>
      <c r="B769" s="1913"/>
      <c r="C769" s="1536"/>
      <c r="D769" s="1536"/>
      <c r="E769" s="1536"/>
      <c r="F769" s="1536"/>
      <c r="G769" s="1536"/>
      <c r="H769" s="1235"/>
      <c r="I769" s="1536"/>
      <c r="J769" s="1536"/>
      <c r="K769" s="1537"/>
      <c r="L769" s="1235"/>
      <c r="M769" s="1572"/>
      <c r="N769" s="2902"/>
      <c r="O769" s="1628"/>
      <c r="P769" s="1536"/>
      <c r="Q769" s="1536"/>
      <c r="R769" s="1567"/>
    </row>
    <row r="770" spans="1:18" ht="15.6" customHeight="1">
      <c r="A770" s="2003"/>
      <c r="B770" s="1913"/>
      <c r="C770" s="1536"/>
      <c r="D770" s="1536"/>
      <c r="E770" s="1536"/>
      <c r="F770" s="1536"/>
      <c r="G770" s="1536"/>
      <c r="H770" s="1235"/>
      <c r="I770" s="1536"/>
      <c r="J770" s="1536"/>
      <c r="K770" s="1537"/>
      <c r="L770" s="1235"/>
      <c r="M770" s="1236"/>
      <c r="N770" s="2900"/>
      <c r="O770" s="1628"/>
      <c r="P770" s="1536"/>
      <c r="Q770" s="1536"/>
      <c r="R770" s="1567"/>
    </row>
    <row r="771" spans="1:18" ht="15.6" customHeight="1">
      <c r="A771" s="2003"/>
      <c r="B771" s="1913"/>
      <c r="C771" s="1536"/>
      <c r="D771" s="1536"/>
      <c r="E771" s="1536"/>
      <c r="F771" s="1536"/>
      <c r="G771" s="1536"/>
      <c r="H771" s="1235"/>
      <c r="I771" s="1536"/>
      <c r="J771" s="1536"/>
      <c r="K771" s="1537"/>
      <c r="L771" s="1235"/>
      <c r="M771" s="1236"/>
      <c r="N771" s="2902"/>
      <c r="O771" s="1628"/>
      <c r="P771" s="1536"/>
      <c r="Q771" s="1536"/>
      <c r="R771" s="1567"/>
    </row>
    <row r="772" spans="1:18" ht="15.6" customHeight="1">
      <c r="A772" s="2003"/>
      <c r="B772" s="1913"/>
      <c r="C772" s="1536"/>
      <c r="D772" s="1536"/>
      <c r="E772" s="1536"/>
      <c r="F772" s="1536"/>
      <c r="G772" s="1536"/>
      <c r="H772" s="1235"/>
      <c r="I772" s="1536"/>
      <c r="J772" s="1536"/>
      <c r="K772" s="1537"/>
      <c r="L772" s="1235"/>
      <c r="M772" s="1236"/>
      <c r="N772" s="2900"/>
      <c r="O772" s="1628"/>
      <c r="P772" s="1536"/>
      <c r="Q772" s="1536"/>
      <c r="R772" s="1567"/>
    </row>
    <row r="773" spans="1:18" ht="15.6" customHeight="1">
      <c r="A773" s="2003"/>
      <c r="B773" s="1913"/>
      <c r="C773" s="1536"/>
      <c r="D773" s="1536"/>
      <c r="E773" s="1536"/>
      <c r="F773" s="1536"/>
      <c r="G773" s="1536"/>
      <c r="H773" s="1235"/>
      <c r="I773" s="1536"/>
      <c r="J773" s="1536"/>
      <c r="K773" s="1537"/>
      <c r="L773" s="1235"/>
      <c r="M773" s="1236"/>
      <c r="N773" s="2902"/>
      <c r="O773" s="1628"/>
      <c r="P773" s="1536"/>
      <c r="Q773" s="1536"/>
      <c r="R773" s="1567"/>
    </row>
    <row r="774" spans="1:18" ht="15.6" customHeight="1">
      <c r="A774" s="2003"/>
      <c r="B774" s="1913"/>
      <c r="C774" s="1536"/>
      <c r="D774" s="1536"/>
      <c r="E774" s="1536"/>
      <c r="F774" s="1536"/>
      <c r="G774" s="1536"/>
      <c r="H774" s="1235"/>
      <c r="I774" s="1536"/>
      <c r="J774" s="1536"/>
      <c r="K774" s="1537"/>
      <c r="L774" s="1235"/>
      <c r="M774" s="1236"/>
      <c r="N774" s="2900"/>
      <c r="O774" s="1628"/>
      <c r="P774" s="1536"/>
      <c r="Q774" s="1536"/>
      <c r="R774" s="1567"/>
    </row>
    <row r="775" spans="1:18">
      <c r="A775" s="2003"/>
      <c r="B775" s="1913"/>
      <c r="C775" s="1536"/>
      <c r="D775" s="1536"/>
      <c r="E775" s="1536"/>
      <c r="F775" s="1536"/>
      <c r="G775" s="1536"/>
      <c r="H775" s="1235"/>
      <c r="I775" s="1536"/>
      <c r="J775" s="1536"/>
      <c r="K775" s="1537"/>
      <c r="L775" s="1235"/>
      <c r="M775" s="1236"/>
      <c r="N775" s="2903"/>
      <c r="O775" s="1628"/>
      <c r="P775" s="1536"/>
      <c r="Q775" s="1536"/>
      <c r="R775" s="1567"/>
    </row>
    <row r="776" spans="1:18">
      <c r="A776" s="2003"/>
      <c r="B776" s="1913"/>
      <c r="C776" s="1536"/>
      <c r="D776" s="1536"/>
      <c r="E776" s="1536"/>
      <c r="F776" s="1536"/>
      <c r="G776" s="1536"/>
      <c r="H776" s="1235"/>
      <c r="I776" s="1536"/>
      <c r="J776" s="1536"/>
      <c r="K776" s="1537"/>
      <c r="L776" s="1235"/>
      <c r="M776" s="1236"/>
      <c r="N776" s="2902"/>
      <c r="O776" s="1628"/>
      <c r="P776" s="1536"/>
      <c r="Q776" s="1536"/>
      <c r="R776" s="1567"/>
    </row>
    <row r="777" spans="1:18">
      <c r="A777" s="2003"/>
      <c r="B777" s="1913"/>
      <c r="C777" s="1536"/>
      <c r="D777" s="1536"/>
      <c r="E777" s="1536"/>
      <c r="F777" s="1536"/>
      <c r="G777" s="1536"/>
      <c r="H777" s="1235"/>
      <c r="I777" s="1536"/>
      <c r="J777" s="1536"/>
      <c r="K777" s="1537"/>
      <c r="L777" s="1235"/>
      <c r="M777" s="1236"/>
      <c r="N777" s="2900"/>
      <c r="O777" s="1628"/>
      <c r="P777" s="1536"/>
      <c r="Q777" s="1536"/>
      <c r="R777" s="1567"/>
    </row>
    <row r="778" spans="1:18">
      <c r="A778" s="2003"/>
      <c r="B778" s="1913"/>
      <c r="C778" s="1536"/>
      <c r="D778" s="1536"/>
      <c r="E778" s="1536"/>
      <c r="F778" s="1536"/>
      <c r="G778" s="1536"/>
      <c r="H778" s="1235"/>
      <c r="I778" s="1536"/>
      <c r="J778" s="1536"/>
      <c r="K778" s="1537"/>
      <c r="L778" s="1235"/>
      <c r="M778" s="1236"/>
      <c r="N778" s="2902"/>
      <c r="O778" s="1628"/>
      <c r="P778" s="1536"/>
      <c r="Q778" s="1536"/>
      <c r="R778" s="1567"/>
    </row>
    <row r="779" spans="1:18" ht="15.6" customHeight="1">
      <c r="A779" s="2003"/>
      <c r="B779" s="1913"/>
      <c r="C779" s="1536"/>
      <c r="D779" s="1536"/>
      <c r="E779" s="1536"/>
      <c r="F779" s="1536"/>
      <c r="G779" s="1536"/>
      <c r="H779" s="1235"/>
      <c r="I779" s="1536"/>
      <c r="J779" s="1536"/>
      <c r="K779" s="1537"/>
      <c r="L779" s="1235"/>
      <c r="M779" s="1236"/>
      <c r="N779" s="2900"/>
      <c r="O779" s="1628"/>
      <c r="P779" s="1536"/>
      <c r="Q779" s="1536"/>
      <c r="R779" s="1567"/>
    </row>
    <row r="780" spans="1:18" ht="15.6" customHeight="1">
      <c r="A780" s="2003"/>
      <c r="B780" s="1913"/>
      <c r="C780" s="1536"/>
      <c r="D780" s="1536"/>
      <c r="E780" s="1536"/>
      <c r="F780" s="1536"/>
      <c r="G780" s="1536"/>
      <c r="H780" s="1235"/>
      <c r="I780" s="1536"/>
      <c r="J780" s="1536"/>
      <c r="K780" s="1537"/>
      <c r="L780" s="1235"/>
      <c r="M780" s="1236"/>
      <c r="N780" s="2902"/>
      <c r="O780" s="1628"/>
      <c r="P780" s="1536"/>
      <c r="Q780" s="1536"/>
      <c r="R780" s="1567"/>
    </row>
    <row r="781" spans="1:18" ht="15.6" customHeight="1">
      <c r="A781" s="2003"/>
      <c r="B781" s="1913"/>
      <c r="C781" s="1536"/>
      <c r="D781" s="1536"/>
      <c r="E781" s="1536"/>
      <c r="F781" s="1536"/>
      <c r="G781" s="1536"/>
      <c r="H781" s="1235"/>
      <c r="I781" s="1536"/>
      <c r="J781" s="1536"/>
      <c r="K781" s="1537"/>
      <c r="L781" s="1235"/>
      <c r="M781" s="1236"/>
      <c r="N781" s="2900"/>
      <c r="O781" s="1628"/>
      <c r="P781" s="1536"/>
      <c r="Q781" s="1536"/>
      <c r="R781" s="1567"/>
    </row>
    <row r="782" spans="1:18" ht="15.6" customHeight="1">
      <c r="A782" s="2003"/>
      <c r="B782" s="1913"/>
      <c r="C782" s="1536"/>
      <c r="D782" s="1536"/>
      <c r="E782" s="1536"/>
      <c r="F782" s="1536"/>
      <c r="G782" s="1536"/>
      <c r="H782" s="1235"/>
      <c r="I782" s="1536"/>
      <c r="J782" s="1536"/>
      <c r="K782" s="1537"/>
      <c r="L782" s="1235"/>
      <c r="M782" s="1236"/>
      <c r="N782" s="2902"/>
      <c r="O782" s="1628"/>
      <c r="P782" s="1536"/>
      <c r="Q782" s="1536"/>
      <c r="R782" s="1567"/>
    </row>
    <row r="783" spans="1:18" ht="15.6" customHeight="1">
      <c r="A783" s="2003"/>
      <c r="B783" s="1913"/>
      <c r="C783" s="1536"/>
      <c r="D783" s="1536"/>
      <c r="E783" s="1536"/>
      <c r="F783" s="1536"/>
      <c r="G783" s="1536"/>
      <c r="H783" s="1235"/>
      <c r="I783" s="1536"/>
      <c r="J783" s="1536"/>
      <c r="K783" s="1537"/>
      <c r="L783" s="1235"/>
      <c r="M783" s="1236"/>
      <c r="N783" s="2900"/>
      <c r="O783" s="1628"/>
      <c r="P783" s="1536"/>
      <c r="Q783" s="1536"/>
      <c r="R783" s="1567"/>
    </row>
    <row r="784" spans="1:18">
      <c r="A784" s="2003"/>
      <c r="B784" s="1913"/>
      <c r="C784" s="1536"/>
      <c r="D784" s="1536"/>
      <c r="E784" s="1536"/>
      <c r="F784" s="1536"/>
      <c r="G784" s="1536"/>
      <c r="H784" s="1235"/>
      <c r="I784" s="1536"/>
      <c r="J784" s="1536"/>
      <c r="K784" s="1537"/>
      <c r="L784" s="1235"/>
      <c r="M784" s="1236"/>
      <c r="N784" s="2903"/>
      <c r="O784" s="1628"/>
      <c r="P784" s="1536"/>
      <c r="Q784" s="1536"/>
      <c r="R784" s="1567"/>
    </row>
    <row r="785" spans="1:18">
      <c r="A785" s="2003"/>
      <c r="B785" s="1913"/>
      <c r="C785" s="1536"/>
      <c r="D785" s="1536"/>
      <c r="E785" s="1536"/>
      <c r="F785" s="1536"/>
      <c r="G785" s="1536"/>
      <c r="H785" s="1235"/>
      <c r="I785" s="1235"/>
      <c r="J785" s="1235"/>
      <c r="K785" s="1537"/>
      <c r="L785" s="1235"/>
      <c r="M785" s="1236"/>
      <c r="N785" s="2903"/>
      <c r="O785" s="1628"/>
      <c r="P785" s="1536"/>
      <c r="Q785" s="1536"/>
      <c r="R785" s="1567"/>
    </row>
    <row r="786" spans="1:18">
      <c r="A786" s="2003"/>
      <c r="B786" s="1913"/>
      <c r="C786" s="1536"/>
      <c r="D786" s="1536"/>
      <c r="E786" s="1536"/>
      <c r="F786" s="1536"/>
      <c r="G786" s="1536"/>
      <c r="H786" s="1235"/>
      <c r="I786" s="1536"/>
      <c r="J786" s="1536"/>
      <c r="K786" s="1537"/>
      <c r="L786" s="1235"/>
      <c r="M786" s="1236"/>
      <c r="N786" s="2903"/>
      <c r="O786" s="1628"/>
      <c r="P786" s="1536"/>
      <c r="Q786" s="1536"/>
      <c r="R786" s="1567"/>
    </row>
    <row r="787" spans="1:18">
      <c r="A787" s="2003"/>
      <c r="B787" s="1913"/>
      <c r="C787" s="1536"/>
      <c r="D787" s="1536"/>
      <c r="E787" s="1536"/>
      <c r="F787" s="1536"/>
      <c r="G787" s="1536"/>
      <c r="H787" s="1235"/>
      <c r="I787" s="1536"/>
      <c r="J787" s="1536"/>
      <c r="K787" s="1537"/>
      <c r="L787" s="1235"/>
      <c r="M787" s="1236"/>
      <c r="N787" s="2902"/>
      <c r="O787" s="1628"/>
      <c r="P787" s="1536"/>
      <c r="Q787" s="1536"/>
      <c r="R787" s="1567"/>
    </row>
    <row r="788" spans="1:18" ht="15.6" customHeight="1">
      <c r="A788" s="2003"/>
      <c r="B788" s="1913"/>
      <c r="C788" s="1536"/>
      <c r="D788" s="1536"/>
      <c r="E788" s="1536"/>
      <c r="F788" s="1536"/>
      <c r="G788" s="1536"/>
      <c r="H788" s="1235"/>
      <c r="I788" s="1536"/>
      <c r="J788" s="1536"/>
      <c r="K788" s="1537"/>
      <c r="L788" s="1235"/>
      <c r="M788" s="1236"/>
      <c r="N788" s="2900"/>
      <c r="O788" s="1628"/>
      <c r="P788" s="1536"/>
      <c r="Q788" s="1536"/>
      <c r="R788" s="1567"/>
    </row>
    <row r="789" spans="1:18">
      <c r="A789" s="2003"/>
      <c r="B789" s="1913"/>
      <c r="C789" s="1536"/>
      <c r="D789" s="1536"/>
      <c r="E789" s="1536"/>
      <c r="F789" s="1536"/>
      <c r="G789" s="1536"/>
      <c r="H789" s="1235"/>
      <c r="I789" s="1536"/>
      <c r="J789" s="1536"/>
      <c r="K789" s="1537"/>
      <c r="L789" s="1235"/>
      <c r="M789" s="1236"/>
      <c r="N789" s="2903"/>
      <c r="O789" s="1628"/>
      <c r="P789" s="1536"/>
      <c r="Q789" s="1536"/>
      <c r="R789" s="1567"/>
    </row>
    <row r="790" spans="1:18">
      <c r="A790" s="2003"/>
      <c r="B790" s="1913"/>
      <c r="C790" s="1536"/>
      <c r="D790" s="1536"/>
      <c r="E790" s="1536"/>
      <c r="F790" s="1536"/>
      <c r="G790" s="1536"/>
      <c r="H790" s="1235"/>
      <c r="I790" s="1536"/>
      <c r="J790" s="1536"/>
      <c r="K790" s="1537"/>
      <c r="L790" s="1235"/>
      <c r="M790" s="1236"/>
      <c r="N790" s="2903"/>
      <c r="O790" s="1628"/>
      <c r="P790" s="1536"/>
      <c r="Q790" s="1536"/>
      <c r="R790" s="1567"/>
    </row>
    <row r="791" spans="1:18">
      <c r="A791" s="2003"/>
      <c r="B791" s="1913"/>
      <c r="C791" s="1536"/>
      <c r="D791" s="1536"/>
      <c r="E791" s="1536"/>
      <c r="F791" s="1536"/>
      <c r="G791" s="1536"/>
      <c r="H791" s="1235"/>
      <c r="I791" s="1536"/>
      <c r="J791" s="1536"/>
      <c r="K791" s="1537"/>
      <c r="L791" s="1235"/>
      <c r="M791" s="1236"/>
      <c r="N791" s="2903"/>
      <c r="O791" s="1628"/>
      <c r="P791" s="1536"/>
      <c r="Q791" s="1536"/>
      <c r="R791" s="1567"/>
    </row>
    <row r="792" spans="1:18">
      <c r="A792" s="2003"/>
      <c r="B792" s="1913"/>
      <c r="C792" s="1536"/>
      <c r="D792" s="1536"/>
      <c r="E792" s="1536"/>
      <c r="F792" s="1536"/>
      <c r="G792" s="1536"/>
      <c r="H792" s="1235"/>
      <c r="I792" s="1536"/>
      <c r="J792" s="1536"/>
      <c r="K792" s="1537"/>
      <c r="L792" s="1235"/>
      <c r="M792" s="1236"/>
      <c r="N792" s="2903"/>
      <c r="O792" s="1628"/>
      <c r="P792" s="1536"/>
      <c r="Q792" s="1536"/>
      <c r="R792" s="1567"/>
    </row>
    <row r="793" spans="1:18">
      <c r="A793" s="2003"/>
      <c r="B793" s="1913"/>
      <c r="C793" s="1536"/>
      <c r="D793" s="1536"/>
      <c r="E793" s="1536"/>
      <c r="F793" s="1536"/>
      <c r="G793" s="1536"/>
      <c r="H793" s="1235"/>
      <c r="I793" s="1536"/>
      <c r="J793" s="1536"/>
      <c r="K793" s="1537"/>
      <c r="L793" s="1235"/>
      <c r="M793" s="1236"/>
      <c r="N793" s="2903"/>
      <c r="O793" s="1628"/>
      <c r="P793" s="1536"/>
      <c r="Q793" s="1536"/>
      <c r="R793" s="1567"/>
    </row>
    <row r="794" spans="1:18">
      <c r="A794" s="2003"/>
      <c r="B794" s="1913"/>
      <c r="C794" s="1536"/>
      <c r="D794" s="1536"/>
      <c r="E794" s="1536"/>
      <c r="F794" s="1536"/>
      <c r="G794" s="1536"/>
      <c r="H794" s="1235"/>
      <c r="I794" s="1536"/>
      <c r="J794" s="1536"/>
      <c r="K794" s="1537"/>
      <c r="L794" s="1235"/>
      <c r="M794" s="1236"/>
      <c r="N794" s="2903"/>
      <c r="O794" s="1628"/>
      <c r="P794" s="1536"/>
      <c r="Q794" s="1536"/>
      <c r="R794" s="1567"/>
    </row>
    <row r="795" spans="1:18">
      <c r="A795" s="2003"/>
      <c r="B795" s="1913"/>
      <c r="C795" s="1536"/>
      <c r="D795" s="1536"/>
      <c r="E795" s="1536"/>
      <c r="F795" s="1536"/>
      <c r="G795" s="1536"/>
      <c r="H795" s="1235"/>
      <c r="I795" s="1235"/>
      <c r="J795" s="1235"/>
      <c r="K795" s="1537"/>
      <c r="L795" s="1235"/>
      <c r="M795" s="1236"/>
      <c r="N795" s="2903"/>
      <c r="O795" s="1628"/>
      <c r="P795" s="1536"/>
      <c r="Q795" s="1536"/>
      <c r="R795" s="1567"/>
    </row>
    <row r="796" spans="1:18">
      <c r="A796" s="2003"/>
      <c r="B796" s="1913"/>
      <c r="C796" s="1536"/>
      <c r="D796" s="1536"/>
      <c r="E796" s="1536"/>
      <c r="F796" s="1536"/>
      <c r="G796" s="1536"/>
      <c r="H796" s="1235"/>
      <c r="I796" s="1536"/>
      <c r="J796" s="1536"/>
      <c r="K796" s="1537"/>
      <c r="L796" s="1235"/>
      <c r="M796" s="1236"/>
      <c r="N796" s="2903"/>
      <c r="O796" s="1628"/>
      <c r="P796" s="1536"/>
      <c r="Q796" s="1536"/>
      <c r="R796" s="1567"/>
    </row>
    <row r="797" spans="1:18">
      <c r="A797" s="2003"/>
      <c r="B797" s="1913"/>
      <c r="C797" s="1536"/>
      <c r="D797" s="1536"/>
      <c r="E797" s="1536"/>
      <c r="F797" s="1536"/>
      <c r="G797" s="1536"/>
      <c r="H797" s="1235"/>
      <c r="I797" s="1536"/>
      <c r="J797" s="1536"/>
      <c r="K797" s="1537"/>
      <c r="L797" s="1235"/>
      <c r="M797" s="1236"/>
      <c r="N797" s="2903"/>
      <c r="O797" s="1628"/>
      <c r="P797" s="1536"/>
      <c r="Q797" s="1536"/>
      <c r="R797" s="1567"/>
    </row>
    <row r="798" spans="1:18">
      <c r="A798" s="2003"/>
      <c r="B798" s="1913"/>
      <c r="C798" s="1536"/>
      <c r="D798" s="1536"/>
      <c r="E798" s="1536"/>
      <c r="F798" s="1536"/>
      <c r="G798" s="1536"/>
      <c r="H798" s="1235"/>
      <c r="I798" s="1536"/>
      <c r="J798" s="1536"/>
      <c r="K798" s="1537"/>
      <c r="L798" s="1235"/>
      <c r="M798" s="1236"/>
      <c r="N798" s="2902"/>
      <c r="O798" s="1628"/>
      <c r="P798" s="1536"/>
      <c r="Q798" s="1536"/>
      <c r="R798" s="1567"/>
    </row>
    <row r="799" spans="1:18" ht="15.6" customHeight="1">
      <c r="A799" s="2003"/>
      <c r="B799" s="1913"/>
      <c r="C799" s="1536"/>
      <c r="D799" s="1536"/>
      <c r="E799" s="1536"/>
      <c r="F799" s="1536"/>
      <c r="G799" s="1536"/>
      <c r="H799" s="1235"/>
      <c r="I799" s="1536"/>
      <c r="J799" s="1536"/>
      <c r="K799" s="1537"/>
      <c r="L799" s="1235"/>
      <c r="M799" s="1236"/>
      <c r="N799" s="2900"/>
      <c r="O799" s="1628"/>
      <c r="P799" s="1536"/>
      <c r="Q799" s="1536"/>
      <c r="R799" s="1567"/>
    </row>
    <row r="800" spans="1:18">
      <c r="A800" s="2003"/>
      <c r="B800" s="1913"/>
      <c r="C800" s="1536"/>
      <c r="D800" s="1536"/>
      <c r="E800" s="1536"/>
      <c r="F800" s="1536"/>
      <c r="G800" s="1536"/>
      <c r="H800" s="1235"/>
      <c r="I800" s="1536"/>
      <c r="J800" s="1536"/>
      <c r="K800" s="1537"/>
      <c r="L800" s="1235"/>
      <c r="M800" s="1236"/>
      <c r="N800" s="2903"/>
      <c r="O800" s="1628"/>
      <c r="P800" s="1536"/>
      <c r="Q800" s="1536"/>
      <c r="R800" s="1567"/>
    </row>
    <row r="801" spans="1:18">
      <c r="A801" s="2003"/>
      <c r="B801" s="1913"/>
      <c r="C801" s="1536"/>
      <c r="D801" s="1536"/>
      <c r="E801" s="1536"/>
      <c r="F801" s="1536"/>
      <c r="G801" s="1536"/>
      <c r="H801" s="1235"/>
      <c r="I801" s="1536"/>
      <c r="J801" s="1536"/>
      <c r="K801" s="1537"/>
      <c r="L801" s="1235"/>
      <c r="M801" s="1236"/>
      <c r="N801" s="2903"/>
      <c r="O801" s="1628"/>
      <c r="P801" s="1536"/>
      <c r="Q801" s="1536"/>
      <c r="R801" s="1567"/>
    </row>
    <row r="802" spans="1:18">
      <c r="A802" s="2003"/>
      <c r="B802" s="1913"/>
      <c r="C802" s="1536"/>
      <c r="D802" s="1536"/>
      <c r="E802" s="1536"/>
      <c r="F802" s="1536"/>
      <c r="G802" s="1536"/>
      <c r="H802" s="1235"/>
      <c r="I802" s="1536"/>
      <c r="J802" s="1536"/>
      <c r="K802" s="1537"/>
      <c r="L802" s="1235"/>
      <c r="M802" s="1236"/>
      <c r="N802" s="2902"/>
      <c r="O802" s="1628"/>
      <c r="P802" s="1536"/>
      <c r="Q802" s="1536"/>
      <c r="R802" s="1567"/>
    </row>
    <row r="803" spans="1:18" ht="15.6" customHeight="1">
      <c r="A803" s="2010"/>
      <c r="B803" s="1913"/>
      <c r="C803" s="1536"/>
      <c r="D803" s="1536"/>
      <c r="E803" s="1536"/>
      <c r="F803" s="1536"/>
      <c r="G803" s="1536"/>
      <c r="H803" s="1235"/>
      <c r="I803" s="1536"/>
      <c r="J803" s="1536"/>
      <c r="K803" s="1537"/>
      <c r="L803" s="1235"/>
      <c r="M803" s="1236"/>
      <c r="N803" s="2900"/>
      <c r="O803" s="1628"/>
      <c r="P803" s="1536"/>
      <c r="Q803" s="1536"/>
      <c r="R803" s="1567"/>
    </row>
    <row r="804" spans="1:18">
      <c r="A804" s="2010"/>
      <c r="B804" s="1913"/>
      <c r="C804" s="1536"/>
      <c r="D804" s="1536"/>
      <c r="E804" s="1536"/>
      <c r="F804" s="1536"/>
      <c r="G804" s="1536"/>
      <c r="H804" s="1235"/>
      <c r="I804" s="1536"/>
      <c r="J804" s="1536"/>
      <c r="K804" s="1537"/>
      <c r="L804" s="1235"/>
      <c r="M804" s="1236"/>
      <c r="N804" s="2903"/>
      <c r="O804" s="1628"/>
      <c r="P804" s="1536"/>
      <c r="Q804" s="1536"/>
      <c r="R804" s="1567"/>
    </row>
    <row r="805" spans="1:18">
      <c r="A805" s="2010"/>
      <c r="B805" s="1913"/>
      <c r="C805" s="1536"/>
      <c r="D805" s="1536"/>
      <c r="E805" s="1536"/>
      <c r="F805" s="1536"/>
      <c r="G805" s="1536"/>
      <c r="H805" s="1235"/>
      <c r="I805" s="1235"/>
      <c r="J805" s="1235"/>
      <c r="K805" s="1537"/>
      <c r="L805" s="1235"/>
      <c r="M805" s="1236"/>
      <c r="N805" s="2903"/>
      <c r="O805" s="1628"/>
      <c r="P805" s="1536"/>
      <c r="Q805" s="1536"/>
      <c r="R805" s="1567"/>
    </row>
    <row r="806" spans="1:18">
      <c r="A806" s="2010"/>
      <c r="B806" s="1913"/>
      <c r="C806" s="1536"/>
      <c r="D806" s="1536"/>
      <c r="E806" s="1536"/>
      <c r="F806" s="1536"/>
      <c r="G806" s="1536"/>
      <c r="H806" s="1235"/>
      <c r="I806" s="1536"/>
      <c r="J806" s="1536"/>
      <c r="K806" s="1537"/>
      <c r="L806" s="1235"/>
      <c r="M806" s="1236"/>
      <c r="N806" s="2903"/>
      <c r="O806" s="1628"/>
      <c r="P806" s="1536"/>
      <c r="Q806" s="1536"/>
      <c r="R806" s="1567"/>
    </row>
    <row r="807" spans="1:18">
      <c r="A807" s="2046"/>
      <c r="B807" s="2214"/>
      <c r="C807" s="1553"/>
      <c r="D807" s="1553"/>
      <c r="E807" s="1553"/>
      <c r="F807" s="1553"/>
      <c r="G807" s="1553"/>
      <c r="H807" s="1543"/>
      <c r="I807" s="1553"/>
      <c r="J807" s="1553"/>
      <c r="K807" s="1554"/>
      <c r="L807" s="1543"/>
      <c r="M807" s="1877"/>
      <c r="N807" s="2901"/>
      <c r="O807" s="1629"/>
      <c r="P807" s="1553"/>
      <c r="Q807" s="1553"/>
      <c r="R807" s="1931"/>
    </row>
    <row r="808" spans="1:18">
      <c r="A808" s="2047"/>
      <c r="B808" s="2216"/>
      <c r="C808" s="1564"/>
      <c r="D808" s="1564"/>
      <c r="E808" s="1564"/>
      <c r="F808" s="1564"/>
      <c r="G808" s="2233"/>
      <c r="H808" s="966"/>
      <c r="I808" s="1564"/>
      <c r="J808" s="1564"/>
      <c r="K808" s="1565"/>
      <c r="L808" s="966"/>
      <c r="M808" s="1882"/>
      <c r="N808" s="2900"/>
      <c r="O808" s="1634"/>
      <c r="P808" s="1564"/>
      <c r="Q808" s="1564"/>
      <c r="R808" s="1566"/>
    </row>
    <row r="809" spans="1:18">
      <c r="A809" s="2003"/>
      <c r="B809" s="1913"/>
      <c r="C809" s="1536"/>
      <c r="D809" s="1536"/>
      <c r="E809" s="1536"/>
      <c r="F809" s="1614"/>
      <c r="G809" s="2232"/>
      <c r="H809" s="2236"/>
      <c r="I809" s="1536"/>
      <c r="J809" s="1536"/>
      <c r="K809" s="1537"/>
      <c r="L809" s="1235"/>
      <c r="M809" s="1236"/>
      <c r="N809" s="2902"/>
      <c r="O809" s="1628"/>
      <c r="P809" s="1536"/>
      <c r="Q809" s="1536"/>
      <c r="R809" s="1567"/>
    </row>
    <row r="810" spans="1:18">
      <c r="A810" s="2003"/>
      <c r="B810" s="1913"/>
      <c r="C810" s="1536"/>
      <c r="D810" s="1536"/>
      <c r="E810" s="1536"/>
      <c r="F810" s="1614"/>
      <c r="G810" s="2235"/>
      <c r="H810" s="2234"/>
      <c r="I810" s="1526"/>
      <c r="J810" s="1536"/>
      <c r="K810" s="1537"/>
      <c r="L810" s="1235"/>
      <c r="M810" s="1236"/>
      <c r="N810" s="2900"/>
      <c r="O810" s="1628"/>
      <c r="P810" s="1536"/>
      <c r="Q810" s="1536"/>
      <c r="R810" s="1567"/>
    </row>
    <row r="811" spans="1:18">
      <c r="A811" s="2003"/>
      <c r="B811" s="1913"/>
      <c r="C811" s="1536"/>
      <c r="D811" s="1536"/>
      <c r="E811" s="1536"/>
      <c r="F811" s="1614"/>
      <c r="G811" s="2235"/>
      <c r="H811" s="2234"/>
      <c r="I811" s="1526"/>
      <c r="J811" s="1536"/>
      <c r="K811" s="1537"/>
      <c r="L811" s="1235"/>
      <c r="M811" s="1236"/>
      <c r="N811" s="2902"/>
      <c r="O811" s="1628"/>
      <c r="P811" s="1536"/>
      <c r="Q811" s="1536"/>
      <c r="R811" s="1567"/>
    </row>
    <row r="812" spans="1:18">
      <c r="A812" s="2003"/>
      <c r="B812" s="1913"/>
      <c r="C812" s="1536"/>
      <c r="D812" s="1536"/>
      <c r="E812" s="1536"/>
      <c r="F812" s="1614"/>
      <c r="G812" s="2235"/>
      <c r="H812" s="2234"/>
      <c r="I812" s="1526"/>
      <c r="J812" s="1536"/>
      <c r="K812" s="1537"/>
      <c r="L812" s="1235"/>
      <c r="M812" s="1236"/>
      <c r="N812" s="2900"/>
      <c r="O812" s="1628"/>
      <c r="P812" s="1536"/>
      <c r="Q812" s="1536"/>
      <c r="R812" s="1567"/>
    </row>
    <row r="813" spans="1:18">
      <c r="A813" s="2003"/>
      <c r="B813" s="1913"/>
      <c r="C813" s="1536"/>
      <c r="D813" s="1536"/>
      <c r="E813" s="1536"/>
      <c r="F813" s="1614"/>
      <c r="G813" s="2235"/>
      <c r="H813" s="2234"/>
      <c r="I813" s="1526"/>
      <c r="J813" s="1536"/>
      <c r="K813" s="1537"/>
      <c r="L813" s="1235"/>
      <c r="M813" s="1236"/>
      <c r="N813" s="2902"/>
      <c r="O813" s="1628"/>
      <c r="P813" s="1536"/>
      <c r="Q813" s="1536"/>
      <c r="R813" s="1567"/>
    </row>
    <row r="814" spans="1:18">
      <c r="A814" s="2003"/>
      <c r="B814" s="1913"/>
      <c r="C814" s="1536"/>
      <c r="D814" s="1536"/>
      <c r="E814" s="1536"/>
      <c r="F814" s="1614"/>
      <c r="G814" s="2235"/>
      <c r="H814" s="2234"/>
      <c r="I814" s="1526"/>
      <c r="J814" s="1536"/>
      <c r="K814" s="1537"/>
      <c r="L814" s="1235"/>
      <c r="M814" s="1236"/>
      <c r="N814" s="2900"/>
      <c r="O814" s="1628"/>
      <c r="P814" s="1536"/>
      <c r="Q814" s="1536"/>
      <c r="R814" s="1567"/>
    </row>
    <row r="815" spans="1:18">
      <c r="A815" s="2003"/>
      <c r="B815" s="1913"/>
      <c r="C815" s="1536"/>
      <c r="D815" s="1536"/>
      <c r="E815" s="1536"/>
      <c r="F815" s="1614"/>
      <c r="G815" s="2235"/>
      <c r="H815" s="2234"/>
      <c r="I815" s="1526"/>
      <c r="J815" s="1536"/>
      <c r="K815" s="1537"/>
      <c r="L815" s="1235"/>
      <c r="M815" s="1236"/>
      <c r="N815" s="2902"/>
      <c r="O815" s="1628"/>
      <c r="P815" s="1536"/>
      <c r="Q815" s="1536"/>
      <c r="R815" s="1567"/>
    </row>
    <row r="816" spans="1:18">
      <c r="A816" s="2003"/>
      <c r="B816" s="1913"/>
      <c r="C816" s="1536"/>
      <c r="D816" s="1536"/>
      <c r="E816" s="1536"/>
      <c r="F816" s="1536"/>
      <c r="G816" s="1552"/>
      <c r="H816" s="1539"/>
      <c r="I816" s="1536"/>
      <c r="J816" s="1536"/>
      <c r="K816" s="1537"/>
      <c r="L816" s="1235"/>
      <c r="M816" s="1236"/>
      <c r="N816" s="2900"/>
      <c r="O816" s="1628"/>
      <c r="P816" s="1536"/>
      <c r="Q816" s="1536"/>
      <c r="R816" s="1567"/>
    </row>
    <row r="817" spans="1:18">
      <c r="A817" s="2003"/>
      <c r="B817" s="1913"/>
      <c r="C817" s="1536"/>
      <c r="D817" s="1536"/>
      <c r="E817" s="1536"/>
      <c r="F817" s="1536"/>
      <c r="G817" s="1536"/>
      <c r="H817" s="1709"/>
      <c r="I817" s="1536"/>
      <c r="J817" s="1536"/>
      <c r="K817" s="1537"/>
      <c r="L817" s="1235"/>
      <c r="M817" s="1236"/>
      <c r="N817" s="2902"/>
      <c r="O817" s="1628"/>
      <c r="P817" s="1536"/>
      <c r="Q817" s="1536"/>
      <c r="R817" s="1567"/>
    </row>
    <row r="818" spans="1:18">
      <c r="A818" s="2003"/>
      <c r="B818" s="1913"/>
      <c r="C818" s="1536"/>
      <c r="D818" s="1536"/>
      <c r="E818" s="1536"/>
      <c r="F818" s="1536"/>
      <c r="G818" s="1536"/>
      <c r="H818" s="1235"/>
      <c r="I818" s="1536"/>
      <c r="J818" s="1536"/>
      <c r="K818" s="1537"/>
      <c r="L818" s="1235"/>
      <c r="M818" s="1236"/>
      <c r="N818" s="2900"/>
      <c r="O818" s="1628"/>
      <c r="P818" s="1536"/>
      <c r="Q818" s="1536"/>
      <c r="R818" s="1567"/>
    </row>
    <row r="819" spans="1:18">
      <c r="A819" s="2003"/>
      <c r="B819" s="1913"/>
      <c r="C819" s="1536"/>
      <c r="D819" s="1536"/>
      <c r="E819" s="1536"/>
      <c r="F819" s="1536"/>
      <c r="G819" s="1536"/>
      <c r="H819" s="1235"/>
      <c r="I819" s="1536"/>
      <c r="J819" s="1536"/>
      <c r="K819" s="1537"/>
      <c r="L819" s="1235"/>
      <c r="M819" s="1236"/>
      <c r="N819" s="2902"/>
      <c r="O819" s="1628"/>
      <c r="P819" s="1536"/>
      <c r="Q819" s="1536"/>
      <c r="R819" s="1567"/>
    </row>
    <row r="820" spans="1:18">
      <c r="A820" s="2003"/>
      <c r="B820" s="1913"/>
      <c r="C820" s="1536"/>
      <c r="D820" s="1536"/>
      <c r="E820" s="1536"/>
      <c r="F820" s="1536"/>
      <c r="G820" s="1536"/>
      <c r="H820" s="1235"/>
      <c r="I820" s="1536"/>
      <c r="J820" s="1536"/>
      <c r="K820" s="1537"/>
      <c r="L820" s="1235"/>
      <c r="M820" s="1236"/>
      <c r="N820" s="2900"/>
      <c r="O820" s="1628"/>
      <c r="P820" s="1536"/>
      <c r="Q820" s="1536"/>
      <c r="R820" s="1567"/>
    </row>
    <row r="821" spans="1:18">
      <c r="A821" s="2003"/>
      <c r="B821" s="1913"/>
      <c r="C821" s="1536"/>
      <c r="D821" s="1536"/>
      <c r="E821" s="1536"/>
      <c r="F821" s="1536"/>
      <c r="G821" s="1536"/>
      <c r="H821" s="1235"/>
      <c r="I821" s="1536"/>
      <c r="J821" s="1536"/>
      <c r="K821" s="1537"/>
      <c r="L821" s="1235"/>
      <c r="M821" s="1236"/>
      <c r="N821" s="2902"/>
      <c r="O821" s="1628"/>
      <c r="P821" s="1536"/>
      <c r="Q821" s="1536"/>
      <c r="R821" s="1567"/>
    </row>
    <row r="822" spans="1:18">
      <c r="A822" s="2003"/>
      <c r="B822" s="1913"/>
      <c r="C822" s="1536"/>
      <c r="D822" s="1536"/>
      <c r="E822" s="1536"/>
      <c r="F822" s="1536"/>
      <c r="G822" s="1536"/>
      <c r="H822" s="1235"/>
      <c r="I822" s="1235"/>
      <c r="J822" s="1235"/>
      <c r="K822" s="1537"/>
      <c r="L822" s="1235"/>
      <c r="M822" s="1236"/>
      <c r="N822" s="1879"/>
      <c r="O822" s="1628"/>
      <c r="P822" s="1536"/>
      <c r="Q822" s="1536"/>
      <c r="R822" s="1567"/>
    </row>
    <row r="823" spans="1:18">
      <c r="A823" s="2003"/>
      <c r="B823" s="1913"/>
      <c r="C823" s="1536"/>
      <c r="D823" s="1536"/>
      <c r="E823" s="1536"/>
      <c r="F823" s="1536"/>
      <c r="G823" s="1536"/>
      <c r="H823" s="1235"/>
      <c r="I823" s="1536"/>
      <c r="J823" s="1536"/>
      <c r="K823" s="1537"/>
      <c r="L823" s="1235"/>
      <c r="M823" s="1236"/>
      <c r="N823" s="2900"/>
      <c r="O823" s="1628"/>
      <c r="P823" s="1536"/>
      <c r="Q823" s="1536"/>
      <c r="R823" s="1567"/>
    </row>
    <row r="824" spans="1:18">
      <c r="A824" s="2003"/>
      <c r="B824" s="1913"/>
      <c r="C824" s="1536"/>
      <c r="D824" s="1536"/>
      <c r="E824" s="1536"/>
      <c r="F824" s="1536"/>
      <c r="G824" s="1536"/>
      <c r="H824" s="1235"/>
      <c r="I824" s="1536"/>
      <c r="J824" s="1536"/>
      <c r="K824" s="1537"/>
      <c r="L824" s="1235"/>
      <c r="M824" s="1236"/>
      <c r="N824" s="2902"/>
      <c r="O824" s="1628"/>
      <c r="P824" s="1536"/>
      <c r="Q824" s="1536"/>
      <c r="R824" s="1567"/>
    </row>
    <row r="825" spans="1:18">
      <c r="A825" s="2003"/>
      <c r="B825" s="1913"/>
      <c r="C825" s="1536"/>
      <c r="D825" s="1536"/>
      <c r="E825" s="1536"/>
      <c r="F825" s="1536"/>
      <c r="G825" s="1536"/>
      <c r="H825" s="1235"/>
      <c r="I825" s="1536"/>
      <c r="J825" s="1536"/>
      <c r="K825" s="1537"/>
      <c r="L825" s="1235"/>
      <c r="M825" s="1236"/>
      <c r="N825" s="2900"/>
      <c r="O825" s="1628"/>
      <c r="P825" s="1536"/>
      <c r="Q825" s="1536"/>
      <c r="R825" s="1567"/>
    </row>
    <row r="826" spans="1:18">
      <c r="A826" s="2003"/>
      <c r="B826" s="1913"/>
      <c r="C826" s="1536"/>
      <c r="D826" s="1536"/>
      <c r="E826" s="1536"/>
      <c r="F826" s="1536"/>
      <c r="G826" s="1536"/>
      <c r="H826" s="1235"/>
      <c r="I826" s="1536"/>
      <c r="J826" s="1536"/>
      <c r="K826" s="1537"/>
      <c r="L826" s="1235"/>
      <c r="M826" s="1236"/>
      <c r="N826" s="2902"/>
      <c r="O826" s="1628"/>
      <c r="P826" s="1536"/>
      <c r="Q826" s="1536"/>
      <c r="R826" s="1567"/>
    </row>
    <row r="827" spans="1:18">
      <c r="A827" s="2003"/>
      <c r="B827" s="1913"/>
      <c r="C827" s="1536"/>
      <c r="D827" s="1536"/>
      <c r="E827" s="1536"/>
      <c r="F827" s="1536"/>
      <c r="G827" s="1536"/>
      <c r="H827" s="1235"/>
      <c r="I827" s="1235"/>
      <c r="J827" s="1235"/>
      <c r="K827" s="1537"/>
      <c r="L827" s="1235"/>
      <c r="M827" s="1236"/>
      <c r="N827" s="1879"/>
      <c r="O827" s="1628"/>
      <c r="P827" s="1536"/>
      <c r="Q827" s="1536"/>
      <c r="R827" s="1567"/>
    </row>
    <row r="828" spans="1:18">
      <c r="A828" s="2003"/>
      <c r="B828" s="1913"/>
      <c r="C828" s="1536"/>
      <c r="D828" s="1536"/>
      <c r="E828" s="1536"/>
      <c r="F828" s="1536"/>
      <c r="G828" s="1536"/>
      <c r="H828" s="1235"/>
      <c r="I828" s="1536"/>
      <c r="J828" s="1536"/>
      <c r="K828" s="1537"/>
      <c r="L828" s="1235"/>
      <c r="M828" s="1236"/>
      <c r="N828" s="2900"/>
      <c r="O828" s="1628"/>
      <c r="P828" s="1536"/>
      <c r="Q828" s="1536"/>
      <c r="R828" s="1567"/>
    </row>
    <row r="829" spans="1:18">
      <c r="A829" s="2003"/>
      <c r="B829" s="1913"/>
      <c r="C829" s="1536"/>
      <c r="D829" s="1536"/>
      <c r="E829" s="1536"/>
      <c r="F829" s="1536"/>
      <c r="G829" s="1536"/>
      <c r="H829" s="1235"/>
      <c r="I829" s="1536"/>
      <c r="J829" s="1536"/>
      <c r="K829" s="1537"/>
      <c r="L829" s="1235"/>
      <c r="M829" s="1236"/>
      <c r="N829" s="2902"/>
      <c r="O829" s="1628"/>
      <c r="P829" s="1536"/>
      <c r="Q829" s="1536"/>
      <c r="R829" s="1567"/>
    </row>
    <row r="830" spans="1:18">
      <c r="A830" s="2003"/>
      <c r="B830" s="1913"/>
      <c r="C830" s="1536"/>
      <c r="D830" s="1536"/>
      <c r="E830" s="1536"/>
      <c r="F830" s="1536"/>
      <c r="G830" s="1536"/>
      <c r="H830" s="1235"/>
      <c r="I830" s="1536"/>
      <c r="J830" s="1536"/>
      <c r="K830" s="1537"/>
      <c r="L830" s="1235"/>
      <c r="M830" s="1236"/>
      <c r="N830" s="2900"/>
      <c r="O830" s="1628"/>
      <c r="P830" s="1536"/>
      <c r="Q830" s="1536"/>
      <c r="R830" s="1567"/>
    </row>
    <row r="831" spans="1:18">
      <c r="A831" s="2003"/>
      <c r="B831" s="1913"/>
      <c r="C831" s="1536"/>
      <c r="D831" s="1536"/>
      <c r="E831" s="1536"/>
      <c r="F831" s="1536"/>
      <c r="G831" s="1536"/>
      <c r="H831" s="1235"/>
      <c r="I831" s="1536"/>
      <c r="J831" s="1536"/>
      <c r="K831" s="1537"/>
      <c r="L831" s="1235"/>
      <c r="M831" s="1236"/>
      <c r="N831" s="2902"/>
      <c r="O831" s="1628"/>
      <c r="P831" s="1536"/>
      <c r="Q831" s="1536"/>
      <c r="R831" s="1567"/>
    </row>
    <row r="832" spans="1:18">
      <c r="A832" s="2003"/>
      <c r="B832" s="1913"/>
      <c r="C832" s="1536"/>
      <c r="D832" s="1536"/>
      <c r="E832" s="1536"/>
      <c r="F832" s="1536"/>
      <c r="G832" s="1536"/>
      <c r="H832" s="1235"/>
      <c r="I832" s="1536"/>
      <c r="J832" s="1536"/>
      <c r="K832" s="1537"/>
      <c r="L832" s="1235"/>
      <c r="M832" s="1236"/>
      <c r="N832" s="2900"/>
      <c r="O832" s="1628"/>
      <c r="P832" s="1536"/>
      <c r="Q832" s="1536"/>
      <c r="R832" s="1567"/>
    </row>
    <row r="833" spans="1:18">
      <c r="A833" s="2003"/>
      <c r="B833" s="1913"/>
      <c r="C833" s="1536"/>
      <c r="D833" s="1536"/>
      <c r="E833" s="1536"/>
      <c r="F833" s="1536"/>
      <c r="G833" s="1536"/>
      <c r="H833" s="1235"/>
      <c r="I833" s="1536"/>
      <c r="J833" s="1536"/>
      <c r="K833" s="1537"/>
      <c r="L833" s="1235"/>
      <c r="M833" s="1236"/>
      <c r="N833" s="2902"/>
      <c r="O833" s="1628"/>
      <c r="P833" s="1536"/>
      <c r="Q833" s="1536"/>
      <c r="R833" s="1567"/>
    </row>
    <row r="834" spans="1:18">
      <c r="A834" s="2003"/>
      <c r="B834" s="1913"/>
      <c r="C834" s="1536"/>
      <c r="D834" s="1536"/>
      <c r="E834" s="1536"/>
      <c r="F834" s="1536"/>
      <c r="G834" s="1536"/>
      <c r="H834" s="1235"/>
      <c r="I834" s="1536"/>
      <c r="J834" s="1536"/>
      <c r="K834" s="1537"/>
      <c r="L834" s="1235"/>
      <c r="M834" s="1236"/>
      <c r="N834" s="2900"/>
      <c r="O834" s="1628"/>
      <c r="P834" s="1536"/>
      <c r="Q834" s="1536"/>
      <c r="R834" s="1567"/>
    </row>
    <row r="835" spans="1:18">
      <c r="A835" s="2003"/>
      <c r="B835" s="1913"/>
      <c r="C835" s="1536"/>
      <c r="D835" s="1536"/>
      <c r="E835" s="1536"/>
      <c r="F835" s="1536"/>
      <c r="G835" s="1536"/>
      <c r="H835" s="1235"/>
      <c r="I835" s="1536"/>
      <c r="J835" s="1536"/>
      <c r="K835" s="1537"/>
      <c r="L835" s="1235"/>
      <c r="M835" s="1236"/>
      <c r="N835" s="2902"/>
      <c r="O835" s="1628"/>
      <c r="P835" s="1536"/>
      <c r="Q835" s="1536"/>
      <c r="R835" s="1567"/>
    </row>
    <row r="836" spans="1:18">
      <c r="A836" s="2003"/>
      <c r="B836" s="1913"/>
      <c r="C836" s="1536"/>
      <c r="D836" s="1536"/>
      <c r="E836" s="1536"/>
      <c r="F836" s="1536"/>
      <c r="G836" s="1536"/>
      <c r="H836" s="1235"/>
      <c r="I836" s="1536"/>
      <c r="J836" s="1536"/>
      <c r="K836" s="1537"/>
      <c r="L836" s="1235"/>
      <c r="M836" s="1236"/>
      <c r="N836" s="2900"/>
      <c r="O836" s="1628"/>
      <c r="P836" s="1536"/>
      <c r="Q836" s="1536"/>
      <c r="R836" s="1567"/>
    </row>
    <row r="837" spans="1:18">
      <c r="A837" s="2003"/>
      <c r="B837" s="1913"/>
      <c r="C837" s="1536"/>
      <c r="D837" s="1536"/>
      <c r="E837" s="1536"/>
      <c r="F837" s="1536"/>
      <c r="G837" s="1536"/>
      <c r="H837" s="1235"/>
      <c r="I837" s="1235"/>
      <c r="J837" s="1235"/>
      <c r="K837" s="1537"/>
      <c r="L837" s="1235"/>
      <c r="M837" s="1236"/>
      <c r="N837" s="2903"/>
      <c r="O837" s="1628"/>
      <c r="P837" s="1536"/>
      <c r="Q837" s="1536"/>
      <c r="R837" s="1567"/>
    </row>
    <row r="838" spans="1:18">
      <c r="A838" s="2003"/>
      <c r="B838" s="1913"/>
      <c r="C838" s="1536"/>
      <c r="D838" s="1536"/>
      <c r="E838" s="1536"/>
      <c r="F838" s="1536"/>
      <c r="G838" s="1536"/>
      <c r="H838" s="1235"/>
      <c r="I838" s="1536"/>
      <c r="J838" s="1536"/>
      <c r="K838" s="1537"/>
      <c r="L838" s="1235"/>
      <c r="M838" s="1236"/>
      <c r="N838" s="2902"/>
      <c r="O838" s="1628"/>
      <c r="P838" s="1536"/>
      <c r="Q838" s="1536"/>
      <c r="R838" s="1567"/>
    </row>
    <row r="839" spans="1:18">
      <c r="A839" s="2003"/>
      <c r="B839" s="1913"/>
      <c r="C839" s="1536"/>
      <c r="D839" s="1536"/>
      <c r="E839" s="1536"/>
      <c r="F839" s="1536"/>
      <c r="G839" s="1536"/>
      <c r="H839" s="1235"/>
      <c r="I839" s="1536"/>
      <c r="J839" s="1536"/>
      <c r="K839" s="1537"/>
      <c r="L839" s="1235"/>
      <c r="M839" s="1236"/>
      <c r="N839" s="2900"/>
      <c r="O839" s="1628"/>
      <c r="P839" s="1536"/>
      <c r="Q839" s="1536"/>
      <c r="R839" s="1567"/>
    </row>
    <row r="840" spans="1:18">
      <c r="A840" s="2003"/>
      <c r="B840" s="1913"/>
      <c r="C840" s="1536"/>
      <c r="D840" s="1536"/>
      <c r="E840" s="1536"/>
      <c r="F840" s="1536"/>
      <c r="G840" s="1536"/>
      <c r="H840" s="1235"/>
      <c r="I840" s="1536"/>
      <c r="J840" s="1536"/>
      <c r="K840" s="1537"/>
      <c r="L840" s="1235"/>
      <c r="M840" s="1236"/>
      <c r="N840" s="2902"/>
      <c r="O840" s="1628"/>
      <c r="P840" s="1536"/>
      <c r="Q840" s="1536"/>
      <c r="R840" s="1567"/>
    </row>
    <row r="841" spans="1:18">
      <c r="A841" s="2003"/>
      <c r="B841" s="1913"/>
      <c r="C841" s="1536"/>
      <c r="D841" s="1536"/>
      <c r="E841" s="1536"/>
      <c r="F841" s="1536"/>
      <c r="G841" s="1536"/>
      <c r="H841" s="1235"/>
      <c r="I841" s="1536"/>
      <c r="J841" s="1536"/>
      <c r="K841" s="1537"/>
      <c r="L841" s="1235"/>
      <c r="M841" s="1236"/>
      <c r="N841" s="2900"/>
      <c r="O841" s="1628"/>
      <c r="P841" s="1536"/>
      <c r="Q841" s="1536"/>
      <c r="R841" s="1567"/>
    </row>
    <row r="842" spans="1:18">
      <c r="A842" s="2003"/>
      <c r="B842" s="1913"/>
      <c r="C842" s="1536"/>
      <c r="D842" s="1536"/>
      <c r="E842" s="1536"/>
      <c r="F842" s="1536"/>
      <c r="G842" s="1536"/>
      <c r="H842" s="1235"/>
      <c r="I842" s="1536"/>
      <c r="J842" s="1536"/>
      <c r="K842" s="1537"/>
      <c r="L842" s="1235"/>
      <c r="M842" s="1236"/>
      <c r="N842" s="2903"/>
      <c r="O842" s="1628"/>
      <c r="P842" s="1536"/>
      <c r="Q842" s="1536"/>
      <c r="R842" s="1567"/>
    </row>
    <row r="843" spans="1:18">
      <c r="A843" s="2003"/>
      <c r="B843" s="1913"/>
      <c r="C843" s="1536"/>
      <c r="D843" s="1536"/>
      <c r="E843" s="1536"/>
      <c r="F843" s="1536"/>
      <c r="G843" s="1536"/>
      <c r="H843" s="1235"/>
      <c r="I843" s="1536"/>
      <c r="J843" s="1536"/>
      <c r="K843" s="1537"/>
      <c r="L843" s="1235"/>
      <c r="M843" s="1236"/>
      <c r="N843" s="2903"/>
      <c r="O843" s="1628"/>
      <c r="P843" s="1536"/>
      <c r="Q843" s="1536"/>
      <c r="R843" s="1567"/>
    </row>
    <row r="844" spans="1:18">
      <c r="A844" s="2003"/>
      <c r="B844" s="1913"/>
      <c r="C844" s="1536"/>
      <c r="D844" s="1536"/>
      <c r="E844" s="1536"/>
      <c r="F844" s="1536"/>
      <c r="G844" s="1536"/>
      <c r="H844" s="1235"/>
      <c r="I844" s="1536"/>
      <c r="J844" s="1536"/>
      <c r="K844" s="1537"/>
      <c r="L844" s="1235"/>
      <c r="M844" s="1236"/>
      <c r="N844" s="2902"/>
      <c r="O844" s="1628"/>
      <c r="P844" s="1536"/>
      <c r="Q844" s="1536"/>
      <c r="R844" s="1567"/>
    </row>
    <row r="845" spans="1:18">
      <c r="A845" s="2003"/>
      <c r="B845" s="1913"/>
      <c r="C845" s="1536"/>
      <c r="D845" s="1536"/>
      <c r="E845" s="1536"/>
      <c r="F845" s="1536"/>
      <c r="G845" s="1536"/>
      <c r="H845" s="1235"/>
      <c r="I845" s="1536"/>
      <c r="J845" s="1536"/>
      <c r="K845" s="1537"/>
      <c r="L845" s="1235"/>
      <c r="M845" s="1236"/>
      <c r="N845" s="2900"/>
      <c r="O845" s="1628"/>
      <c r="P845" s="1536"/>
      <c r="Q845" s="1536"/>
      <c r="R845" s="1567"/>
    </row>
    <row r="846" spans="1:18">
      <c r="A846" s="2003"/>
      <c r="B846" s="1913"/>
      <c r="C846" s="1536"/>
      <c r="D846" s="1536"/>
      <c r="E846" s="1536"/>
      <c r="F846" s="1536"/>
      <c r="G846" s="1536"/>
      <c r="H846" s="1235"/>
      <c r="I846" s="1536"/>
      <c r="J846" s="1536"/>
      <c r="K846" s="1537"/>
      <c r="L846" s="1235"/>
      <c r="M846" s="1236"/>
      <c r="N846" s="2903"/>
      <c r="O846" s="1628"/>
      <c r="P846" s="1536"/>
      <c r="Q846" s="1536"/>
      <c r="R846" s="1567"/>
    </row>
    <row r="847" spans="1:18">
      <c r="A847" s="2003"/>
      <c r="B847" s="1913"/>
      <c r="C847" s="1536"/>
      <c r="D847" s="1536"/>
      <c r="E847" s="1536"/>
      <c r="F847" s="1536"/>
      <c r="G847" s="1536"/>
      <c r="H847" s="1235"/>
      <c r="I847" s="1536"/>
      <c r="J847" s="1536"/>
      <c r="K847" s="1537"/>
      <c r="L847" s="1235"/>
      <c r="M847" s="1236"/>
      <c r="N847" s="2902"/>
      <c r="O847" s="1628"/>
      <c r="P847" s="1536"/>
      <c r="Q847" s="1536"/>
      <c r="R847" s="1567"/>
    </row>
    <row r="848" spans="1:18">
      <c r="A848" s="2003"/>
      <c r="B848" s="1913"/>
      <c r="C848" s="1536"/>
      <c r="D848" s="1536"/>
      <c r="E848" s="1536"/>
      <c r="F848" s="1536"/>
      <c r="G848" s="1536"/>
      <c r="H848" s="1235"/>
      <c r="I848" s="1536"/>
      <c r="J848" s="1536"/>
      <c r="K848" s="1537"/>
      <c r="L848" s="1235"/>
      <c r="M848" s="1236"/>
      <c r="N848" s="2900"/>
      <c r="O848" s="1628"/>
      <c r="P848" s="1536"/>
      <c r="Q848" s="1536"/>
      <c r="R848" s="1567"/>
    </row>
    <row r="849" spans="1:18">
      <c r="A849" s="2003"/>
      <c r="B849" s="1913"/>
      <c r="C849" s="1536"/>
      <c r="D849" s="1536"/>
      <c r="E849" s="1536"/>
      <c r="F849" s="1536"/>
      <c r="G849" s="1536"/>
      <c r="H849" s="1235"/>
      <c r="I849" s="1536"/>
      <c r="J849" s="1536"/>
      <c r="K849" s="1537"/>
      <c r="L849" s="1235"/>
      <c r="M849" s="1236"/>
      <c r="N849" s="2902"/>
      <c r="O849" s="1628"/>
      <c r="P849" s="1536"/>
      <c r="Q849" s="1536"/>
      <c r="R849" s="1567"/>
    </row>
    <row r="850" spans="1:18">
      <c r="A850" s="2003"/>
      <c r="B850" s="1913"/>
      <c r="C850" s="1536"/>
      <c r="D850" s="1536"/>
      <c r="E850" s="1536"/>
      <c r="F850" s="1536"/>
      <c r="G850" s="1536"/>
      <c r="H850" s="1235"/>
      <c r="I850" s="1536"/>
      <c r="J850" s="1536"/>
      <c r="K850" s="1537"/>
      <c r="L850" s="1235"/>
      <c r="M850" s="1236"/>
      <c r="N850" s="2900"/>
      <c r="O850" s="1628"/>
      <c r="P850" s="1536"/>
      <c r="Q850" s="1536"/>
      <c r="R850" s="1567"/>
    </row>
    <row r="851" spans="1:18">
      <c r="A851" s="2003"/>
      <c r="B851" s="1913"/>
      <c r="C851" s="1536"/>
      <c r="D851" s="1536"/>
      <c r="E851" s="1536"/>
      <c r="F851" s="1536"/>
      <c r="G851" s="1536"/>
      <c r="H851" s="1235"/>
      <c r="I851" s="1536"/>
      <c r="J851" s="1536"/>
      <c r="K851" s="1537"/>
      <c r="L851" s="1235"/>
      <c r="M851" s="1236"/>
      <c r="N851" s="2902"/>
      <c r="O851" s="1628"/>
      <c r="P851" s="1536"/>
      <c r="Q851" s="1536"/>
      <c r="R851" s="1567"/>
    </row>
    <row r="852" spans="1:18">
      <c r="A852" s="2003"/>
      <c r="B852" s="1913"/>
      <c r="C852" s="1536"/>
      <c r="D852" s="1536"/>
      <c r="E852" s="1536"/>
      <c r="F852" s="1536"/>
      <c r="G852" s="1536"/>
      <c r="H852" s="1235"/>
      <c r="I852" s="1536"/>
      <c r="J852" s="1536"/>
      <c r="K852" s="1537"/>
      <c r="L852" s="1235"/>
      <c r="M852" s="1236"/>
      <c r="N852" s="2900"/>
      <c r="O852" s="1628"/>
      <c r="P852" s="1536"/>
      <c r="Q852" s="1536"/>
      <c r="R852" s="1567"/>
    </row>
    <row r="853" spans="1:18">
      <c r="A853" s="2003"/>
      <c r="B853" s="1913"/>
      <c r="C853" s="1536"/>
      <c r="D853" s="1536"/>
      <c r="E853" s="1536"/>
      <c r="F853" s="1536"/>
      <c r="G853" s="1536"/>
      <c r="H853" s="1235"/>
      <c r="I853" s="1536"/>
      <c r="J853" s="1536"/>
      <c r="K853" s="1537"/>
      <c r="L853" s="1235"/>
      <c r="M853" s="1236"/>
      <c r="N853" s="2902"/>
      <c r="O853" s="1628"/>
      <c r="P853" s="1536"/>
      <c r="Q853" s="1536"/>
      <c r="R853" s="1567"/>
    </row>
    <row r="854" spans="1:18">
      <c r="A854" s="2003"/>
      <c r="B854" s="1913"/>
      <c r="C854" s="1536"/>
      <c r="D854" s="1536"/>
      <c r="E854" s="1536"/>
      <c r="F854" s="1536"/>
      <c r="G854" s="1536"/>
      <c r="H854" s="1235"/>
      <c r="I854" s="1536"/>
      <c r="J854" s="1536"/>
      <c r="K854" s="1537"/>
      <c r="L854" s="1235"/>
      <c r="M854" s="1236"/>
      <c r="N854" s="2900"/>
      <c r="O854" s="1628"/>
      <c r="P854" s="1536"/>
      <c r="Q854" s="1536"/>
      <c r="R854" s="1567"/>
    </row>
    <row r="855" spans="1:18">
      <c r="A855" s="2003"/>
      <c r="B855" s="1913"/>
      <c r="C855" s="1536"/>
      <c r="D855" s="1536"/>
      <c r="E855" s="1536"/>
      <c r="F855" s="1536"/>
      <c r="G855" s="1536"/>
      <c r="H855" s="1235"/>
      <c r="I855" s="1536"/>
      <c r="J855" s="1536"/>
      <c r="K855" s="1537"/>
      <c r="L855" s="1235"/>
      <c r="M855" s="1236"/>
      <c r="N855" s="2903"/>
      <c r="O855" s="1628"/>
      <c r="P855" s="1536"/>
      <c r="Q855" s="1536"/>
      <c r="R855" s="1567"/>
    </row>
    <row r="856" spans="1:18">
      <c r="A856" s="2003"/>
      <c r="B856" s="1913"/>
      <c r="C856" s="1536"/>
      <c r="D856" s="1536"/>
      <c r="E856" s="1536"/>
      <c r="F856" s="1536"/>
      <c r="G856" s="1536"/>
      <c r="H856" s="1235"/>
      <c r="I856" s="1536"/>
      <c r="J856" s="1536"/>
      <c r="K856" s="1537"/>
      <c r="L856" s="1235"/>
      <c r="M856" s="1236"/>
      <c r="N856" s="2902"/>
      <c r="O856" s="1628"/>
      <c r="P856" s="1536"/>
      <c r="Q856" s="1536"/>
      <c r="R856" s="1567"/>
    </row>
    <row r="857" spans="1:18">
      <c r="A857" s="2003"/>
      <c r="B857" s="1913"/>
      <c r="C857" s="1536"/>
      <c r="D857" s="1536"/>
      <c r="E857" s="1536"/>
      <c r="F857" s="1536"/>
      <c r="G857" s="1536"/>
      <c r="H857" s="1235"/>
      <c r="I857" s="1536"/>
      <c r="J857" s="1536"/>
      <c r="K857" s="1537"/>
      <c r="L857" s="1235"/>
      <c r="M857" s="1236"/>
      <c r="N857" s="2900"/>
      <c r="O857" s="1628"/>
      <c r="P857" s="1536"/>
      <c r="Q857" s="1536"/>
      <c r="R857" s="1567"/>
    </row>
    <row r="858" spans="1:18">
      <c r="A858" s="2003"/>
      <c r="B858" s="1913"/>
      <c r="C858" s="1536"/>
      <c r="D858" s="1536"/>
      <c r="E858" s="1536"/>
      <c r="F858" s="1536"/>
      <c r="G858" s="1536"/>
      <c r="H858" s="1235"/>
      <c r="I858" s="1536"/>
      <c r="J858" s="1536"/>
      <c r="K858" s="1537"/>
      <c r="L858" s="1235"/>
      <c r="M858" s="1236"/>
      <c r="N858" s="2902"/>
      <c r="O858" s="1628"/>
      <c r="P858" s="1536"/>
      <c r="Q858" s="1536"/>
      <c r="R858" s="1567"/>
    </row>
    <row r="859" spans="1:18">
      <c r="A859" s="2003"/>
      <c r="B859" s="1913"/>
      <c r="C859" s="1536"/>
      <c r="D859" s="1536"/>
      <c r="E859" s="1536"/>
      <c r="F859" s="1536"/>
      <c r="G859" s="1536"/>
      <c r="H859" s="1235"/>
      <c r="I859" s="1536"/>
      <c r="J859" s="1536"/>
      <c r="K859" s="1537"/>
      <c r="L859" s="1235"/>
      <c r="M859" s="1236"/>
      <c r="N859" s="2900"/>
      <c r="O859" s="1628"/>
      <c r="P859" s="1536"/>
      <c r="Q859" s="1536"/>
      <c r="R859" s="1567"/>
    </row>
    <row r="860" spans="1:18">
      <c r="A860" s="2003"/>
      <c r="B860" s="1913"/>
      <c r="C860" s="1536"/>
      <c r="D860" s="1536"/>
      <c r="E860" s="1536"/>
      <c r="F860" s="1536"/>
      <c r="G860" s="1536"/>
      <c r="H860" s="1235"/>
      <c r="I860" s="1536"/>
      <c r="J860" s="1536"/>
      <c r="K860" s="1537"/>
      <c r="L860" s="1235"/>
      <c r="M860" s="1236"/>
      <c r="N860" s="2902"/>
      <c r="O860" s="1628"/>
      <c r="P860" s="1536"/>
      <c r="Q860" s="1536"/>
      <c r="R860" s="1567"/>
    </row>
    <row r="861" spans="1:18">
      <c r="A861" s="2003"/>
      <c r="B861" s="1913"/>
      <c r="C861" s="1536"/>
      <c r="D861" s="1536"/>
      <c r="E861" s="1536"/>
      <c r="F861" s="1536"/>
      <c r="G861" s="1536"/>
      <c r="H861" s="1235"/>
      <c r="I861" s="1536"/>
      <c r="J861" s="1536"/>
      <c r="K861" s="1537"/>
      <c r="L861" s="1235"/>
      <c r="M861" s="1236"/>
      <c r="N861" s="2900"/>
      <c r="O861" s="1628"/>
      <c r="P861" s="1536"/>
      <c r="Q861" s="1536"/>
      <c r="R861" s="1567"/>
    </row>
    <row r="862" spans="1:18">
      <c r="A862" s="2003"/>
      <c r="B862" s="1913"/>
      <c r="C862" s="1536"/>
      <c r="D862" s="1536"/>
      <c r="E862" s="1536"/>
      <c r="F862" s="1536"/>
      <c r="G862" s="1536"/>
      <c r="H862" s="1235"/>
      <c r="I862" s="1536"/>
      <c r="J862" s="1536"/>
      <c r="K862" s="1537"/>
      <c r="L862" s="1235"/>
      <c r="M862" s="1236"/>
      <c r="N862" s="2902"/>
      <c r="O862" s="1628"/>
      <c r="P862" s="1536"/>
      <c r="Q862" s="1536"/>
      <c r="R862" s="1567"/>
    </row>
    <row r="863" spans="1:18">
      <c r="A863" s="2003"/>
      <c r="B863" s="1913"/>
      <c r="C863" s="1536"/>
      <c r="D863" s="1536"/>
      <c r="E863" s="1536"/>
      <c r="F863" s="1536"/>
      <c r="G863" s="1536"/>
      <c r="H863" s="1235"/>
      <c r="I863" s="1536"/>
      <c r="J863" s="1536"/>
      <c r="K863" s="1537"/>
      <c r="L863" s="1235"/>
      <c r="M863" s="1236"/>
      <c r="N863" s="2900"/>
      <c r="O863" s="1628"/>
      <c r="P863" s="1536"/>
      <c r="Q863" s="1536"/>
      <c r="R863" s="1567"/>
    </row>
    <row r="864" spans="1:18">
      <c r="A864" s="2003"/>
      <c r="B864" s="1913"/>
      <c r="C864" s="1536"/>
      <c r="D864" s="1536"/>
      <c r="E864" s="1536"/>
      <c r="F864" s="1536"/>
      <c r="G864" s="1536"/>
      <c r="H864" s="1235"/>
      <c r="I864" s="1536"/>
      <c r="J864" s="1536"/>
      <c r="K864" s="1537"/>
      <c r="L864" s="1235"/>
      <c r="M864" s="1236"/>
      <c r="N864" s="2903"/>
      <c r="O864" s="1628"/>
      <c r="P864" s="1536"/>
      <c r="Q864" s="1536"/>
      <c r="R864" s="1567"/>
    </row>
    <row r="865" spans="1:18">
      <c r="A865" s="2003"/>
      <c r="B865" s="1913"/>
      <c r="C865" s="1536"/>
      <c r="D865" s="1536"/>
      <c r="E865" s="1536"/>
      <c r="F865" s="1536"/>
      <c r="G865" s="1536"/>
      <c r="H865" s="1235"/>
      <c r="I865" s="1536"/>
      <c r="J865" s="1536"/>
      <c r="K865" s="1537"/>
      <c r="L865" s="1235"/>
      <c r="M865" s="1236"/>
      <c r="N865" s="2902"/>
      <c r="O865" s="1628"/>
      <c r="P865" s="1536"/>
      <c r="Q865" s="1536"/>
      <c r="R865" s="1567"/>
    </row>
    <row r="866" spans="1:18">
      <c r="A866" s="2003"/>
      <c r="B866" s="1913"/>
      <c r="C866" s="1536"/>
      <c r="D866" s="1536"/>
      <c r="E866" s="1536"/>
      <c r="F866" s="1536"/>
      <c r="G866" s="1536"/>
      <c r="H866" s="1235"/>
      <c r="I866" s="1536"/>
      <c r="J866" s="1536"/>
      <c r="K866" s="1537"/>
      <c r="L866" s="1235"/>
      <c r="M866" s="1236"/>
      <c r="N866" s="2900"/>
      <c r="O866" s="1628"/>
      <c r="P866" s="1536"/>
      <c r="Q866" s="1536"/>
      <c r="R866" s="1567"/>
    </row>
    <row r="867" spans="1:18">
      <c r="A867" s="2003"/>
      <c r="B867" s="1913"/>
      <c r="C867" s="1536"/>
      <c r="D867" s="1536"/>
      <c r="E867" s="1536"/>
      <c r="F867" s="1536"/>
      <c r="G867" s="1536"/>
      <c r="H867" s="1235"/>
      <c r="I867" s="1536"/>
      <c r="J867" s="1536"/>
      <c r="K867" s="1537"/>
      <c r="L867" s="1235"/>
      <c r="M867" s="1236"/>
      <c r="N867" s="2903"/>
      <c r="O867" s="1628"/>
      <c r="P867" s="1536"/>
      <c r="Q867" s="1536"/>
      <c r="R867" s="1567"/>
    </row>
    <row r="868" spans="1:18">
      <c r="A868" s="2003"/>
      <c r="B868" s="1913"/>
      <c r="C868" s="1536"/>
      <c r="D868" s="1536"/>
      <c r="E868" s="1536"/>
      <c r="F868" s="1536"/>
      <c r="G868" s="1536"/>
      <c r="H868" s="1235"/>
      <c r="I868" s="1536"/>
      <c r="J868" s="1536"/>
      <c r="K868" s="1537"/>
      <c r="L868" s="1235"/>
      <c r="M868" s="1921"/>
      <c r="N868" s="2900"/>
      <c r="O868" s="1628"/>
      <c r="P868" s="1536"/>
      <c r="Q868" s="1536"/>
      <c r="R868" s="1567"/>
    </row>
    <row r="869" spans="1:18">
      <c r="A869" s="2009"/>
      <c r="B869" s="2212"/>
      <c r="C869" s="1538"/>
      <c r="D869" s="1538"/>
      <c r="E869" s="1538"/>
      <c r="F869" s="1538"/>
      <c r="G869" s="1538"/>
      <c r="H869" s="1535"/>
      <c r="I869" s="1538"/>
      <c r="J869" s="1538"/>
      <c r="K869" s="1556"/>
      <c r="L869" s="1535"/>
      <c r="M869" s="2056"/>
      <c r="N869" s="2901"/>
      <c r="O869" s="1632"/>
      <c r="P869" s="1538"/>
      <c r="Q869" s="1538"/>
      <c r="R869" s="1592"/>
    </row>
    <row r="870" spans="1:18">
      <c r="A870" s="2047"/>
      <c r="B870" s="2216"/>
      <c r="C870" s="1564"/>
      <c r="D870" s="1564"/>
      <c r="E870" s="1564"/>
      <c r="F870" s="1564"/>
      <c r="G870" s="1564"/>
      <c r="H870" s="966"/>
      <c r="I870" s="1564"/>
      <c r="J870" s="1564"/>
      <c r="K870" s="1565"/>
      <c r="L870" s="966"/>
      <c r="M870" s="1882"/>
      <c r="N870" s="2900"/>
      <c r="O870" s="1634"/>
      <c r="P870" s="1564"/>
      <c r="Q870" s="1564"/>
      <c r="R870" s="1566"/>
    </row>
    <row r="871" spans="1:18">
      <c r="A871" s="2003"/>
      <c r="B871" s="1913"/>
      <c r="C871" s="1536"/>
      <c r="D871" s="1536"/>
      <c r="E871" s="1536"/>
      <c r="F871" s="1536"/>
      <c r="G871" s="1536"/>
      <c r="H871" s="1235"/>
      <c r="I871" s="1536"/>
      <c r="J871" s="1536"/>
      <c r="K871" s="1537"/>
      <c r="L871" s="1235"/>
      <c r="M871" s="1236"/>
      <c r="N871" s="2902"/>
      <c r="O871" s="1628"/>
      <c r="P871" s="1536"/>
      <c r="Q871" s="1536"/>
      <c r="R871" s="1567"/>
    </row>
    <row r="872" spans="1:18">
      <c r="A872" s="2003"/>
      <c r="B872" s="1913"/>
      <c r="C872" s="1536"/>
      <c r="D872" s="1536"/>
      <c r="E872" s="1536"/>
      <c r="F872" s="1536"/>
      <c r="G872" s="1536"/>
      <c r="H872" s="1235"/>
      <c r="I872" s="1536"/>
      <c r="J872" s="1536"/>
      <c r="K872" s="1537"/>
      <c r="L872" s="1235"/>
      <c r="M872" s="1236"/>
      <c r="N872" s="2900"/>
      <c r="O872" s="1628"/>
      <c r="P872" s="1536"/>
      <c r="Q872" s="1536"/>
      <c r="R872" s="1567"/>
    </row>
    <row r="873" spans="1:18">
      <c r="A873" s="2003"/>
      <c r="B873" s="1913"/>
      <c r="C873" s="1536"/>
      <c r="D873" s="1536"/>
      <c r="E873" s="1536"/>
      <c r="F873" s="1536"/>
      <c r="G873" s="1536"/>
      <c r="H873" s="1235"/>
      <c r="I873" s="1536"/>
      <c r="J873" s="1536"/>
      <c r="K873" s="1537"/>
      <c r="L873" s="1235"/>
      <c r="M873" s="1236"/>
      <c r="N873" s="2902"/>
      <c r="O873" s="1628"/>
      <c r="P873" s="1536"/>
      <c r="Q873" s="1536"/>
      <c r="R873" s="1567"/>
    </row>
    <row r="874" spans="1:18">
      <c r="A874" s="2003"/>
      <c r="B874" s="1913"/>
      <c r="C874" s="1536"/>
      <c r="D874" s="1536"/>
      <c r="E874" s="1536"/>
      <c r="F874" s="1536"/>
      <c r="G874" s="1536"/>
      <c r="H874" s="1235"/>
      <c r="I874" s="1536"/>
      <c r="J874" s="1536"/>
      <c r="K874" s="1537"/>
      <c r="L874" s="1235"/>
      <c r="M874" s="1236"/>
      <c r="N874" s="2900"/>
      <c r="O874" s="1628"/>
      <c r="P874" s="1536"/>
      <c r="Q874" s="1536"/>
      <c r="R874" s="1567"/>
    </row>
    <row r="875" spans="1:18">
      <c r="A875" s="2003"/>
      <c r="B875" s="1913"/>
      <c r="C875" s="1536"/>
      <c r="D875" s="1536"/>
      <c r="E875" s="1536"/>
      <c r="F875" s="1536"/>
      <c r="G875" s="1536"/>
      <c r="H875" s="1235"/>
      <c r="I875" s="1536"/>
      <c r="J875" s="1536"/>
      <c r="K875" s="1537"/>
      <c r="L875" s="1235"/>
      <c r="M875" s="1236"/>
      <c r="N875" s="2902"/>
      <c r="O875" s="1628"/>
      <c r="P875" s="1536"/>
      <c r="Q875" s="1536"/>
      <c r="R875" s="1567"/>
    </row>
    <row r="876" spans="1:18">
      <c r="A876" s="2003"/>
      <c r="B876" s="1913"/>
      <c r="C876" s="1536"/>
      <c r="D876" s="1536"/>
      <c r="E876" s="1536"/>
      <c r="F876" s="1536"/>
      <c r="G876" s="1536"/>
      <c r="H876" s="1235"/>
      <c r="I876" s="1536"/>
      <c r="J876" s="1536"/>
      <c r="K876" s="1537"/>
      <c r="L876" s="1235"/>
      <c r="M876" s="1236"/>
      <c r="N876" s="2900"/>
      <c r="O876" s="1628"/>
      <c r="P876" s="1536"/>
      <c r="Q876" s="1536"/>
      <c r="R876" s="1567"/>
    </row>
    <row r="877" spans="1:18">
      <c r="A877" s="2003"/>
      <c r="B877" s="1913"/>
      <c r="C877" s="1536"/>
      <c r="D877" s="1536"/>
      <c r="E877" s="1536"/>
      <c r="F877" s="1536"/>
      <c r="G877" s="1536"/>
      <c r="H877" s="1235"/>
      <c r="I877" s="1536"/>
      <c r="J877" s="1536"/>
      <c r="K877" s="1537"/>
      <c r="L877" s="1235"/>
      <c r="M877" s="1236"/>
      <c r="N877" s="2902"/>
      <c r="O877" s="1628"/>
      <c r="P877" s="1536"/>
      <c r="Q877" s="1536"/>
      <c r="R877" s="1567"/>
    </row>
    <row r="878" spans="1:18">
      <c r="A878" s="2003"/>
      <c r="B878" s="1913"/>
      <c r="C878" s="1536"/>
      <c r="D878" s="1536"/>
      <c r="E878" s="1536"/>
      <c r="F878" s="1536"/>
      <c r="G878" s="1536"/>
      <c r="H878" s="1235"/>
      <c r="I878" s="1536"/>
      <c r="J878" s="1536"/>
      <c r="K878" s="1537"/>
      <c r="L878" s="1235"/>
      <c r="M878" s="1236"/>
      <c r="N878" s="2900"/>
      <c r="O878" s="1628"/>
      <c r="P878" s="1536"/>
      <c r="Q878" s="1536"/>
      <c r="R878" s="1567"/>
    </row>
    <row r="879" spans="1:18">
      <c r="A879" s="2003"/>
      <c r="B879" s="1913"/>
      <c r="C879" s="1536"/>
      <c r="D879" s="1536"/>
      <c r="E879" s="1536"/>
      <c r="F879" s="1536"/>
      <c r="G879" s="1536"/>
      <c r="H879" s="1235"/>
      <c r="I879" s="1536"/>
      <c r="J879" s="1536"/>
      <c r="K879" s="1537"/>
      <c r="L879" s="1235"/>
      <c r="M879" s="1236"/>
      <c r="N879" s="2902"/>
      <c r="O879" s="1628"/>
      <c r="P879" s="1536"/>
      <c r="Q879" s="1536"/>
      <c r="R879" s="1567"/>
    </row>
    <row r="880" spans="1:18">
      <c r="A880" s="2003"/>
      <c r="B880" s="1913"/>
      <c r="C880" s="1536"/>
      <c r="D880" s="1536"/>
      <c r="E880" s="1536"/>
      <c r="F880" s="1536"/>
      <c r="G880" s="1536"/>
      <c r="H880" s="1235"/>
      <c r="I880" s="1536"/>
      <c r="J880" s="1536"/>
      <c r="K880" s="1537"/>
      <c r="L880" s="1235"/>
      <c r="M880" s="1236"/>
      <c r="N880" s="2900"/>
      <c r="O880" s="1628"/>
      <c r="P880" s="1536"/>
      <c r="Q880" s="1536"/>
      <c r="R880" s="1567"/>
    </row>
    <row r="881" spans="1:18">
      <c r="A881" s="2003"/>
      <c r="B881" s="1913"/>
      <c r="C881" s="1536"/>
      <c r="D881" s="1536"/>
      <c r="E881" s="1536"/>
      <c r="F881" s="1536"/>
      <c r="G881" s="1536"/>
      <c r="H881" s="1235"/>
      <c r="I881" s="1536"/>
      <c r="J881" s="1536"/>
      <c r="K881" s="1537"/>
      <c r="L881" s="1235"/>
      <c r="M881" s="1236"/>
      <c r="N881" s="2902"/>
      <c r="O881" s="1628"/>
      <c r="P881" s="1536"/>
      <c r="Q881" s="1536"/>
      <c r="R881" s="1567"/>
    </row>
    <row r="882" spans="1:18">
      <c r="A882" s="2003"/>
      <c r="B882" s="1913"/>
      <c r="C882" s="1536"/>
      <c r="D882" s="1536"/>
      <c r="E882" s="1536"/>
      <c r="F882" s="1536"/>
      <c r="G882" s="1536"/>
      <c r="H882" s="1235"/>
      <c r="I882" s="1536"/>
      <c r="J882" s="1536"/>
      <c r="K882" s="1537"/>
      <c r="L882" s="1235"/>
      <c r="M882" s="1236"/>
      <c r="N882" s="2900"/>
      <c r="O882" s="1628"/>
      <c r="P882" s="1536"/>
      <c r="Q882" s="1536"/>
      <c r="R882" s="1567"/>
    </row>
    <row r="883" spans="1:18">
      <c r="A883" s="2003"/>
      <c r="B883" s="1913"/>
      <c r="C883" s="1536"/>
      <c r="D883" s="1536"/>
      <c r="E883" s="1536"/>
      <c r="F883" s="1536"/>
      <c r="G883" s="1536"/>
      <c r="H883" s="1235"/>
      <c r="I883" s="1536"/>
      <c r="J883" s="1536"/>
      <c r="K883" s="1537"/>
      <c r="L883" s="1235"/>
      <c r="M883" s="1236"/>
      <c r="N883" s="2903"/>
      <c r="O883" s="1628"/>
      <c r="P883" s="1536"/>
      <c r="Q883" s="1536"/>
      <c r="R883" s="1567"/>
    </row>
    <row r="884" spans="1:18">
      <c r="A884" s="2003"/>
      <c r="B884" s="1913"/>
      <c r="C884" s="1536"/>
      <c r="D884" s="1536"/>
      <c r="E884" s="1536"/>
      <c r="F884" s="1536"/>
      <c r="G884" s="1536"/>
      <c r="H884" s="1235"/>
      <c r="I884" s="1536"/>
      <c r="J884" s="1536"/>
      <c r="K884" s="1537"/>
      <c r="L884" s="1235"/>
      <c r="M884" s="1236"/>
      <c r="N884" s="2903"/>
      <c r="O884" s="1628"/>
      <c r="P884" s="1536"/>
      <c r="Q884" s="1536"/>
      <c r="R884" s="1567"/>
    </row>
    <row r="885" spans="1:18">
      <c r="A885" s="2003"/>
      <c r="B885" s="1913"/>
      <c r="C885" s="1536"/>
      <c r="D885" s="1536"/>
      <c r="E885" s="1536"/>
      <c r="F885" s="1536"/>
      <c r="G885" s="1536"/>
      <c r="H885" s="1235"/>
      <c r="I885" s="1536"/>
      <c r="J885" s="1536"/>
      <c r="K885" s="1537"/>
      <c r="L885" s="1235"/>
      <c r="M885" s="1236"/>
      <c r="N885" s="2902"/>
      <c r="O885" s="1628"/>
      <c r="P885" s="1536"/>
      <c r="Q885" s="1536"/>
      <c r="R885" s="1567"/>
    </row>
    <row r="886" spans="1:18">
      <c r="A886" s="2003"/>
      <c r="B886" s="1913"/>
      <c r="C886" s="1536"/>
      <c r="D886" s="1536"/>
      <c r="E886" s="1536"/>
      <c r="F886" s="1536"/>
      <c r="G886" s="1536"/>
      <c r="H886" s="1235"/>
      <c r="I886" s="1536"/>
      <c r="J886" s="1536"/>
      <c r="K886" s="1537"/>
      <c r="L886" s="1235"/>
      <c r="M886" s="1236"/>
      <c r="N886" s="2900"/>
      <c r="O886" s="1628"/>
      <c r="P886" s="1536"/>
      <c r="Q886" s="1536"/>
      <c r="R886" s="1567"/>
    </row>
    <row r="887" spans="1:18">
      <c r="A887" s="2003"/>
      <c r="B887" s="1913"/>
      <c r="C887" s="1536"/>
      <c r="D887" s="1536"/>
      <c r="E887" s="1536"/>
      <c r="F887" s="1536"/>
      <c r="G887" s="1536"/>
      <c r="H887" s="1235"/>
      <c r="I887" s="1536"/>
      <c r="J887" s="1536"/>
      <c r="K887" s="1537"/>
      <c r="L887" s="1235"/>
      <c r="M887" s="1236"/>
      <c r="N887" s="2903"/>
      <c r="O887" s="1628"/>
      <c r="P887" s="1536"/>
      <c r="Q887" s="1536"/>
      <c r="R887" s="1567"/>
    </row>
    <row r="888" spans="1:18">
      <c r="A888" s="2003"/>
      <c r="B888" s="1913"/>
      <c r="C888" s="1536"/>
      <c r="D888" s="1536"/>
      <c r="E888" s="1536"/>
      <c r="F888" s="1536"/>
      <c r="G888" s="1536"/>
      <c r="H888" s="1235"/>
      <c r="I888" s="1536"/>
      <c r="J888" s="1536"/>
      <c r="K888" s="1537"/>
      <c r="L888" s="1235"/>
      <c r="M888" s="1236"/>
      <c r="N888" s="2903"/>
      <c r="O888" s="1628"/>
      <c r="P888" s="1536"/>
      <c r="Q888" s="1536"/>
      <c r="R888" s="1567"/>
    </row>
    <row r="889" spans="1:18">
      <c r="A889" s="2003"/>
      <c r="B889" s="1913"/>
      <c r="C889" s="1536"/>
      <c r="D889" s="1536"/>
      <c r="E889" s="1536"/>
      <c r="F889" s="1536"/>
      <c r="G889" s="1536"/>
      <c r="H889" s="1235"/>
      <c r="I889" s="1536"/>
      <c r="J889" s="1536"/>
      <c r="K889" s="1537"/>
      <c r="L889" s="1235"/>
      <c r="M889" s="1236"/>
      <c r="N889" s="2902"/>
      <c r="O889" s="1628"/>
      <c r="P889" s="1536"/>
      <c r="Q889" s="1536"/>
      <c r="R889" s="1567"/>
    </row>
    <row r="890" spans="1:18">
      <c r="A890" s="2003"/>
      <c r="B890" s="1913"/>
      <c r="C890" s="1536"/>
      <c r="D890" s="1536"/>
      <c r="E890" s="1536"/>
      <c r="F890" s="1536"/>
      <c r="G890" s="1536"/>
      <c r="H890" s="1235"/>
      <c r="I890" s="1536"/>
      <c r="J890" s="1536"/>
      <c r="K890" s="1537"/>
      <c r="L890" s="1235"/>
      <c r="M890" s="1236"/>
      <c r="N890" s="2913"/>
      <c r="O890" s="1628"/>
      <c r="P890" s="1536"/>
      <c r="Q890" s="1536"/>
      <c r="R890" s="1567"/>
    </row>
    <row r="891" spans="1:18">
      <c r="A891" s="2003"/>
      <c r="B891" s="1913"/>
      <c r="C891" s="1536"/>
      <c r="D891" s="1536"/>
      <c r="E891" s="1536"/>
      <c r="F891" s="1536"/>
      <c r="G891" s="1536"/>
      <c r="H891" s="1235"/>
      <c r="I891" s="1536"/>
      <c r="J891" s="1536"/>
      <c r="K891" s="1537"/>
      <c r="L891" s="1235"/>
      <c r="M891" s="1236"/>
      <c r="N891" s="2913"/>
      <c r="O891" s="1628"/>
      <c r="P891" s="1536"/>
      <c r="Q891" s="1536"/>
      <c r="R891" s="1567"/>
    </row>
    <row r="892" spans="1:18">
      <c r="A892" s="2003"/>
      <c r="B892" s="1913"/>
      <c r="C892" s="1536"/>
      <c r="D892" s="1536"/>
      <c r="E892" s="1536"/>
      <c r="F892" s="1536"/>
      <c r="G892" s="1536"/>
      <c r="H892" s="1235"/>
      <c r="I892" s="1536"/>
      <c r="J892" s="1536"/>
      <c r="K892" s="1537"/>
      <c r="L892" s="1235"/>
      <c r="M892" s="1236"/>
      <c r="N892" s="2913"/>
      <c r="O892" s="1628"/>
      <c r="P892" s="1536"/>
      <c r="Q892" s="1536"/>
      <c r="R892" s="1567"/>
    </row>
    <row r="893" spans="1:18">
      <c r="A893" s="2003"/>
      <c r="B893" s="1913"/>
      <c r="C893" s="1536"/>
      <c r="D893" s="1536"/>
      <c r="E893" s="1536"/>
      <c r="F893" s="1536"/>
      <c r="G893" s="1536"/>
      <c r="H893" s="1235"/>
      <c r="I893" s="2905"/>
      <c r="J893" s="2905"/>
      <c r="K893" s="1537"/>
      <c r="L893" s="1235"/>
      <c r="M893" s="1236"/>
      <c r="N893" s="2913"/>
      <c r="O893" s="1628"/>
      <c r="P893" s="1536"/>
      <c r="Q893" s="1536"/>
      <c r="R893" s="1567"/>
    </row>
    <row r="894" spans="1:18">
      <c r="A894" s="2003"/>
      <c r="B894" s="1913"/>
      <c r="C894" s="1536"/>
      <c r="D894" s="1536"/>
      <c r="E894" s="1536"/>
      <c r="F894" s="1536"/>
      <c r="G894" s="1536"/>
      <c r="H894" s="1235"/>
      <c r="I894" s="1536"/>
      <c r="J894" s="1536"/>
      <c r="K894" s="1537"/>
      <c r="L894" s="1235"/>
      <c r="M894" s="1236"/>
      <c r="N894" s="2913"/>
      <c r="O894" s="1628"/>
      <c r="P894" s="1536"/>
      <c r="Q894" s="1536"/>
      <c r="R894" s="1567"/>
    </row>
    <row r="895" spans="1:18">
      <c r="A895" s="2003"/>
      <c r="B895" s="1913"/>
      <c r="C895" s="1536"/>
      <c r="D895" s="1536"/>
      <c r="E895" s="1536"/>
      <c r="F895" s="1536"/>
      <c r="G895" s="1536"/>
      <c r="H895" s="1235"/>
      <c r="I895" s="1536"/>
      <c r="J895" s="1536"/>
      <c r="K895" s="1537"/>
      <c r="L895" s="1235"/>
      <c r="M895" s="1236"/>
      <c r="N895" s="2913"/>
      <c r="O895" s="1628"/>
      <c r="P895" s="1536"/>
      <c r="Q895" s="1536"/>
      <c r="R895" s="1567"/>
    </row>
    <row r="896" spans="1:18">
      <c r="A896" s="2003"/>
      <c r="B896" s="1913"/>
      <c r="C896" s="1536"/>
      <c r="D896" s="1536"/>
      <c r="E896" s="1536"/>
      <c r="F896" s="1536"/>
      <c r="G896" s="1536"/>
      <c r="H896" s="1235"/>
      <c r="I896" s="1536"/>
      <c r="J896" s="1536"/>
      <c r="K896" s="1537"/>
      <c r="L896" s="1235"/>
      <c r="M896" s="1236"/>
      <c r="N896" s="2913"/>
      <c r="O896" s="1628"/>
      <c r="P896" s="1536"/>
      <c r="Q896" s="1536"/>
      <c r="R896" s="1567"/>
    </row>
    <row r="897" spans="1:18">
      <c r="A897" s="2003"/>
      <c r="B897" s="1913"/>
      <c r="C897" s="1536"/>
      <c r="D897" s="1536"/>
      <c r="E897" s="1536"/>
      <c r="F897" s="1536"/>
      <c r="G897" s="1536"/>
      <c r="H897" s="1235"/>
      <c r="I897" s="1536"/>
      <c r="J897" s="1536"/>
      <c r="K897" s="1537"/>
      <c r="L897" s="1235"/>
      <c r="M897" s="1236"/>
      <c r="N897" s="2900"/>
      <c r="O897" s="1628"/>
      <c r="P897" s="1536"/>
      <c r="Q897" s="1536"/>
      <c r="R897" s="1567"/>
    </row>
    <row r="898" spans="1:18">
      <c r="A898" s="2003"/>
      <c r="B898" s="1913"/>
      <c r="C898" s="1536"/>
      <c r="D898" s="1536"/>
      <c r="E898" s="1536"/>
      <c r="F898" s="1536"/>
      <c r="G898" s="1536"/>
      <c r="H898" s="1235"/>
      <c r="I898" s="1536"/>
      <c r="J898" s="1536"/>
      <c r="K898" s="1537"/>
      <c r="L898" s="1235"/>
      <c r="M898" s="1236"/>
      <c r="N898" s="2902"/>
      <c r="O898" s="1628"/>
      <c r="P898" s="1536"/>
      <c r="Q898" s="1536"/>
      <c r="R898" s="1567"/>
    </row>
    <row r="899" spans="1:18">
      <c r="A899" s="2003"/>
      <c r="B899" s="1913"/>
      <c r="C899" s="1536"/>
      <c r="D899" s="1536"/>
      <c r="E899" s="1536"/>
      <c r="F899" s="1536"/>
      <c r="G899" s="1536"/>
      <c r="H899" s="1235"/>
      <c r="I899" s="2905"/>
      <c r="J899" s="2905"/>
      <c r="K899" s="1537"/>
      <c r="L899" s="1235"/>
      <c r="M899" s="1236"/>
      <c r="N899" s="1879"/>
      <c r="O899" s="1628"/>
      <c r="P899" s="1536"/>
      <c r="Q899" s="1536"/>
      <c r="R899" s="1567"/>
    </row>
    <row r="900" spans="1:18">
      <c r="A900" s="2003"/>
      <c r="B900" s="1913"/>
      <c r="C900" s="1536"/>
      <c r="D900" s="1536"/>
      <c r="E900" s="1536"/>
      <c r="F900" s="1536"/>
      <c r="G900" s="1536"/>
      <c r="H900" s="1235"/>
      <c r="I900" s="1536"/>
      <c r="J900" s="1536"/>
      <c r="K900" s="1537"/>
      <c r="L900" s="1235"/>
      <c r="M900" s="1236"/>
      <c r="N900" s="2900"/>
      <c r="O900" s="1628"/>
      <c r="P900" s="1536"/>
      <c r="Q900" s="1536"/>
      <c r="R900" s="1567"/>
    </row>
    <row r="901" spans="1:18">
      <c r="A901" s="2003"/>
      <c r="B901" s="1913"/>
      <c r="C901" s="1536"/>
      <c r="D901" s="1536"/>
      <c r="E901" s="1536"/>
      <c r="F901" s="1536"/>
      <c r="G901" s="1536"/>
      <c r="H901" s="1235"/>
      <c r="I901" s="1536"/>
      <c r="J901" s="1536"/>
      <c r="K901" s="1537"/>
      <c r="L901" s="1235"/>
      <c r="M901" s="1236"/>
      <c r="N901" s="2902"/>
      <c r="O901" s="1628"/>
      <c r="P901" s="1536"/>
      <c r="Q901" s="1536"/>
      <c r="R901" s="1567"/>
    </row>
    <row r="902" spans="1:18">
      <c r="A902" s="2003"/>
      <c r="B902" s="1913"/>
      <c r="C902" s="1536"/>
      <c r="D902" s="1536"/>
      <c r="E902" s="1536"/>
      <c r="F902" s="1536"/>
      <c r="G902" s="1536"/>
      <c r="H902" s="1235"/>
      <c r="I902" s="1536"/>
      <c r="J902" s="1536"/>
      <c r="K902" s="1537"/>
      <c r="L902" s="1235"/>
      <c r="M902" s="1236"/>
      <c r="N902" s="2900"/>
      <c r="O902" s="1628"/>
      <c r="P902" s="1536"/>
      <c r="Q902" s="1536"/>
      <c r="R902" s="1567"/>
    </row>
    <row r="903" spans="1:18">
      <c r="A903" s="2003"/>
      <c r="B903" s="1913"/>
      <c r="C903" s="1536"/>
      <c r="D903" s="1536"/>
      <c r="E903" s="1536"/>
      <c r="F903" s="1536"/>
      <c r="G903" s="1536"/>
      <c r="H903" s="1235"/>
      <c r="I903" s="1536"/>
      <c r="J903" s="1536"/>
      <c r="K903" s="1537"/>
      <c r="L903" s="1235"/>
      <c r="M903" s="1236"/>
      <c r="N903" s="2902"/>
      <c r="O903" s="1628"/>
      <c r="P903" s="1536"/>
      <c r="Q903" s="1536"/>
      <c r="R903" s="1567"/>
    </row>
    <row r="904" spans="1:18">
      <c r="A904" s="2003"/>
      <c r="B904" s="1913"/>
      <c r="C904" s="1536"/>
      <c r="D904" s="1536"/>
      <c r="E904" s="1536"/>
      <c r="F904" s="1536"/>
      <c r="G904" s="1536"/>
      <c r="H904" s="1235"/>
      <c r="I904" s="2905"/>
      <c r="J904" s="2905"/>
      <c r="K904" s="1537"/>
      <c r="L904" s="1235"/>
      <c r="M904" s="1236"/>
      <c r="N904" s="1879"/>
      <c r="O904" s="1628"/>
      <c r="P904" s="1536"/>
      <c r="Q904" s="1536"/>
      <c r="R904" s="1567"/>
    </row>
    <row r="905" spans="1:18">
      <c r="A905" s="2003"/>
      <c r="B905" s="1913"/>
      <c r="C905" s="1536"/>
      <c r="D905" s="1536"/>
      <c r="E905" s="1536"/>
      <c r="F905" s="1536"/>
      <c r="G905" s="1536"/>
      <c r="H905" s="1235"/>
      <c r="I905" s="1536"/>
      <c r="J905" s="1536"/>
      <c r="K905" s="1537"/>
      <c r="L905" s="1235"/>
      <c r="M905" s="1236"/>
      <c r="N905" s="2900"/>
      <c r="O905" s="1628"/>
      <c r="P905" s="1536"/>
      <c r="Q905" s="1536"/>
      <c r="R905" s="1567"/>
    </row>
    <row r="906" spans="1:18">
      <c r="A906" s="2003"/>
      <c r="B906" s="1913"/>
      <c r="C906" s="1536"/>
      <c r="D906" s="1536"/>
      <c r="E906" s="1536"/>
      <c r="F906" s="1536"/>
      <c r="G906" s="1536"/>
      <c r="H906" s="1235"/>
      <c r="I906" s="1536"/>
      <c r="J906" s="1536"/>
      <c r="K906" s="1537"/>
      <c r="L906" s="1235"/>
      <c r="M906" s="1236"/>
      <c r="N906" s="2902"/>
      <c r="O906" s="1628"/>
      <c r="P906" s="1536"/>
      <c r="Q906" s="1536"/>
      <c r="R906" s="1567"/>
    </row>
    <row r="907" spans="1:18">
      <c r="A907" s="2003"/>
      <c r="B907" s="1913"/>
      <c r="C907" s="1536"/>
      <c r="D907" s="1536"/>
      <c r="E907" s="1536"/>
      <c r="F907" s="1536"/>
      <c r="G907" s="1536"/>
      <c r="H907" s="1235"/>
      <c r="I907" s="1536"/>
      <c r="J907" s="1536"/>
      <c r="K907" s="1537"/>
      <c r="L907" s="1235"/>
      <c r="M907" s="1236"/>
      <c r="N907" s="2900"/>
      <c r="O907" s="1628"/>
      <c r="P907" s="1536"/>
      <c r="Q907" s="1536"/>
      <c r="R907" s="1567"/>
    </row>
    <row r="908" spans="1:18">
      <c r="A908" s="2003"/>
      <c r="B908" s="1913"/>
      <c r="C908" s="1536"/>
      <c r="D908" s="1536"/>
      <c r="E908" s="1536"/>
      <c r="F908" s="1536"/>
      <c r="G908" s="1536"/>
      <c r="H908" s="1235"/>
      <c r="I908" s="1536"/>
      <c r="J908" s="1536"/>
      <c r="K908" s="1537"/>
      <c r="L908" s="1235"/>
      <c r="M908" s="1236"/>
      <c r="N908" s="2902"/>
      <c r="O908" s="1628"/>
      <c r="P908" s="1536"/>
      <c r="Q908" s="1536"/>
      <c r="R908" s="1567"/>
    </row>
    <row r="909" spans="1:18">
      <c r="A909" s="2003"/>
      <c r="B909" s="1913"/>
      <c r="C909" s="1536"/>
      <c r="D909" s="1536"/>
      <c r="E909" s="1536"/>
      <c r="F909" s="1536"/>
      <c r="G909" s="1536"/>
      <c r="H909" s="1235"/>
      <c r="I909" s="1536"/>
      <c r="J909" s="1536"/>
      <c r="K909" s="1537"/>
      <c r="L909" s="1235"/>
      <c r="M909" s="1236"/>
      <c r="N909" s="2900"/>
      <c r="O909" s="1628"/>
      <c r="P909" s="1536"/>
      <c r="Q909" s="1536"/>
      <c r="R909" s="1567"/>
    </row>
    <row r="910" spans="1:18">
      <c r="A910" s="2003"/>
      <c r="B910" s="1913"/>
      <c r="C910" s="1536"/>
      <c r="D910" s="1536"/>
      <c r="E910" s="1536"/>
      <c r="F910" s="1536"/>
      <c r="G910" s="1536"/>
      <c r="H910" s="1235"/>
      <c r="I910" s="1536"/>
      <c r="J910" s="1536"/>
      <c r="K910" s="1537"/>
      <c r="L910" s="1235"/>
      <c r="M910" s="1236"/>
      <c r="N910" s="2902"/>
      <c r="O910" s="1628"/>
      <c r="P910" s="1536"/>
      <c r="Q910" s="1536"/>
      <c r="R910" s="1567"/>
    </row>
    <row r="911" spans="1:18">
      <c r="A911" s="2003"/>
      <c r="B911" s="1913"/>
      <c r="C911" s="1536"/>
      <c r="D911" s="1536"/>
      <c r="E911" s="1536"/>
      <c r="F911" s="1536"/>
      <c r="G911" s="1536"/>
      <c r="H911" s="1235"/>
      <c r="I911" s="1536"/>
      <c r="J911" s="1536"/>
      <c r="K911" s="1537"/>
      <c r="L911" s="1235"/>
      <c r="M911" s="1236"/>
      <c r="N911" s="2900"/>
      <c r="O911" s="1628"/>
      <c r="P911" s="1536"/>
      <c r="Q911" s="1536"/>
      <c r="R911" s="1567"/>
    </row>
    <row r="912" spans="1:18">
      <c r="A912" s="2003"/>
      <c r="B912" s="1913"/>
      <c r="C912" s="1536"/>
      <c r="D912" s="1536"/>
      <c r="E912" s="1536"/>
      <c r="F912" s="1536"/>
      <c r="G912" s="1536"/>
      <c r="H912" s="1235"/>
      <c r="I912" s="2905"/>
      <c r="J912" s="2905"/>
      <c r="K912" s="1537"/>
      <c r="L912" s="1235"/>
      <c r="M912" s="1236"/>
      <c r="N912" s="2903"/>
      <c r="O912" s="1628"/>
      <c r="P912" s="1536"/>
      <c r="Q912" s="1536"/>
      <c r="R912" s="1567"/>
    </row>
    <row r="913" spans="1:18">
      <c r="A913" s="2003"/>
      <c r="B913" s="1913"/>
      <c r="C913" s="1536"/>
      <c r="D913" s="1536"/>
      <c r="E913" s="1536"/>
      <c r="F913" s="1536"/>
      <c r="G913" s="1536"/>
      <c r="H913" s="1235"/>
      <c r="I913" s="1536"/>
      <c r="J913" s="1536"/>
      <c r="K913" s="1537"/>
      <c r="L913" s="1235"/>
      <c r="M913" s="1236"/>
      <c r="N913" s="2902"/>
      <c r="O913" s="1628"/>
      <c r="P913" s="1536"/>
      <c r="Q913" s="1536"/>
      <c r="R913" s="1567"/>
    </row>
    <row r="914" spans="1:18">
      <c r="A914" s="2003"/>
      <c r="B914" s="1913"/>
      <c r="C914" s="1536"/>
      <c r="D914" s="1536"/>
      <c r="E914" s="1536"/>
      <c r="F914" s="1536"/>
      <c r="G914" s="1536"/>
      <c r="H914" s="1235"/>
      <c r="I914" s="1536"/>
      <c r="J914" s="1536"/>
      <c r="K914" s="1537"/>
      <c r="L914" s="1235"/>
      <c r="M914" s="1236"/>
      <c r="N914" s="2900"/>
      <c r="O914" s="1628"/>
      <c r="P914" s="1536"/>
      <c r="Q914" s="1536"/>
      <c r="R914" s="1567"/>
    </row>
    <row r="915" spans="1:18">
      <c r="A915" s="2003"/>
      <c r="B915" s="1913"/>
      <c r="C915" s="1536"/>
      <c r="D915" s="1536"/>
      <c r="E915" s="1536"/>
      <c r="F915" s="1536"/>
      <c r="G915" s="1536"/>
      <c r="H915" s="1235"/>
      <c r="I915" s="1536"/>
      <c r="J915" s="1536"/>
      <c r="K915" s="1537"/>
      <c r="L915" s="1235"/>
      <c r="M915" s="1236"/>
      <c r="N915" s="2902"/>
      <c r="O915" s="1628"/>
      <c r="P915" s="1536"/>
      <c r="Q915" s="1536"/>
      <c r="R915" s="1567"/>
    </row>
    <row r="916" spans="1:18">
      <c r="A916" s="2003"/>
      <c r="B916" s="1913"/>
      <c r="C916" s="1536"/>
      <c r="D916" s="1536"/>
      <c r="E916" s="1536"/>
      <c r="F916" s="1536"/>
      <c r="G916" s="1536"/>
      <c r="H916" s="1235"/>
      <c r="I916" s="1536"/>
      <c r="J916" s="1536"/>
      <c r="K916" s="1537"/>
      <c r="L916" s="1235"/>
      <c r="M916" s="1236"/>
      <c r="N916" s="2900"/>
      <c r="O916" s="1628"/>
      <c r="P916" s="1536"/>
      <c r="Q916" s="1536"/>
      <c r="R916" s="1567"/>
    </row>
    <row r="917" spans="1:18">
      <c r="A917" s="2003"/>
      <c r="B917" s="1913"/>
      <c r="C917" s="1536"/>
      <c r="D917" s="1536"/>
      <c r="E917" s="1536"/>
      <c r="F917" s="1536"/>
      <c r="G917" s="1536"/>
      <c r="H917" s="1235"/>
      <c r="I917" s="1536"/>
      <c r="J917" s="1536"/>
      <c r="K917" s="1537"/>
      <c r="L917" s="1235"/>
      <c r="M917" s="1236"/>
      <c r="N917" s="2902"/>
      <c r="O917" s="1628"/>
      <c r="P917" s="1536"/>
      <c r="Q917" s="1536"/>
      <c r="R917" s="1567"/>
    </row>
    <row r="918" spans="1:18">
      <c r="A918" s="2003"/>
      <c r="B918" s="1913"/>
      <c r="C918" s="1536"/>
      <c r="D918" s="1536"/>
      <c r="E918" s="1536"/>
      <c r="F918" s="1536"/>
      <c r="G918" s="1536"/>
      <c r="H918" s="1235"/>
      <c r="I918" s="1536"/>
      <c r="J918" s="1536"/>
      <c r="K918" s="1537"/>
      <c r="L918" s="1235"/>
      <c r="M918" s="1236"/>
      <c r="N918" s="2900"/>
      <c r="O918" s="1628"/>
      <c r="P918" s="1536"/>
      <c r="Q918" s="1536"/>
      <c r="R918" s="1567"/>
    </row>
    <row r="919" spans="1:18">
      <c r="A919" s="2003"/>
      <c r="B919" s="1913"/>
      <c r="C919" s="1536"/>
      <c r="D919" s="1536"/>
      <c r="E919" s="1536"/>
      <c r="F919" s="1536"/>
      <c r="G919" s="1536"/>
      <c r="H919" s="1235"/>
      <c r="I919" s="1536"/>
      <c r="J919" s="1536"/>
      <c r="K919" s="1537"/>
      <c r="L919" s="1235"/>
      <c r="M919" s="1236"/>
      <c r="N919" s="2902"/>
      <c r="O919" s="1628"/>
      <c r="P919" s="1536"/>
      <c r="Q919" s="1536"/>
      <c r="R919" s="1567"/>
    </row>
    <row r="920" spans="1:18">
      <c r="A920" s="2003"/>
      <c r="B920" s="1913"/>
      <c r="C920" s="1536"/>
      <c r="D920" s="1536"/>
      <c r="E920" s="1536"/>
      <c r="F920" s="1536"/>
      <c r="G920" s="1536"/>
      <c r="H920" s="1235"/>
      <c r="I920" s="1536"/>
      <c r="J920" s="1536"/>
      <c r="K920" s="1537"/>
      <c r="L920" s="1235"/>
      <c r="M920" s="1236"/>
      <c r="N920" s="2900"/>
      <c r="O920" s="1628"/>
      <c r="P920" s="1536"/>
      <c r="Q920" s="1536"/>
      <c r="R920" s="1567"/>
    </row>
    <row r="921" spans="1:18">
      <c r="A921" s="2003"/>
      <c r="B921" s="1913"/>
      <c r="C921" s="1536"/>
      <c r="D921" s="1536"/>
      <c r="E921" s="1536"/>
      <c r="F921" s="1536"/>
      <c r="G921" s="1536"/>
      <c r="H921" s="1235"/>
      <c r="I921" s="1536"/>
      <c r="J921" s="1536"/>
      <c r="K921" s="1537"/>
      <c r="L921" s="1235"/>
      <c r="M921" s="1236"/>
      <c r="N921" s="2902"/>
      <c r="O921" s="1628"/>
      <c r="P921" s="1536"/>
      <c r="Q921" s="1536"/>
      <c r="R921" s="1567"/>
    </row>
    <row r="922" spans="1:18">
      <c r="A922" s="2003"/>
      <c r="B922" s="1913"/>
      <c r="C922" s="1536"/>
      <c r="D922" s="1536"/>
      <c r="E922" s="1536"/>
      <c r="F922" s="1536"/>
      <c r="G922" s="1536"/>
      <c r="H922" s="1235"/>
      <c r="I922" s="2905"/>
      <c r="J922" s="2905"/>
      <c r="K922" s="1537"/>
      <c r="L922" s="1235"/>
      <c r="M922" s="1236"/>
      <c r="N922" s="1878"/>
      <c r="O922" s="1628"/>
      <c r="P922" s="1536"/>
      <c r="Q922" s="1536"/>
      <c r="R922" s="1567"/>
    </row>
    <row r="923" spans="1:18">
      <c r="A923" s="2003"/>
      <c r="B923" s="1913"/>
      <c r="C923" s="1536"/>
      <c r="D923" s="1536"/>
      <c r="E923" s="1536"/>
      <c r="F923" s="1536"/>
      <c r="G923" s="1536"/>
      <c r="H923" s="1235"/>
      <c r="I923" s="1536"/>
      <c r="J923" s="1536"/>
      <c r="K923" s="1537"/>
      <c r="L923" s="1235"/>
      <c r="M923" s="1921"/>
      <c r="N923" s="2900"/>
      <c r="O923" s="1628"/>
      <c r="P923" s="1536"/>
      <c r="Q923" s="1536"/>
      <c r="R923" s="1567"/>
    </row>
    <row r="924" spans="1:18">
      <c r="A924" s="2009"/>
      <c r="B924" s="2212"/>
      <c r="C924" s="1538"/>
      <c r="D924" s="1538"/>
      <c r="E924" s="1538"/>
      <c r="F924" s="1538"/>
      <c r="G924" s="1538"/>
      <c r="H924" s="1535"/>
      <c r="I924" s="1538"/>
      <c r="J924" s="1538"/>
      <c r="K924" s="1556"/>
      <c r="L924" s="1535"/>
      <c r="M924" s="2056"/>
      <c r="N924" s="2903"/>
      <c r="O924" s="1632"/>
      <c r="P924" s="1538"/>
      <c r="Q924" s="1538"/>
      <c r="R924" s="1592"/>
    </row>
    <row r="925" spans="1:18">
      <c r="A925" s="2047"/>
      <c r="B925" s="2216"/>
      <c r="C925" s="1564"/>
      <c r="D925" s="1564"/>
      <c r="E925" s="1564"/>
      <c r="F925" s="1564"/>
      <c r="G925" s="1564"/>
      <c r="H925" s="966"/>
      <c r="I925" s="1564"/>
      <c r="J925" s="1564"/>
      <c r="K925" s="1565"/>
      <c r="L925" s="966"/>
      <c r="M925" s="1882"/>
      <c r="N925" s="2914"/>
      <c r="O925" s="1634"/>
      <c r="P925" s="1564"/>
      <c r="Q925" s="1564"/>
      <c r="R925" s="1566"/>
    </row>
    <row r="926" spans="1:18">
      <c r="A926" s="2003"/>
      <c r="B926" s="1913"/>
      <c r="C926" s="1536"/>
      <c r="D926" s="1536"/>
      <c r="E926" s="1536"/>
      <c r="F926" s="1536"/>
      <c r="G926" s="1536"/>
      <c r="H926" s="1235"/>
      <c r="I926" s="1536"/>
      <c r="J926" s="1536"/>
      <c r="K926" s="1537"/>
      <c r="L926" s="1235"/>
      <c r="M926" s="1236"/>
      <c r="N926" s="2903"/>
      <c r="O926" s="1628"/>
      <c r="P926" s="1536"/>
      <c r="Q926" s="1536"/>
      <c r="R926" s="1567"/>
    </row>
    <row r="927" spans="1:18">
      <c r="A927" s="2003"/>
      <c r="B927" s="1913"/>
      <c r="C927" s="1536"/>
      <c r="D927" s="1536"/>
      <c r="E927" s="1536"/>
      <c r="F927" s="1536"/>
      <c r="G927" s="1536"/>
      <c r="H927" s="1235"/>
      <c r="I927" s="1536"/>
      <c r="J927" s="1536"/>
      <c r="K927" s="1537"/>
      <c r="L927" s="1235"/>
      <c r="M927" s="1236"/>
      <c r="N927" s="2902"/>
      <c r="O927" s="1628"/>
      <c r="P927" s="1536"/>
      <c r="Q927" s="1536"/>
      <c r="R927" s="1567"/>
    </row>
    <row r="928" spans="1:18">
      <c r="A928" s="2003"/>
      <c r="B928" s="1913"/>
      <c r="C928" s="1536"/>
      <c r="D928" s="1536"/>
      <c r="E928" s="1536"/>
      <c r="F928" s="1536"/>
      <c r="G928" s="1536"/>
      <c r="H928" s="1235"/>
      <c r="I928" s="1536"/>
      <c r="J928" s="1536"/>
      <c r="K928" s="1537"/>
      <c r="L928" s="1235"/>
      <c r="M928" s="1236"/>
      <c r="N928" s="2900"/>
      <c r="O928" s="1628"/>
      <c r="P928" s="1536"/>
      <c r="Q928" s="1536"/>
      <c r="R928" s="1567"/>
    </row>
    <row r="929" spans="1:18">
      <c r="A929" s="2003"/>
      <c r="B929" s="1913"/>
      <c r="C929" s="1536"/>
      <c r="D929" s="1536"/>
      <c r="E929" s="1536"/>
      <c r="F929" s="1536"/>
      <c r="G929" s="1536"/>
      <c r="H929" s="1235"/>
      <c r="I929" s="1536"/>
      <c r="J929" s="1536"/>
      <c r="K929" s="1537"/>
      <c r="L929" s="1235"/>
      <c r="M929" s="1236"/>
      <c r="N929" s="2903"/>
      <c r="O929" s="1628"/>
      <c r="P929" s="1536"/>
      <c r="Q929" s="1536"/>
      <c r="R929" s="1567"/>
    </row>
    <row r="930" spans="1:18">
      <c r="A930" s="2003"/>
      <c r="B930" s="1913"/>
      <c r="C930" s="1536"/>
      <c r="D930" s="1536"/>
      <c r="E930" s="1536"/>
      <c r="F930" s="1536"/>
      <c r="G930" s="1536"/>
      <c r="H930" s="1235"/>
      <c r="I930" s="1536"/>
      <c r="J930" s="1536"/>
      <c r="K930" s="1537"/>
      <c r="L930" s="1235"/>
      <c r="M930" s="1236"/>
      <c r="N930" s="2902"/>
      <c r="O930" s="1628"/>
      <c r="P930" s="1536"/>
      <c r="Q930" s="1536"/>
      <c r="R930" s="1567"/>
    </row>
    <row r="931" spans="1:18">
      <c r="A931" s="2003"/>
      <c r="B931" s="1913"/>
      <c r="C931" s="1536"/>
      <c r="D931" s="1536"/>
      <c r="E931" s="1536"/>
      <c r="F931" s="1536"/>
      <c r="G931" s="1536"/>
      <c r="H931" s="1235"/>
      <c r="I931" s="1536"/>
      <c r="J931" s="1536"/>
      <c r="K931" s="1537"/>
      <c r="L931" s="1235"/>
      <c r="M931" s="1236"/>
      <c r="N931" s="2900"/>
      <c r="O931" s="1628"/>
      <c r="P931" s="1536"/>
      <c r="Q931" s="1536"/>
      <c r="R931" s="1567"/>
    </row>
    <row r="932" spans="1:18">
      <c r="A932" s="2003"/>
      <c r="B932" s="1913"/>
      <c r="C932" s="1536"/>
      <c r="D932" s="1536"/>
      <c r="E932" s="1536"/>
      <c r="F932" s="1536"/>
      <c r="G932" s="1536"/>
      <c r="H932" s="1235"/>
      <c r="I932" s="1536"/>
      <c r="J932" s="1536"/>
      <c r="K932" s="1537"/>
      <c r="L932" s="1235"/>
      <c r="M932" s="1236"/>
      <c r="N932" s="2902"/>
      <c r="O932" s="1628"/>
      <c r="P932" s="1536"/>
      <c r="Q932" s="1536"/>
      <c r="R932" s="1567"/>
    </row>
    <row r="933" spans="1:18">
      <c r="A933" s="2003"/>
      <c r="B933" s="1913"/>
      <c r="C933" s="1536"/>
      <c r="D933" s="1536"/>
      <c r="E933" s="1536"/>
      <c r="F933" s="1536"/>
      <c r="G933" s="1536"/>
      <c r="H933" s="1235"/>
      <c r="I933" s="1536"/>
      <c r="J933" s="1536"/>
      <c r="K933" s="1537"/>
      <c r="L933" s="1235"/>
      <c r="M933" s="1236"/>
      <c r="N933" s="2900"/>
      <c r="O933" s="1628"/>
      <c r="P933" s="1536"/>
      <c r="Q933" s="1536"/>
      <c r="R933" s="1567"/>
    </row>
    <row r="934" spans="1:18">
      <c r="A934" s="2003"/>
      <c r="B934" s="1913"/>
      <c r="C934" s="1536"/>
      <c r="D934" s="1536"/>
      <c r="E934" s="1536"/>
      <c r="F934" s="1536"/>
      <c r="G934" s="1536"/>
      <c r="H934" s="1235"/>
      <c r="I934" s="1536"/>
      <c r="J934" s="1536"/>
      <c r="K934" s="1537"/>
      <c r="L934" s="1235"/>
      <c r="M934" s="1236"/>
      <c r="N934" s="2902"/>
      <c r="O934" s="1628"/>
      <c r="P934" s="1536"/>
      <c r="Q934" s="1536"/>
      <c r="R934" s="1567"/>
    </row>
    <row r="935" spans="1:18">
      <c r="A935" s="2003"/>
      <c r="B935" s="1913"/>
      <c r="C935" s="1536"/>
      <c r="D935" s="1536"/>
      <c r="E935" s="1536"/>
      <c r="F935" s="1536"/>
      <c r="G935" s="1536"/>
      <c r="H935" s="1235"/>
      <c r="I935" s="1536"/>
      <c r="J935" s="1536"/>
      <c r="K935" s="1537"/>
      <c r="L935" s="1235"/>
      <c r="M935" s="1236"/>
      <c r="N935" s="2900"/>
      <c r="O935" s="1628"/>
      <c r="P935" s="1536"/>
      <c r="Q935" s="1536"/>
      <c r="R935" s="1567"/>
    </row>
    <row r="936" spans="1:18">
      <c r="A936" s="2003"/>
      <c r="B936" s="1913"/>
      <c r="C936" s="1536"/>
      <c r="D936" s="1536"/>
      <c r="E936" s="1536"/>
      <c r="F936" s="1536"/>
      <c r="G936" s="1536"/>
      <c r="H936" s="1235"/>
      <c r="I936" s="1536"/>
      <c r="J936" s="1536"/>
      <c r="K936" s="1537"/>
      <c r="L936" s="1235"/>
      <c r="M936" s="1236"/>
      <c r="N936" s="2902"/>
      <c r="O936" s="1628"/>
      <c r="P936" s="1536"/>
      <c r="Q936" s="1536"/>
      <c r="R936" s="1567"/>
    </row>
    <row r="937" spans="1:18">
      <c r="A937" s="2003"/>
      <c r="B937" s="1913"/>
      <c r="C937" s="1536"/>
      <c r="D937" s="1536"/>
      <c r="E937" s="1536"/>
      <c r="F937" s="1536"/>
      <c r="G937" s="1536"/>
      <c r="H937" s="1235"/>
      <c r="I937" s="1536"/>
      <c r="J937" s="1536"/>
      <c r="K937" s="1537"/>
      <c r="L937" s="1235"/>
      <c r="M937" s="1236"/>
      <c r="N937" s="2900"/>
      <c r="O937" s="1628"/>
      <c r="P937" s="1536"/>
      <c r="Q937" s="1536"/>
      <c r="R937" s="1567"/>
    </row>
    <row r="938" spans="1:18">
      <c r="A938" s="2003"/>
      <c r="B938" s="1913"/>
      <c r="C938" s="1536"/>
      <c r="D938" s="1536"/>
      <c r="E938" s="1536"/>
      <c r="F938" s="1536"/>
      <c r="G938" s="1536"/>
      <c r="H938" s="1235"/>
      <c r="I938" s="1536"/>
      <c r="J938" s="1536"/>
      <c r="K938" s="1537"/>
      <c r="L938" s="1235"/>
      <c r="M938" s="1236"/>
      <c r="N938" s="2902"/>
      <c r="O938" s="1628"/>
      <c r="P938" s="1536"/>
      <c r="Q938" s="1536"/>
      <c r="R938" s="1567"/>
    </row>
    <row r="939" spans="1:18">
      <c r="A939" s="2003"/>
      <c r="B939" s="1913"/>
      <c r="C939" s="1536"/>
      <c r="D939" s="1536"/>
      <c r="E939" s="1536"/>
      <c r="F939" s="1536"/>
      <c r="G939" s="1536"/>
      <c r="H939" s="1235"/>
      <c r="I939" s="1536"/>
      <c r="J939" s="1536"/>
      <c r="K939" s="1537"/>
      <c r="L939" s="1235"/>
      <c r="M939" s="1236"/>
      <c r="N939" s="2900"/>
      <c r="O939" s="1628"/>
      <c r="P939" s="1536"/>
      <c r="Q939" s="1536"/>
      <c r="R939" s="1567"/>
    </row>
    <row r="940" spans="1:18">
      <c r="A940" s="2003"/>
      <c r="B940" s="1913"/>
      <c r="C940" s="1536"/>
      <c r="D940" s="1536"/>
      <c r="E940" s="1536"/>
      <c r="F940" s="1536"/>
      <c r="G940" s="1536"/>
      <c r="H940" s="1235"/>
      <c r="I940" s="1536"/>
      <c r="J940" s="1536"/>
      <c r="K940" s="1537"/>
      <c r="L940" s="1235"/>
      <c r="M940" s="1236"/>
      <c r="N940" s="2903"/>
      <c r="O940" s="1628"/>
      <c r="P940" s="1536"/>
      <c r="Q940" s="1536"/>
      <c r="R940" s="1567"/>
    </row>
    <row r="941" spans="1:18">
      <c r="A941" s="2003"/>
      <c r="B941" s="1913"/>
      <c r="C941" s="1536"/>
      <c r="D941" s="1536"/>
      <c r="E941" s="1536"/>
      <c r="F941" s="1536"/>
      <c r="G941" s="1536"/>
      <c r="H941" s="1235"/>
      <c r="I941" s="1536"/>
      <c r="J941" s="1536"/>
      <c r="K941" s="1537"/>
      <c r="L941" s="1235"/>
      <c r="M941" s="1236"/>
      <c r="N941" s="2903"/>
      <c r="O941" s="1628"/>
      <c r="P941" s="1536"/>
      <c r="Q941" s="1536"/>
      <c r="R941" s="1567"/>
    </row>
    <row r="942" spans="1:18">
      <c r="A942" s="2003"/>
      <c r="B942" s="1913"/>
      <c r="C942" s="1536"/>
      <c r="D942" s="1536"/>
      <c r="E942" s="1536"/>
      <c r="F942" s="1536"/>
      <c r="G942" s="1536"/>
      <c r="H942" s="1235"/>
      <c r="I942" s="2905"/>
      <c r="J942" s="2905"/>
      <c r="K942" s="1537"/>
      <c r="L942" s="1235"/>
      <c r="M942" s="1236"/>
      <c r="N942" s="2902"/>
      <c r="O942" s="1628"/>
      <c r="P942" s="1536"/>
      <c r="Q942" s="1536"/>
      <c r="R942" s="1567"/>
    </row>
    <row r="943" spans="1:18">
      <c r="A943" s="2003"/>
      <c r="B943" s="1913"/>
      <c r="C943" s="1536"/>
      <c r="D943" s="1536"/>
      <c r="E943" s="1536"/>
      <c r="F943" s="1536"/>
      <c r="G943" s="1536"/>
      <c r="H943" s="1235"/>
      <c r="I943" s="1536"/>
      <c r="J943" s="1536"/>
      <c r="K943" s="1537"/>
      <c r="L943" s="1235"/>
      <c r="M943" s="1236"/>
      <c r="N943" s="2900"/>
      <c r="O943" s="1628"/>
      <c r="P943" s="1536"/>
      <c r="Q943" s="1536"/>
      <c r="R943" s="1567"/>
    </row>
    <row r="944" spans="1:18">
      <c r="A944" s="2003"/>
      <c r="B944" s="1913"/>
      <c r="C944" s="1536"/>
      <c r="D944" s="1536"/>
      <c r="E944" s="1536"/>
      <c r="F944" s="1536"/>
      <c r="G944" s="1536"/>
      <c r="H944" s="1235"/>
      <c r="I944" s="1536"/>
      <c r="J944" s="1536"/>
      <c r="K944" s="1537"/>
      <c r="L944" s="1235"/>
      <c r="M944" s="1236"/>
      <c r="N944" s="2902"/>
      <c r="O944" s="1628"/>
      <c r="P944" s="1536"/>
      <c r="Q944" s="1536"/>
      <c r="R944" s="1567"/>
    </row>
    <row r="945" spans="1:18">
      <c r="A945" s="2003"/>
      <c r="B945" s="1913"/>
      <c r="C945" s="1536"/>
      <c r="D945" s="1536"/>
      <c r="E945" s="1536"/>
      <c r="F945" s="1536"/>
      <c r="G945" s="1536"/>
      <c r="H945" s="1235"/>
      <c r="I945" s="1536"/>
      <c r="J945" s="1536"/>
      <c r="K945" s="1537"/>
      <c r="L945" s="1235"/>
      <c r="M945" s="1236"/>
      <c r="N945" s="2900"/>
      <c r="O945" s="1628"/>
      <c r="P945" s="1536"/>
      <c r="Q945" s="1536"/>
      <c r="R945" s="1567"/>
    </row>
    <row r="946" spans="1:18">
      <c r="A946" s="2003"/>
      <c r="B946" s="1913"/>
      <c r="C946" s="1536"/>
      <c r="D946" s="1536"/>
      <c r="E946" s="1536"/>
      <c r="F946" s="1536"/>
      <c r="G946" s="1536"/>
      <c r="H946" s="1235"/>
      <c r="I946" s="1536"/>
      <c r="J946" s="1536"/>
      <c r="K946" s="1537"/>
      <c r="L946" s="1235"/>
      <c r="M946" s="1236"/>
      <c r="N946" s="2902"/>
      <c r="O946" s="1628"/>
      <c r="P946" s="1536"/>
      <c r="Q946" s="1536"/>
      <c r="R946" s="1567"/>
    </row>
    <row r="947" spans="1:18">
      <c r="A947" s="2003"/>
      <c r="B947" s="1913"/>
      <c r="C947" s="1536"/>
      <c r="D947" s="1536"/>
      <c r="E947" s="1536"/>
      <c r="F947" s="1536"/>
      <c r="G947" s="1536"/>
      <c r="H947" s="1235"/>
      <c r="I947" s="2905"/>
      <c r="J947" s="2905"/>
      <c r="K947" s="1537"/>
      <c r="L947" s="1235"/>
      <c r="M947" s="1236"/>
      <c r="N947" s="1879"/>
      <c r="O947" s="1628"/>
      <c r="P947" s="1536"/>
      <c r="Q947" s="1536"/>
      <c r="R947" s="1567"/>
    </row>
    <row r="948" spans="1:18">
      <c r="A948" s="2003"/>
      <c r="B948" s="1913"/>
      <c r="C948" s="1536"/>
      <c r="D948" s="1536"/>
      <c r="E948" s="1536"/>
      <c r="F948" s="1536"/>
      <c r="G948" s="1536"/>
      <c r="H948" s="1235"/>
      <c r="I948" s="1536"/>
      <c r="J948" s="1536"/>
      <c r="K948" s="1537"/>
      <c r="L948" s="1235"/>
      <c r="M948" s="2227"/>
      <c r="N948" s="2900"/>
      <c r="O948" s="1628"/>
      <c r="P948" s="1536"/>
      <c r="Q948" s="1536"/>
      <c r="R948" s="1567"/>
    </row>
    <row r="949" spans="1:18">
      <c r="A949" s="2003"/>
      <c r="B949" s="1913"/>
      <c r="C949" s="1536"/>
      <c r="D949" s="1536"/>
      <c r="E949" s="1536"/>
      <c r="F949" s="1536"/>
      <c r="G949" s="1536"/>
      <c r="H949" s="1235"/>
      <c r="I949" s="1536"/>
      <c r="J949" s="1536"/>
      <c r="K949" s="1537"/>
      <c r="L949" s="1235"/>
      <c r="M949" s="2228"/>
      <c r="N949" s="2902"/>
      <c r="O949" s="1628"/>
      <c r="P949" s="1536"/>
      <c r="Q949" s="1536"/>
      <c r="R949" s="1567"/>
    </row>
    <row r="950" spans="1:18">
      <c r="A950" s="2003"/>
      <c r="B950" s="1913"/>
      <c r="C950" s="1536"/>
      <c r="D950" s="1536"/>
      <c r="E950" s="1536"/>
      <c r="F950" s="1536"/>
      <c r="G950" s="1536"/>
      <c r="H950" s="1235"/>
      <c r="I950" s="1536"/>
      <c r="J950" s="1536"/>
      <c r="K950" s="1537"/>
      <c r="L950" s="1235"/>
      <c r="M950" s="2228"/>
      <c r="N950" s="2900"/>
      <c r="O950" s="1628"/>
      <c r="P950" s="1536"/>
      <c r="Q950" s="1536"/>
      <c r="R950" s="1567"/>
    </row>
    <row r="951" spans="1:18">
      <c r="A951" s="2003"/>
      <c r="B951" s="1913"/>
      <c r="C951" s="1536"/>
      <c r="D951" s="1536"/>
      <c r="E951" s="1536"/>
      <c r="F951" s="1536"/>
      <c r="G951" s="1536"/>
      <c r="H951" s="1235"/>
      <c r="I951" s="1536"/>
      <c r="J951" s="1536"/>
      <c r="K951" s="1537"/>
      <c r="L951" s="1235"/>
      <c r="M951" s="2228"/>
      <c r="N951" s="2902"/>
      <c r="O951" s="1628"/>
      <c r="P951" s="1536"/>
      <c r="Q951" s="1536"/>
      <c r="R951" s="1567"/>
    </row>
    <row r="952" spans="1:18">
      <c r="A952" s="2003"/>
      <c r="B952" s="1913"/>
      <c r="C952" s="1536"/>
      <c r="D952" s="1536"/>
      <c r="E952" s="1536"/>
      <c r="F952" s="1536"/>
      <c r="G952" s="1536"/>
      <c r="H952" s="1235"/>
      <c r="I952" s="1536"/>
      <c r="J952" s="1536"/>
      <c r="K952" s="1537"/>
      <c r="L952" s="1235"/>
      <c r="M952" s="2228"/>
      <c r="N952" s="2900"/>
      <c r="O952" s="1628"/>
      <c r="P952" s="1536"/>
      <c r="Q952" s="1536"/>
      <c r="R952" s="1567"/>
    </row>
    <row r="953" spans="1:18">
      <c r="A953" s="2003"/>
      <c r="B953" s="1913"/>
      <c r="C953" s="1536"/>
      <c r="D953" s="1536"/>
      <c r="E953" s="1536"/>
      <c r="F953" s="1536"/>
      <c r="G953" s="1536"/>
      <c r="H953" s="1235"/>
      <c r="I953" s="2905"/>
      <c r="J953" s="2905"/>
      <c r="K953" s="1537"/>
      <c r="L953" s="1235"/>
      <c r="M953" s="2228"/>
      <c r="N953" s="2902"/>
      <c r="O953" s="1628"/>
      <c r="P953" s="1536"/>
      <c r="Q953" s="1536"/>
      <c r="R953" s="1567"/>
    </row>
    <row r="954" spans="1:18">
      <c r="A954" s="2003"/>
      <c r="B954" s="1913"/>
      <c r="C954" s="1536"/>
      <c r="D954" s="1536"/>
      <c r="E954" s="1536"/>
      <c r="F954" s="1536"/>
      <c r="G954" s="1536"/>
      <c r="H954" s="1235"/>
      <c r="I954" s="1536"/>
      <c r="J954" s="1536"/>
      <c r="K954" s="1537"/>
      <c r="L954" s="1235"/>
      <c r="M954" s="1236"/>
      <c r="N954" s="2900"/>
      <c r="O954" s="1628"/>
      <c r="P954" s="1536"/>
      <c r="Q954" s="1536"/>
      <c r="R954" s="1567"/>
    </row>
    <row r="955" spans="1:18">
      <c r="A955" s="2003"/>
      <c r="B955" s="1913"/>
      <c r="C955" s="1536"/>
      <c r="D955" s="1536"/>
      <c r="E955" s="1536"/>
      <c r="F955" s="1536"/>
      <c r="G955" s="1536"/>
      <c r="H955" s="1235"/>
      <c r="I955" s="1536"/>
      <c r="J955" s="1536"/>
      <c r="K955" s="1537"/>
      <c r="L955" s="1235"/>
      <c r="M955" s="1236"/>
      <c r="N955" s="2902"/>
      <c r="O955" s="1628"/>
      <c r="P955" s="1536"/>
      <c r="Q955" s="1536"/>
      <c r="R955" s="1567"/>
    </row>
    <row r="956" spans="1:18">
      <c r="A956" s="2003"/>
      <c r="B956" s="1913"/>
      <c r="C956" s="1536"/>
      <c r="D956" s="1536"/>
      <c r="E956" s="1536"/>
      <c r="F956" s="1536"/>
      <c r="G956" s="1536"/>
      <c r="H956" s="1235"/>
      <c r="I956" s="2906"/>
      <c r="J956" s="2907"/>
      <c r="K956" s="1537"/>
      <c r="L956" s="1235"/>
      <c r="M956" s="1236"/>
      <c r="N956" s="1879"/>
      <c r="O956" s="1628"/>
      <c r="P956" s="1536"/>
      <c r="Q956" s="1536"/>
      <c r="R956" s="1567"/>
    </row>
    <row r="957" spans="1:18">
      <c r="A957" s="2003"/>
      <c r="B957" s="1913"/>
      <c r="C957" s="1536"/>
      <c r="D957" s="1536"/>
      <c r="E957" s="1536"/>
      <c r="F957" s="1536"/>
      <c r="G957" s="1536"/>
      <c r="H957" s="1235"/>
      <c r="I957" s="1536"/>
      <c r="J957" s="1536"/>
      <c r="K957" s="1537"/>
      <c r="L957" s="1235"/>
      <c r="M957" s="1236"/>
      <c r="N957" s="2900"/>
      <c r="O957" s="1628"/>
      <c r="P957" s="1536"/>
      <c r="Q957" s="1536"/>
      <c r="R957" s="1567"/>
    </row>
    <row r="958" spans="1:18">
      <c r="A958" s="2003"/>
      <c r="B958" s="1913"/>
      <c r="C958" s="1536"/>
      <c r="D958" s="1536"/>
      <c r="E958" s="1536"/>
      <c r="F958" s="1536"/>
      <c r="G958" s="1536"/>
      <c r="H958" s="1235"/>
      <c r="I958" s="1536"/>
      <c r="J958" s="1536"/>
      <c r="K958" s="1537"/>
      <c r="L958" s="1235"/>
      <c r="M958" s="1236"/>
      <c r="N958" s="2902"/>
      <c r="O958" s="1628"/>
      <c r="P958" s="1536"/>
      <c r="Q958" s="1536"/>
      <c r="R958" s="1567"/>
    </row>
    <row r="959" spans="1:18">
      <c r="A959" s="2003"/>
      <c r="B959" s="1913"/>
      <c r="C959" s="1536"/>
      <c r="D959" s="1536"/>
      <c r="E959" s="1536"/>
      <c r="F959" s="1536"/>
      <c r="G959" s="1536"/>
      <c r="H959" s="1235"/>
      <c r="I959" s="1536"/>
      <c r="J959" s="1536"/>
      <c r="K959" s="1537"/>
      <c r="L959" s="1235"/>
      <c r="M959" s="1236"/>
      <c r="N959" s="2900"/>
      <c r="O959" s="1628"/>
      <c r="P959" s="1536"/>
      <c r="Q959" s="1536"/>
      <c r="R959" s="1567"/>
    </row>
    <row r="960" spans="1:18">
      <c r="A960" s="2003"/>
      <c r="B960" s="1913"/>
      <c r="C960" s="1536"/>
      <c r="D960" s="1536"/>
      <c r="E960" s="1536"/>
      <c r="F960" s="1536"/>
      <c r="G960" s="1536"/>
      <c r="H960" s="1235"/>
      <c r="I960" s="1536"/>
      <c r="J960" s="1536"/>
      <c r="K960" s="1537"/>
      <c r="L960" s="1235"/>
      <c r="M960" s="1236"/>
      <c r="N960" s="2902"/>
      <c r="O960" s="1628"/>
      <c r="P960" s="1536"/>
      <c r="Q960" s="1536"/>
      <c r="R960" s="1567"/>
    </row>
    <row r="961" spans="1:18">
      <c r="A961" s="2003"/>
      <c r="B961" s="1913"/>
      <c r="C961" s="1536"/>
      <c r="D961" s="1536"/>
      <c r="E961" s="1536"/>
      <c r="F961" s="1536"/>
      <c r="G961" s="1536"/>
      <c r="H961" s="1235"/>
      <c r="I961" s="2906"/>
      <c r="J961" s="2907"/>
      <c r="K961" s="1537"/>
      <c r="L961" s="1235"/>
      <c r="M961" s="1236"/>
      <c r="N961" s="1879"/>
      <c r="O961" s="1628"/>
      <c r="P961" s="1536"/>
      <c r="Q961" s="1536"/>
      <c r="R961" s="1567"/>
    </row>
    <row r="962" spans="1:18">
      <c r="A962" s="2003"/>
      <c r="B962" s="1913"/>
      <c r="C962" s="1536"/>
      <c r="D962" s="1536"/>
      <c r="E962" s="1536"/>
      <c r="F962" s="1536"/>
      <c r="G962" s="1536"/>
      <c r="H962" s="1235"/>
      <c r="I962" s="1536"/>
      <c r="J962" s="1536"/>
      <c r="K962" s="1537"/>
      <c r="L962" s="1235"/>
      <c r="M962" s="1236"/>
      <c r="N962" s="2900"/>
      <c r="O962" s="1628"/>
      <c r="P962" s="1536"/>
      <c r="Q962" s="1536"/>
      <c r="R962" s="1567"/>
    </row>
    <row r="963" spans="1:18">
      <c r="A963" s="2003"/>
      <c r="B963" s="1913"/>
      <c r="C963" s="1536"/>
      <c r="D963" s="1536"/>
      <c r="E963" s="1536"/>
      <c r="F963" s="1536"/>
      <c r="G963" s="1536"/>
      <c r="H963" s="1235"/>
      <c r="I963" s="1536"/>
      <c r="J963" s="1536"/>
      <c r="K963" s="1537"/>
      <c r="L963" s="1235"/>
      <c r="M963" s="1236"/>
      <c r="N963" s="2903"/>
      <c r="O963" s="1628"/>
      <c r="P963" s="1536"/>
      <c r="Q963" s="1536"/>
      <c r="R963" s="1567"/>
    </row>
    <row r="964" spans="1:18">
      <c r="A964" s="2003"/>
      <c r="B964" s="1913"/>
      <c r="C964" s="1536"/>
      <c r="D964" s="1536"/>
      <c r="E964" s="1536"/>
      <c r="F964" s="1536"/>
      <c r="G964" s="1536"/>
      <c r="H964" s="1235"/>
      <c r="I964" s="1536"/>
      <c r="J964" s="1536"/>
      <c r="K964" s="1537"/>
      <c r="L964" s="1235"/>
      <c r="M964" s="1236"/>
      <c r="N964" s="2902"/>
      <c r="O964" s="1628"/>
      <c r="P964" s="1536"/>
      <c r="Q964" s="1536"/>
      <c r="R964" s="1567"/>
    </row>
    <row r="965" spans="1:18">
      <c r="A965" s="2003"/>
      <c r="B965" s="1913"/>
      <c r="C965" s="1536"/>
      <c r="D965" s="1536"/>
      <c r="E965" s="1536"/>
      <c r="F965" s="1536"/>
      <c r="G965" s="1536"/>
      <c r="H965" s="1235"/>
      <c r="I965" s="1536"/>
      <c r="J965" s="1536"/>
      <c r="K965" s="1537"/>
      <c r="L965" s="1235"/>
      <c r="M965" s="1236"/>
      <c r="N965" s="2900"/>
      <c r="O965" s="1628"/>
      <c r="P965" s="1536"/>
      <c r="Q965" s="1536"/>
      <c r="R965" s="1567"/>
    </row>
    <row r="966" spans="1:18">
      <c r="A966" s="2003"/>
      <c r="B966" s="1913"/>
      <c r="C966" s="1536"/>
      <c r="D966" s="1536"/>
      <c r="E966" s="1536"/>
      <c r="F966" s="1536"/>
      <c r="G966" s="1536"/>
      <c r="H966" s="1235"/>
      <c r="I966" s="1536"/>
      <c r="J966" s="1536"/>
      <c r="K966" s="1537"/>
      <c r="L966" s="1235"/>
      <c r="M966" s="1236"/>
      <c r="N966" s="2902"/>
      <c r="O966" s="1628"/>
      <c r="P966" s="1536"/>
      <c r="Q966" s="1536"/>
      <c r="R966" s="1567"/>
    </row>
    <row r="967" spans="1:18">
      <c r="A967" s="2003"/>
      <c r="B967" s="1913"/>
      <c r="C967" s="1536"/>
      <c r="D967" s="1536"/>
      <c r="E967" s="1536"/>
      <c r="F967" s="1536"/>
      <c r="G967" s="1536"/>
      <c r="H967" s="1235"/>
      <c r="I967" s="1536"/>
      <c r="J967" s="1536"/>
      <c r="K967" s="1537"/>
      <c r="L967" s="1235"/>
      <c r="M967" s="1236"/>
      <c r="N967" s="2900"/>
      <c r="O967" s="1628"/>
      <c r="P967" s="1536"/>
      <c r="Q967" s="1536"/>
      <c r="R967" s="1567"/>
    </row>
    <row r="968" spans="1:18">
      <c r="A968" s="2003"/>
      <c r="B968" s="1913"/>
      <c r="C968" s="1536"/>
      <c r="D968" s="1536"/>
      <c r="E968" s="1536"/>
      <c r="F968" s="1536"/>
      <c r="G968" s="1536"/>
      <c r="H968" s="1235"/>
      <c r="I968" s="1536"/>
      <c r="J968" s="1536"/>
      <c r="K968" s="1537"/>
      <c r="L968" s="1235"/>
      <c r="M968" s="1236"/>
      <c r="N968" s="2903"/>
      <c r="O968" s="1628"/>
      <c r="P968" s="1536"/>
      <c r="Q968" s="1536"/>
      <c r="R968" s="1567"/>
    </row>
    <row r="969" spans="1:18" ht="16.2" thickBot="1">
      <c r="A969" s="2009"/>
      <c r="B969" s="2212"/>
      <c r="C969" s="1538"/>
      <c r="D969" s="1538"/>
      <c r="E969" s="1538"/>
      <c r="F969" s="1538"/>
      <c r="G969" s="1538"/>
      <c r="H969" s="1535"/>
      <c r="I969" s="1538"/>
      <c r="J969" s="1538"/>
      <c r="K969" s="1556"/>
      <c r="L969" s="1535"/>
      <c r="M969" s="1872"/>
      <c r="N969" s="2901"/>
      <c r="O969" s="1632"/>
      <c r="P969" s="1538"/>
      <c r="Q969" s="1538"/>
      <c r="R969" s="1592"/>
    </row>
    <row r="970" spans="1:18">
      <c r="A970" s="2047"/>
      <c r="B970" s="2216"/>
      <c r="C970" s="1564"/>
      <c r="D970" s="1564"/>
      <c r="E970" s="1564"/>
      <c r="F970" s="1564"/>
      <c r="G970" s="1564"/>
      <c r="H970" s="966"/>
      <c r="I970" s="1564"/>
      <c r="J970" s="1564"/>
      <c r="K970" s="1565"/>
      <c r="L970" s="966"/>
      <c r="M970" s="1882"/>
      <c r="N970" s="2903"/>
      <c r="O970" s="1634"/>
      <c r="P970" s="1564"/>
      <c r="Q970" s="1564"/>
      <c r="R970" s="1566"/>
    </row>
    <row r="971" spans="1:18">
      <c r="A971" s="2003"/>
      <c r="B971" s="1913"/>
      <c r="C971" s="1536"/>
      <c r="D971" s="1536"/>
      <c r="E971" s="1536"/>
      <c r="F971" s="1536"/>
      <c r="G971" s="1536"/>
      <c r="H971" s="1235"/>
      <c r="I971" s="1536"/>
      <c r="J971" s="1536"/>
      <c r="K971" s="1537"/>
      <c r="L971" s="1235"/>
      <c r="M971" s="1236"/>
      <c r="N971" s="2902"/>
      <c r="O971" s="1628"/>
      <c r="P971" s="1536"/>
      <c r="Q971" s="1536"/>
      <c r="R971" s="1567"/>
    </row>
    <row r="972" spans="1:18">
      <c r="A972" s="2003"/>
      <c r="B972" s="1913"/>
      <c r="C972" s="1536"/>
      <c r="D972" s="1536"/>
      <c r="E972" s="1536"/>
      <c r="F972" s="1536"/>
      <c r="G972" s="1536"/>
      <c r="H972" s="1235"/>
      <c r="I972" s="1536"/>
      <c r="J972" s="1536"/>
      <c r="K972" s="1537"/>
      <c r="L972" s="1235"/>
      <c r="M972" s="1236"/>
      <c r="N972" s="2900"/>
      <c r="O972" s="1628"/>
      <c r="P972" s="1536"/>
      <c r="Q972" s="1536"/>
      <c r="R972" s="1567"/>
    </row>
    <row r="973" spans="1:18">
      <c r="A973" s="2003"/>
      <c r="B973" s="1913"/>
      <c r="C973" s="1536"/>
      <c r="D973" s="1536"/>
      <c r="E973" s="1536"/>
      <c r="F973" s="1536"/>
      <c r="G973" s="1536"/>
      <c r="H973" s="1235"/>
      <c r="I973" s="1536"/>
      <c r="J973" s="1536"/>
      <c r="K973" s="1537"/>
      <c r="L973" s="1235"/>
      <c r="M973" s="1236"/>
      <c r="N973" s="2902"/>
      <c r="O973" s="1628"/>
      <c r="P973" s="1536"/>
      <c r="Q973" s="1536"/>
      <c r="R973" s="1567"/>
    </row>
    <row r="974" spans="1:18">
      <c r="A974" s="2003"/>
      <c r="B974" s="1913"/>
      <c r="C974" s="1536"/>
      <c r="D974" s="1536"/>
      <c r="E974" s="1536"/>
      <c r="F974" s="1536"/>
      <c r="G974" s="1536"/>
      <c r="H974" s="1235"/>
      <c r="I974" s="2905"/>
      <c r="J974" s="2905"/>
      <c r="K974" s="1537"/>
      <c r="L974" s="1235"/>
      <c r="M974" s="1236"/>
      <c r="N974" s="1879"/>
      <c r="O974" s="1628"/>
      <c r="P974" s="1536"/>
      <c r="Q974" s="1536"/>
      <c r="R974" s="1567"/>
    </row>
    <row r="975" spans="1:18">
      <c r="A975" s="2003"/>
      <c r="B975" s="1913"/>
      <c r="C975" s="1536"/>
      <c r="D975" s="1536"/>
      <c r="E975" s="1536"/>
      <c r="F975" s="1536"/>
      <c r="G975" s="1536"/>
      <c r="H975" s="1235"/>
      <c r="I975" s="1536"/>
      <c r="J975" s="1536"/>
      <c r="K975" s="1537"/>
      <c r="L975" s="1235"/>
      <c r="M975" s="1236"/>
      <c r="N975" s="2900"/>
      <c r="O975" s="1628"/>
      <c r="P975" s="1536"/>
      <c r="Q975" s="1536"/>
      <c r="R975" s="1567"/>
    </row>
    <row r="976" spans="1:18">
      <c r="A976" s="2003"/>
      <c r="B976" s="1913"/>
      <c r="C976" s="1536"/>
      <c r="D976" s="1536"/>
      <c r="E976" s="1536"/>
      <c r="F976" s="1536"/>
      <c r="G976" s="1536"/>
      <c r="H976" s="1235"/>
      <c r="I976" s="1536"/>
      <c r="J976" s="1536"/>
      <c r="K976" s="1537"/>
      <c r="L976" s="1235"/>
      <c r="M976" s="1236"/>
      <c r="N976" s="2902"/>
      <c r="O976" s="1628"/>
      <c r="P976" s="1536"/>
      <c r="Q976" s="1536"/>
      <c r="R976" s="1567"/>
    </row>
    <row r="977" spans="1:18">
      <c r="A977" s="2003"/>
      <c r="B977" s="1913"/>
      <c r="C977" s="1536"/>
      <c r="D977" s="1536"/>
      <c r="E977" s="1536"/>
      <c r="F977" s="1536"/>
      <c r="G977" s="1536"/>
      <c r="H977" s="1235"/>
      <c r="I977" s="1536"/>
      <c r="J977" s="1536"/>
      <c r="K977" s="1537"/>
      <c r="L977" s="1235"/>
      <c r="M977" s="1236"/>
      <c r="N977" s="2900"/>
      <c r="O977" s="1628"/>
      <c r="P977" s="1536"/>
      <c r="Q977" s="1536"/>
      <c r="R977" s="1567"/>
    </row>
    <row r="978" spans="1:18">
      <c r="A978" s="2003"/>
      <c r="B978" s="1913"/>
      <c r="C978" s="1536"/>
      <c r="D978" s="1536"/>
      <c r="E978" s="1536"/>
      <c r="F978" s="1536"/>
      <c r="G978" s="1536"/>
      <c r="H978" s="1235"/>
      <c r="I978" s="1536"/>
      <c r="J978" s="1536"/>
      <c r="K978" s="1537"/>
      <c r="L978" s="1235"/>
      <c r="M978" s="1236"/>
      <c r="N978" s="2902"/>
      <c r="O978" s="1628"/>
      <c r="P978" s="1536"/>
      <c r="Q978" s="1536"/>
      <c r="R978" s="1567"/>
    </row>
    <row r="979" spans="1:18">
      <c r="A979" s="2003"/>
      <c r="B979" s="1913"/>
      <c r="C979" s="1536"/>
      <c r="D979" s="1536"/>
      <c r="E979" s="1536"/>
      <c r="F979" s="1536"/>
      <c r="G979" s="1536"/>
      <c r="H979" s="1235"/>
      <c r="I979" s="2905"/>
      <c r="J979" s="2905"/>
      <c r="K979" s="1537"/>
      <c r="L979" s="1235"/>
      <c r="M979" s="1236"/>
      <c r="N979" s="1879"/>
      <c r="O979" s="1628"/>
      <c r="P979" s="1536"/>
      <c r="Q979" s="1536"/>
      <c r="R979" s="1567"/>
    </row>
    <row r="980" spans="1:18">
      <c r="A980" s="2003"/>
      <c r="B980" s="1913"/>
      <c r="C980" s="1536"/>
      <c r="D980" s="1536"/>
      <c r="E980" s="1536"/>
      <c r="F980" s="1536"/>
      <c r="G980" s="1536"/>
      <c r="H980" s="1235"/>
      <c r="I980" s="1536"/>
      <c r="J980" s="1536"/>
      <c r="K980" s="1537"/>
      <c r="L980" s="1235"/>
      <c r="M980" s="1236"/>
      <c r="N980" s="2900"/>
      <c r="O980" s="1628"/>
      <c r="P980" s="1536"/>
      <c r="Q980" s="1536"/>
      <c r="R980" s="1567"/>
    </row>
    <row r="981" spans="1:18">
      <c r="A981" s="2003"/>
      <c r="B981" s="1913"/>
      <c r="C981" s="1536"/>
      <c r="D981" s="1536"/>
      <c r="E981" s="1536"/>
      <c r="F981" s="1536"/>
      <c r="G981" s="1536"/>
      <c r="H981" s="1235"/>
      <c r="I981" s="1536"/>
      <c r="J981" s="1536"/>
      <c r="K981" s="1537"/>
      <c r="L981" s="1235"/>
      <c r="M981" s="1236"/>
      <c r="N981" s="2902"/>
      <c r="O981" s="1628"/>
      <c r="P981" s="1536"/>
      <c r="Q981" s="1536"/>
      <c r="R981" s="1567"/>
    </row>
    <row r="982" spans="1:18">
      <c r="A982" s="2003"/>
      <c r="B982" s="1913"/>
      <c r="C982" s="1536"/>
      <c r="D982" s="1536"/>
      <c r="E982" s="1536"/>
      <c r="F982" s="1536"/>
      <c r="G982" s="1536"/>
      <c r="H982" s="1235"/>
      <c r="I982" s="1536"/>
      <c r="J982" s="1536"/>
      <c r="K982" s="1537"/>
      <c r="L982" s="1235"/>
      <c r="M982" s="1236"/>
      <c r="N982" s="2900"/>
      <c r="O982" s="1628"/>
      <c r="P982" s="1536"/>
      <c r="Q982" s="1536"/>
      <c r="R982" s="1567"/>
    </row>
    <row r="983" spans="1:18">
      <c r="A983" s="2003"/>
      <c r="B983" s="1913"/>
      <c r="C983" s="1536"/>
      <c r="D983" s="1536"/>
      <c r="E983" s="1536"/>
      <c r="F983" s="1536"/>
      <c r="G983" s="1536"/>
      <c r="H983" s="1235"/>
      <c r="I983" s="1536"/>
      <c r="J983" s="1536"/>
      <c r="K983" s="1537"/>
      <c r="L983" s="1235"/>
      <c r="M983" s="1236"/>
      <c r="N983" s="2902"/>
      <c r="O983" s="1628"/>
      <c r="P983" s="1536"/>
      <c r="Q983" s="1536"/>
      <c r="R983" s="1567"/>
    </row>
    <row r="984" spans="1:18">
      <c r="A984" s="2003"/>
      <c r="B984" s="1913"/>
      <c r="C984" s="1536"/>
      <c r="D984" s="1536"/>
      <c r="E984" s="1536"/>
      <c r="F984" s="1536"/>
      <c r="G984" s="1536"/>
      <c r="H984" s="1235"/>
      <c r="I984" s="2905"/>
      <c r="J984" s="2905"/>
      <c r="K984" s="1537"/>
      <c r="L984" s="1235"/>
      <c r="M984" s="1236"/>
      <c r="N984" s="1879"/>
      <c r="O984" s="1628"/>
      <c r="P984" s="1536"/>
      <c r="Q984" s="1536"/>
      <c r="R984" s="1567"/>
    </row>
    <row r="985" spans="1:18">
      <c r="A985" s="2003"/>
      <c r="B985" s="1913"/>
      <c r="C985" s="1536"/>
      <c r="D985" s="1536"/>
      <c r="E985" s="1536"/>
      <c r="F985" s="1536"/>
      <c r="G985" s="1536"/>
      <c r="H985" s="1235"/>
      <c r="I985" s="1536"/>
      <c r="J985" s="1536"/>
      <c r="K985" s="1537"/>
      <c r="L985" s="1235"/>
      <c r="M985" s="1236"/>
      <c r="N985" s="2900"/>
      <c r="O985" s="1628"/>
      <c r="P985" s="1536"/>
      <c r="Q985" s="1536"/>
      <c r="R985" s="1567"/>
    </row>
    <row r="986" spans="1:18">
      <c r="A986" s="2003"/>
      <c r="B986" s="1913"/>
      <c r="C986" s="1536"/>
      <c r="D986" s="1536"/>
      <c r="E986" s="1536"/>
      <c r="F986" s="1536"/>
      <c r="G986" s="1536"/>
      <c r="H986" s="1235"/>
      <c r="I986" s="1536"/>
      <c r="J986" s="1536"/>
      <c r="K986" s="1537"/>
      <c r="L986" s="1235"/>
      <c r="M986" s="1236"/>
      <c r="N986" s="2902"/>
      <c r="O986" s="1628"/>
      <c r="P986" s="1536"/>
      <c r="Q986" s="1536"/>
      <c r="R986" s="1567"/>
    </row>
    <row r="987" spans="1:18">
      <c r="A987" s="2003"/>
      <c r="B987" s="1913"/>
      <c r="C987" s="1536"/>
      <c r="D987" s="1536"/>
      <c r="E987" s="1536"/>
      <c r="F987" s="1536"/>
      <c r="G987" s="1536"/>
      <c r="H987" s="1235"/>
      <c r="I987" s="1913"/>
      <c r="J987" s="1913"/>
      <c r="K987" s="1537"/>
      <c r="L987" s="1235"/>
      <c r="M987" s="1236"/>
      <c r="N987" s="2900"/>
      <c r="O987" s="1628"/>
      <c r="P987" s="1536"/>
      <c r="Q987" s="1536"/>
      <c r="R987" s="1567"/>
    </row>
    <row r="988" spans="1:18">
      <c r="A988" s="2003"/>
      <c r="B988" s="1913"/>
      <c r="C988" s="1536"/>
      <c r="D988" s="1536"/>
      <c r="E988" s="1536"/>
      <c r="F988" s="1536"/>
      <c r="G988" s="1536"/>
      <c r="H988" s="1235"/>
      <c r="I988" s="1536"/>
      <c r="J988" s="1536"/>
      <c r="K988" s="1537"/>
      <c r="L988" s="1235"/>
      <c r="M988" s="1236"/>
      <c r="N988" s="2902"/>
      <c r="O988" s="1628"/>
      <c r="P988" s="1536"/>
      <c r="Q988" s="1536"/>
      <c r="R988" s="1567"/>
    </row>
    <row r="989" spans="1:18">
      <c r="A989" s="2003"/>
      <c r="B989" s="1913"/>
      <c r="C989" s="1536"/>
      <c r="D989" s="1536"/>
      <c r="E989" s="1536"/>
      <c r="F989" s="1536"/>
      <c r="G989" s="1536"/>
      <c r="H989" s="1235"/>
      <c r="I989" s="1536"/>
      <c r="J989" s="1536"/>
      <c r="K989" s="1537"/>
      <c r="L989" s="1235"/>
      <c r="M989" s="1236"/>
      <c r="N989" s="2900"/>
      <c r="O989" s="1628"/>
      <c r="P989" s="1536"/>
      <c r="Q989" s="1536"/>
      <c r="R989" s="1567"/>
    </row>
    <row r="990" spans="1:18">
      <c r="A990" s="2003"/>
      <c r="B990" s="1913"/>
      <c r="C990" s="1536"/>
      <c r="D990" s="1536"/>
      <c r="E990" s="1536"/>
      <c r="F990" s="1536"/>
      <c r="G990" s="1536"/>
      <c r="H990" s="1235"/>
      <c r="I990" s="1536"/>
      <c r="J990" s="1536"/>
      <c r="K990" s="1537"/>
      <c r="L990" s="1235"/>
      <c r="M990" s="1236"/>
      <c r="N990" s="2902"/>
      <c r="O990" s="1628"/>
      <c r="P990" s="1536"/>
      <c r="Q990" s="1536"/>
      <c r="R990" s="1567"/>
    </row>
    <row r="991" spans="1:18">
      <c r="A991" s="2003"/>
      <c r="B991" s="1913"/>
      <c r="C991" s="1536"/>
      <c r="D991" s="1536"/>
      <c r="E991" s="1536"/>
      <c r="F991" s="1536"/>
      <c r="G991" s="1536"/>
      <c r="H991" s="1235"/>
      <c r="I991" s="1536"/>
      <c r="J991" s="1536"/>
      <c r="K991" s="1537"/>
      <c r="L991" s="1235"/>
      <c r="M991" s="1236"/>
      <c r="N991" s="2900"/>
      <c r="O991" s="1628"/>
      <c r="P991" s="1536"/>
      <c r="Q991" s="1536"/>
      <c r="R991" s="1567"/>
    </row>
    <row r="992" spans="1:18">
      <c r="A992" s="2003"/>
      <c r="B992" s="1913"/>
      <c r="C992" s="1536"/>
      <c r="D992" s="1536"/>
      <c r="E992" s="1536"/>
      <c r="F992" s="1536"/>
      <c r="G992" s="1536"/>
      <c r="H992" s="1235"/>
      <c r="I992" s="1536"/>
      <c r="J992" s="1536"/>
      <c r="K992" s="1537"/>
      <c r="L992" s="1235"/>
      <c r="M992" s="1236"/>
      <c r="N992" s="2903"/>
      <c r="O992" s="1628"/>
      <c r="P992" s="1536"/>
      <c r="Q992" s="1536"/>
      <c r="R992" s="1567"/>
    </row>
    <row r="993" spans="1:18">
      <c r="A993" s="2003"/>
      <c r="B993" s="1913"/>
      <c r="C993" s="1536"/>
      <c r="D993" s="1536"/>
      <c r="E993" s="1536"/>
      <c r="F993" s="1536"/>
      <c r="G993" s="1536"/>
      <c r="H993" s="1235"/>
      <c r="I993" s="1536"/>
      <c r="J993" s="1536"/>
      <c r="K993" s="1537"/>
      <c r="L993" s="1235"/>
      <c r="M993" s="1236"/>
      <c r="N993" s="2902"/>
      <c r="O993" s="1628"/>
      <c r="P993" s="1536"/>
      <c r="Q993" s="1536"/>
      <c r="R993" s="1567"/>
    </row>
    <row r="994" spans="1:18">
      <c r="A994" s="2003"/>
      <c r="B994" s="1913"/>
      <c r="C994" s="1536"/>
      <c r="D994" s="1536"/>
      <c r="E994" s="1536"/>
      <c r="F994" s="1536"/>
      <c r="G994" s="1536"/>
      <c r="H994" s="1235"/>
      <c r="I994" s="1536"/>
      <c r="J994" s="1536"/>
      <c r="K994" s="1537"/>
      <c r="L994" s="1235"/>
      <c r="M994" s="1236"/>
      <c r="N994" s="2900"/>
      <c r="O994" s="1628"/>
      <c r="P994" s="1536"/>
      <c r="Q994" s="1536"/>
      <c r="R994" s="1567"/>
    </row>
    <row r="995" spans="1:18">
      <c r="A995" s="2003"/>
      <c r="B995" s="1913"/>
      <c r="C995" s="1536"/>
      <c r="D995" s="1536"/>
      <c r="E995" s="1536"/>
      <c r="F995" s="1536"/>
      <c r="G995" s="1536"/>
      <c r="H995" s="1235"/>
      <c r="I995" s="1536"/>
      <c r="J995" s="1536"/>
      <c r="K995" s="1537"/>
      <c r="L995" s="1235"/>
      <c r="M995" s="1236"/>
      <c r="N995" s="2902"/>
      <c r="O995" s="1628"/>
      <c r="P995" s="1536"/>
      <c r="Q995" s="1536"/>
      <c r="R995" s="1567"/>
    </row>
    <row r="996" spans="1:18">
      <c r="A996" s="2003"/>
      <c r="B996" s="1913"/>
      <c r="C996" s="1536"/>
      <c r="D996" s="1536"/>
      <c r="E996" s="1536"/>
      <c r="F996" s="1536"/>
      <c r="G996" s="1536"/>
      <c r="H996" s="1235"/>
      <c r="I996" s="1536"/>
      <c r="J996" s="1536"/>
      <c r="K996" s="1537"/>
      <c r="L996" s="1235"/>
      <c r="M996" s="1236"/>
      <c r="N996" s="2900"/>
      <c r="O996" s="1628"/>
      <c r="P996" s="1536"/>
      <c r="Q996" s="1536"/>
      <c r="R996" s="1567"/>
    </row>
    <row r="997" spans="1:18">
      <c r="A997" s="2003"/>
      <c r="B997" s="1913"/>
      <c r="C997" s="1536"/>
      <c r="D997" s="1536"/>
      <c r="E997" s="1536"/>
      <c r="F997" s="1536"/>
      <c r="G997" s="1536"/>
      <c r="H997" s="1235"/>
      <c r="I997" s="1536"/>
      <c r="J997" s="1536"/>
      <c r="K997" s="1537"/>
      <c r="L997" s="1235"/>
      <c r="M997" s="1236"/>
      <c r="N997" s="2902"/>
      <c r="O997" s="1628"/>
      <c r="P997" s="1536"/>
      <c r="Q997" s="1536"/>
      <c r="R997" s="1567"/>
    </row>
    <row r="998" spans="1:18">
      <c r="A998" s="2003"/>
      <c r="B998" s="1913"/>
      <c r="C998" s="1536"/>
      <c r="D998" s="1536"/>
      <c r="E998" s="1536"/>
      <c r="F998" s="1536"/>
      <c r="G998" s="1536"/>
      <c r="H998" s="1235"/>
      <c r="I998" s="1536"/>
      <c r="J998" s="1536"/>
      <c r="K998" s="1537"/>
      <c r="L998" s="1235"/>
      <c r="M998" s="1236"/>
      <c r="N998" s="2900"/>
      <c r="O998" s="1628"/>
      <c r="P998" s="1536"/>
      <c r="Q998" s="1536"/>
      <c r="R998" s="1567"/>
    </row>
    <row r="999" spans="1:18">
      <c r="A999" s="2003"/>
      <c r="B999" s="1913"/>
      <c r="C999" s="1536"/>
      <c r="D999" s="1536"/>
      <c r="E999" s="1536"/>
      <c r="F999" s="1536"/>
      <c r="G999" s="1536"/>
      <c r="H999" s="1235"/>
      <c r="I999" s="1536"/>
      <c r="J999" s="1536"/>
      <c r="K999" s="1537"/>
      <c r="L999" s="1235"/>
      <c r="M999" s="1236"/>
      <c r="N999" s="2902"/>
      <c r="O999" s="1628"/>
      <c r="P999" s="1536"/>
      <c r="Q999" s="1536"/>
      <c r="R999" s="1567"/>
    </row>
    <row r="1000" spans="1:18">
      <c r="A1000" s="2003"/>
      <c r="B1000" s="1913"/>
      <c r="C1000" s="1536"/>
      <c r="D1000" s="1536"/>
      <c r="E1000" s="1536"/>
      <c r="F1000" s="1536"/>
      <c r="G1000" s="1536"/>
      <c r="H1000" s="1235"/>
      <c r="I1000" s="1536"/>
      <c r="J1000" s="1536"/>
      <c r="K1000" s="1537"/>
      <c r="L1000" s="1235"/>
      <c r="M1000" s="1236"/>
      <c r="N1000" s="2900"/>
      <c r="O1000" s="1628"/>
      <c r="P1000" s="1536"/>
      <c r="Q1000" s="1536"/>
      <c r="R1000" s="1567"/>
    </row>
    <row r="1001" spans="1:18">
      <c r="A1001" s="2003"/>
      <c r="B1001" s="1913"/>
      <c r="C1001" s="1536"/>
      <c r="D1001" s="1536"/>
      <c r="E1001" s="1536"/>
      <c r="F1001" s="1536"/>
      <c r="G1001" s="1536"/>
      <c r="H1001" s="1235"/>
      <c r="I1001" s="1536"/>
      <c r="J1001" s="1536"/>
      <c r="K1001" s="1537"/>
      <c r="L1001" s="1235"/>
      <c r="M1001" s="1236"/>
      <c r="N1001" s="2902"/>
      <c r="O1001" s="1628"/>
      <c r="P1001" s="1536"/>
      <c r="Q1001" s="1536"/>
      <c r="R1001" s="1567"/>
    </row>
    <row r="1002" spans="1:18">
      <c r="A1002" s="2003"/>
      <c r="B1002" s="1913"/>
      <c r="C1002" s="1536"/>
      <c r="D1002" s="1536"/>
      <c r="E1002" s="1536"/>
      <c r="F1002" s="1536"/>
      <c r="G1002" s="1536"/>
      <c r="H1002" s="1235"/>
      <c r="I1002" s="1536"/>
      <c r="J1002" s="1536"/>
      <c r="K1002" s="1537"/>
      <c r="L1002" s="1235"/>
      <c r="M1002" s="1236"/>
      <c r="N1002" s="2900"/>
      <c r="O1002" s="1628"/>
      <c r="P1002" s="1536"/>
      <c r="Q1002" s="1536"/>
      <c r="R1002" s="1567"/>
    </row>
    <row r="1003" spans="1:18">
      <c r="A1003" s="2003"/>
      <c r="B1003" s="1913"/>
      <c r="C1003" s="1536"/>
      <c r="D1003" s="1536"/>
      <c r="E1003" s="1536"/>
      <c r="F1003" s="1536"/>
      <c r="G1003" s="1536"/>
      <c r="H1003" s="1235"/>
      <c r="I1003" s="1536"/>
      <c r="J1003" s="1536"/>
      <c r="K1003" s="1537"/>
      <c r="L1003" s="1235"/>
      <c r="M1003" s="1236"/>
      <c r="N1003" s="2902"/>
      <c r="O1003" s="1235"/>
      <c r="P1003" s="1536"/>
      <c r="Q1003" s="1536"/>
      <c r="R1003" s="1567"/>
    </row>
    <row r="1004" spans="1:18">
      <c r="A1004" s="2003"/>
      <c r="B1004" s="1913"/>
      <c r="C1004" s="1536"/>
      <c r="D1004" s="1536"/>
      <c r="E1004" s="1536"/>
      <c r="F1004" s="1536"/>
      <c r="G1004" s="1536"/>
      <c r="H1004" s="1235"/>
      <c r="I1004" s="1536"/>
      <c r="J1004" s="1536"/>
      <c r="K1004" s="1537"/>
      <c r="L1004" s="1235"/>
      <c r="M1004" s="1236"/>
      <c r="N1004" s="2900"/>
      <c r="O1004" s="1628"/>
      <c r="P1004" s="1536"/>
      <c r="Q1004" s="1536"/>
      <c r="R1004" s="1567"/>
    </row>
    <row r="1005" spans="1:18">
      <c r="A1005" s="2003"/>
      <c r="B1005" s="1913"/>
      <c r="C1005" s="1536"/>
      <c r="D1005" s="1536"/>
      <c r="E1005" s="1536"/>
      <c r="F1005" s="1536"/>
      <c r="G1005" s="1536"/>
      <c r="H1005" s="1235"/>
      <c r="I1005" s="1536"/>
      <c r="J1005" s="1536"/>
      <c r="K1005" s="1537"/>
      <c r="L1005" s="1235"/>
      <c r="M1005" s="1236"/>
      <c r="N1005" s="2902"/>
      <c r="O1005" s="1628"/>
      <c r="P1005" s="1536"/>
      <c r="Q1005" s="1536"/>
      <c r="R1005" s="1567"/>
    </row>
    <row r="1006" spans="1:18">
      <c r="A1006" s="2003"/>
      <c r="B1006" s="1913"/>
      <c r="C1006" s="1536"/>
      <c r="D1006" s="1536"/>
      <c r="E1006" s="1536"/>
      <c r="F1006" s="1536"/>
      <c r="G1006" s="1536"/>
      <c r="H1006" s="1235"/>
      <c r="I1006" s="1536"/>
      <c r="J1006" s="1536"/>
      <c r="K1006" s="1537"/>
      <c r="L1006" s="1235"/>
      <c r="M1006" s="1236"/>
      <c r="N1006" s="2900"/>
      <c r="O1006" s="1628"/>
      <c r="P1006" s="1536"/>
      <c r="Q1006" s="1536"/>
      <c r="R1006" s="1567"/>
    </row>
    <row r="1007" spans="1:18">
      <c r="A1007" s="2003"/>
      <c r="B1007" s="1913"/>
      <c r="C1007" s="1536"/>
      <c r="D1007" s="1536"/>
      <c r="E1007" s="1536"/>
      <c r="F1007" s="1536"/>
      <c r="G1007" s="1536"/>
      <c r="H1007" s="1235"/>
      <c r="I1007" s="1536"/>
      <c r="J1007" s="1536"/>
      <c r="K1007" s="1537"/>
      <c r="L1007" s="1235"/>
      <c r="M1007" s="1236"/>
      <c r="N1007" s="2902"/>
      <c r="O1007" s="1628"/>
      <c r="P1007" s="1536"/>
      <c r="Q1007" s="1536"/>
      <c r="R1007" s="1567"/>
    </row>
    <row r="1008" spans="1:18">
      <c r="A1008" s="2003"/>
      <c r="B1008" s="1913"/>
      <c r="C1008" s="1536"/>
      <c r="D1008" s="1536"/>
      <c r="E1008" s="1536"/>
      <c r="F1008" s="1536"/>
      <c r="G1008" s="1536"/>
      <c r="H1008" s="1235"/>
      <c r="I1008" s="1536"/>
      <c r="J1008" s="1536"/>
      <c r="K1008" s="1537"/>
      <c r="L1008" s="1235"/>
      <c r="M1008" s="1236"/>
      <c r="N1008" s="2900"/>
      <c r="O1008" s="1628"/>
      <c r="P1008" s="1536"/>
      <c r="Q1008" s="1536"/>
      <c r="R1008" s="1567"/>
    </row>
    <row r="1009" spans="1:18">
      <c r="A1009" s="2003"/>
      <c r="B1009" s="1913"/>
      <c r="C1009" s="1536"/>
      <c r="D1009" s="1536"/>
      <c r="E1009" s="1536"/>
      <c r="F1009" s="1536"/>
      <c r="G1009" s="1536"/>
      <c r="H1009" s="1235"/>
      <c r="I1009" s="1536"/>
      <c r="J1009" s="1536"/>
      <c r="K1009" s="1537"/>
      <c r="L1009" s="1235"/>
      <c r="M1009" s="1236"/>
      <c r="N1009" s="2902"/>
      <c r="O1009" s="1628"/>
      <c r="P1009" s="1536"/>
      <c r="Q1009" s="1536"/>
      <c r="R1009" s="1567"/>
    </row>
    <row r="1010" spans="1:18">
      <c r="A1010" s="2003"/>
      <c r="B1010" s="1913"/>
      <c r="C1010" s="1536"/>
      <c r="D1010" s="1536"/>
      <c r="E1010" s="1536"/>
      <c r="F1010" s="1536"/>
      <c r="G1010" s="1536"/>
      <c r="H1010" s="1235"/>
      <c r="I1010" s="1536"/>
      <c r="J1010" s="1536"/>
      <c r="K1010" s="1537"/>
      <c r="L1010" s="1235"/>
      <c r="M1010" s="1236"/>
      <c r="N1010" s="2900"/>
      <c r="O1010" s="1628"/>
      <c r="P1010" s="1536"/>
      <c r="Q1010" s="1536"/>
      <c r="R1010" s="1567"/>
    </row>
    <row r="1011" spans="1:18">
      <c r="A1011" s="2003"/>
      <c r="B1011" s="1913"/>
      <c r="C1011" s="1536"/>
      <c r="D1011" s="1536"/>
      <c r="E1011" s="1536"/>
      <c r="F1011" s="1536"/>
      <c r="G1011" s="1536"/>
      <c r="H1011" s="1235"/>
      <c r="I1011" s="1536"/>
      <c r="J1011" s="1536"/>
      <c r="K1011" s="1537"/>
      <c r="L1011" s="1235"/>
      <c r="M1011" s="1236"/>
      <c r="N1011" s="2902"/>
      <c r="O1011" s="1628"/>
      <c r="P1011" s="1536"/>
      <c r="Q1011" s="1536"/>
      <c r="R1011" s="1567"/>
    </row>
    <row r="1012" spans="1:18">
      <c r="A1012" s="2003"/>
      <c r="B1012" s="1913"/>
      <c r="C1012" s="1536"/>
      <c r="D1012" s="1536"/>
      <c r="E1012" s="1536"/>
      <c r="F1012" s="1536"/>
      <c r="G1012" s="1536"/>
      <c r="H1012" s="1235"/>
      <c r="I1012" s="1536"/>
      <c r="J1012" s="1536"/>
      <c r="K1012" s="1537"/>
      <c r="L1012" s="1235"/>
      <c r="M1012" s="1236"/>
      <c r="N1012" s="2900"/>
      <c r="O1012" s="1628"/>
      <c r="P1012" s="1536"/>
      <c r="Q1012" s="1536"/>
      <c r="R1012" s="1567"/>
    </row>
    <row r="1013" spans="1:18">
      <c r="A1013" s="2003"/>
      <c r="B1013" s="1913"/>
      <c r="C1013" s="1536"/>
      <c r="D1013" s="1536"/>
      <c r="E1013" s="1536"/>
      <c r="F1013" s="1536"/>
      <c r="G1013" s="1536"/>
      <c r="H1013" s="1235"/>
      <c r="I1013" s="1536"/>
      <c r="J1013" s="1536"/>
      <c r="K1013" s="1537"/>
      <c r="L1013" s="1235"/>
      <c r="M1013" s="1236"/>
      <c r="N1013" s="2902"/>
      <c r="O1013" s="1628"/>
      <c r="P1013" s="1536"/>
      <c r="Q1013" s="1536"/>
      <c r="R1013" s="1567"/>
    </row>
    <row r="1014" spans="1:18">
      <c r="A1014" s="2003"/>
      <c r="B1014" s="1913"/>
      <c r="C1014" s="1536"/>
      <c r="D1014" s="1536"/>
      <c r="E1014" s="1536"/>
      <c r="F1014" s="1536"/>
      <c r="G1014" s="1536"/>
      <c r="H1014" s="1235"/>
      <c r="I1014" s="1536"/>
      <c r="J1014" s="1536"/>
      <c r="K1014" s="1537"/>
      <c r="L1014" s="1235"/>
      <c r="M1014" s="1236"/>
      <c r="N1014" s="2900"/>
      <c r="O1014" s="1628"/>
      <c r="P1014" s="1536"/>
      <c r="Q1014" s="1536"/>
      <c r="R1014" s="1567"/>
    </row>
    <row r="1015" spans="1:18">
      <c r="A1015" s="2003"/>
      <c r="B1015" s="1913"/>
      <c r="C1015" s="1536"/>
      <c r="D1015" s="1536"/>
      <c r="E1015" s="1536"/>
      <c r="F1015" s="1536"/>
      <c r="G1015" s="1536"/>
      <c r="H1015" s="1235"/>
      <c r="I1015" s="1536"/>
      <c r="J1015" s="1536"/>
      <c r="K1015" s="1537"/>
      <c r="L1015" s="1235"/>
      <c r="M1015" s="1236"/>
      <c r="N1015" s="2902"/>
      <c r="O1015" s="1628"/>
      <c r="P1015" s="1536"/>
      <c r="Q1015" s="1536"/>
      <c r="R1015" s="1567"/>
    </row>
    <row r="1016" spans="1:18">
      <c r="A1016" s="2003"/>
      <c r="B1016" s="1913"/>
      <c r="C1016" s="1536"/>
      <c r="D1016" s="1536"/>
      <c r="E1016" s="1536"/>
      <c r="F1016" s="1536"/>
      <c r="G1016" s="1536"/>
      <c r="H1016" s="1235"/>
      <c r="I1016" s="1536"/>
      <c r="J1016" s="1536"/>
      <c r="K1016" s="1537"/>
      <c r="L1016" s="1235"/>
      <c r="M1016" s="1236"/>
      <c r="N1016" s="2900"/>
      <c r="O1016" s="1628"/>
      <c r="P1016" s="1536"/>
      <c r="Q1016" s="1536"/>
      <c r="R1016" s="1567"/>
    </row>
    <row r="1017" spans="1:18">
      <c r="A1017" s="2003"/>
      <c r="B1017" s="1913"/>
      <c r="C1017" s="1536"/>
      <c r="D1017" s="1536"/>
      <c r="E1017" s="1536"/>
      <c r="F1017" s="1536"/>
      <c r="G1017" s="1536"/>
      <c r="H1017" s="1235"/>
      <c r="I1017" s="1536"/>
      <c r="J1017" s="1536"/>
      <c r="K1017" s="1537"/>
      <c r="L1017" s="1235"/>
      <c r="M1017" s="1236"/>
      <c r="N1017" s="2902"/>
      <c r="O1017" s="1628"/>
      <c r="P1017" s="1536"/>
      <c r="Q1017" s="1536"/>
      <c r="R1017" s="1567"/>
    </row>
    <row r="1018" spans="1:18">
      <c r="A1018" s="2003"/>
      <c r="B1018" s="1913"/>
      <c r="C1018" s="1536"/>
      <c r="D1018" s="1536"/>
      <c r="E1018" s="1536"/>
      <c r="F1018" s="1536"/>
      <c r="G1018" s="1536"/>
      <c r="H1018" s="1235"/>
      <c r="I1018" s="1536"/>
      <c r="J1018" s="1536"/>
      <c r="K1018" s="1537"/>
      <c r="L1018" s="1235"/>
      <c r="M1018" s="1236"/>
      <c r="N1018" s="2900"/>
      <c r="O1018" s="1628"/>
      <c r="P1018" s="1536"/>
      <c r="Q1018" s="1536"/>
      <c r="R1018" s="1567"/>
    </row>
    <row r="1019" spans="1:18">
      <c r="A1019" s="2003"/>
      <c r="B1019" s="1913"/>
      <c r="C1019" s="1536"/>
      <c r="D1019" s="1536"/>
      <c r="E1019" s="1536"/>
      <c r="F1019" s="1536"/>
      <c r="G1019" s="1536"/>
      <c r="H1019" s="1235"/>
      <c r="I1019" s="1536"/>
      <c r="J1019" s="1536"/>
      <c r="K1019" s="1537"/>
      <c r="L1019" s="1235"/>
      <c r="M1019" s="1236"/>
      <c r="N1019" s="2902"/>
      <c r="O1019" s="1628"/>
      <c r="P1019" s="1536"/>
      <c r="Q1019" s="1536"/>
      <c r="R1019" s="1567"/>
    </row>
    <row r="1020" spans="1:18">
      <c r="A1020" s="2003"/>
      <c r="B1020" s="1913"/>
      <c r="C1020" s="1536"/>
      <c r="D1020" s="1536"/>
      <c r="E1020" s="1536"/>
      <c r="F1020" s="1536"/>
      <c r="G1020" s="1536"/>
      <c r="H1020" s="1235"/>
      <c r="I1020" s="1536"/>
      <c r="J1020" s="1536"/>
      <c r="K1020" s="1537"/>
      <c r="L1020" s="1235"/>
      <c r="M1020" s="1236"/>
      <c r="N1020" s="2900"/>
      <c r="O1020" s="1628"/>
      <c r="P1020" s="1536"/>
      <c r="Q1020" s="1536"/>
      <c r="R1020" s="1567"/>
    </row>
    <row r="1021" spans="1:18">
      <c r="A1021" s="2003"/>
      <c r="B1021" s="1913"/>
      <c r="C1021" s="1536"/>
      <c r="D1021" s="1536"/>
      <c r="E1021" s="1536"/>
      <c r="F1021" s="1536"/>
      <c r="G1021" s="1536"/>
      <c r="H1021" s="1235"/>
      <c r="I1021" s="1536"/>
      <c r="J1021" s="1536"/>
      <c r="K1021" s="1537"/>
      <c r="L1021" s="1235"/>
      <c r="M1021" s="1236"/>
      <c r="N1021" s="2903"/>
      <c r="O1021" s="1628"/>
      <c r="P1021" s="1536"/>
      <c r="Q1021" s="1536"/>
      <c r="R1021" s="1567"/>
    </row>
    <row r="1022" spans="1:18">
      <c r="A1022" s="2003"/>
      <c r="B1022" s="1913"/>
      <c r="C1022" s="1536"/>
      <c r="D1022" s="1536"/>
      <c r="E1022" s="1536"/>
      <c r="F1022" s="1536"/>
      <c r="G1022" s="1536"/>
      <c r="H1022" s="1235"/>
      <c r="I1022" s="1536"/>
      <c r="J1022" s="1536"/>
      <c r="K1022" s="1537"/>
      <c r="L1022" s="1235"/>
      <c r="M1022" s="1236"/>
      <c r="N1022" s="2903"/>
      <c r="O1022" s="1628"/>
      <c r="P1022" s="1536"/>
      <c r="Q1022" s="1536"/>
      <c r="R1022" s="1567"/>
    </row>
    <row r="1023" spans="1:18">
      <c r="A1023" s="2003"/>
      <c r="B1023" s="1913"/>
      <c r="C1023" s="1536"/>
      <c r="D1023" s="1536"/>
      <c r="E1023" s="1536"/>
      <c r="F1023" s="1536"/>
      <c r="G1023" s="1536"/>
      <c r="H1023" s="1235"/>
      <c r="I1023" s="1536"/>
      <c r="J1023" s="1536"/>
      <c r="K1023" s="1537"/>
      <c r="L1023" s="1235"/>
      <c r="M1023" s="1236"/>
      <c r="N1023" s="2902"/>
      <c r="O1023" s="1628"/>
      <c r="P1023" s="1536"/>
      <c r="Q1023" s="1536"/>
      <c r="R1023" s="1567"/>
    </row>
    <row r="1024" spans="1:18">
      <c r="A1024" s="2003"/>
      <c r="B1024" s="1913"/>
      <c r="C1024" s="1536"/>
      <c r="D1024" s="1536"/>
      <c r="E1024" s="1536"/>
      <c r="F1024" s="1536"/>
      <c r="G1024" s="1536"/>
      <c r="H1024" s="1235"/>
      <c r="I1024" s="1536"/>
      <c r="J1024" s="1536"/>
      <c r="K1024" s="1537"/>
      <c r="L1024" s="1235"/>
      <c r="M1024" s="1236"/>
      <c r="N1024" s="2900"/>
      <c r="O1024" s="1628"/>
      <c r="P1024" s="1536"/>
      <c r="Q1024" s="1536"/>
      <c r="R1024" s="1567"/>
    </row>
    <row r="1025" spans="1:18">
      <c r="A1025" s="2003"/>
      <c r="B1025" s="1913"/>
      <c r="C1025" s="1536"/>
      <c r="D1025" s="1536"/>
      <c r="E1025" s="1536"/>
      <c r="F1025" s="1536"/>
      <c r="G1025" s="1536"/>
      <c r="H1025" s="1235"/>
      <c r="I1025" s="1536"/>
      <c r="J1025" s="1536"/>
      <c r="K1025" s="1537"/>
      <c r="L1025" s="1235"/>
      <c r="M1025" s="1236"/>
      <c r="N1025" s="2903"/>
      <c r="O1025" s="1628"/>
      <c r="P1025" s="1536"/>
      <c r="Q1025" s="1536"/>
      <c r="R1025" s="1567"/>
    </row>
    <row r="1026" spans="1:18">
      <c r="A1026" s="2003"/>
      <c r="B1026" s="1913"/>
      <c r="C1026" s="1536"/>
      <c r="D1026" s="1536"/>
      <c r="E1026" s="1536"/>
      <c r="F1026" s="1536"/>
      <c r="G1026" s="1536"/>
      <c r="H1026" s="1235"/>
      <c r="I1026" s="1536"/>
      <c r="J1026" s="1536"/>
      <c r="K1026" s="1537"/>
      <c r="L1026" s="1235"/>
      <c r="M1026" s="1236"/>
      <c r="N1026" s="2903"/>
      <c r="O1026" s="1628"/>
      <c r="P1026" s="1536"/>
      <c r="Q1026" s="1536"/>
      <c r="R1026" s="1567"/>
    </row>
    <row r="1027" spans="1:18">
      <c r="A1027" s="2009"/>
      <c r="B1027" s="2212"/>
      <c r="C1027" s="1538"/>
      <c r="D1027" s="1538"/>
      <c r="E1027" s="1538"/>
      <c r="F1027" s="1538"/>
      <c r="G1027" s="1538"/>
      <c r="H1027" s="1535"/>
      <c r="I1027" s="1538"/>
      <c r="J1027" s="1538"/>
      <c r="K1027" s="1556"/>
      <c r="L1027" s="1535"/>
      <c r="M1027" s="1872"/>
      <c r="N1027" s="2901"/>
      <c r="O1027" s="1632"/>
      <c r="P1027" s="1538"/>
      <c r="Q1027" s="1538"/>
      <c r="R1027" s="1592"/>
    </row>
    <row r="1028" spans="1:18">
      <c r="A1028" s="2047"/>
      <c r="B1028" s="2216"/>
      <c r="C1028" s="1564"/>
      <c r="D1028" s="1564"/>
      <c r="E1028" s="1564"/>
      <c r="F1028" s="1564"/>
      <c r="G1028" s="1564"/>
      <c r="H1028" s="966"/>
      <c r="I1028" s="1564"/>
      <c r="J1028" s="1564"/>
      <c r="K1028" s="1565"/>
      <c r="L1028" s="966"/>
      <c r="M1028" s="1882"/>
      <c r="N1028" s="2903"/>
      <c r="O1028" s="1634"/>
      <c r="P1028" s="1564"/>
      <c r="Q1028" s="1564"/>
      <c r="R1028" s="1566"/>
    </row>
    <row r="1029" spans="1:18">
      <c r="A1029" s="2003"/>
      <c r="B1029" s="1913"/>
      <c r="C1029" s="1536"/>
      <c r="D1029" s="1536"/>
      <c r="E1029" s="1536"/>
      <c r="F1029" s="1536"/>
      <c r="G1029" s="1536"/>
      <c r="H1029" s="1235"/>
      <c r="I1029" s="1536"/>
      <c r="J1029" s="1536"/>
      <c r="K1029" s="1537"/>
      <c r="L1029" s="1235"/>
      <c r="M1029" s="1236"/>
      <c r="N1029" s="2902"/>
      <c r="O1029" s="1628"/>
      <c r="P1029" s="1536"/>
      <c r="Q1029" s="1536"/>
      <c r="R1029" s="1567"/>
    </row>
    <row r="1030" spans="1:18">
      <c r="A1030" s="2003"/>
      <c r="B1030" s="1913"/>
      <c r="C1030" s="1536"/>
      <c r="D1030" s="1536"/>
      <c r="E1030" s="1536"/>
      <c r="F1030" s="1536"/>
      <c r="G1030" s="1536"/>
      <c r="H1030" s="1235"/>
      <c r="I1030" s="1536"/>
      <c r="J1030" s="1536"/>
      <c r="K1030" s="1537"/>
      <c r="L1030" s="1235"/>
      <c r="M1030" s="1236"/>
      <c r="N1030" s="2900"/>
      <c r="O1030" s="1628"/>
      <c r="P1030" s="1536"/>
      <c r="Q1030" s="1536"/>
      <c r="R1030" s="1567"/>
    </row>
    <row r="1031" spans="1:18">
      <c r="A1031" s="2003"/>
      <c r="B1031" s="1913"/>
      <c r="C1031" s="1536"/>
      <c r="D1031" s="1536"/>
      <c r="E1031" s="1536"/>
      <c r="F1031" s="1536"/>
      <c r="G1031" s="1536"/>
      <c r="H1031" s="1235"/>
      <c r="I1031" s="1536"/>
      <c r="J1031" s="1536"/>
      <c r="K1031" s="1537"/>
      <c r="L1031" s="1235"/>
      <c r="M1031" s="1236"/>
      <c r="N1031" s="2902"/>
      <c r="O1031" s="1628"/>
      <c r="P1031" s="1536"/>
      <c r="Q1031" s="1536"/>
      <c r="R1031" s="1567"/>
    </row>
    <row r="1032" spans="1:18">
      <c r="A1032" s="2003"/>
      <c r="B1032" s="1913"/>
      <c r="C1032" s="1536"/>
      <c r="D1032" s="1536"/>
      <c r="E1032" s="1536"/>
      <c r="F1032" s="1536"/>
      <c r="G1032" s="1536"/>
      <c r="H1032" s="1235"/>
      <c r="I1032" s="1536"/>
      <c r="J1032" s="1536"/>
      <c r="K1032" s="1537"/>
      <c r="L1032" s="1235"/>
      <c r="M1032" s="1236"/>
      <c r="N1032" s="2900"/>
      <c r="O1032" s="1628"/>
      <c r="P1032" s="1536"/>
      <c r="Q1032" s="1536"/>
      <c r="R1032" s="1567"/>
    </row>
    <row r="1033" spans="1:18">
      <c r="A1033" s="2003"/>
      <c r="B1033" s="1913"/>
      <c r="C1033" s="1536"/>
      <c r="D1033" s="1536"/>
      <c r="E1033" s="1536"/>
      <c r="F1033" s="1536"/>
      <c r="G1033" s="1536"/>
      <c r="H1033" s="1235"/>
      <c r="I1033" s="1536"/>
      <c r="J1033" s="1536"/>
      <c r="K1033" s="1537"/>
      <c r="L1033" s="1235"/>
      <c r="M1033" s="1236"/>
      <c r="N1033" s="2903"/>
      <c r="O1033" s="1628"/>
      <c r="P1033" s="1536"/>
      <c r="Q1033" s="1536"/>
      <c r="R1033" s="1567"/>
    </row>
    <row r="1034" spans="1:18">
      <c r="A1034" s="2003"/>
      <c r="B1034" s="1913"/>
      <c r="C1034" s="1536"/>
      <c r="D1034" s="1536"/>
      <c r="E1034" s="1536"/>
      <c r="F1034" s="1536"/>
      <c r="G1034" s="1536"/>
      <c r="H1034" s="1235"/>
      <c r="I1034" s="1536"/>
      <c r="J1034" s="1536"/>
      <c r="K1034" s="1537"/>
      <c r="L1034" s="1235"/>
      <c r="M1034" s="1236"/>
      <c r="N1034" s="2902"/>
      <c r="O1034" s="1628"/>
      <c r="P1034" s="1536"/>
      <c r="Q1034" s="1536"/>
      <c r="R1034" s="1567"/>
    </row>
    <row r="1035" spans="1:18">
      <c r="A1035" s="2003"/>
      <c r="B1035" s="1913"/>
      <c r="C1035" s="1536"/>
      <c r="D1035" s="1536"/>
      <c r="E1035" s="1536"/>
      <c r="F1035" s="1536"/>
      <c r="G1035" s="1536"/>
      <c r="H1035" s="1235"/>
      <c r="I1035" s="1536"/>
      <c r="J1035" s="1536"/>
      <c r="K1035" s="1537"/>
      <c r="L1035" s="1235"/>
      <c r="M1035" s="1236"/>
      <c r="N1035" s="2900"/>
      <c r="O1035" s="1628"/>
      <c r="P1035" s="1536"/>
      <c r="Q1035" s="1536"/>
      <c r="R1035" s="1567"/>
    </row>
    <row r="1036" spans="1:18">
      <c r="A1036" s="2003"/>
      <c r="B1036" s="1913"/>
      <c r="C1036" s="1536"/>
      <c r="D1036" s="1536"/>
      <c r="E1036" s="1536"/>
      <c r="F1036" s="1536"/>
      <c r="G1036" s="1536"/>
      <c r="H1036" s="1235"/>
      <c r="I1036" s="1536"/>
      <c r="J1036" s="1536"/>
      <c r="K1036" s="1537"/>
      <c r="L1036" s="1235"/>
      <c r="M1036" s="1236"/>
      <c r="N1036" s="2902"/>
      <c r="O1036" s="1628"/>
      <c r="P1036" s="1536"/>
      <c r="Q1036" s="1536"/>
      <c r="R1036" s="1567"/>
    </row>
    <row r="1037" spans="1:18">
      <c r="A1037" s="2003"/>
      <c r="B1037" s="1913"/>
      <c r="C1037" s="1536"/>
      <c r="D1037" s="1536"/>
      <c r="E1037" s="1536"/>
      <c r="F1037" s="1536"/>
      <c r="G1037" s="1536"/>
      <c r="H1037" s="1235"/>
      <c r="I1037" s="1536"/>
      <c r="J1037" s="1536"/>
      <c r="K1037" s="1537"/>
      <c r="L1037" s="1235"/>
      <c r="M1037" s="1236"/>
      <c r="N1037" s="2900"/>
      <c r="O1037" s="1628"/>
      <c r="P1037" s="1536"/>
      <c r="Q1037" s="1536"/>
      <c r="R1037" s="1567"/>
    </row>
    <row r="1038" spans="1:18">
      <c r="A1038" s="2003"/>
      <c r="B1038" s="1913"/>
      <c r="C1038" s="1536"/>
      <c r="D1038" s="1536"/>
      <c r="E1038" s="1536"/>
      <c r="F1038" s="1536"/>
      <c r="G1038" s="1536"/>
      <c r="H1038" s="1235"/>
      <c r="I1038" s="1536"/>
      <c r="J1038" s="1536"/>
      <c r="K1038" s="1537"/>
      <c r="L1038" s="1235"/>
      <c r="M1038" s="1236"/>
      <c r="N1038" s="2902"/>
      <c r="O1038" s="1628"/>
      <c r="P1038" s="1536"/>
      <c r="Q1038" s="1536"/>
      <c r="R1038" s="1567"/>
    </row>
    <row r="1039" spans="1:18">
      <c r="A1039" s="2003"/>
      <c r="B1039" s="1913"/>
      <c r="C1039" s="1536"/>
      <c r="D1039" s="1536"/>
      <c r="E1039" s="1536"/>
      <c r="F1039" s="1536"/>
      <c r="G1039" s="1536"/>
      <c r="H1039" s="1235"/>
      <c r="I1039" s="1536"/>
      <c r="J1039" s="1536"/>
      <c r="K1039" s="1537"/>
      <c r="L1039" s="1235"/>
      <c r="M1039" s="1236"/>
      <c r="N1039" s="2900"/>
      <c r="O1039" s="1628"/>
      <c r="P1039" s="1536"/>
      <c r="Q1039" s="1536"/>
      <c r="R1039" s="1567"/>
    </row>
    <row r="1040" spans="1:18">
      <c r="A1040" s="2003"/>
      <c r="B1040" s="1913"/>
      <c r="C1040" s="1536"/>
      <c r="D1040" s="1536"/>
      <c r="E1040" s="1536"/>
      <c r="F1040" s="1536"/>
      <c r="G1040" s="1536"/>
      <c r="H1040" s="1235"/>
      <c r="I1040" s="1536"/>
      <c r="J1040" s="1536"/>
      <c r="K1040" s="1537"/>
      <c r="L1040" s="1235"/>
      <c r="M1040" s="1236"/>
      <c r="N1040" s="2902"/>
      <c r="O1040" s="1628"/>
      <c r="P1040" s="1536"/>
      <c r="Q1040" s="1536"/>
      <c r="R1040" s="1567"/>
    </row>
    <row r="1041" spans="1:18">
      <c r="A1041" s="2003"/>
      <c r="B1041" s="1913"/>
      <c r="C1041" s="1536"/>
      <c r="D1041" s="1536"/>
      <c r="E1041" s="1536"/>
      <c r="F1041" s="1536"/>
      <c r="G1041" s="1536"/>
      <c r="H1041" s="1235"/>
      <c r="I1041" s="1536"/>
      <c r="J1041" s="1536"/>
      <c r="K1041" s="1537"/>
      <c r="L1041" s="1235"/>
      <c r="M1041" s="1236"/>
      <c r="N1041" s="2900"/>
      <c r="O1041" s="1628"/>
      <c r="P1041" s="1536"/>
      <c r="Q1041" s="1536"/>
      <c r="R1041" s="1567"/>
    </row>
    <row r="1042" spans="1:18">
      <c r="A1042" s="2003"/>
      <c r="B1042" s="1913"/>
      <c r="C1042" s="1536"/>
      <c r="D1042" s="1536"/>
      <c r="E1042" s="1536"/>
      <c r="F1042" s="1536"/>
      <c r="G1042" s="1536"/>
      <c r="H1042" s="1235"/>
      <c r="I1042" s="1536"/>
      <c r="J1042" s="1536"/>
      <c r="K1042" s="1537"/>
      <c r="L1042" s="1235"/>
      <c r="M1042" s="1236"/>
      <c r="N1042" s="2902"/>
      <c r="O1042" s="1628"/>
      <c r="P1042" s="1536"/>
      <c r="Q1042" s="1536"/>
      <c r="R1042" s="1567"/>
    </row>
    <row r="1043" spans="1:18">
      <c r="A1043" s="2003"/>
      <c r="B1043" s="1913"/>
      <c r="C1043" s="1536"/>
      <c r="D1043" s="1536"/>
      <c r="E1043" s="1536"/>
      <c r="F1043" s="1536"/>
      <c r="G1043" s="1536"/>
      <c r="H1043" s="1235"/>
      <c r="I1043" s="2905"/>
      <c r="J1043" s="2905"/>
      <c r="K1043" s="1537"/>
      <c r="L1043" s="1235"/>
      <c r="M1043" s="1236"/>
      <c r="N1043" s="1879"/>
      <c r="O1043" s="1628"/>
      <c r="P1043" s="1536"/>
      <c r="Q1043" s="1536"/>
      <c r="R1043" s="1567"/>
    </row>
    <row r="1044" spans="1:18">
      <c r="A1044" s="2003"/>
      <c r="B1044" s="1913"/>
      <c r="C1044" s="1536"/>
      <c r="D1044" s="1536"/>
      <c r="E1044" s="1536"/>
      <c r="F1044" s="1536"/>
      <c r="G1044" s="1536"/>
      <c r="H1044" s="1235"/>
      <c r="I1044" s="1536"/>
      <c r="J1044" s="1536"/>
      <c r="K1044" s="1537"/>
      <c r="L1044" s="1235"/>
      <c r="M1044" s="1236"/>
      <c r="N1044" s="2900"/>
      <c r="O1044" s="1628"/>
      <c r="P1044" s="1536"/>
      <c r="Q1044" s="1536"/>
      <c r="R1044" s="1567"/>
    </row>
    <row r="1045" spans="1:18">
      <c r="A1045" s="2003"/>
      <c r="B1045" s="1913"/>
      <c r="C1045" s="1536"/>
      <c r="D1045" s="1536"/>
      <c r="E1045" s="1536"/>
      <c r="F1045" s="1536"/>
      <c r="G1045" s="1536"/>
      <c r="H1045" s="1235"/>
      <c r="I1045" s="1536"/>
      <c r="J1045" s="1536"/>
      <c r="K1045" s="1537"/>
      <c r="L1045" s="1235"/>
      <c r="M1045" s="1236"/>
      <c r="N1045" s="2902"/>
      <c r="O1045" s="1628"/>
      <c r="P1045" s="1536"/>
      <c r="Q1045" s="1536"/>
      <c r="R1045" s="1567"/>
    </row>
    <row r="1046" spans="1:18">
      <c r="A1046" s="2003"/>
      <c r="B1046" s="1913"/>
      <c r="C1046" s="1536"/>
      <c r="D1046" s="1536"/>
      <c r="E1046" s="1536"/>
      <c r="F1046" s="1536"/>
      <c r="G1046" s="1536"/>
      <c r="H1046" s="1235"/>
      <c r="I1046" s="1536"/>
      <c r="J1046" s="1536"/>
      <c r="K1046" s="1537"/>
      <c r="L1046" s="1235"/>
      <c r="M1046" s="1236"/>
      <c r="N1046" s="2900"/>
      <c r="O1046" s="1628"/>
      <c r="P1046" s="1536"/>
      <c r="Q1046" s="1536"/>
      <c r="R1046" s="1567"/>
    </row>
    <row r="1047" spans="1:18">
      <c r="A1047" s="2003"/>
      <c r="B1047" s="1913"/>
      <c r="C1047" s="1536"/>
      <c r="D1047" s="1536"/>
      <c r="E1047" s="1536"/>
      <c r="F1047" s="1536"/>
      <c r="G1047" s="1536"/>
      <c r="H1047" s="1235"/>
      <c r="I1047" s="1536"/>
      <c r="J1047" s="1536"/>
      <c r="K1047" s="1537"/>
      <c r="L1047" s="1235"/>
      <c r="M1047" s="1236"/>
      <c r="N1047" s="2902"/>
      <c r="O1047" s="1628"/>
      <c r="P1047" s="1536"/>
      <c r="Q1047" s="1536"/>
      <c r="R1047" s="1567"/>
    </row>
    <row r="1048" spans="1:18">
      <c r="A1048" s="2003"/>
      <c r="B1048" s="1913"/>
      <c r="C1048" s="1536"/>
      <c r="D1048" s="1536"/>
      <c r="E1048" s="1536"/>
      <c r="F1048" s="1536"/>
      <c r="G1048" s="1536"/>
      <c r="H1048" s="1235"/>
      <c r="I1048" s="1536"/>
      <c r="J1048" s="1536"/>
      <c r="K1048" s="1537"/>
      <c r="L1048" s="1235"/>
      <c r="M1048" s="1236"/>
      <c r="N1048" s="2900"/>
      <c r="O1048" s="1628"/>
      <c r="P1048" s="1536"/>
      <c r="Q1048" s="1536"/>
      <c r="R1048" s="1567"/>
    </row>
    <row r="1049" spans="1:18">
      <c r="A1049" s="2003"/>
      <c r="B1049" s="1913"/>
      <c r="C1049" s="1536"/>
      <c r="D1049" s="1536"/>
      <c r="E1049" s="1536"/>
      <c r="F1049" s="1536"/>
      <c r="G1049" s="1536"/>
      <c r="H1049" s="1235"/>
      <c r="I1049" s="1536"/>
      <c r="J1049" s="1536"/>
      <c r="K1049" s="1537"/>
      <c r="L1049" s="1235"/>
      <c r="M1049" s="1236"/>
      <c r="N1049" s="2902"/>
      <c r="O1049" s="1628"/>
      <c r="P1049" s="1536"/>
      <c r="Q1049" s="1536"/>
      <c r="R1049" s="1567"/>
    </row>
    <row r="1050" spans="1:18">
      <c r="A1050" s="2003"/>
      <c r="B1050" s="1913"/>
      <c r="C1050" s="1536"/>
      <c r="D1050" s="1536"/>
      <c r="E1050" s="1536"/>
      <c r="F1050" s="1536"/>
      <c r="G1050" s="1536"/>
      <c r="H1050" s="1235"/>
      <c r="I1050" s="1536"/>
      <c r="J1050" s="1536"/>
      <c r="K1050" s="1537"/>
      <c r="L1050" s="1235"/>
      <c r="M1050" s="1236"/>
      <c r="N1050" s="2900"/>
      <c r="O1050" s="1628"/>
      <c r="P1050" s="1536"/>
      <c r="Q1050" s="1536"/>
      <c r="R1050" s="1567"/>
    </row>
    <row r="1051" spans="1:18">
      <c r="A1051" s="2003"/>
      <c r="B1051" s="1913"/>
      <c r="C1051" s="1536"/>
      <c r="D1051" s="1536"/>
      <c r="E1051" s="1536"/>
      <c r="F1051" s="1536"/>
      <c r="G1051" s="1536"/>
      <c r="H1051" s="1235"/>
      <c r="I1051" s="1536"/>
      <c r="J1051" s="1536"/>
      <c r="K1051" s="1537"/>
      <c r="L1051" s="1235"/>
      <c r="M1051" s="1236"/>
      <c r="N1051" s="2902"/>
      <c r="O1051" s="1628"/>
      <c r="P1051" s="1536"/>
      <c r="Q1051" s="1536"/>
      <c r="R1051" s="1567"/>
    </row>
    <row r="1052" spans="1:18">
      <c r="A1052" s="2003"/>
      <c r="B1052" s="1913"/>
      <c r="C1052" s="1536"/>
      <c r="D1052" s="1536"/>
      <c r="E1052" s="1536"/>
      <c r="F1052" s="1536"/>
      <c r="G1052" s="1536"/>
      <c r="H1052" s="1235"/>
      <c r="I1052" s="1536"/>
      <c r="J1052" s="1536"/>
      <c r="K1052" s="1537"/>
      <c r="L1052" s="1235"/>
      <c r="M1052" s="1236"/>
      <c r="N1052" s="2900"/>
      <c r="O1052" s="1628"/>
      <c r="P1052" s="1536"/>
      <c r="Q1052" s="1536"/>
      <c r="R1052" s="1567"/>
    </row>
    <row r="1053" spans="1:18">
      <c r="A1053" s="2003"/>
      <c r="B1053" s="1913"/>
      <c r="C1053" s="1536"/>
      <c r="D1053" s="1536"/>
      <c r="E1053" s="1536"/>
      <c r="F1053" s="1536"/>
      <c r="G1053" s="1536"/>
      <c r="H1053" s="1235"/>
      <c r="I1053" s="1536"/>
      <c r="J1053" s="1536"/>
      <c r="K1053" s="1537"/>
      <c r="L1053" s="1235"/>
      <c r="M1053" s="1236"/>
      <c r="N1053" s="2903"/>
      <c r="O1053" s="1628"/>
      <c r="P1053" s="1536"/>
      <c r="Q1053" s="1536"/>
      <c r="R1053" s="1567"/>
    </row>
    <row r="1054" spans="1:18">
      <c r="A1054" s="2003"/>
      <c r="B1054" s="1913"/>
      <c r="C1054" s="1536"/>
      <c r="D1054" s="1536"/>
      <c r="E1054" s="1536"/>
      <c r="F1054" s="1536"/>
      <c r="G1054" s="1536"/>
      <c r="H1054" s="1235"/>
      <c r="I1054" s="1536"/>
      <c r="J1054" s="1536"/>
      <c r="K1054" s="1537"/>
      <c r="L1054" s="1235"/>
      <c r="M1054" s="1236"/>
      <c r="N1054" s="2903"/>
      <c r="O1054" s="1628"/>
      <c r="P1054" s="1536"/>
      <c r="Q1054" s="1536"/>
      <c r="R1054" s="1567"/>
    </row>
    <row r="1055" spans="1:18">
      <c r="A1055" s="2003"/>
      <c r="B1055" s="1913"/>
      <c r="C1055" s="1536"/>
      <c r="D1055" s="1536"/>
      <c r="E1055" s="1536"/>
      <c r="F1055" s="1536"/>
      <c r="G1055" s="1536"/>
      <c r="H1055" s="1235"/>
      <c r="I1055" s="1536"/>
      <c r="J1055" s="1536"/>
      <c r="K1055" s="1537"/>
      <c r="L1055" s="1235"/>
      <c r="M1055" s="1236"/>
      <c r="N1055" s="2903"/>
      <c r="O1055" s="1628"/>
      <c r="P1055" s="1536"/>
      <c r="Q1055" s="1536"/>
      <c r="R1055" s="1567"/>
    </row>
    <row r="1056" spans="1:18">
      <c r="A1056" s="2003"/>
      <c r="B1056" s="1913"/>
      <c r="C1056" s="1536"/>
      <c r="D1056" s="1536"/>
      <c r="E1056" s="1536"/>
      <c r="F1056" s="1536"/>
      <c r="G1056" s="1536"/>
      <c r="H1056" s="1235"/>
      <c r="I1056" s="1536"/>
      <c r="J1056" s="1536"/>
      <c r="K1056" s="1537"/>
      <c r="L1056" s="1235"/>
      <c r="M1056" s="1236"/>
      <c r="N1056" s="2903"/>
      <c r="O1056" s="1628"/>
      <c r="P1056" s="1536"/>
      <c r="Q1056" s="1536"/>
      <c r="R1056" s="1567"/>
    </row>
    <row r="1057" spans="1:18">
      <c r="A1057" s="2003"/>
      <c r="B1057" s="1913"/>
      <c r="C1057" s="1536"/>
      <c r="D1057" s="1536"/>
      <c r="E1057" s="1536"/>
      <c r="F1057" s="1536"/>
      <c r="G1057" s="1536"/>
      <c r="H1057" s="1235"/>
      <c r="I1057" s="1536"/>
      <c r="J1057" s="1536"/>
      <c r="K1057" s="1537"/>
      <c r="L1057" s="1235"/>
      <c r="M1057" s="1236"/>
      <c r="N1057" s="2903"/>
      <c r="O1057" s="1628"/>
      <c r="P1057" s="1536"/>
      <c r="Q1057" s="1536"/>
      <c r="R1057" s="1567"/>
    </row>
    <row r="1058" spans="1:18">
      <c r="A1058" s="2003"/>
      <c r="B1058" s="1913"/>
      <c r="C1058" s="1536"/>
      <c r="D1058" s="1536"/>
      <c r="E1058" s="1536"/>
      <c r="F1058" s="1536"/>
      <c r="G1058" s="1536"/>
      <c r="H1058" s="1235"/>
      <c r="I1058" s="1536"/>
      <c r="J1058" s="1536"/>
      <c r="K1058" s="1537"/>
      <c r="L1058" s="1235"/>
      <c r="M1058" s="1236"/>
      <c r="N1058" s="2902"/>
      <c r="O1058" s="1628"/>
      <c r="P1058" s="1536"/>
      <c r="Q1058" s="1536"/>
      <c r="R1058" s="1567"/>
    </row>
    <row r="1059" spans="1:18">
      <c r="A1059" s="2003"/>
      <c r="B1059" s="1913"/>
      <c r="C1059" s="1536"/>
      <c r="D1059" s="1536"/>
      <c r="E1059" s="1536"/>
      <c r="F1059" s="1235"/>
      <c r="G1059" s="1536"/>
      <c r="H1059" s="1235"/>
      <c r="I1059" s="1536"/>
      <c r="J1059" s="1536"/>
      <c r="K1059" s="1537"/>
      <c r="L1059" s="1235"/>
      <c r="M1059" s="1236"/>
      <c r="N1059" s="2900"/>
      <c r="O1059" s="1628"/>
      <c r="P1059" s="1536"/>
      <c r="Q1059" s="1536"/>
      <c r="R1059" s="1567"/>
    </row>
    <row r="1060" spans="1:18">
      <c r="A1060" s="2003"/>
      <c r="B1060" s="1913"/>
      <c r="C1060" s="1536"/>
      <c r="D1060" s="1536"/>
      <c r="E1060" s="1536"/>
      <c r="F1060" s="1536"/>
      <c r="G1060" s="1536"/>
      <c r="H1060" s="1235"/>
      <c r="I1060" s="1536"/>
      <c r="J1060" s="1536"/>
      <c r="K1060" s="1537"/>
      <c r="L1060" s="1235"/>
      <c r="M1060" s="1236"/>
      <c r="N1060" s="2903"/>
      <c r="O1060" s="1628"/>
      <c r="P1060" s="1536"/>
      <c r="Q1060" s="1536"/>
      <c r="R1060" s="1567"/>
    </row>
    <row r="1061" spans="1:18">
      <c r="A1061" s="2003"/>
      <c r="B1061" s="1913"/>
      <c r="C1061" s="1536"/>
      <c r="D1061" s="1536"/>
      <c r="E1061" s="1536"/>
      <c r="F1061" s="1536"/>
      <c r="G1061" s="1536"/>
      <c r="H1061" s="1235"/>
      <c r="I1061" s="1536"/>
      <c r="J1061" s="1536"/>
      <c r="K1061" s="1537"/>
      <c r="L1061" s="1235"/>
      <c r="M1061" s="1236"/>
      <c r="N1061" s="2903"/>
      <c r="O1061" s="1628"/>
      <c r="P1061" s="1536"/>
      <c r="Q1061" s="1536"/>
      <c r="R1061" s="1567"/>
    </row>
    <row r="1062" spans="1:18">
      <c r="A1062" s="2003"/>
      <c r="B1062" s="1913"/>
      <c r="C1062" s="1536"/>
      <c r="D1062" s="1536"/>
      <c r="E1062" s="1536"/>
      <c r="F1062" s="1536"/>
      <c r="G1062" s="1536"/>
      <c r="H1062" s="1235"/>
      <c r="I1062" s="1536"/>
      <c r="J1062" s="1536"/>
      <c r="K1062" s="1537"/>
      <c r="L1062" s="1235"/>
      <c r="M1062" s="1236"/>
      <c r="N1062" s="2903"/>
      <c r="O1062" s="1628"/>
      <c r="P1062" s="1536"/>
      <c r="Q1062" s="1536"/>
      <c r="R1062" s="1567"/>
    </row>
    <row r="1063" spans="1:18">
      <c r="A1063" s="2003"/>
      <c r="B1063" s="1913"/>
      <c r="C1063" s="1536"/>
      <c r="D1063" s="1536"/>
      <c r="E1063" s="1536"/>
      <c r="F1063" s="1536"/>
      <c r="G1063" s="1536"/>
      <c r="H1063" s="1235"/>
      <c r="I1063" s="1536"/>
      <c r="J1063" s="1536"/>
      <c r="K1063" s="1537"/>
      <c r="L1063" s="1235"/>
      <c r="M1063" s="1236"/>
      <c r="N1063" s="2903"/>
      <c r="O1063" s="1628"/>
      <c r="P1063" s="1536"/>
      <c r="Q1063" s="1536"/>
      <c r="R1063" s="1567"/>
    </row>
    <row r="1064" spans="1:18">
      <c r="A1064" s="2003"/>
      <c r="B1064" s="1913"/>
      <c r="C1064" s="1536"/>
      <c r="D1064" s="1536"/>
      <c r="E1064" s="1536"/>
      <c r="F1064" s="1235"/>
      <c r="G1064" s="1536"/>
      <c r="H1064" s="1235"/>
      <c r="I1064" s="1536"/>
      <c r="J1064" s="1536"/>
      <c r="K1064" s="1537"/>
      <c r="L1064" s="1235"/>
      <c r="M1064" s="1236"/>
      <c r="N1064" s="2902"/>
      <c r="O1064" s="1628"/>
      <c r="P1064" s="1536"/>
      <c r="Q1064" s="1536"/>
      <c r="R1064" s="1567"/>
    </row>
    <row r="1065" spans="1:18">
      <c r="A1065" s="2003"/>
      <c r="B1065" s="1913"/>
      <c r="C1065" s="1536"/>
      <c r="D1065" s="1536"/>
      <c r="E1065" s="1536"/>
      <c r="F1065" s="1536"/>
      <c r="G1065" s="1536"/>
      <c r="H1065" s="1235"/>
      <c r="I1065" s="1536"/>
      <c r="J1065" s="1536"/>
      <c r="K1065" s="1537"/>
      <c r="L1065" s="1235"/>
      <c r="M1065" s="1236"/>
      <c r="N1065" s="2900"/>
      <c r="O1065" s="1628"/>
      <c r="P1065" s="1536"/>
      <c r="Q1065" s="1536"/>
      <c r="R1065" s="1567"/>
    </row>
    <row r="1066" spans="1:18">
      <c r="A1066" s="2003"/>
      <c r="B1066" s="1913"/>
      <c r="C1066" s="1536"/>
      <c r="D1066" s="1536"/>
      <c r="E1066" s="1536"/>
      <c r="F1066" s="1536"/>
      <c r="G1066" s="1536"/>
      <c r="H1066" s="1235"/>
      <c r="I1066" s="2906"/>
      <c r="J1066" s="2907"/>
      <c r="K1066" s="1537"/>
      <c r="L1066" s="1235"/>
      <c r="M1066" s="1236"/>
      <c r="N1066" s="2903"/>
      <c r="O1066" s="1628"/>
      <c r="P1066" s="1536"/>
      <c r="Q1066" s="1536"/>
      <c r="R1066" s="1567"/>
    </row>
    <row r="1067" spans="1:18">
      <c r="A1067" s="2003"/>
      <c r="B1067" s="1913"/>
      <c r="C1067" s="1536"/>
      <c r="D1067" s="1536"/>
      <c r="E1067" s="1536"/>
      <c r="F1067" s="1536"/>
      <c r="G1067" s="1536"/>
      <c r="H1067" s="1235"/>
      <c r="I1067" s="1536"/>
      <c r="J1067" s="1536"/>
      <c r="K1067" s="1537"/>
      <c r="L1067" s="1235"/>
      <c r="M1067" s="1236"/>
      <c r="N1067" s="2902"/>
      <c r="O1067" s="1628"/>
      <c r="P1067" s="1536"/>
      <c r="Q1067" s="1536"/>
      <c r="R1067" s="1567"/>
    </row>
    <row r="1068" spans="1:18">
      <c r="A1068" s="2003"/>
      <c r="B1068" s="1913"/>
      <c r="C1068" s="1536"/>
      <c r="D1068" s="1536"/>
      <c r="E1068" s="1536"/>
      <c r="F1068" s="1536"/>
      <c r="G1068" s="1536"/>
      <c r="H1068" s="1235"/>
      <c r="I1068" s="1536"/>
      <c r="J1068" s="1536"/>
      <c r="K1068" s="1537"/>
      <c r="L1068" s="1235"/>
      <c r="M1068" s="1236"/>
      <c r="N1068" s="2900"/>
      <c r="O1068" s="1628"/>
      <c r="P1068" s="1536"/>
      <c r="Q1068" s="1536"/>
      <c r="R1068" s="1567"/>
    </row>
    <row r="1069" spans="1:18">
      <c r="A1069" s="2003"/>
      <c r="B1069" s="1913"/>
      <c r="C1069" s="1536"/>
      <c r="D1069" s="1536"/>
      <c r="E1069" s="1536"/>
      <c r="F1069" s="1235"/>
      <c r="G1069" s="1536"/>
      <c r="H1069" s="1235"/>
      <c r="I1069" s="1536"/>
      <c r="J1069" s="1536"/>
      <c r="K1069" s="1537"/>
      <c r="L1069" s="1235"/>
      <c r="M1069" s="1236"/>
      <c r="N1069" s="2902"/>
      <c r="O1069" s="1628"/>
      <c r="P1069" s="1536"/>
      <c r="Q1069" s="1536"/>
      <c r="R1069" s="1567"/>
    </row>
    <row r="1070" spans="1:18">
      <c r="A1070" s="2003"/>
      <c r="B1070" s="1913"/>
      <c r="C1070" s="1536"/>
      <c r="D1070" s="1536"/>
      <c r="E1070" s="1536"/>
      <c r="F1070" s="1536"/>
      <c r="G1070" s="1536"/>
      <c r="H1070" s="1235"/>
      <c r="I1070" s="1536"/>
      <c r="J1070" s="1536"/>
      <c r="K1070" s="1537"/>
      <c r="L1070" s="1235"/>
      <c r="M1070" s="1236"/>
      <c r="N1070" s="2900"/>
      <c r="O1070" s="1628"/>
      <c r="P1070" s="1536"/>
      <c r="Q1070" s="1536"/>
      <c r="R1070" s="1567"/>
    </row>
    <row r="1071" spans="1:18">
      <c r="A1071" s="2003"/>
      <c r="B1071" s="1913"/>
      <c r="C1071" s="1536"/>
      <c r="D1071" s="1536"/>
      <c r="E1071" s="1536"/>
      <c r="F1071" s="1536"/>
      <c r="G1071" s="1536"/>
      <c r="H1071" s="1235"/>
      <c r="I1071" s="2906"/>
      <c r="J1071" s="2907"/>
      <c r="K1071" s="1537"/>
      <c r="L1071" s="1235"/>
      <c r="M1071" s="1236"/>
      <c r="N1071" s="2903"/>
      <c r="O1071" s="1628"/>
      <c r="P1071" s="1536"/>
      <c r="Q1071" s="1536"/>
      <c r="R1071" s="1567"/>
    </row>
    <row r="1072" spans="1:18">
      <c r="A1072" s="2003"/>
      <c r="B1072" s="2212"/>
      <c r="C1072" s="1538"/>
      <c r="D1072" s="1538"/>
      <c r="E1072" s="1538"/>
      <c r="F1072" s="1538"/>
      <c r="G1072" s="1538"/>
      <c r="H1072" s="1535"/>
      <c r="I1072" s="1538"/>
      <c r="J1072" s="1538"/>
      <c r="K1072" s="1556"/>
      <c r="L1072" s="1535"/>
      <c r="M1072" s="1872"/>
      <c r="N1072" s="2903"/>
      <c r="O1072" s="1632"/>
      <c r="P1072" s="1538"/>
      <c r="Q1072" s="1538"/>
      <c r="R1072" s="1592"/>
    </row>
    <row r="1073" spans="1:18">
      <c r="A1073" s="2003"/>
      <c r="B1073" s="2211"/>
      <c r="C1073" s="1924"/>
      <c r="D1073" s="1924"/>
      <c r="E1073" s="1924"/>
      <c r="F1073" s="1924"/>
      <c r="G1073" s="1924"/>
      <c r="H1073" s="1925"/>
      <c r="I1073" s="1924"/>
      <c r="J1073" s="1924"/>
      <c r="K1073" s="1926"/>
      <c r="L1073" s="1925"/>
      <c r="M1073" s="2018"/>
      <c r="N1073" s="2900"/>
      <c r="O1073" s="2076"/>
      <c r="P1073" s="1924"/>
      <c r="Q1073" s="1924"/>
      <c r="R1073" s="2231"/>
    </row>
    <row r="1074" spans="1:18">
      <c r="A1074" s="2003"/>
      <c r="B1074" s="2204"/>
      <c r="C1074" s="1536"/>
      <c r="D1074" s="1536"/>
      <c r="E1074" s="1536"/>
      <c r="F1074" s="1536"/>
      <c r="G1074" s="1536"/>
      <c r="H1074" s="1235"/>
      <c r="I1074" s="1536"/>
      <c r="J1074" s="1536"/>
      <c r="K1074" s="1537"/>
      <c r="L1074" s="1235"/>
      <c r="M1074" s="2018"/>
      <c r="N1074" s="2902"/>
      <c r="O1074" s="1631"/>
      <c r="P1074" s="1536"/>
      <c r="Q1074" s="1536"/>
      <c r="R1074" s="1557"/>
    </row>
    <row r="1075" spans="1:18">
      <c r="A1075" s="2003"/>
      <c r="B1075" s="2204"/>
      <c r="C1075" s="1536"/>
      <c r="D1075" s="1536"/>
      <c r="E1075" s="1536"/>
      <c r="F1075" s="1536"/>
      <c r="G1075" s="1536"/>
      <c r="H1075" s="1235"/>
      <c r="I1075" s="1536"/>
      <c r="J1075" s="1536"/>
      <c r="K1075" s="1537"/>
      <c r="L1075" s="1235"/>
      <c r="M1075" s="2018"/>
      <c r="N1075" s="2908"/>
      <c r="O1075" s="1631"/>
      <c r="P1075" s="1536"/>
      <c r="Q1075" s="1536"/>
      <c r="R1075" s="1557"/>
    </row>
    <row r="1076" spans="1:18">
      <c r="A1076" s="2003"/>
      <c r="B1076" s="2204"/>
      <c r="C1076" s="1536"/>
      <c r="D1076" s="1536"/>
      <c r="E1076" s="1536"/>
      <c r="F1076" s="1536"/>
      <c r="G1076" s="1536"/>
      <c r="H1076" s="1235"/>
      <c r="I1076" s="2906"/>
      <c r="J1076" s="2907"/>
      <c r="K1076" s="1537"/>
      <c r="L1076" s="1235"/>
      <c r="M1076" s="2018"/>
      <c r="N1076" s="2909"/>
      <c r="O1076" s="1631"/>
      <c r="P1076" s="1536"/>
      <c r="Q1076" s="1536"/>
      <c r="R1076" s="1557"/>
    </row>
    <row r="1077" spans="1:18">
      <c r="A1077" s="2003"/>
      <c r="B1077" s="2204"/>
      <c r="C1077" s="1536"/>
      <c r="D1077" s="1536"/>
      <c r="E1077" s="1536"/>
      <c r="F1077" s="1536"/>
      <c r="G1077" s="1536"/>
      <c r="H1077" s="1235"/>
      <c r="I1077" s="1536"/>
      <c r="J1077" s="1536"/>
      <c r="K1077" s="1537"/>
      <c r="L1077" s="1235"/>
      <c r="M1077" s="2018"/>
      <c r="N1077" s="2910"/>
      <c r="O1077" s="1631"/>
      <c r="P1077" s="1536"/>
      <c r="Q1077" s="1536"/>
      <c r="R1077" s="1557"/>
    </row>
    <row r="1078" spans="1:18">
      <c r="A1078" s="2003"/>
      <c r="B1078" s="2204"/>
      <c r="C1078" s="1536"/>
      <c r="D1078" s="1536"/>
      <c r="E1078" s="1536"/>
      <c r="F1078" s="1536"/>
      <c r="G1078" s="1536"/>
      <c r="H1078" s="1235"/>
      <c r="I1078" s="1536"/>
      <c r="J1078" s="1536"/>
      <c r="K1078" s="1537"/>
      <c r="L1078" s="1235"/>
      <c r="M1078" s="2018"/>
      <c r="N1078" s="2900"/>
      <c r="O1078" s="1631"/>
      <c r="P1078" s="1536"/>
      <c r="Q1078" s="1536"/>
      <c r="R1078" s="1557"/>
    </row>
    <row r="1079" spans="1:18">
      <c r="A1079" s="2003"/>
      <c r="B1079" s="2204"/>
      <c r="C1079" s="1536"/>
      <c r="D1079" s="1536"/>
      <c r="E1079" s="1536"/>
      <c r="F1079" s="1536"/>
      <c r="G1079" s="1536"/>
      <c r="H1079" s="1235"/>
      <c r="I1079" s="1536"/>
      <c r="J1079" s="1536"/>
      <c r="K1079" s="1537"/>
      <c r="L1079" s="1235"/>
      <c r="M1079" s="2018"/>
      <c r="N1079" s="2902"/>
      <c r="O1079" s="1631"/>
      <c r="P1079" s="1536"/>
      <c r="Q1079" s="1536"/>
      <c r="R1079" s="1557"/>
    </row>
    <row r="1080" spans="1:18">
      <c r="A1080" s="2003"/>
      <c r="B1080" s="2204"/>
      <c r="C1080" s="1536"/>
      <c r="D1080" s="1536"/>
      <c r="E1080" s="1536"/>
      <c r="F1080" s="1536"/>
      <c r="G1080" s="1536"/>
      <c r="H1080" s="1235"/>
      <c r="I1080" s="1536"/>
      <c r="J1080" s="1536"/>
      <c r="K1080" s="1537"/>
      <c r="L1080" s="1235"/>
      <c r="M1080" s="2018"/>
      <c r="N1080" s="2900"/>
      <c r="O1080" s="1631"/>
      <c r="P1080" s="1536"/>
      <c r="Q1080" s="1536"/>
      <c r="R1080" s="1557"/>
    </row>
    <row r="1081" spans="1:18">
      <c r="A1081" s="2003"/>
      <c r="B1081" s="2204"/>
      <c r="C1081" s="1536"/>
      <c r="D1081" s="1536"/>
      <c r="E1081" s="1536"/>
      <c r="F1081" s="1536"/>
      <c r="G1081" s="1536"/>
      <c r="H1081" s="1235"/>
      <c r="I1081" s="1536"/>
      <c r="J1081" s="1536"/>
      <c r="K1081" s="1537"/>
      <c r="L1081" s="1235"/>
      <c r="M1081" s="2018"/>
      <c r="N1081" s="2902"/>
      <c r="O1081" s="1631"/>
      <c r="P1081" s="1536"/>
      <c r="Q1081" s="1536"/>
      <c r="R1081" s="1557"/>
    </row>
    <row r="1082" spans="1:18">
      <c r="A1082" s="2003"/>
      <c r="B1082" s="2204"/>
      <c r="C1082" s="1536"/>
      <c r="D1082" s="1536"/>
      <c r="E1082" s="1536"/>
      <c r="F1082" s="1536"/>
      <c r="G1082" s="1536"/>
      <c r="H1082" s="1235"/>
      <c r="I1082" s="1536"/>
      <c r="J1082" s="1536"/>
      <c r="K1082" s="1537"/>
      <c r="L1082" s="1235"/>
      <c r="M1082" s="2018"/>
      <c r="N1082" s="2900"/>
      <c r="O1082" s="1631"/>
      <c r="P1082" s="1536"/>
      <c r="Q1082" s="1536"/>
      <c r="R1082" s="1557"/>
    </row>
    <row r="1083" spans="1:18">
      <c r="A1083" s="2003"/>
      <c r="B1083" s="2204"/>
      <c r="C1083" s="1536"/>
      <c r="D1083" s="1536"/>
      <c r="E1083" s="1536"/>
      <c r="F1083" s="1536"/>
      <c r="G1083" s="1536"/>
      <c r="H1083" s="1235"/>
      <c r="I1083" s="1536"/>
      <c r="J1083" s="1536"/>
      <c r="K1083" s="1537"/>
      <c r="L1083" s="1235"/>
      <c r="M1083" s="2018"/>
      <c r="N1083" s="2902"/>
      <c r="O1083" s="1631"/>
      <c r="P1083" s="1536"/>
      <c r="Q1083" s="1536"/>
      <c r="R1083" s="1557"/>
    </row>
    <row r="1084" spans="1:18">
      <c r="A1084" s="2003"/>
      <c r="B1084" s="2204"/>
      <c r="C1084" s="1536"/>
      <c r="D1084" s="1536"/>
      <c r="E1084" s="1536"/>
      <c r="F1084" s="1536"/>
      <c r="G1084" s="1536"/>
      <c r="H1084" s="1235"/>
      <c r="I1084" s="1536"/>
      <c r="J1084" s="1536"/>
      <c r="K1084" s="1537"/>
      <c r="L1084" s="1235"/>
      <c r="M1084" s="2018"/>
      <c r="N1084" s="2900"/>
      <c r="O1084" s="1631"/>
      <c r="P1084" s="1536"/>
      <c r="Q1084" s="1536"/>
      <c r="R1084" s="1557"/>
    </row>
    <row r="1085" spans="1:18">
      <c r="A1085" s="2003"/>
      <c r="B1085" s="2204"/>
      <c r="C1085" s="1536"/>
      <c r="D1085" s="1536"/>
      <c r="E1085" s="1536"/>
      <c r="F1085" s="1536"/>
      <c r="G1085" s="1536"/>
      <c r="H1085" s="1235"/>
      <c r="I1085" s="1536"/>
      <c r="J1085" s="1536"/>
      <c r="K1085" s="1537"/>
      <c r="L1085" s="1235"/>
      <c r="M1085" s="2018"/>
      <c r="N1085" s="2902"/>
      <c r="O1085" s="1631"/>
      <c r="P1085" s="1536"/>
      <c r="Q1085" s="1536"/>
      <c r="R1085" s="1557"/>
    </row>
    <row r="1086" spans="1:18">
      <c r="A1086" s="2003"/>
      <c r="B1086" s="2204"/>
      <c r="C1086" s="1536"/>
      <c r="D1086" s="1536"/>
      <c r="E1086" s="1536"/>
      <c r="F1086" s="1536"/>
      <c r="G1086" s="1536"/>
      <c r="H1086" s="1235"/>
      <c r="I1086" s="2906"/>
      <c r="J1086" s="2907"/>
      <c r="K1086" s="1537"/>
      <c r="L1086" s="1235"/>
      <c r="M1086" s="2018"/>
      <c r="N1086" s="2250"/>
      <c r="O1086" s="1631"/>
      <c r="P1086" s="1536"/>
      <c r="Q1086" s="1536"/>
      <c r="R1086" s="1557"/>
    </row>
    <row r="1087" spans="1:18">
      <c r="A1087" s="2003"/>
      <c r="B1087" s="2204"/>
      <c r="C1087" s="1536"/>
      <c r="D1087" s="1536"/>
      <c r="E1087" s="1536"/>
      <c r="F1087" s="1536"/>
      <c r="G1087" s="1536"/>
      <c r="H1087" s="1235"/>
      <c r="I1087" s="1536"/>
      <c r="J1087" s="1536"/>
      <c r="K1087" s="1537"/>
      <c r="L1087" s="1235"/>
      <c r="M1087" s="2018"/>
      <c r="N1087" s="2911"/>
      <c r="O1087" s="1631"/>
      <c r="P1087" s="1536"/>
      <c r="Q1087" s="1536"/>
      <c r="R1087" s="1557"/>
    </row>
    <row r="1088" spans="1:18">
      <c r="A1088" s="2003"/>
      <c r="B1088" s="2204"/>
      <c r="C1088" s="1536"/>
      <c r="D1088" s="1536"/>
      <c r="E1088" s="1536"/>
      <c r="F1088" s="1536"/>
      <c r="G1088" s="1536"/>
      <c r="H1088" s="1235"/>
      <c r="I1088" s="1536"/>
      <c r="J1088" s="1536"/>
      <c r="K1088" s="1537"/>
      <c r="L1088" s="1235"/>
      <c r="M1088" s="2018"/>
      <c r="N1088" s="2912"/>
      <c r="O1088" s="1631"/>
      <c r="P1088" s="1536"/>
      <c r="Q1088" s="1536"/>
      <c r="R1088" s="1557"/>
    </row>
    <row r="1089" spans="1:18">
      <c r="A1089" s="2003"/>
      <c r="B1089" s="2204"/>
      <c r="C1089" s="1536"/>
      <c r="D1089" s="1536"/>
      <c r="E1089" s="1536"/>
      <c r="F1089" s="1536"/>
      <c r="G1089" s="1536"/>
      <c r="H1089" s="1235"/>
      <c r="I1089" s="1536"/>
      <c r="J1089" s="1536"/>
      <c r="K1089" s="1537"/>
      <c r="L1089" s="1235"/>
      <c r="M1089" s="2018"/>
      <c r="N1089" s="2900"/>
      <c r="O1089" s="1631"/>
      <c r="P1089" s="1536"/>
      <c r="Q1089" s="1536"/>
      <c r="R1089" s="1557"/>
    </row>
    <row r="1090" spans="1:18">
      <c r="A1090" s="2003"/>
      <c r="B1090" s="2204"/>
      <c r="C1090" s="1536"/>
      <c r="D1090" s="1536"/>
      <c r="E1090" s="1536"/>
      <c r="F1090" s="1536"/>
      <c r="G1090" s="1536"/>
      <c r="H1090" s="1235"/>
      <c r="I1090" s="1536"/>
      <c r="J1090" s="1536"/>
      <c r="K1090" s="1537"/>
      <c r="L1090" s="1235"/>
      <c r="M1090" s="2018"/>
      <c r="N1090" s="2902"/>
      <c r="O1090" s="1631"/>
      <c r="P1090" s="1536"/>
      <c r="Q1090" s="1536"/>
      <c r="R1090" s="1557"/>
    </row>
    <row r="1091" spans="1:18">
      <c r="A1091" s="2003"/>
      <c r="B1091" s="2204"/>
      <c r="C1091" s="1536"/>
      <c r="D1091" s="1536"/>
      <c r="E1091" s="1536"/>
      <c r="F1091" s="1536"/>
      <c r="G1091" s="1536"/>
      <c r="H1091" s="1235"/>
      <c r="I1091" s="2906"/>
      <c r="J1091" s="2907"/>
      <c r="K1091" s="1537"/>
      <c r="L1091" s="1235"/>
      <c r="M1091" s="2018"/>
      <c r="N1091" s="2250"/>
      <c r="O1091" s="1631"/>
      <c r="P1091" s="1536"/>
      <c r="Q1091" s="1536"/>
      <c r="R1091" s="1557"/>
    </row>
    <row r="1092" spans="1:18">
      <c r="A1092" s="2003"/>
      <c r="B1092" s="2204"/>
      <c r="C1092" s="1536"/>
      <c r="D1092" s="1536"/>
      <c r="E1092" s="1536"/>
      <c r="F1092" s="1536"/>
      <c r="G1092" s="1536"/>
      <c r="H1092" s="1235"/>
      <c r="I1092" s="1536"/>
      <c r="J1092" s="1536"/>
      <c r="K1092" s="1537"/>
      <c r="L1092" s="1235"/>
      <c r="M1092" s="2018"/>
      <c r="N1092" s="2900"/>
      <c r="O1092" s="1631"/>
      <c r="P1092" s="1536"/>
      <c r="Q1092" s="1536"/>
      <c r="R1092" s="1557"/>
    </row>
    <row r="1093" spans="1:18" ht="15.75" customHeight="1">
      <c r="A1093" s="2009"/>
      <c r="B1093" s="2209"/>
      <c r="C1093" s="1538"/>
      <c r="D1093" s="1538"/>
      <c r="E1093" s="1538"/>
      <c r="F1093" s="1538"/>
      <c r="G1093" s="1538"/>
      <c r="H1093" s="1535"/>
      <c r="I1093" s="1538"/>
      <c r="J1093" s="1538"/>
      <c r="K1093" s="1556"/>
      <c r="L1093" s="1535"/>
      <c r="M1093" s="2085"/>
      <c r="N1093" s="2901"/>
      <c r="O1093" s="2016"/>
      <c r="P1093" s="1538"/>
      <c r="Q1093" s="1538"/>
      <c r="R1093" s="1560"/>
    </row>
    <row r="1094" spans="1:18">
      <c r="A1094" s="2047"/>
      <c r="B1094" s="2216"/>
      <c r="C1094" s="1564"/>
      <c r="D1094" s="1564"/>
      <c r="E1094" s="1564"/>
      <c r="F1094" s="1564"/>
      <c r="G1094" s="1564"/>
      <c r="H1094" s="966"/>
      <c r="I1094" s="1564"/>
      <c r="J1094" s="1564"/>
      <c r="K1094" s="1565"/>
      <c r="L1094" s="966"/>
      <c r="M1094" s="1882"/>
      <c r="N1094" s="2900"/>
      <c r="O1094" s="1634"/>
      <c r="P1094" s="1564"/>
      <c r="Q1094" s="1564"/>
      <c r="R1094" s="1566"/>
    </row>
    <row r="1095" spans="1:18">
      <c r="A1095" s="2003"/>
      <c r="B1095" s="1913"/>
      <c r="C1095" s="1536"/>
      <c r="D1095" s="1536"/>
      <c r="E1095" s="1536"/>
      <c r="F1095" s="1536"/>
      <c r="G1095" s="1536"/>
      <c r="H1095" s="1235"/>
      <c r="I1095" s="1536"/>
      <c r="J1095" s="1536"/>
      <c r="K1095" s="1537"/>
      <c r="L1095" s="1235"/>
      <c r="M1095" s="1236"/>
      <c r="N1095" s="2902"/>
      <c r="O1095" s="1628"/>
      <c r="P1095" s="1536"/>
      <c r="Q1095" s="1536"/>
      <c r="R1095" s="1567"/>
    </row>
    <row r="1096" spans="1:18">
      <c r="A1096" s="2003"/>
      <c r="B1096" s="1913"/>
      <c r="C1096" s="1536"/>
      <c r="D1096" s="1536"/>
      <c r="E1096" s="1536"/>
      <c r="F1096" s="1536"/>
      <c r="G1096" s="1536"/>
      <c r="H1096" s="1235"/>
      <c r="I1096" s="1536"/>
      <c r="J1096" s="1536"/>
      <c r="K1096" s="1537"/>
      <c r="L1096" s="1235"/>
      <c r="M1096" s="1236"/>
      <c r="N1096" s="2900"/>
      <c r="O1096" s="1628"/>
      <c r="P1096" s="1536"/>
      <c r="Q1096" s="1536"/>
      <c r="R1096" s="1567"/>
    </row>
    <row r="1097" spans="1:18">
      <c r="A1097" s="2003"/>
      <c r="B1097" s="1913"/>
      <c r="C1097" s="1536"/>
      <c r="D1097" s="1536"/>
      <c r="E1097" s="1536"/>
      <c r="F1097" s="1536"/>
      <c r="G1097" s="1536"/>
      <c r="H1097" s="1235"/>
      <c r="I1097" s="1536"/>
      <c r="J1097" s="1536"/>
      <c r="K1097" s="1537"/>
      <c r="L1097" s="1235"/>
      <c r="M1097" s="1236"/>
      <c r="N1097" s="2902"/>
      <c r="O1097" s="1628"/>
      <c r="P1097" s="1536"/>
      <c r="Q1097" s="1536"/>
      <c r="R1097" s="1567"/>
    </row>
    <row r="1098" spans="1:18">
      <c r="A1098" s="2003"/>
      <c r="B1098" s="1913"/>
      <c r="C1098" s="1536"/>
      <c r="D1098" s="1536"/>
      <c r="E1098" s="1536"/>
      <c r="F1098" s="1536"/>
      <c r="G1098" s="1536"/>
      <c r="H1098" s="1235"/>
      <c r="I1098" s="1536"/>
      <c r="J1098" s="1536"/>
      <c r="K1098" s="1537"/>
      <c r="L1098" s="1235"/>
      <c r="M1098" s="1236"/>
      <c r="N1098" s="2900"/>
      <c r="O1098" s="1628"/>
      <c r="P1098" s="1536"/>
      <c r="Q1098" s="1536"/>
      <c r="R1098" s="1567"/>
    </row>
    <row r="1099" spans="1:18">
      <c r="A1099" s="2003"/>
      <c r="B1099" s="1913"/>
      <c r="C1099" s="1536"/>
      <c r="D1099" s="1536"/>
      <c r="E1099" s="1536"/>
      <c r="F1099" s="1536"/>
      <c r="G1099" s="1536"/>
      <c r="H1099" s="1235"/>
      <c r="I1099" s="1536"/>
      <c r="J1099" s="1536"/>
      <c r="K1099" s="1537"/>
      <c r="L1099" s="1235"/>
      <c r="M1099" s="1236"/>
      <c r="N1099" s="2902"/>
      <c r="O1099" s="1628"/>
      <c r="P1099" s="1536"/>
      <c r="Q1099" s="1536"/>
      <c r="R1099" s="1567"/>
    </row>
    <row r="1100" spans="1:18">
      <c r="A1100" s="2003"/>
      <c r="B1100" s="1913"/>
      <c r="C1100" s="1536"/>
      <c r="D1100" s="1536"/>
      <c r="E1100" s="1536"/>
      <c r="F1100" s="1536"/>
      <c r="G1100" s="1536"/>
      <c r="H1100" s="1235"/>
      <c r="I1100" s="1536"/>
      <c r="J1100" s="1536"/>
      <c r="K1100" s="1537"/>
      <c r="L1100" s="1235"/>
      <c r="M1100" s="1236"/>
      <c r="N1100" s="2900"/>
      <c r="O1100" s="1628"/>
      <c r="P1100" s="1536"/>
      <c r="Q1100" s="1536"/>
      <c r="R1100" s="1567"/>
    </row>
    <row r="1101" spans="1:18">
      <c r="A1101" s="2003"/>
      <c r="B1101" s="1913"/>
      <c r="C1101" s="1536"/>
      <c r="D1101" s="1536"/>
      <c r="E1101" s="1536"/>
      <c r="F1101" s="1536"/>
      <c r="G1101" s="1536"/>
      <c r="H1101" s="1235"/>
      <c r="I1101" s="1536"/>
      <c r="J1101" s="1536"/>
      <c r="K1101" s="1537"/>
      <c r="L1101" s="1235"/>
      <c r="M1101" s="1236"/>
      <c r="N1101" s="2902"/>
      <c r="O1101" s="1628"/>
      <c r="P1101" s="1536"/>
      <c r="Q1101" s="1536"/>
      <c r="R1101" s="1567"/>
    </row>
    <row r="1102" spans="1:18">
      <c r="A1102" s="2003"/>
      <c r="B1102" s="1913"/>
      <c r="C1102" s="1536"/>
      <c r="D1102" s="1536"/>
      <c r="E1102" s="1536"/>
      <c r="F1102" s="1536"/>
      <c r="G1102" s="1536"/>
      <c r="H1102" s="1235"/>
      <c r="I1102" s="1536"/>
      <c r="J1102" s="1536"/>
      <c r="K1102" s="1537"/>
      <c r="L1102" s="1235"/>
      <c r="M1102" s="1236"/>
      <c r="N1102" s="2900"/>
      <c r="O1102" s="1628"/>
      <c r="P1102" s="1536"/>
      <c r="Q1102" s="1536"/>
      <c r="R1102" s="1567"/>
    </row>
    <row r="1103" spans="1:18">
      <c r="A1103" s="2003"/>
      <c r="B1103" s="1913"/>
      <c r="C1103" s="1536"/>
      <c r="D1103" s="1536"/>
      <c r="E1103" s="1536"/>
      <c r="F1103" s="1536"/>
      <c r="G1103" s="1536"/>
      <c r="H1103" s="1235"/>
      <c r="I1103" s="1536"/>
      <c r="J1103" s="1536"/>
      <c r="K1103" s="1537"/>
      <c r="L1103" s="1235"/>
      <c r="M1103" s="1236"/>
      <c r="N1103" s="2902"/>
      <c r="O1103" s="1628"/>
      <c r="P1103" s="1536"/>
      <c r="Q1103" s="1536"/>
      <c r="R1103" s="1567"/>
    </row>
    <row r="1104" spans="1:18">
      <c r="A1104" s="2003"/>
      <c r="B1104" s="1913"/>
      <c r="C1104" s="1536"/>
      <c r="D1104" s="1536"/>
      <c r="E1104" s="1536"/>
      <c r="F1104" s="1536"/>
      <c r="G1104" s="1536"/>
      <c r="H1104" s="1235"/>
      <c r="I1104" s="1536"/>
      <c r="J1104" s="1536"/>
      <c r="K1104" s="1537"/>
      <c r="L1104" s="1235"/>
      <c r="M1104" s="1236"/>
      <c r="N1104" s="2900"/>
      <c r="O1104" s="1628"/>
      <c r="P1104" s="1536"/>
      <c r="Q1104" s="1536"/>
      <c r="R1104" s="1567"/>
    </row>
    <row r="1105" spans="1:18">
      <c r="A1105" s="2003"/>
      <c r="B1105" s="1913"/>
      <c r="C1105" s="1536"/>
      <c r="D1105" s="1536"/>
      <c r="E1105" s="1536"/>
      <c r="F1105" s="1536"/>
      <c r="G1105" s="1536"/>
      <c r="H1105" s="1235"/>
      <c r="I1105" s="1536"/>
      <c r="J1105" s="1536"/>
      <c r="K1105" s="1537"/>
      <c r="L1105" s="1235"/>
      <c r="M1105" s="1236"/>
      <c r="N1105" s="2902"/>
      <c r="O1105" s="1628"/>
      <c r="P1105" s="1536"/>
      <c r="Q1105" s="1536"/>
      <c r="R1105" s="1567"/>
    </row>
    <row r="1106" spans="1:18">
      <c r="A1106" s="2003"/>
      <c r="B1106" s="1913"/>
      <c r="C1106" s="1536"/>
      <c r="D1106" s="1536"/>
      <c r="E1106" s="1536"/>
      <c r="F1106" s="1536"/>
      <c r="G1106" s="1536"/>
      <c r="H1106" s="1235"/>
      <c r="I1106" s="1536"/>
      <c r="J1106" s="1536"/>
      <c r="K1106" s="1537"/>
      <c r="L1106" s="1235"/>
      <c r="M1106" s="1236"/>
      <c r="N1106" s="2900"/>
      <c r="O1106" s="1628"/>
      <c r="P1106" s="1536"/>
      <c r="Q1106" s="1536"/>
      <c r="R1106" s="1567"/>
    </row>
    <row r="1107" spans="1:18">
      <c r="A1107" s="2003"/>
      <c r="B1107" s="1913"/>
      <c r="C1107" s="1536"/>
      <c r="D1107" s="1536"/>
      <c r="E1107" s="1536"/>
      <c r="F1107" s="1536"/>
      <c r="G1107" s="1536"/>
      <c r="H1107" s="1235"/>
      <c r="I1107" s="1536"/>
      <c r="J1107" s="1536"/>
      <c r="K1107" s="1537"/>
      <c r="L1107" s="1235"/>
      <c r="M1107" s="1236"/>
      <c r="N1107" s="2902"/>
      <c r="O1107" s="1628"/>
      <c r="P1107" s="1536"/>
      <c r="Q1107" s="1536"/>
      <c r="R1107" s="1567"/>
    </row>
    <row r="1108" spans="1:18">
      <c r="A1108" s="2003"/>
      <c r="B1108" s="1913"/>
      <c r="C1108" s="1536"/>
      <c r="D1108" s="1536"/>
      <c r="E1108" s="1536"/>
      <c r="F1108" s="1536"/>
      <c r="G1108" s="1536"/>
      <c r="H1108" s="1235"/>
      <c r="I1108" s="1536"/>
      <c r="J1108" s="1536"/>
      <c r="K1108" s="1537"/>
      <c r="L1108" s="1235"/>
      <c r="M1108" s="1236"/>
      <c r="N1108" s="2900"/>
      <c r="O1108" s="1628"/>
      <c r="P1108" s="1536"/>
      <c r="Q1108" s="1536"/>
      <c r="R1108" s="1567"/>
    </row>
    <row r="1109" spans="1:18">
      <c r="A1109" s="2003"/>
      <c r="B1109" s="1913"/>
      <c r="C1109" s="1536"/>
      <c r="D1109" s="1536"/>
      <c r="E1109" s="1536"/>
      <c r="F1109" s="1536"/>
      <c r="G1109" s="1536"/>
      <c r="H1109" s="1235"/>
      <c r="I1109" s="1536"/>
      <c r="J1109" s="1536"/>
      <c r="K1109" s="1537"/>
      <c r="L1109" s="1235"/>
      <c r="M1109" s="1236"/>
      <c r="N1109" s="2902"/>
      <c r="O1109" s="1628"/>
      <c r="P1109" s="1536"/>
      <c r="Q1109" s="1536"/>
      <c r="R1109" s="1567"/>
    </row>
    <row r="1110" spans="1:18">
      <c r="A1110" s="2003"/>
      <c r="B1110" s="1913"/>
      <c r="C1110" s="1536"/>
      <c r="D1110" s="1536"/>
      <c r="E1110" s="1536"/>
      <c r="F1110" s="1536"/>
      <c r="G1110" s="1536"/>
      <c r="H1110" s="1235"/>
      <c r="I1110" s="1536"/>
      <c r="J1110" s="1536"/>
      <c r="K1110" s="1537"/>
      <c r="L1110" s="1235"/>
      <c r="M1110" s="1236"/>
      <c r="N1110" s="2900"/>
      <c r="O1110" s="1628"/>
      <c r="P1110" s="1536"/>
      <c r="Q1110" s="1536"/>
      <c r="R1110" s="1567"/>
    </row>
    <row r="1111" spans="1:18">
      <c r="A1111" s="2003"/>
      <c r="B1111" s="1913"/>
      <c r="C1111" s="1536"/>
      <c r="D1111" s="1536"/>
      <c r="E1111" s="1536"/>
      <c r="F1111" s="1536"/>
      <c r="G1111" s="1536"/>
      <c r="H1111" s="1235"/>
      <c r="I1111" s="1536"/>
      <c r="J1111" s="1536"/>
      <c r="K1111" s="1537"/>
      <c r="L1111" s="1235"/>
      <c r="M1111" s="1236"/>
      <c r="N1111" s="2903"/>
      <c r="O1111" s="1628"/>
      <c r="P1111" s="1536"/>
      <c r="Q1111" s="1536"/>
      <c r="R1111" s="1567"/>
    </row>
    <row r="1112" spans="1:18">
      <c r="A1112" s="2003"/>
      <c r="B1112" s="1913"/>
      <c r="C1112" s="1536"/>
      <c r="D1112" s="1536"/>
      <c r="E1112" s="1536"/>
      <c r="F1112" s="1536"/>
      <c r="G1112" s="1536"/>
      <c r="H1112" s="1235"/>
      <c r="I1112" s="1536"/>
      <c r="J1112" s="1536"/>
      <c r="K1112" s="1537"/>
      <c r="L1112" s="1235"/>
      <c r="M1112" s="1236"/>
      <c r="N1112" s="2902"/>
      <c r="O1112" s="1628"/>
      <c r="P1112" s="1536"/>
      <c r="Q1112" s="1536"/>
      <c r="R1112" s="1567"/>
    </row>
    <row r="1113" spans="1:18">
      <c r="A1113" s="2003"/>
      <c r="B1113" s="1913"/>
      <c r="C1113" s="1536"/>
      <c r="D1113" s="1536"/>
      <c r="E1113" s="1536"/>
      <c r="F1113" s="1536"/>
      <c r="G1113" s="1536"/>
      <c r="H1113" s="1235"/>
      <c r="I1113" s="1536"/>
      <c r="J1113" s="1536"/>
      <c r="K1113" s="1537"/>
      <c r="L1113" s="1235"/>
      <c r="M1113" s="1236"/>
      <c r="N1113" s="2900"/>
      <c r="O1113" s="1628"/>
      <c r="P1113" s="1536"/>
      <c r="Q1113" s="1536"/>
      <c r="R1113" s="1567"/>
    </row>
    <row r="1114" spans="1:18">
      <c r="A1114" s="2003"/>
      <c r="B1114" s="1913"/>
      <c r="C1114" s="1536"/>
      <c r="D1114" s="1536"/>
      <c r="E1114" s="1536"/>
      <c r="F1114" s="1536"/>
      <c r="G1114" s="1536"/>
      <c r="H1114" s="1235"/>
      <c r="I1114" s="1536"/>
      <c r="J1114" s="1536"/>
      <c r="K1114" s="1537"/>
      <c r="L1114" s="1235"/>
      <c r="M1114" s="1236"/>
      <c r="N1114" s="2903"/>
      <c r="O1114" s="1628"/>
      <c r="P1114" s="1536"/>
      <c r="Q1114" s="1536"/>
      <c r="R1114" s="1567"/>
    </row>
    <row r="1115" spans="1:18">
      <c r="A1115" s="2003"/>
      <c r="B1115" s="1913"/>
      <c r="C1115" s="1536"/>
      <c r="D1115" s="1536"/>
      <c r="E1115" s="1536"/>
      <c r="F1115" s="1536"/>
      <c r="G1115" s="1536"/>
      <c r="H1115" s="1235"/>
      <c r="I1115" s="1536"/>
      <c r="J1115" s="1536"/>
      <c r="K1115" s="1537"/>
      <c r="L1115" s="1235"/>
      <c r="M1115" s="1236"/>
      <c r="N1115" s="2902"/>
      <c r="O1115" s="1628"/>
      <c r="P1115" s="1536"/>
      <c r="Q1115" s="1536"/>
      <c r="R1115" s="1567"/>
    </row>
    <row r="1116" spans="1:18">
      <c r="A1116" s="2003"/>
      <c r="B1116" s="1913"/>
      <c r="C1116" s="1536"/>
      <c r="D1116" s="1536"/>
      <c r="E1116" s="1536"/>
      <c r="F1116" s="1536"/>
      <c r="G1116" s="1536"/>
      <c r="H1116" s="1235"/>
      <c r="I1116" s="2905"/>
      <c r="J1116" s="2905"/>
      <c r="K1116" s="1537"/>
      <c r="L1116" s="1235"/>
      <c r="M1116" s="1236"/>
      <c r="N1116" s="1879"/>
      <c r="O1116" s="1628"/>
      <c r="P1116" s="1536"/>
      <c r="Q1116" s="1536"/>
      <c r="R1116" s="1567"/>
    </row>
    <row r="1117" spans="1:18">
      <c r="A1117" s="2003"/>
      <c r="B1117" s="1913"/>
      <c r="C1117" s="1536"/>
      <c r="D1117" s="1536"/>
      <c r="E1117" s="1536"/>
      <c r="F1117" s="1536"/>
      <c r="G1117" s="1536"/>
      <c r="H1117" s="1235"/>
      <c r="I1117" s="1536"/>
      <c r="J1117" s="1536"/>
      <c r="K1117" s="1537"/>
      <c r="L1117" s="1235"/>
      <c r="M1117" s="1236"/>
      <c r="N1117" s="2900"/>
      <c r="O1117" s="1628"/>
      <c r="P1117" s="1536"/>
      <c r="Q1117" s="1536"/>
      <c r="R1117" s="1567"/>
    </row>
    <row r="1118" spans="1:18">
      <c r="A1118" s="2003"/>
      <c r="B1118" s="1913"/>
      <c r="C1118" s="1536"/>
      <c r="D1118" s="1536"/>
      <c r="E1118" s="1536"/>
      <c r="F1118" s="1536"/>
      <c r="G1118" s="1536"/>
      <c r="H1118" s="1235"/>
      <c r="I1118" s="1536"/>
      <c r="J1118" s="1536"/>
      <c r="K1118" s="1537"/>
      <c r="L1118" s="1235"/>
      <c r="M1118" s="1236"/>
      <c r="N1118" s="2903"/>
      <c r="O1118" s="1628"/>
      <c r="P1118" s="1536"/>
      <c r="Q1118" s="1536"/>
      <c r="R1118" s="1567"/>
    </row>
    <row r="1119" spans="1:18">
      <c r="A1119" s="2003"/>
      <c r="B1119" s="1913"/>
      <c r="C1119" s="1536"/>
      <c r="D1119" s="1536"/>
      <c r="E1119" s="1536"/>
      <c r="F1119" s="1536"/>
      <c r="G1119" s="1536"/>
      <c r="H1119" s="1235"/>
      <c r="I1119" s="1536"/>
      <c r="J1119" s="1536"/>
      <c r="K1119" s="1537"/>
      <c r="L1119" s="1235"/>
      <c r="M1119" s="1236"/>
      <c r="N1119" s="2902"/>
      <c r="O1119" s="1628"/>
      <c r="P1119" s="1536"/>
      <c r="Q1119" s="1536"/>
      <c r="R1119" s="1567"/>
    </row>
    <row r="1120" spans="1:18">
      <c r="A1120" s="2003"/>
      <c r="B1120" s="1913"/>
      <c r="C1120" s="1536"/>
      <c r="D1120" s="1536"/>
      <c r="E1120" s="1536"/>
      <c r="F1120" s="1536"/>
      <c r="G1120" s="1536"/>
      <c r="H1120" s="1235"/>
      <c r="I1120" s="1536"/>
      <c r="J1120" s="1536"/>
      <c r="K1120" s="1537"/>
      <c r="L1120" s="1235"/>
      <c r="M1120" s="1236"/>
      <c r="N1120" s="2900"/>
      <c r="O1120" s="1628"/>
      <c r="P1120" s="1536"/>
      <c r="Q1120" s="1536"/>
      <c r="R1120" s="1567"/>
    </row>
    <row r="1121" spans="1:18">
      <c r="A1121" s="2003"/>
      <c r="B1121" s="1913"/>
      <c r="C1121" s="1536"/>
      <c r="D1121" s="1536"/>
      <c r="E1121" s="1536"/>
      <c r="F1121" s="1536"/>
      <c r="G1121" s="1536"/>
      <c r="H1121" s="1235"/>
      <c r="I1121" s="2905"/>
      <c r="J1121" s="2905"/>
      <c r="K1121" s="1537"/>
      <c r="L1121" s="1235"/>
      <c r="M1121" s="1236"/>
      <c r="N1121" s="2903"/>
      <c r="O1121" s="1628"/>
      <c r="P1121" s="1536"/>
      <c r="Q1121" s="1536"/>
      <c r="R1121" s="1567"/>
    </row>
    <row r="1122" spans="1:18">
      <c r="A1122" s="2003"/>
      <c r="B1122" s="1913"/>
      <c r="C1122" s="1536"/>
      <c r="D1122" s="1536"/>
      <c r="E1122" s="1536"/>
      <c r="F1122" s="1536"/>
      <c r="G1122" s="1536"/>
      <c r="H1122" s="1235"/>
      <c r="I1122" s="1536"/>
      <c r="J1122" s="1536"/>
      <c r="K1122" s="1537"/>
      <c r="L1122" s="1235"/>
      <c r="M1122" s="1236"/>
      <c r="N1122" s="2903"/>
      <c r="O1122" s="1628"/>
      <c r="P1122" s="1536"/>
      <c r="Q1122" s="1536"/>
      <c r="R1122" s="1567"/>
    </row>
    <row r="1123" spans="1:18">
      <c r="A1123" s="2003"/>
      <c r="B1123" s="1913"/>
      <c r="C1123" s="1536"/>
      <c r="D1123" s="1536"/>
      <c r="E1123" s="1536"/>
      <c r="F1123" s="1536"/>
      <c r="G1123" s="1536"/>
      <c r="H1123" s="1235"/>
      <c r="I1123" s="1536"/>
      <c r="J1123" s="1536"/>
      <c r="K1123" s="1537"/>
      <c r="L1123" s="1235"/>
      <c r="M1123" s="1236"/>
      <c r="N1123" s="2902"/>
      <c r="O1123" s="1628"/>
      <c r="P1123" s="1536"/>
      <c r="Q1123" s="1536"/>
      <c r="R1123" s="1567"/>
    </row>
    <row r="1124" spans="1:18">
      <c r="A1124" s="2003"/>
      <c r="B1124" s="1913"/>
      <c r="C1124" s="1536"/>
      <c r="D1124" s="1536"/>
      <c r="E1124" s="1536"/>
      <c r="F1124" s="1536"/>
      <c r="G1124" s="1536"/>
      <c r="H1124" s="1235"/>
      <c r="I1124" s="1536"/>
      <c r="J1124" s="1536"/>
      <c r="K1124" s="1537"/>
      <c r="L1124" s="1235"/>
      <c r="M1124" s="1236"/>
      <c r="N1124" s="2900"/>
      <c r="O1124" s="1628"/>
      <c r="P1124" s="1536"/>
      <c r="Q1124" s="1536"/>
      <c r="R1124" s="1567"/>
    </row>
    <row r="1125" spans="1:18">
      <c r="A1125" s="2003"/>
      <c r="B1125" s="1913"/>
      <c r="C1125" s="1536"/>
      <c r="D1125" s="1536"/>
      <c r="E1125" s="1536"/>
      <c r="F1125" s="1536"/>
      <c r="G1125" s="1536"/>
      <c r="H1125" s="1235"/>
      <c r="I1125" s="1536"/>
      <c r="J1125" s="1536"/>
      <c r="K1125" s="1537"/>
      <c r="L1125" s="1235"/>
      <c r="M1125" s="1236"/>
      <c r="N1125" s="2902"/>
      <c r="O1125" s="1628"/>
      <c r="P1125" s="1536"/>
      <c r="Q1125" s="1536"/>
      <c r="R1125" s="1567"/>
    </row>
    <row r="1126" spans="1:18">
      <c r="A1126" s="2003"/>
      <c r="B1126" s="1913"/>
      <c r="C1126" s="1536"/>
      <c r="D1126" s="1536"/>
      <c r="E1126" s="1536"/>
      <c r="F1126" s="1536"/>
      <c r="G1126" s="1536"/>
      <c r="H1126" s="1235"/>
      <c r="I1126" s="1536"/>
      <c r="J1126" s="1536"/>
      <c r="K1126" s="1537"/>
      <c r="L1126" s="1235"/>
      <c r="M1126" s="1236"/>
      <c r="N1126" s="2900"/>
      <c r="O1126" s="1628"/>
      <c r="P1126" s="1536"/>
      <c r="Q1126" s="1536"/>
      <c r="R1126" s="1567"/>
    </row>
    <row r="1127" spans="1:18">
      <c r="A1127" s="2003"/>
      <c r="B1127" s="1913"/>
      <c r="C1127" s="1536"/>
      <c r="D1127" s="1536"/>
      <c r="E1127" s="1536"/>
      <c r="F1127" s="1536"/>
      <c r="G1127" s="1536"/>
      <c r="H1127" s="1235"/>
      <c r="I1127" s="1536"/>
      <c r="J1127" s="1536"/>
      <c r="K1127" s="1537"/>
      <c r="L1127" s="1235"/>
      <c r="M1127" s="1236"/>
      <c r="N1127" s="2903"/>
      <c r="O1127" s="1628"/>
      <c r="P1127" s="1536"/>
      <c r="Q1127" s="1536"/>
      <c r="R1127" s="1567"/>
    </row>
    <row r="1128" spans="1:18">
      <c r="A1128" s="2003"/>
      <c r="B1128" s="1913"/>
      <c r="C1128" s="1536"/>
      <c r="D1128" s="1536"/>
      <c r="E1128" s="1536"/>
      <c r="F1128" s="1536"/>
      <c r="G1128" s="1536"/>
      <c r="H1128" s="1235"/>
      <c r="I1128" s="1536"/>
      <c r="J1128" s="1536"/>
      <c r="K1128" s="1537"/>
      <c r="L1128" s="1235"/>
      <c r="M1128" s="1236"/>
      <c r="N1128" s="2902"/>
      <c r="O1128" s="1628"/>
      <c r="P1128" s="1536"/>
      <c r="Q1128" s="1536"/>
      <c r="R1128" s="1567"/>
    </row>
    <row r="1129" spans="1:18">
      <c r="A1129" s="2003"/>
      <c r="B1129" s="1913"/>
      <c r="C1129" s="1536"/>
      <c r="D1129" s="1536"/>
      <c r="E1129" s="1536"/>
      <c r="F1129" s="1536"/>
      <c r="G1129" s="1536"/>
      <c r="H1129" s="1235"/>
      <c r="I1129" s="1536"/>
      <c r="J1129" s="1536"/>
      <c r="K1129" s="1537"/>
      <c r="L1129" s="1235"/>
      <c r="M1129" s="1236"/>
      <c r="N1129" s="2900"/>
      <c r="O1129" s="1628"/>
      <c r="P1129" s="1536"/>
      <c r="Q1129" s="1536"/>
      <c r="R1129" s="1567"/>
    </row>
    <row r="1130" spans="1:18">
      <c r="A1130" s="2003"/>
      <c r="B1130" s="1913"/>
      <c r="C1130" s="1536"/>
      <c r="D1130" s="1536"/>
      <c r="E1130" s="1536"/>
      <c r="F1130" s="1536"/>
      <c r="G1130" s="1536"/>
      <c r="H1130" s="1235"/>
      <c r="I1130" s="1536"/>
      <c r="J1130" s="1536"/>
      <c r="K1130" s="1537"/>
      <c r="L1130" s="1235"/>
      <c r="M1130" s="1236"/>
      <c r="N1130" s="2902"/>
      <c r="O1130" s="1628"/>
      <c r="P1130" s="1536"/>
      <c r="Q1130" s="1536"/>
      <c r="R1130" s="1567"/>
    </row>
    <row r="1131" spans="1:18">
      <c r="A1131" s="2003"/>
      <c r="B1131" s="1913"/>
      <c r="C1131" s="1536"/>
      <c r="D1131" s="1536"/>
      <c r="E1131" s="1536"/>
      <c r="F1131" s="1536"/>
      <c r="G1131" s="1536"/>
      <c r="H1131" s="1235"/>
      <c r="I1131" s="1536"/>
      <c r="J1131" s="1536"/>
      <c r="K1131" s="1537"/>
      <c r="L1131" s="1235"/>
      <c r="M1131" s="1236"/>
      <c r="N1131" s="2900"/>
      <c r="O1131" s="1628"/>
      <c r="P1131" s="1536"/>
      <c r="Q1131" s="1536"/>
      <c r="R1131" s="1567"/>
    </row>
    <row r="1132" spans="1:18">
      <c r="A1132" s="2003"/>
      <c r="B1132" s="1913"/>
      <c r="C1132" s="1536"/>
      <c r="D1132" s="1536"/>
      <c r="E1132" s="1536"/>
      <c r="F1132" s="1536"/>
      <c r="G1132" s="1536"/>
      <c r="H1132" s="1235"/>
      <c r="I1132" s="1536"/>
      <c r="J1132" s="1536"/>
      <c r="K1132" s="1537"/>
      <c r="L1132" s="1235"/>
      <c r="M1132" s="1236"/>
      <c r="N1132" s="2902"/>
      <c r="O1132" s="1628"/>
      <c r="P1132" s="1536"/>
      <c r="Q1132" s="1536"/>
      <c r="R1132" s="1567"/>
    </row>
    <row r="1133" spans="1:18">
      <c r="A1133" s="2003"/>
      <c r="B1133" s="1913"/>
      <c r="C1133" s="1536"/>
      <c r="D1133" s="1536"/>
      <c r="E1133" s="1536"/>
      <c r="F1133" s="1536"/>
      <c r="G1133" s="1536"/>
      <c r="H1133" s="1235"/>
      <c r="I1133" s="1536"/>
      <c r="J1133" s="1536"/>
      <c r="K1133" s="1537"/>
      <c r="L1133" s="1235"/>
      <c r="M1133" s="1236"/>
      <c r="N1133" s="2900"/>
      <c r="O1133" s="1628"/>
      <c r="P1133" s="1536"/>
      <c r="Q1133" s="1536"/>
      <c r="R1133" s="1567"/>
    </row>
    <row r="1134" spans="1:18">
      <c r="A1134" s="2003"/>
      <c r="B1134" s="1913"/>
      <c r="C1134" s="1536"/>
      <c r="D1134" s="1536"/>
      <c r="E1134" s="1536"/>
      <c r="F1134" s="1536"/>
      <c r="G1134" s="1536"/>
      <c r="H1134" s="1235"/>
      <c r="I1134" s="1536"/>
      <c r="J1134" s="1536"/>
      <c r="K1134" s="1537"/>
      <c r="L1134" s="1235"/>
      <c r="M1134" s="1236"/>
      <c r="N1134" s="2902"/>
      <c r="O1134" s="1628"/>
      <c r="P1134" s="1536"/>
      <c r="Q1134" s="1536"/>
      <c r="R1134" s="1567"/>
    </row>
    <row r="1135" spans="1:18">
      <c r="A1135" s="2003"/>
      <c r="B1135" s="1913"/>
      <c r="C1135" s="1536"/>
      <c r="D1135" s="1536"/>
      <c r="E1135" s="1536"/>
      <c r="F1135" s="1536"/>
      <c r="G1135" s="1536"/>
      <c r="H1135" s="1235"/>
      <c r="I1135" s="1536"/>
      <c r="J1135" s="1536"/>
      <c r="K1135" s="1537"/>
      <c r="L1135" s="1235"/>
      <c r="M1135" s="1236"/>
      <c r="N1135" s="2900"/>
      <c r="O1135" s="1628"/>
      <c r="P1135" s="1536"/>
      <c r="Q1135" s="1536"/>
      <c r="R1135" s="1567"/>
    </row>
    <row r="1136" spans="1:18">
      <c r="A1136" s="2009"/>
      <c r="B1136" s="2212"/>
      <c r="C1136" s="1538"/>
      <c r="D1136" s="1538"/>
      <c r="E1136" s="1538"/>
      <c r="F1136" s="1538"/>
      <c r="G1136" s="1538"/>
      <c r="H1136" s="1535"/>
      <c r="I1136" s="1538"/>
      <c r="J1136" s="1538"/>
      <c r="K1136" s="1556"/>
      <c r="L1136" s="1535"/>
      <c r="M1136" s="1872"/>
      <c r="N1136" s="2903"/>
      <c r="O1136" s="1632"/>
      <c r="P1136" s="1538"/>
      <c r="Q1136" s="1538"/>
      <c r="R1136" s="1592"/>
    </row>
    <row r="1137" spans="1:18">
      <c r="A1137" s="2003"/>
      <c r="B1137" s="1913"/>
      <c r="C1137" s="1536"/>
      <c r="D1137" s="1536"/>
      <c r="E1137" s="1536"/>
      <c r="F1137" s="1536"/>
      <c r="G1137" s="1536"/>
      <c r="H1137" s="1235"/>
      <c r="I1137" s="1536"/>
      <c r="J1137" s="1536"/>
      <c r="K1137" s="1537"/>
      <c r="L1137" s="1235"/>
      <c r="M1137" s="1236"/>
      <c r="N1137" s="2900"/>
      <c r="O1137" s="1628"/>
      <c r="P1137" s="1536"/>
      <c r="Q1137" s="1536"/>
      <c r="R1137" s="1567"/>
    </row>
    <row r="1138" spans="1:18">
      <c r="A1138" s="2003"/>
      <c r="B1138" s="1913"/>
      <c r="C1138" s="1536"/>
      <c r="D1138" s="1536"/>
      <c r="E1138" s="1536"/>
      <c r="F1138" s="1536"/>
      <c r="G1138" s="1536"/>
      <c r="H1138" s="1235"/>
      <c r="I1138" s="1536"/>
      <c r="J1138" s="1536"/>
      <c r="K1138" s="1537"/>
      <c r="L1138" s="1235"/>
      <c r="M1138" s="1236"/>
      <c r="N1138" s="2903"/>
      <c r="O1138" s="1628"/>
      <c r="P1138" s="1536"/>
      <c r="Q1138" s="1536"/>
      <c r="R1138" s="1567"/>
    </row>
    <row r="1139" spans="1:18" ht="16.2" thickBot="1">
      <c r="A1139" s="2242"/>
      <c r="B1139" s="2214"/>
      <c r="C1139" s="1553"/>
      <c r="D1139" s="1553"/>
      <c r="E1139" s="1553"/>
      <c r="F1139" s="1553"/>
      <c r="G1139" s="1553"/>
      <c r="H1139" s="1543"/>
      <c r="I1139" s="1553"/>
      <c r="J1139" s="1553"/>
      <c r="K1139" s="1554"/>
      <c r="L1139" s="1543"/>
      <c r="M1139" s="1877"/>
      <c r="N1139" s="2901"/>
      <c r="O1139" s="1629"/>
      <c r="P1139" s="1553"/>
      <c r="Q1139" s="1553"/>
      <c r="R1139" s="1931"/>
    </row>
    <row r="1140" spans="1:18">
      <c r="A1140" s="2241"/>
      <c r="B1140" s="1912"/>
      <c r="C1140" s="1552"/>
      <c r="D1140" s="1552"/>
      <c r="E1140" s="1552"/>
      <c r="F1140" s="1552"/>
      <c r="G1140" s="1552"/>
      <c r="H1140" s="1539"/>
      <c r="I1140" s="1552"/>
      <c r="J1140" s="1552"/>
      <c r="K1140" s="1555"/>
      <c r="L1140" s="1539"/>
      <c r="M1140" s="1873"/>
      <c r="N1140" s="2903"/>
      <c r="O1140" s="1633"/>
      <c r="P1140" s="1552"/>
      <c r="Q1140" s="1552"/>
      <c r="R1140" s="1698"/>
    </row>
    <row r="1141" spans="1:18">
      <c r="A1141" s="2003"/>
      <c r="B1141" s="1913"/>
      <c r="C1141" s="1536"/>
      <c r="D1141" s="1536"/>
      <c r="E1141" s="1536"/>
      <c r="F1141" s="1536"/>
      <c r="G1141" s="1536"/>
      <c r="H1141" s="1235"/>
      <c r="I1141" s="1536"/>
      <c r="J1141" s="1536"/>
      <c r="K1141" s="1537"/>
      <c r="L1141" s="1235"/>
      <c r="M1141" s="1236"/>
      <c r="N1141" s="2902"/>
      <c r="O1141" s="1628"/>
      <c r="P1141" s="1536"/>
      <c r="Q1141" s="1536"/>
      <c r="R1141" s="1567"/>
    </row>
    <row r="1142" spans="1:18">
      <c r="A1142" s="2003"/>
      <c r="B1142" s="1913"/>
      <c r="C1142" s="1536"/>
      <c r="D1142" s="1536"/>
      <c r="E1142" s="1536"/>
      <c r="F1142" s="1536"/>
      <c r="G1142" s="1536"/>
      <c r="H1142" s="1235"/>
      <c r="I1142" s="1536"/>
      <c r="J1142" s="1536"/>
      <c r="K1142" s="1537"/>
      <c r="L1142" s="1235"/>
      <c r="M1142" s="1236"/>
      <c r="N1142" s="2900"/>
      <c r="O1142" s="1628"/>
      <c r="P1142" s="1536"/>
      <c r="Q1142" s="1536"/>
      <c r="R1142" s="1567"/>
    </row>
    <row r="1143" spans="1:18">
      <c r="A1143" s="2003"/>
      <c r="B1143" s="1913"/>
      <c r="C1143" s="1536"/>
      <c r="D1143" s="1536"/>
      <c r="E1143" s="1536"/>
      <c r="F1143" s="1536"/>
      <c r="G1143" s="1536"/>
      <c r="H1143" s="1235"/>
      <c r="I1143" s="1536"/>
      <c r="J1143" s="1536"/>
      <c r="K1143" s="1537"/>
      <c r="L1143" s="1235"/>
      <c r="M1143" s="1236"/>
      <c r="N1143" s="2903"/>
      <c r="O1143" s="1628"/>
      <c r="P1143" s="1536"/>
      <c r="Q1143" s="1536"/>
      <c r="R1143" s="1567"/>
    </row>
    <row r="1144" spans="1:18">
      <c r="A1144" s="2003"/>
      <c r="B1144" s="1913"/>
      <c r="C1144" s="1536"/>
      <c r="D1144" s="1536"/>
      <c r="E1144" s="1536"/>
      <c r="F1144" s="1536"/>
      <c r="G1144" s="1536"/>
      <c r="H1144" s="1235"/>
      <c r="I1144" s="1536"/>
      <c r="J1144" s="1536"/>
      <c r="K1144" s="1537"/>
      <c r="L1144" s="1235"/>
      <c r="M1144" s="1236"/>
      <c r="N1144" s="2902"/>
      <c r="O1144" s="1628"/>
      <c r="P1144" s="1536"/>
      <c r="Q1144" s="1536"/>
      <c r="R1144" s="1567"/>
    </row>
    <row r="1145" spans="1:18">
      <c r="A1145" s="2003"/>
      <c r="B1145" s="1913"/>
      <c r="C1145" s="1536"/>
      <c r="D1145" s="1536"/>
      <c r="E1145" s="1536"/>
      <c r="F1145" s="1536"/>
      <c r="G1145" s="1536"/>
      <c r="H1145" s="1235"/>
      <c r="I1145" s="1536"/>
      <c r="J1145" s="1536"/>
      <c r="K1145" s="1537"/>
      <c r="L1145" s="1235"/>
      <c r="M1145" s="1236"/>
      <c r="N1145" s="2900"/>
      <c r="O1145" s="1628"/>
      <c r="P1145" s="1536"/>
      <c r="Q1145" s="1536"/>
      <c r="R1145" s="1567"/>
    </row>
    <row r="1146" spans="1:18">
      <c r="A1146" s="2003"/>
      <c r="B1146" s="1913"/>
      <c r="C1146" s="1536"/>
      <c r="D1146" s="1536"/>
      <c r="E1146" s="1536"/>
      <c r="F1146" s="1536"/>
      <c r="G1146" s="1536"/>
      <c r="H1146" s="1235"/>
      <c r="I1146" s="1536"/>
      <c r="J1146" s="1536"/>
      <c r="K1146" s="1537"/>
      <c r="L1146" s="1235"/>
      <c r="M1146" s="1236"/>
      <c r="N1146" s="2903"/>
      <c r="O1146" s="1628"/>
      <c r="P1146" s="1536"/>
      <c r="Q1146" s="1536"/>
      <c r="R1146" s="1567"/>
    </row>
    <row r="1147" spans="1:18">
      <c r="A1147" s="2003"/>
      <c r="B1147" s="1913"/>
      <c r="C1147" s="1536"/>
      <c r="D1147" s="1536"/>
      <c r="E1147" s="1536"/>
      <c r="F1147" s="1536"/>
      <c r="G1147" s="1536"/>
      <c r="H1147" s="1235"/>
      <c r="I1147" s="1536"/>
      <c r="J1147" s="1536"/>
      <c r="K1147" s="1537"/>
      <c r="L1147" s="1235"/>
      <c r="M1147" s="1236"/>
      <c r="N1147" s="2902"/>
      <c r="O1147" s="1628"/>
      <c r="P1147" s="1536"/>
      <c r="Q1147" s="1536"/>
      <c r="R1147" s="1567"/>
    </row>
    <row r="1148" spans="1:18" hidden="1">
      <c r="A1148" s="2003"/>
      <c r="B1148" s="1913"/>
      <c r="C1148" s="1536"/>
      <c r="D1148" s="1536"/>
      <c r="E1148" s="1536"/>
      <c r="F1148" s="1536"/>
      <c r="G1148" s="1536"/>
      <c r="H1148" s="1235"/>
      <c r="I1148" s="1536"/>
      <c r="J1148" s="1536"/>
      <c r="K1148" s="1537"/>
      <c r="L1148" s="1235"/>
      <c r="M1148" s="1236"/>
      <c r="N1148" s="2900"/>
      <c r="O1148" s="1628"/>
      <c r="P1148" s="1536"/>
      <c r="Q1148" s="1536"/>
      <c r="R1148" s="1567"/>
    </row>
    <row r="1149" spans="1:18" hidden="1">
      <c r="A1149" s="2003"/>
      <c r="B1149" s="1913"/>
      <c r="C1149" s="1536"/>
      <c r="D1149" s="1536"/>
      <c r="E1149" s="1536"/>
      <c r="F1149" s="1536"/>
      <c r="G1149" s="1536"/>
      <c r="H1149" s="1235"/>
      <c r="I1149" s="1536"/>
      <c r="J1149" s="1536"/>
      <c r="K1149" s="1537"/>
      <c r="L1149" s="1235"/>
      <c r="M1149" s="1236"/>
      <c r="N1149" s="2902"/>
      <c r="O1149" s="1628"/>
      <c r="P1149" s="1536"/>
      <c r="Q1149" s="1536"/>
      <c r="R1149" s="1567"/>
    </row>
    <row r="1150" spans="1:18" hidden="1">
      <c r="A1150" s="2003"/>
      <c r="B1150" s="1913"/>
      <c r="C1150" s="1536"/>
      <c r="D1150" s="1536"/>
      <c r="E1150" s="1536"/>
      <c r="F1150" s="1536"/>
      <c r="G1150" s="1536"/>
      <c r="H1150" s="1235"/>
      <c r="I1150" s="1536"/>
      <c r="J1150" s="1536"/>
      <c r="K1150" s="1537"/>
      <c r="L1150" s="1235"/>
      <c r="M1150" s="1236"/>
      <c r="N1150" s="2900"/>
      <c r="O1150" s="1628"/>
      <c r="P1150" s="1536"/>
      <c r="Q1150" s="1536"/>
      <c r="R1150" s="1567"/>
    </row>
    <row r="1151" spans="1:18" hidden="1">
      <c r="A1151" s="2003"/>
      <c r="B1151" s="1913"/>
      <c r="C1151" s="1536"/>
      <c r="D1151" s="1536"/>
      <c r="E1151" s="1536"/>
      <c r="F1151" s="1536"/>
      <c r="G1151" s="1536"/>
      <c r="H1151" s="1235"/>
      <c r="I1151" s="1536"/>
      <c r="J1151" s="1536"/>
      <c r="K1151" s="1537"/>
      <c r="L1151" s="1235"/>
      <c r="M1151" s="1236"/>
      <c r="N1151" s="2902"/>
      <c r="O1151" s="1628"/>
      <c r="P1151" s="1536"/>
      <c r="Q1151" s="1536"/>
      <c r="R1151" s="1567"/>
    </row>
    <row r="1152" spans="1:18">
      <c r="A1152" s="2003"/>
      <c r="B1152" s="1913"/>
      <c r="C1152" s="1536"/>
      <c r="D1152" s="1536"/>
      <c r="E1152" s="1536"/>
      <c r="F1152" s="1536"/>
      <c r="G1152" s="1536"/>
      <c r="H1152" s="1235"/>
      <c r="I1152" s="1536"/>
      <c r="J1152" s="1536"/>
      <c r="K1152" s="1537"/>
      <c r="L1152" s="1235"/>
      <c r="M1152" s="1236"/>
      <c r="N1152" s="2900"/>
      <c r="O1152" s="1628"/>
      <c r="P1152" s="1536"/>
      <c r="Q1152" s="1536"/>
      <c r="R1152" s="1567"/>
    </row>
    <row r="1153" spans="1:18">
      <c r="A1153" s="2003"/>
      <c r="B1153" s="1913"/>
      <c r="C1153" s="1536"/>
      <c r="D1153" s="1536"/>
      <c r="E1153" s="1536"/>
      <c r="F1153" s="1536"/>
      <c r="G1153" s="1536"/>
      <c r="H1153" s="1235"/>
      <c r="I1153" s="1536"/>
      <c r="J1153" s="1536"/>
      <c r="K1153" s="1537"/>
      <c r="L1153" s="1235"/>
      <c r="M1153" s="1236"/>
      <c r="N1153" s="2902"/>
      <c r="O1153" s="1628"/>
      <c r="P1153" s="1536"/>
      <c r="Q1153" s="1536"/>
      <c r="R1153" s="1567"/>
    </row>
    <row r="1154" spans="1:18">
      <c r="A1154" s="2003"/>
      <c r="B1154" s="1913"/>
      <c r="C1154" s="1536"/>
      <c r="D1154" s="1536"/>
      <c r="E1154" s="1536"/>
      <c r="F1154" s="1536"/>
      <c r="G1154" s="1536"/>
      <c r="H1154" s="1235"/>
      <c r="I1154" s="1536"/>
      <c r="J1154" s="1536"/>
      <c r="K1154" s="1537"/>
      <c r="L1154" s="1235"/>
      <c r="M1154" s="1236"/>
      <c r="N1154" s="2900"/>
      <c r="O1154" s="1628"/>
      <c r="P1154" s="1536"/>
      <c r="Q1154" s="1536"/>
      <c r="R1154" s="1567"/>
    </row>
    <row r="1155" spans="1:18">
      <c r="A1155" s="2003"/>
      <c r="B1155" s="1913"/>
      <c r="C1155" s="1536"/>
      <c r="D1155" s="1536"/>
      <c r="E1155" s="1536"/>
      <c r="F1155" s="1536"/>
      <c r="G1155" s="1536"/>
      <c r="H1155" s="1235"/>
      <c r="I1155" s="1536"/>
      <c r="J1155" s="1536"/>
      <c r="K1155" s="1537"/>
      <c r="L1155" s="1235"/>
      <c r="M1155" s="1236"/>
      <c r="N1155" s="2902"/>
      <c r="O1155" s="1628"/>
      <c r="P1155" s="1536"/>
      <c r="Q1155" s="1536"/>
      <c r="R1155" s="1567"/>
    </row>
    <row r="1156" spans="1:18">
      <c r="A1156" s="2003"/>
      <c r="B1156" s="1913"/>
      <c r="C1156" s="1536"/>
      <c r="D1156" s="1536"/>
      <c r="E1156" s="1536"/>
      <c r="F1156" s="1536"/>
      <c r="G1156" s="1536"/>
      <c r="H1156" s="1235"/>
      <c r="I1156" s="1536"/>
      <c r="J1156" s="1536"/>
      <c r="K1156" s="1537"/>
      <c r="L1156" s="1235"/>
      <c r="M1156" s="1236"/>
      <c r="N1156" s="2900"/>
      <c r="O1156" s="1628"/>
      <c r="P1156" s="1536"/>
      <c r="Q1156" s="1536"/>
      <c r="R1156" s="1567"/>
    </row>
    <row r="1157" spans="1:18">
      <c r="A1157" s="2003"/>
      <c r="B1157" s="1913"/>
      <c r="C1157" s="1536"/>
      <c r="D1157" s="1536"/>
      <c r="E1157" s="1536"/>
      <c r="F1157" s="1536"/>
      <c r="G1157" s="1536"/>
      <c r="H1157" s="1235"/>
      <c r="I1157" s="1536"/>
      <c r="J1157" s="1536"/>
      <c r="K1157" s="1537"/>
      <c r="L1157" s="1235"/>
      <c r="M1157" s="1236"/>
      <c r="N1157" s="2902"/>
      <c r="O1157" s="1628"/>
      <c r="P1157" s="1536"/>
      <c r="Q1157" s="1536"/>
      <c r="R1157" s="1567"/>
    </row>
    <row r="1158" spans="1:18">
      <c r="A1158" s="2003"/>
      <c r="B1158" s="1913"/>
      <c r="C1158" s="1536"/>
      <c r="D1158" s="1536"/>
      <c r="E1158" s="1536"/>
      <c r="F1158" s="1536"/>
      <c r="G1158" s="1536"/>
      <c r="H1158" s="1235"/>
      <c r="I1158" s="1536"/>
      <c r="J1158" s="1536"/>
      <c r="K1158" s="1537"/>
      <c r="L1158" s="1235"/>
      <c r="M1158" s="1236"/>
      <c r="N1158" s="2900"/>
      <c r="O1158" s="1628"/>
      <c r="P1158" s="1536"/>
      <c r="Q1158" s="1536"/>
      <c r="R1158" s="1567"/>
    </row>
    <row r="1159" spans="1:18">
      <c r="A1159" s="2003"/>
      <c r="B1159" s="1913"/>
      <c r="C1159" s="1536"/>
      <c r="D1159" s="1536"/>
      <c r="E1159" s="1536"/>
      <c r="F1159" s="1536"/>
      <c r="G1159" s="1536"/>
      <c r="H1159" s="1235"/>
      <c r="I1159" s="1536"/>
      <c r="J1159" s="1536"/>
      <c r="K1159" s="1537"/>
      <c r="L1159" s="1235"/>
      <c r="M1159" s="1236"/>
      <c r="N1159" s="2902"/>
      <c r="O1159" s="1628"/>
      <c r="P1159" s="1536"/>
      <c r="Q1159" s="1536"/>
      <c r="R1159" s="1567"/>
    </row>
    <row r="1160" spans="1:18">
      <c r="A1160" s="2003"/>
      <c r="B1160" s="1913"/>
      <c r="C1160" s="1536"/>
      <c r="D1160" s="1536"/>
      <c r="E1160" s="1536"/>
      <c r="F1160" s="1536"/>
      <c r="G1160" s="1536"/>
      <c r="H1160" s="1235"/>
      <c r="I1160" s="1536"/>
      <c r="J1160" s="1536"/>
      <c r="K1160" s="1537"/>
      <c r="L1160" s="1235"/>
      <c r="M1160" s="1236"/>
      <c r="N1160" s="2900"/>
      <c r="O1160" s="1628"/>
      <c r="P1160" s="1536"/>
      <c r="Q1160" s="1536"/>
      <c r="R1160" s="1567"/>
    </row>
    <row r="1161" spans="1:18">
      <c r="A1161" s="2003"/>
      <c r="B1161" s="1913"/>
      <c r="C1161" s="1536"/>
      <c r="D1161" s="1536"/>
      <c r="E1161" s="1536"/>
      <c r="F1161" s="1536"/>
      <c r="G1161" s="1536"/>
      <c r="H1161" s="1235"/>
      <c r="I1161" s="1536"/>
      <c r="J1161" s="1536"/>
      <c r="K1161" s="1537"/>
      <c r="L1161" s="1235"/>
      <c r="M1161" s="1236"/>
      <c r="N1161" s="2902"/>
      <c r="O1161" s="1628"/>
      <c r="P1161" s="1536"/>
      <c r="Q1161" s="1536"/>
      <c r="R1161" s="1567"/>
    </row>
    <row r="1162" spans="1:18">
      <c r="A1162" s="2003"/>
      <c r="B1162" s="1913"/>
      <c r="C1162" s="1536"/>
      <c r="D1162" s="1536"/>
      <c r="E1162" s="1536"/>
      <c r="F1162" s="1536"/>
      <c r="G1162" s="1536"/>
      <c r="H1162" s="1235"/>
      <c r="I1162" s="1536"/>
      <c r="J1162" s="1536"/>
      <c r="K1162" s="1537"/>
      <c r="L1162" s="1235"/>
      <c r="M1162" s="1236"/>
      <c r="N1162" s="2900"/>
      <c r="O1162" s="1628"/>
      <c r="P1162" s="1536"/>
      <c r="Q1162" s="1536"/>
      <c r="R1162" s="1567"/>
    </row>
    <row r="1163" spans="1:18">
      <c r="A1163" s="2003"/>
      <c r="B1163" s="1913"/>
      <c r="C1163" s="1536"/>
      <c r="D1163" s="1536"/>
      <c r="E1163" s="1536"/>
      <c r="F1163" s="1536"/>
      <c r="G1163" s="1536"/>
      <c r="H1163" s="1235"/>
      <c r="I1163" s="1536"/>
      <c r="J1163" s="1536"/>
      <c r="K1163" s="1537"/>
      <c r="L1163" s="1235"/>
      <c r="M1163" s="1236"/>
      <c r="N1163" s="2902"/>
      <c r="O1163" s="1628"/>
      <c r="P1163" s="1536"/>
      <c r="Q1163" s="1536"/>
      <c r="R1163" s="1567"/>
    </row>
    <row r="1164" spans="1:18">
      <c r="A1164" s="2003"/>
      <c r="B1164" s="1913"/>
      <c r="C1164" s="1536"/>
      <c r="D1164" s="1536"/>
      <c r="E1164" s="1536"/>
      <c r="F1164" s="1536"/>
      <c r="G1164" s="1536"/>
      <c r="H1164" s="1235"/>
      <c r="I1164" s="1536"/>
      <c r="J1164" s="1536"/>
      <c r="K1164" s="1537"/>
      <c r="L1164" s="1235"/>
      <c r="M1164" s="1236"/>
      <c r="N1164" s="2900"/>
      <c r="O1164" s="1628"/>
      <c r="P1164" s="1536"/>
      <c r="Q1164" s="1536"/>
      <c r="R1164" s="1567"/>
    </row>
    <row r="1165" spans="1:18">
      <c r="A1165" s="2003"/>
      <c r="B1165" s="1913"/>
      <c r="C1165" s="1536"/>
      <c r="D1165" s="1536"/>
      <c r="E1165" s="1536"/>
      <c r="F1165" s="1536"/>
      <c r="G1165" s="1536"/>
      <c r="H1165" s="1235"/>
      <c r="I1165" s="1536"/>
      <c r="J1165" s="1536"/>
      <c r="K1165" s="1537"/>
      <c r="L1165" s="1235"/>
      <c r="M1165" s="1236"/>
      <c r="N1165" s="2902"/>
      <c r="O1165" s="1628"/>
      <c r="P1165" s="1536"/>
      <c r="Q1165" s="1536"/>
      <c r="R1165" s="1567"/>
    </row>
    <row r="1166" spans="1:18">
      <c r="A1166" s="2003"/>
      <c r="B1166" s="1913"/>
      <c r="C1166" s="1536"/>
      <c r="D1166" s="1536"/>
      <c r="E1166" s="1536"/>
      <c r="F1166" s="1536"/>
      <c r="G1166" s="1536"/>
      <c r="H1166" s="1235"/>
      <c r="I1166" s="1536"/>
      <c r="J1166" s="1536"/>
      <c r="K1166" s="1537"/>
      <c r="L1166" s="1235"/>
      <c r="M1166" s="1236"/>
      <c r="N1166" s="2900"/>
      <c r="O1166" s="1628"/>
      <c r="P1166" s="1536"/>
      <c r="Q1166" s="1536"/>
      <c r="R1166" s="1567"/>
    </row>
    <row r="1167" spans="1:18">
      <c r="A1167" s="2003"/>
      <c r="B1167" s="1913"/>
      <c r="C1167" s="1536"/>
      <c r="D1167" s="1536"/>
      <c r="E1167" s="1536"/>
      <c r="F1167" s="1536"/>
      <c r="G1167" s="1536"/>
      <c r="H1167" s="1235"/>
      <c r="I1167" s="1536"/>
      <c r="J1167" s="1536"/>
      <c r="K1167" s="1537"/>
      <c r="L1167" s="1235"/>
      <c r="M1167" s="1236"/>
      <c r="N1167" s="2903"/>
      <c r="O1167" s="1628"/>
      <c r="P1167" s="1536"/>
      <c r="Q1167" s="1536"/>
      <c r="R1167" s="1567"/>
    </row>
    <row r="1168" spans="1:18">
      <c r="A1168" s="2003"/>
      <c r="B1168" s="1913"/>
      <c r="C1168" s="1536"/>
      <c r="D1168" s="1536"/>
      <c r="E1168" s="1536"/>
      <c r="F1168" s="1536"/>
      <c r="G1168" s="1536"/>
      <c r="H1168" s="1235"/>
      <c r="I1168" s="1536"/>
      <c r="J1168" s="1536"/>
      <c r="K1168" s="1537"/>
      <c r="L1168" s="1235"/>
      <c r="M1168" s="1236"/>
      <c r="N1168" s="2902"/>
      <c r="O1168" s="1628"/>
      <c r="P1168" s="1536"/>
      <c r="Q1168" s="1536"/>
      <c r="R1168" s="1567"/>
    </row>
    <row r="1169" spans="1:18">
      <c r="A1169" s="2003"/>
      <c r="B1169" s="1913"/>
      <c r="C1169" s="1536"/>
      <c r="D1169" s="1536"/>
      <c r="E1169" s="1536"/>
      <c r="F1169" s="1536"/>
      <c r="G1169" s="1536"/>
      <c r="H1169" s="1235"/>
      <c r="I1169" s="1536"/>
      <c r="J1169" s="1536"/>
      <c r="K1169" s="1537"/>
      <c r="L1169" s="1235"/>
      <c r="M1169" s="1236"/>
      <c r="N1169" s="2900"/>
      <c r="O1169" s="1628"/>
      <c r="P1169" s="1536"/>
      <c r="Q1169" s="1536"/>
      <c r="R1169" s="1567"/>
    </row>
    <row r="1170" spans="1:18">
      <c r="A1170" s="2003"/>
      <c r="B1170" s="1913"/>
      <c r="C1170" s="1536"/>
      <c r="D1170" s="1536"/>
      <c r="E1170" s="1536"/>
      <c r="F1170" s="1536"/>
      <c r="G1170" s="1536"/>
      <c r="H1170" s="1235"/>
      <c r="I1170" s="1536"/>
      <c r="J1170" s="1536"/>
      <c r="K1170" s="1537"/>
      <c r="L1170" s="1235"/>
      <c r="M1170" s="1236"/>
      <c r="N1170" s="2902"/>
      <c r="O1170" s="1628"/>
      <c r="P1170" s="1536"/>
      <c r="Q1170" s="1536"/>
      <c r="R1170" s="1567"/>
    </row>
    <row r="1171" spans="1:18">
      <c r="A1171" s="2003"/>
      <c r="B1171" s="1913"/>
      <c r="C1171" s="1536"/>
      <c r="D1171" s="1536"/>
      <c r="E1171" s="1536"/>
      <c r="F1171" s="1536"/>
      <c r="G1171" s="1536"/>
      <c r="H1171" s="1235"/>
      <c r="I1171" s="1536"/>
      <c r="J1171" s="1536"/>
      <c r="K1171" s="1537"/>
      <c r="L1171" s="1235"/>
      <c r="M1171" s="1236"/>
      <c r="N1171" s="2900"/>
      <c r="O1171" s="1628"/>
      <c r="P1171" s="1536"/>
      <c r="Q1171" s="1536"/>
      <c r="R1171" s="1567"/>
    </row>
    <row r="1172" spans="1:18" ht="16.2" thickBot="1">
      <c r="A1172" s="2009"/>
      <c r="B1172" s="2212"/>
      <c r="C1172" s="1538"/>
      <c r="D1172" s="1538"/>
      <c r="E1172" s="1538"/>
      <c r="F1172" s="1538"/>
      <c r="G1172" s="1538"/>
      <c r="H1172" s="1535"/>
      <c r="I1172" s="1538"/>
      <c r="J1172" s="1538"/>
      <c r="K1172" s="1556"/>
      <c r="L1172" s="1535"/>
      <c r="M1172" s="1872"/>
      <c r="N1172" s="2901"/>
      <c r="O1172" s="1632"/>
      <c r="P1172" s="1538"/>
      <c r="Q1172" s="1538"/>
      <c r="R1172" s="1592"/>
    </row>
    <row r="1173" spans="1:18">
      <c r="A1173" s="2047"/>
      <c r="B1173" s="2216"/>
      <c r="C1173" s="1564"/>
      <c r="D1173" s="1564"/>
      <c r="E1173" s="1564"/>
      <c r="F1173" s="1564"/>
      <c r="G1173" s="1564"/>
      <c r="H1173" s="966"/>
      <c r="I1173" s="1564"/>
      <c r="J1173" s="1564"/>
      <c r="K1173" s="1565"/>
      <c r="L1173" s="966"/>
      <c r="M1173" s="1882"/>
      <c r="N1173" s="2903"/>
      <c r="O1173" s="1634"/>
      <c r="P1173" s="1564"/>
      <c r="Q1173" s="1564"/>
      <c r="R1173" s="1566"/>
    </row>
    <row r="1174" spans="1:18">
      <c r="A1174" s="2003"/>
      <c r="B1174" s="1913"/>
      <c r="C1174" s="1536"/>
      <c r="D1174" s="1536"/>
      <c r="E1174" s="1536"/>
      <c r="F1174" s="1536"/>
      <c r="G1174" s="1536"/>
      <c r="H1174" s="1235"/>
      <c r="I1174" s="1536"/>
      <c r="J1174" s="1536"/>
      <c r="K1174" s="1537"/>
      <c r="L1174" s="1235"/>
      <c r="M1174" s="1236"/>
      <c r="N1174" s="2902"/>
      <c r="O1174" s="1628"/>
      <c r="P1174" s="1536"/>
      <c r="Q1174" s="1536"/>
      <c r="R1174" s="1567"/>
    </row>
    <row r="1175" spans="1:18">
      <c r="A1175" s="2003"/>
      <c r="B1175" s="1913"/>
      <c r="C1175" s="1536"/>
      <c r="D1175" s="1536"/>
      <c r="E1175" s="1536"/>
      <c r="F1175" s="1536"/>
      <c r="G1175" s="1536"/>
      <c r="H1175" s="1235"/>
      <c r="I1175" s="1536"/>
      <c r="J1175" s="1536"/>
      <c r="K1175" s="1537"/>
      <c r="L1175" s="1235"/>
      <c r="M1175" s="1236"/>
      <c r="N1175" s="2900"/>
      <c r="O1175" s="1628"/>
      <c r="P1175" s="1536"/>
      <c r="Q1175" s="1536"/>
      <c r="R1175" s="1567"/>
    </row>
    <row r="1176" spans="1:18">
      <c r="A1176" s="2003"/>
      <c r="B1176" s="1913"/>
      <c r="C1176" s="1536"/>
      <c r="D1176" s="1536"/>
      <c r="E1176" s="1536"/>
      <c r="F1176" s="1536"/>
      <c r="G1176" s="1536"/>
      <c r="H1176" s="1235"/>
      <c r="I1176" s="1536"/>
      <c r="J1176" s="1536"/>
      <c r="K1176" s="1537"/>
      <c r="L1176" s="1235"/>
      <c r="M1176" s="1236"/>
      <c r="N1176" s="2902"/>
      <c r="O1176" s="1628"/>
      <c r="P1176" s="1536"/>
      <c r="Q1176" s="1536"/>
      <c r="R1176" s="1567"/>
    </row>
    <row r="1177" spans="1:18">
      <c r="A1177" s="2003"/>
      <c r="B1177" s="1913"/>
      <c r="C1177" s="1536"/>
      <c r="D1177" s="1536"/>
      <c r="E1177" s="1536"/>
      <c r="F1177" s="1536"/>
      <c r="G1177" s="1536"/>
      <c r="H1177" s="1235"/>
      <c r="I1177" s="1536"/>
      <c r="J1177" s="1536"/>
      <c r="K1177" s="1537"/>
      <c r="L1177" s="1235"/>
      <c r="M1177" s="1236"/>
      <c r="N1177" s="2900"/>
      <c r="O1177" s="1628"/>
      <c r="P1177" s="1536"/>
      <c r="Q1177" s="1536"/>
      <c r="R1177" s="1567"/>
    </row>
    <row r="1178" spans="1:18">
      <c r="A1178" s="2003"/>
      <c r="B1178" s="1913"/>
      <c r="C1178" s="1536"/>
      <c r="D1178" s="1536"/>
      <c r="E1178" s="1536"/>
      <c r="F1178" s="1536"/>
      <c r="G1178" s="1536"/>
      <c r="H1178" s="1235"/>
      <c r="I1178" s="1536"/>
      <c r="J1178" s="1536"/>
      <c r="K1178" s="1537"/>
      <c r="L1178" s="1235"/>
      <c r="M1178" s="1236"/>
      <c r="N1178" s="2902"/>
      <c r="O1178" s="1628"/>
      <c r="P1178" s="1536"/>
      <c r="Q1178" s="1536"/>
      <c r="R1178" s="1567"/>
    </row>
    <row r="1179" spans="1:18">
      <c r="A1179" s="2003"/>
      <c r="B1179" s="1913"/>
      <c r="C1179" s="1536"/>
      <c r="D1179" s="1536"/>
      <c r="E1179" s="1536"/>
      <c r="F1179" s="1536"/>
      <c r="G1179" s="1536"/>
      <c r="H1179" s="1235"/>
      <c r="I1179" s="1536"/>
      <c r="J1179" s="1536"/>
      <c r="K1179" s="1537"/>
      <c r="L1179" s="1235"/>
      <c r="M1179" s="1236"/>
      <c r="N1179" s="2900"/>
      <c r="O1179" s="1628"/>
      <c r="P1179" s="1536"/>
      <c r="Q1179" s="1536"/>
      <c r="R1179" s="1567"/>
    </row>
    <row r="1180" spans="1:18">
      <c r="A1180" s="2003"/>
      <c r="B1180" s="1913"/>
      <c r="C1180" s="1536"/>
      <c r="D1180" s="1536"/>
      <c r="E1180" s="1536"/>
      <c r="F1180" s="1536"/>
      <c r="G1180" s="1536"/>
      <c r="H1180" s="1235"/>
      <c r="I1180" s="1536"/>
      <c r="J1180" s="1536"/>
      <c r="K1180" s="1537"/>
      <c r="L1180" s="1235"/>
      <c r="M1180" s="1236"/>
      <c r="N1180" s="2902"/>
      <c r="O1180" s="1628"/>
      <c r="P1180" s="1536"/>
      <c r="Q1180" s="1536"/>
      <c r="R1180" s="1567"/>
    </row>
    <row r="1181" spans="1:18">
      <c r="A1181" s="2003"/>
      <c r="B1181" s="1913"/>
      <c r="C1181" s="1536"/>
      <c r="D1181" s="1536"/>
      <c r="E1181" s="1536"/>
      <c r="F1181" s="1536"/>
      <c r="G1181" s="1536"/>
      <c r="H1181" s="1235"/>
      <c r="I1181" s="1536"/>
      <c r="J1181" s="1536"/>
      <c r="K1181" s="1537"/>
      <c r="L1181" s="1235"/>
      <c r="M1181" s="1236"/>
      <c r="N1181" s="2900"/>
      <c r="O1181" s="1628"/>
      <c r="P1181" s="1536"/>
      <c r="Q1181" s="1536"/>
      <c r="R1181" s="1567"/>
    </row>
    <row r="1182" spans="1:18">
      <c r="A1182" s="2003"/>
      <c r="B1182" s="1913"/>
      <c r="C1182" s="1536"/>
      <c r="D1182" s="1536"/>
      <c r="E1182" s="1536"/>
      <c r="F1182" s="1536"/>
      <c r="G1182" s="1536"/>
      <c r="H1182" s="1235"/>
      <c r="I1182" s="1536"/>
      <c r="J1182" s="1536"/>
      <c r="K1182" s="1537"/>
      <c r="L1182" s="1235"/>
      <c r="M1182" s="1236"/>
      <c r="N1182" s="2903"/>
      <c r="O1182" s="1628"/>
      <c r="P1182" s="1536"/>
      <c r="Q1182" s="1536"/>
      <c r="R1182" s="1567"/>
    </row>
    <row r="1183" spans="1:18">
      <c r="A1183" s="2003"/>
      <c r="B1183" s="1913"/>
      <c r="C1183" s="1536"/>
      <c r="D1183" s="1536"/>
      <c r="E1183" s="1536"/>
      <c r="F1183" s="1536"/>
      <c r="G1183" s="1536"/>
      <c r="H1183" s="1235"/>
      <c r="I1183" s="1536"/>
      <c r="J1183" s="1536"/>
      <c r="K1183" s="1537"/>
      <c r="L1183" s="1235"/>
      <c r="M1183" s="1236"/>
      <c r="N1183" s="2903"/>
      <c r="O1183" s="1628"/>
      <c r="P1183" s="1536"/>
      <c r="Q1183" s="1536"/>
      <c r="R1183" s="1567"/>
    </row>
    <row r="1184" spans="1:18">
      <c r="A1184" s="2003"/>
      <c r="B1184" s="1913"/>
      <c r="C1184" s="1536"/>
      <c r="D1184" s="1536"/>
      <c r="E1184" s="1536"/>
      <c r="F1184" s="1536"/>
      <c r="G1184" s="1536"/>
      <c r="H1184" s="1235"/>
      <c r="I1184" s="1536"/>
      <c r="J1184" s="1536"/>
      <c r="K1184" s="1537"/>
      <c r="L1184" s="1235"/>
      <c r="M1184" s="1236"/>
      <c r="N1184" s="2903"/>
      <c r="O1184" s="1628"/>
      <c r="P1184" s="1536"/>
      <c r="Q1184" s="1536"/>
      <c r="R1184" s="1567"/>
    </row>
    <row r="1185" spans="1:18">
      <c r="A1185" s="2003"/>
      <c r="B1185" s="1913"/>
      <c r="C1185" s="1536"/>
      <c r="D1185" s="1536"/>
      <c r="E1185" s="1536"/>
      <c r="F1185" s="1536"/>
      <c r="G1185" s="1536"/>
      <c r="H1185" s="1235"/>
      <c r="I1185" s="1536"/>
      <c r="J1185" s="1536"/>
      <c r="K1185" s="1537"/>
      <c r="L1185" s="1235"/>
      <c r="M1185" s="1236"/>
      <c r="N1185" s="2903"/>
      <c r="O1185" s="1628"/>
      <c r="P1185" s="1536"/>
      <c r="Q1185" s="1536"/>
      <c r="R1185" s="1567"/>
    </row>
    <row r="1186" spans="1:18">
      <c r="A1186" s="2003"/>
      <c r="B1186" s="1913"/>
      <c r="C1186" s="1536"/>
      <c r="D1186" s="1536"/>
      <c r="E1186" s="1536"/>
      <c r="F1186" s="1536"/>
      <c r="G1186" s="1536"/>
      <c r="H1186" s="1235"/>
      <c r="I1186" s="1536"/>
      <c r="J1186" s="1536"/>
      <c r="K1186" s="1537"/>
      <c r="L1186" s="1235"/>
      <c r="M1186" s="1236"/>
      <c r="N1186" s="2902"/>
      <c r="O1186" s="1628"/>
      <c r="P1186" s="1536"/>
      <c r="Q1186" s="1536"/>
      <c r="R1186" s="1567"/>
    </row>
    <row r="1187" spans="1:18">
      <c r="A1187" s="2003"/>
      <c r="B1187" s="1913"/>
      <c r="C1187" s="1536"/>
      <c r="D1187" s="1536"/>
      <c r="E1187" s="1536"/>
      <c r="F1187" s="1536"/>
      <c r="G1187" s="1536"/>
      <c r="H1187" s="1235"/>
      <c r="I1187" s="1536"/>
      <c r="J1187" s="1536"/>
      <c r="K1187" s="1537"/>
      <c r="L1187" s="1235"/>
      <c r="M1187" s="1236"/>
      <c r="N1187" s="2900"/>
      <c r="O1187" s="1628"/>
      <c r="P1187" s="1536"/>
      <c r="Q1187" s="1536"/>
      <c r="R1187" s="1567"/>
    </row>
    <row r="1188" spans="1:18">
      <c r="A1188" s="2003"/>
      <c r="B1188" s="1913"/>
      <c r="C1188" s="1536"/>
      <c r="D1188" s="1536"/>
      <c r="E1188" s="1536"/>
      <c r="F1188" s="1536"/>
      <c r="G1188" s="1536"/>
      <c r="H1188" s="1235"/>
      <c r="I1188" s="1536"/>
      <c r="J1188" s="1536"/>
      <c r="K1188" s="1537"/>
      <c r="L1188" s="1235"/>
      <c r="M1188" s="1236"/>
      <c r="N1188" s="2903"/>
      <c r="O1188" s="1628"/>
      <c r="P1188" s="1536"/>
      <c r="Q1188" s="1536"/>
      <c r="R1188" s="1567"/>
    </row>
    <row r="1189" spans="1:18">
      <c r="A1189" s="2003"/>
      <c r="B1189" s="1913"/>
      <c r="C1189" s="1536"/>
      <c r="D1189" s="1536"/>
      <c r="E1189" s="1536"/>
      <c r="F1189" s="1536"/>
      <c r="G1189" s="1536"/>
      <c r="H1189" s="1235"/>
      <c r="I1189" s="1536"/>
      <c r="J1189" s="1536"/>
      <c r="K1189" s="1537"/>
      <c r="L1189" s="1235"/>
      <c r="M1189" s="1236"/>
      <c r="N1189" s="2903"/>
      <c r="O1189" s="1628"/>
      <c r="P1189" s="1536"/>
      <c r="Q1189" s="1536"/>
      <c r="R1189" s="1567"/>
    </row>
    <row r="1190" spans="1:18">
      <c r="A1190" s="2003"/>
      <c r="B1190" s="1913"/>
      <c r="C1190" s="1536"/>
      <c r="D1190" s="1536"/>
      <c r="E1190" s="1536"/>
      <c r="F1190" s="1536"/>
      <c r="G1190" s="1536"/>
      <c r="H1190" s="1235"/>
      <c r="I1190" s="1536"/>
      <c r="J1190" s="1536"/>
      <c r="K1190" s="1537"/>
      <c r="L1190" s="1235"/>
      <c r="M1190" s="1236"/>
      <c r="N1190" s="2903"/>
      <c r="O1190" s="1628"/>
      <c r="P1190" s="1536"/>
      <c r="Q1190" s="1536"/>
      <c r="R1190" s="1567"/>
    </row>
    <row r="1191" spans="1:18">
      <c r="A1191" s="2003"/>
      <c r="B1191" s="1913"/>
      <c r="C1191" s="1536"/>
      <c r="D1191" s="1536"/>
      <c r="E1191" s="1536"/>
      <c r="F1191" s="1536"/>
      <c r="G1191" s="1536"/>
      <c r="H1191" s="1235"/>
      <c r="I1191" s="1536"/>
      <c r="J1191" s="1536"/>
      <c r="K1191" s="1537"/>
      <c r="L1191" s="1235"/>
      <c r="M1191" s="1236"/>
      <c r="N1191" s="2903"/>
      <c r="O1191" s="1628"/>
      <c r="P1191" s="1536"/>
      <c r="Q1191" s="1536"/>
      <c r="R1191" s="1567"/>
    </row>
    <row r="1192" spans="1:18">
      <c r="A1192" s="2003"/>
      <c r="B1192" s="1913"/>
      <c r="C1192" s="1536"/>
      <c r="D1192" s="1536"/>
      <c r="E1192" s="1536"/>
      <c r="F1192" s="1536"/>
      <c r="G1192" s="1536"/>
      <c r="H1192" s="1235"/>
      <c r="I1192" s="1536"/>
      <c r="J1192" s="1536"/>
      <c r="K1192" s="1537"/>
      <c r="L1192" s="1235"/>
      <c r="M1192" s="1236"/>
      <c r="N1192" s="2902"/>
      <c r="O1192" s="1628"/>
      <c r="P1192" s="1536"/>
      <c r="Q1192" s="1536"/>
      <c r="R1192" s="1567"/>
    </row>
    <row r="1193" spans="1:18">
      <c r="A1193" s="2003"/>
      <c r="B1193" s="1913"/>
      <c r="C1193" s="1536"/>
      <c r="D1193" s="1536"/>
      <c r="E1193" s="1536"/>
      <c r="F1193" s="1536"/>
      <c r="G1193" s="1536"/>
      <c r="H1193" s="1235"/>
      <c r="I1193" s="1536"/>
      <c r="J1193" s="1536"/>
      <c r="K1193" s="1537"/>
      <c r="L1193" s="1235"/>
      <c r="M1193" s="1236"/>
      <c r="N1193" s="2900"/>
      <c r="O1193" s="1628"/>
      <c r="P1193" s="1536"/>
      <c r="Q1193" s="1536"/>
      <c r="R1193" s="1567"/>
    </row>
    <row r="1194" spans="1:18">
      <c r="A1194" s="2003"/>
      <c r="B1194" s="1913"/>
      <c r="C1194" s="1536"/>
      <c r="D1194" s="1536"/>
      <c r="E1194" s="1536"/>
      <c r="F1194" s="1536"/>
      <c r="G1194" s="1536"/>
      <c r="H1194" s="1235"/>
      <c r="I1194" s="1536"/>
      <c r="J1194" s="1536"/>
      <c r="K1194" s="1537"/>
      <c r="L1194" s="1235"/>
      <c r="M1194" s="1236"/>
      <c r="N1194" s="2902"/>
      <c r="O1194" s="1628"/>
      <c r="P1194" s="1536"/>
      <c r="Q1194" s="1536"/>
      <c r="R1194" s="1567"/>
    </row>
    <row r="1195" spans="1:18">
      <c r="A1195" s="2003"/>
      <c r="B1195" s="1913"/>
      <c r="C1195" s="1536"/>
      <c r="D1195" s="1536"/>
      <c r="E1195" s="1536"/>
      <c r="F1195" s="1536"/>
      <c r="G1195" s="1536"/>
      <c r="H1195" s="1235"/>
      <c r="I1195" s="1536"/>
      <c r="J1195" s="1536"/>
      <c r="K1195" s="1537"/>
      <c r="L1195" s="1235"/>
      <c r="M1195" s="1236"/>
      <c r="N1195" s="2900"/>
      <c r="O1195" s="1628"/>
      <c r="P1195" s="1536"/>
      <c r="Q1195" s="1536"/>
      <c r="R1195" s="1567"/>
    </row>
    <row r="1196" spans="1:18">
      <c r="A1196" s="2003"/>
      <c r="B1196" s="1913"/>
      <c r="C1196" s="1536"/>
      <c r="D1196" s="1536"/>
      <c r="E1196" s="1536"/>
      <c r="F1196" s="1536"/>
      <c r="G1196" s="1536"/>
      <c r="H1196" s="1235"/>
      <c r="I1196" s="1536"/>
      <c r="J1196" s="1536"/>
      <c r="K1196" s="1537"/>
      <c r="L1196" s="1235"/>
      <c r="M1196" s="1236"/>
      <c r="N1196" s="2902"/>
      <c r="O1196" s="1628"/>
      <c r="P1196" s="1536"/>
      <c r="Q1196" s="1536"/>
      <c r="R1196" s="1567"/>
    </row>
    <row r="1197" spans="1:18">
      <c r="A1197" s="2003"/>
      <c r="B1197" s="1913"/>
      <c r="C1197" s="1536"/>
      <c r="D1197" s="1536"/>
      <c r="E1197" s="1536"/>
      <c r="F1197" s="1536"/>
      <c r="G1197" s="1536"/>
      <c r="H1197" s="1235"/>
      <c r="I1197" s="1536"/>
      <c r="J1197" s="1536"/>
      <c r="K1197" s="1537"/>
      <c r="L1197" s="1235"/>
      <c r="M1197" s="1236"/>
      <c r="N1197" s="2900"/>
      <c r="O1197" s="1628"/>
      <c r="P1197" s="1536"/>
      <c r="Q1197" s="1536"/>
      <c r="R1197" s="1567"/>
    </row>
    <row r="1198" spans="1:18">
      <c r="A1198" s="2003"/>
      <c r="B1198" s="1913"/>
      <c r="C1198" s="1536"/>
      <c r="D1198" s="1536"/>
      <c r="E1198" s="1536"/>
      <c r="F1198" s="1536"/>
      <c r="G1198" s="1536"/>
      <c r="H1198" s="1235"/>
      <c r="I1198" s="1536"/>
      <c r="J1198" s="1536"/>
      <c r="K1198" s="1537"/>
      <c r="L1198" s="1235"/>
      <c r="M1198" s="1236"/>
      <c r="N1198" s="2902"/>
      <c r="O1198" s="1628"/>
      <c r="P1198" s="1536"/>
      <c r="Q1198" s="1536"/>
      <c r="R1198" s="1567"/>
    </row>
    <row r="1199" spans="1:18">
      <c r="A1199" s="2003"/>
      <c r="B1199" s="1913"/>
      <c r="C1199" s="1536"/>
      <c r="D1199" s="1536"/>
      <c r="E1199" s="1536"/>
      <c r="F1199" s="1536"/>
      <c r="G1199" s="1536"/>
      <c r="H1199" s="1235"/>
      <c r="I1199" s="1536"/>
      <c r="J1199" s="1536"/>
      <c r="K1199" s="1537"/>
      <c r="L1199" s="1235"/>
      <c r="M1199" s="1236"/>
      <c r="N1199" s="2900"/>
      <c r="O1199" s="1628"/>
      <c r="P1199" s="1536"/>
      <c r="Q1199" s="1536"/>
      <c r="R1199" s="1567"/>
    </row>
    <row r="1200" spans="1:18">
      <c r="A1200" s="2003"/>
      <c r="B1200" s="1913"/>
      <c r="C1200" s="1536"/>
      <c r="D1200" s="1536"/>
      <c r="E1200" s="1536"/>
      <c r="F1200" s="1536"/>
      <c r="G1200" s="1536"/>
      <c r="H1200" s="1235"/>
      <c r="I1200" s="1536"/>
      <c r="J1200" s="1536"/>
      <c r="K1200" s="1537"/>
      <c r="L1200" s="1235"/>
      <c r="M1200" s="1236"/>
      <c r="N1200" s="2919"/>
      <c r="O1200" s="1628"/>
      <c r="P1200" s="1536"/>
      <c r="Q1200" s="1536"/>
      <c r="R1200" s="1567"/>
    </row>
    <row r="1201" spans="1:18">
      <c r="A1201" s="2003"/>
      <c r="B1201" s="1913"/>
      <c r="C1201" s="1536"/>
      <c r="D1201" s="1536"/>
      <c r="E1201" s="1536"/>
      <c r="F1201" s="1536"/>
      <c r="G1201" s="1536"/>
      <c r="H1201" s="1235"/>
      <c r="I1201" s="1536"/>
      <c r="J1201" s="1536"/>
      <c r="K1201" s="1537"/>
      <c r="L1201" s="1235"/>
      <c r="M1201" s="1921"/>
      <c r="N1201" s="2903"/>
      <c r="O1201" s="1628"/>
      <c r="P1201" s="1536"/>
      <c r="Q1201" s="1536"/>
      <c r="R1201" s="1567"/>
    </row>
    <row r="1202" spans="1:18" ht="16.2" thickBot="1">
      <c r="A1202" s="2009"/>
      <c r="B1202" s="2212"/>
      <c r="C1202" s="1538"/>
      <c r="D1202" s="1538"/>
      <c r="E1202" s="1538"/>
      <c r="F1202" s="1538"/>
      <c r="G1202" s="1538"/>
      <c r="H1202" s="1535"/>
      <c r="I1202" s="1538"/>
      <c r="J1202" s="1538"/>
      <c r="K1202" s="1556"/>
      <c r="L1202" s="1535"/>
      <c r="M1202" s="2056"/>
      <c r="N1202" s="2901"/>
      <c r="O1202" s="1632"/>
      <c r="P1202" s="1538"/>
      <c r="Q1202" s="1538"/>
      <c r="R1202" s="1592"/>
    </row>
    <row r="1203" spans="1:18">
      <c r="A1203" s="2047"/>
      <c r="B1203" s="2216"/>
      <c r="C1203" s="1564"/>
      <c r="D1203" s="1564"/>
      <c r="E1203" s="1564"/>
      <c r="F1203" s="1564"/>
      <c r="G1203" s="1564"/>
      <c r="H1203" s="966"/>
      <c r="I1203" s="1564"/>
      <c r="J1203" s="1564"/>
      <c r="K1203" s="1565"/>
      <c r="L1203" s="966"/>
      <c r="M1203" s="1882"/>
      <c r="N1203" s="2917"/>
      <c r="O1203" s="1634"/>
      <c r="P1203" s="1564"/>
      <c r="Q1203" s="1564"/>
      <c r="R1203" s="1566"/>
    </row>
    <row r="1204" spans="1:18">
      <c r="A1204" s="2003"/>
      <c r="B1204" s="1913"/>
      <c r="C1204" s="1536"/>
      <c r="D1204" s="1536"/>
      <c r="E1204" s="1536"/>
      <c r="F1204" s="1536"/>
      <c r="G1204" s="1536"/>
      <c r="H1204" s="1235"/>
      <c r="I1204" s="1536"/>
      <c r="J1204" s="1536"/>
      <c r="K1204" s="1537"/>
      <c r="L1204" s="1235"/>
      <c r="M1204" s="1236"/>
      <c r="N1204" s="2913"/>
      <c r="O1204" s="1628"/>
      <c r="P1204" s="1536"/>
      <c r="Q1204" s="1536"/>
      <c r="R1204" s="1567"/>
    </row>
    <row r="1205" spans="1:18">
      <c r="A1205" s="2003"/>
      <c r="B1205" s="1913"/>
      <c r="C1205" s="1536"/>
      <c r="D1205" s="1536"/>
      <c r="E1205" s="1536"/>
      <c r="F1205" s="1536"/>
      <c r="G1205" s="1536"/>
      <c r="H1205" s="1235"/>
      <c r="I1205" s="1536"/>
      <c r="J1205" s="1536"/>
      <c r="K1205" s="1537"/>
      <c r="L1205" s="1235"/>
      <c r="M1205" s="1236"/>
      <c r="N1205" s="2913"/>
      <c r="O1205" s="1628"/>
      <c r="P1205" s="1536"/>
      <c r="Q1205" s="1536"/>
      <c r="R1205" s="1567"/>
    </row>
    <row r="1206" spans="1:18">
      <c r="A1206" s="2003"/>
      <c r="B1206" s="1913"/>
      <c r="C1206" s="1536"/>
      <c r="D1206" s="1536"/>
      <c r="E1206" s="1536"/>
      <c r="F1206" s="1910"/>
      <c r="G1206" s="1536"/>
      <c r="H1206" s="1235"/>
      <c r="I1206" s="1536"/>
      <c r="J1206" s="1536"/>
      <c r="K1206" s="1537"/>
      <c r="L1206" s="1235"/>
      <c r="M1206" s="1236"/>
      <c r="N1206" s="2913"/>
      <c r="O1206" s="1628"/>
      <c r="P1206" s="1536"/>
      <c r="Q1206" s="1536"/>
      <c r="R1206" s="1567"/>
    </row>
    <row r="1207" spans="1:18">
      <c r="A1207" s="2003"/>
      <c r="B1207" s="1913"/>
      <c r="C1207" s="1536"/>
      <c r="D1207" s="1536"/>
      <c r="E1207" s="1536"/>
      <c r="F1207" s="1536"/>
      <c r="G1207" s="1536"/>
      <c r="H1207" s="1235"/>
      <c r="I1207" s="1536"/>
      <c r="J1207" s="1536"/>
      <c r="K1207" s="1537"/>
      <c r="L1207" s="1235"/>
      <c r="M1207" s="1236"/>
      <c r="N1207" s="2913"/>
      <c r="O1207" s="1628"/>
      <c r="P1207" s="1536"/>
      <c r="Q1207" s="1536"/>
      <c r="R1207" s="1567"/>
    </row>
    <row r="1208" spans="1:18">
      <c r="A1208" s="2003"/>
      <c r="B1208" s="1913"/>
      <c r="C1208" s="1536"/>
      <c r="D1208" s="1536"/>
      <c r="E1208" s="1536"/>
      <c r="F1208" s="1536"/>
      <c r="G1208" s="1536"/>
      <c r="H1208" s="1235"/>
      <c r="I1208" s="1536"/>
      <c r="J1208" s="1536"/>
      <c r="K1208" s="1537"/>
      <c r="L1208" s="1235"/>
      <c r="M1208" s="1236"/>
      <c r="N1208" s="2913"/>
      <c r="O1208" s="1628"/>
      <c r="P1208" s="1536"/>
      <c r="Q1208" s="1536"/>
      <c r="R1208" s="1567"/>
    </row>
    <row r="1209" spans="1:18">
      <c r="A1209" s="2003"/>
      <c r="B1209" s="1913"/>
      <c r="C1209" s="1536"/>
      <c r="D1209" s="1536"/>
      <c r="E1209" s="1536"/>
      <c r="F1209" s="1536"/>
      <c r="G1209" s="1536"/>
      <c r="H1209" s="1235"/>
      <c r="I1209" s="1536"/>
      <c r="J1209" s="1536"/>
      <c r="K1209" s="1537"/>
      <c r="L1209" s="1235"/>
      <c r="M1209" s="1236"/>
      <c r="N1209" s="2913"/>
      <c r="O1209" s="1628"/>
      <c r="P1209" s="1536"/>
      <c r="Q1209" s="1536"/>
      <c r="R1209" s="1567"/>
    </row>
    <row r="1210" spans="1:18">
      <c r="A1210" s="2003"/>
      <c r="B1210" s="1913"/>
      <c r="C1210" s="1536"/>
      <c r="D1210" s="1536"/>
      <c r="E1210" s="1536"/>
      <c r="F1210" s="1536"/>
      <c r="G1210" s="1536"/>
      <c r="H1210" s="1235"/>
      <c r="I1210" s="1536"/>
      <c r="J1210" s="1536"/>
      <c r="K1210" s="1537"/>
      <c r="L1210" s="1235"/>
      <c r="M1210" s="1236"/>
      <c r="N1210" s="2913"/>
      <c r="O1210" s="1628"/>
      <c r="P1210" s="1536"/>
      <c r="Q1210" s="1536"/>
      <c r="R1210" s="1567"/>
    </row>
    <row r="1211" spans="1:18">
      <c r="A1211" s="2003"/>
      <c r="B1211" s="1913"/>
      <c r="C1211" s="1536"/>
      <c r="D1211" s="1536"/>
      <c r="E1211" s="1536"/>
      <c r="F1211" s="1536"/>
      <c r="G1211" s="1536"/>
      <c r="H1211" s="1235"/>
      <c r="I1211" s="1536"/>
      <c r="J1211" s="1536"/>
      <c r="K1211" s="1537"/>
      <c r="L1211" s="1235"/>
      <c r="M1211" s="1236"/>
      <c r="N1211" s="2913"/>
      <c r="O1211" s="1628"/>
      <c r="P1211" s="1536"/>
      <c r="Q1211" s="1536"/>
      <c r="R1211" s="1567"/>
    </row>
    <row r="1212" spans="1:18">
      <c r="A1212" s="2003"/>
      <c r="B1212" s="1913"/>
      <c r="C1212" s="1536"/>
      <c r="D1212" s="1536"/>
      <c r="E1212" s="1536"/>
      <c r="F1212" s="1536"/>
      <c r="G1212" s="1536"/>
      <c r="H1212" s="1235"/>
      <c r="I1212" s="1536"/>
      <c r="J1212" s="1536"/>
      <c r="K1212" s="1537"/>
      <c r="L1212" s="1235"/>
      <c r="M1212" s="1236"/>
      <c r="N1212" s="2913"/>
      <c r="O1212" s="1628"/>
      <c r="P1212" s="1536"/>
      <c r="Q1212" s="1536"/>
      <c r="R1212" s="1567"/>
    </row>
    <row r="1213" spans="1:18">
      <c r="A1213" s="2003"/>
      <c r="B1213" s="1913"/>
      <c r="C1213" s="1536"/>
      <c r="D1213" s="1536"/>
      <c r="E1213" s="1536"/>
      <c r="F1213" s="1536"/>
      <c r="G1213" s="1536"/>
      <c r="H1213" s="1235"/>
      <c r="I1213" s="1536"/>
      <c r="J1213" s="1536"/>
      <c r="K1213" s="1537"/>
      <c r="L1213" s="1235"/>
      <c r="M1213" s="1236"/>
      <c r="N1213" s="2913"/>
      <c r="O1213" s="1628"/>
      <c r="P1213" s="1536"/>
      <c r="Q1213" s="1536"/>
      <c r="R1213" s="1567"/>
    </row>
    <row r="1214" spans="1:18">
      <c r="A1214" s="2003"/>
      <c r="B1214" s="1913"/>
      <c r="C1214" s="1536"/>
      <c r="D1214" s="1536"/>
      <c r="E1214" s="1536"/>
      <c r="F1214" s="1536"/>
      <c r="G1214" s="1536"/>
      <c r="H1214" s="1235"/>
      <c r="I1214" s="1536"/>
      <c r="J1214" s="1536"/>
      <c r="K1214" s="1537"/>
      <c r="L1214" s="1235"/>
      <c r="M1214" s="1236"/>
      <c r="N1214" s="2913"/>
      <c r="O1214" s="1628"/>
      <c r="P1214" s="1536"/>
      <c r="Q1214" s="1536"/>
      <c r="R1214" s="1567"/>
    </row>
    <row r="1215" spans="1:18">
      <c r="A1215" s="2003"/>
      <c r="B1215" s="1913"/>
      <c r="C1215" s="1536"/>
      <c r="D1215" s="1536"/>
      <c r="E1215" s="1536"/>
      <c r="F1215" s="1536"/>
      <c r="G1215" s="1536"/>
      <c r="H1215" s="1235"/>
      <c r="I1215" s="1536"/>
      <c r="J1215" s="1536"/>
      <c r="K1215" s="1537"/>
      <c r="L1215" s="1235"/>
      <c r="M1215" s="1236"/>
      <c r="N1215" s="2913"/>
      <c r="O1215" s="1628"/>
      <c r="P1215" s="1536"/>
      <c r="Q1215" s="1536"/>
      <c r="R1215" s="1567"/>
    </row>
    <row r="1216" spans="1:18">
      <c r="A1216" s="2003"/>
      <c r="B1216" s="1913"/>
      <c r="C1216" s="1536"/>
      <c r="D1216" s="1536"/>
      <c r="E1216" s="1536"/>
      <c r="F1216" s="1536"/>
      <c r="G1216" s="1536"/>
      <c r="H1216" s="1235"/>
      <c r="I1216" s="1536"/>
      <c r="J1216" s="1536"/>
      <c r="K1216" s="1537"/>
      <c r="L1216" s="1235"/>
      <c r="M1216" s="1236"/>
      <c r="N1216" s="2913"/>
      <c r="O1216" s="1628"/>
      <c r="P1216" s="1536"/>
      <c r="Q1216" s="1536"/>
      <c r="R1216" s="1567"/>
    </row>
    <row r="1217" spans="1:18">
      <c r="A1217" s="2003"/>
      <c r="B1217" s="1913"/>
      <c r="C1217" s="1536"/>
      <c r="D1217" s="1536"/>
      <c r="E1217" s="1536"/>
      <c r="F1217" s="1536"/>
      <c r="G1217" s="1536"/>
      <c r="H1217" s="1235"/>
      <c r="I1217" s="1536"/>
      <c r="J1217" s="1536"/>
      <c r="K1217" s="1537"/>
      <c r="L1217" s="1235"/>
      <c r="M1217" s="1236"/>
      <c r="N1217" s="2913"/>
      <c r="O1217" s="1628"/>
      <c r="P1217" s="1536"/>
      <c r="Q1217" s="1536"/>
      <c r="R1217" s="1567"/>
    </row>
    <row r="1218" spans="1:18">
      <c r="A1218" s="2003"/>
      <c r="B1218" s="1913"/>
      <c r="C1218" s="1536"/>
      <c r="D1218" s="1536"/>
      <c r="E1218" s="1536"/>
      <c r="F1218" s="1536"/>
      <c r="G1218" s="1536"/>
      <c r="H1218" s="1235"/>
      <c r="I1218" s="1536"/>
      <c r="J1218" s="1536"/>
      <c r="K1218" s="1537"/>
      <c r="L1218" s="1235"/>
      <c r="M1218" s="1236"/>
      <c r="N1218" s="2913"/>
      <c r="O1218" s="1628"/>
      <c r="P1218" s="1536"/>
      <c r="Q1218" s="1536"/>
      <c r="R1218" s="1567"/>
    </row>
    <row r="1219" spans="1:18">
      <c r="A1219" s="2003"/>
      <c r="B1219" s="1913"/>
      <c r="C1219" s="1536"/>
      <c r="D1219" s="1536"/>
      <c r="E1219" s="1536"/>
      <c r="F1219" s="1536"/>
      <c r="G1219" s="1536"/>
      <c r="H1219" s="1235"/>
      <c r="I1219" s="1536"/>
      <c r="J1219" s="1536"/>
      <c r="K1219" s="1537"/>
      <c r="L1219" s="1235"/>
      <c r="M1219" s="1236"/>
      <c r="N1219" s="2913"/>
      <c r="O1219" s="1628"/>
      <c r="P1219" s="1536"/>
      <c r="Q1219" s="1536"/>
      <c r="R1219" s="1567"/>
    </row>
    <row r="1220" spans="1:18">
      <c r="A1220" s="2003"/>
      <c r="B1220" s="1913"/>
      <c r="C1220" s="1536"/>
      <c r="D1220" s="1536"/>
      <c r="E1220" s="1536"/>
      <c r="F1220" s="1536"/>
      <c r="G1220" s="1536"/>
      <c r="H1220" s="1235"/>
      <c r="I1220" s="1536"/>
      <c r="J1220" s="1536"/>
      <c r="K1220" s="1537"/>
      <c r="L1220" s="1235"/>
      <c r="M1220" s="1236"/>
      <c r="N1220" s="2913"/>
      <c r="O1220" s="1628"/>
      <c r="P1220" s="1536"/>
      <c r="Q1220" s="1536"/>
      <c r="R1220" s="1567"/>
    </row>
    <row r="1221" spans="1:18">
      <c r="A1221" s="2003"/>
      <c r="B1221" s="1913"/>
      <c r="C1221" s="1536"/>
      <c r="D1221" s="1536"/>
      <c r="E1221" s="1536"/>
      <c r="F1221" s="1536"/>
      <c r="G1221" s="1536"/>
      <c r="H1221" s="1235"/>
      <c r="I1221" s="1536"/>
      <c r="J1221" s="1536"/>
      <c r="K1221" s="1537"/>
      <c r="L1221" s="1235"/>
      <c r="M1221" s="1236"/>
      <c r="N1221" s="2913"/>
      <c r="O1221" s="1628"/>
      <c r="P1221" s="1536"/>
      <c r="Q1221" s="1536"/>
      <c r="R1221" s="1567"/>
    </row>
    <row r="1222" spans="1:18">
      <c r="A1222" s="2003"/>
      <c r="B1222" s="1913"/>
      <c r="C1222" s="1536"/>
      <c r="D1222" s="1536"/>
      <c r="E1222" s="1536"/>
      <c r="F1222" s="1536"/>
      <c r="G1222" s="1536"/>
      <c r="H1222" s="1235"/>
      <c r="I1222" s="1536"/>
      <c r="J1222" s="1536"/>
      <c r="K1222" s="1537"/>
      <c r="L1222" s="1235"/>
      <c r="M1222" s="1236"/>
      <c r="N1222" s="2913"/>
      <c r="O1222" s="1628"/>
      <c r="P1222" s="1536"/>
      <c r="Q1222" s="1536"/>
      <c r="R1222" s="1567"/>
    </row>
    <row r="1223" spans="1:18">
      <c r="A1223" s="2003"/>
      <c r="B1223" s="1913"/>
      <c r="C1223" s="1536"/>
      <c r="D1223" s="1536"/>
      <c r="E1223" s="1536"/>
      <c r="F1223" s="1536"/>
      <c r="G1223" s="1536"/>
      <c r="H1223" s="1235"/>
      <c r="I1223" s="1536"/>
      <c r="J1223" s="1536"/>
      <c r="K1223" s="1537"/>
      <c r="L1223" s="1235"/>
      <c r="M1223" s="1236"/>
      <c r="N1223" s="2913"/>
      <c r="O1223" s="1628"/>
      <c r="P1223" s="1536"/>
      <c r="Q1223" s="1536"/>
      <c r="R1223" s="1567"/>
    </row>
    <row r="1224" spans="1:18">
      <c r="A1224" s="2003"/>
      <c r="B1224" s="1913"/>
      <c r="C1224" s="1536"/>
      <c r="D1224" s="1536"/>
      <c r="E1224" s="1536"/>
      <c r="F1224" s="1536"/>
      <c r="G1224" s="1536"/>
      <c r="H1224" s="1235"/>
      <c r="I1224" s="1536"/>
      <c r="J1224" s="1536"/>
      <c r="K1224" s="1537"/>
      <c r="L1224" s="1235"/>
      <c r="M1224" s="1236"/>
      <c r="N1224" s="2913"/>
      <c r="O1224" s="1628"/>
      <c r="P1224" s="1536"/>
      <c r="Q1224" s="1536"/>
      <c r="R1224" s="1567"/>
    </row>
    <row r="1225" spans="1:18">
      <c r="A1225" s="2003"/>
      <c r="B1225" s="1913"/>
      <c r="C1225" s="1536"/>
      <c r="D1225" s="1536"/>
      <c r="E1225" s="1536"/>
      <c r="F1225" s="1536"/>
      <c r="G1225" s="1536"/>
      <c r="H1225" s="1235"/>
      <c r="I1225" s="1536"/>
      <c r="J1225" s="1536"/>
      <c r="K1225" s="1537"/>
      <c r="L1225" s="1235"/>
      <c r="M1225" s="1236"/>
      <c r="N1225" s="2913"/>
      <c r="O1225" s="1628"/>
      <c r="P1225" s="1536"/>
      <c r="Q1225" s="1536"/>
      <c r="R1225" s="1567"/>
    </row>
    <row r="1226" spans="1:18">
      <c r="A1226" s="2003"/>
      <c r="B1226" s="1913"/>
      <c r="C1226" s="1536"/>
      <c r="D1226" s="1536"/>
      <c r="E1226" s="1536"/>
      <c r="F1226" s="1536"/>
      <c r="G1226" s="1536"/>
      <c r="H1226" s="1235"/>
      <c r="I1226" s="1536"/>
      <c r="J1226" s="1536"/>
      <c r="K1226" s="1537"/>
      <c r="L1226" s="1235"/>
      <c r="M1226" s="1236"/>
      <c r="N1226" s="2913"/>
      <c r="O1226" s="1628"/>
      <c r="P1226" s="1536"/>
      <c r="Q1226" s="1536"/>
      <c r="R1226" s="1567"/>
    </row>
    <row r="1227" spans="1:18">
      <c r="A1227" s="2003"/>
      <c r="B1227" s="1913"/>
      <c r="C1227" s="1536"/>
      <c r="D1227" s="1536"/>
      <c r="E1227" s="1536"/>
      <c r="F1227" s="1536"/>
      <c r="G1227" s="1536"/>
      <c r="H1227" s="1235"/>
      <c r="I1227" s="1536"/>
      <c r="J1227" s="1536"/>
      <c r="K1227" s="1537"/>
      <c r="L1227" s="1235"/>
      <c r="M1227" s="1236"/>
      <c r="N1227" s="2913"/>
      <c r="O1227" s="1628"/>
      <c r="P1227" s="1536"/>
      <c r="Q1227" s="1536"/>
      <c r="R1227" s="1567"/>
    </row>
    <row r="1228" spans="1:18">
      <c r="A1228" s="2003"/>
      <c r="B1228" s="1913"/>
      <c r="C1228" s="1536"/>
      <c r="D1228" s="1536"/>
      <c r="E1228" s="1536"/>
      <c r="F1228" s="1536"/>
      <c r="G1228" s="1536"/>
      <c r="H1228" s="1235"/>
      <c r="I1228" s="1536"/>
      <c r="J1228" s="1536"/>
      <c r="K1228" s="1537"/>
      <c r="L1228" s="1235"/>
      <c r="M1228" s="1236"/>
      <c r="N1228" s="2913"/>
      <c r="O1228" s="1628"/>
      <c r="P1228" s="1536"/>
      <c r="Q1228" s="1536"/>
      <c r="R1228" s="1567"/>
    </row>
    <row r="1229" spans="1:18">
      <c r="A1229" s="2003"/>
      <c r="B1229" s="1913"/>
      <c r="C1229" s="1536"/>
      <c r="D1229" s="1536"/>
      <c r="E1229" s="1536"/>
      <c r="F1229" s="1536"/>
      <c r="G1229" s="1536"/>
      <c r="H1229" s="1235"/>
      <c r="I1229" s="1536"/>
      <c r="J1229" s="1536"/>
      <c r="K1229" s="1537"/>
      <c r="L1229" s="1235"/>
      <c r="M1229" s="1236"/>
      <c r="N1229" s="2913"/>
      <c r="O1229" s="1628"/>
      <c r="P1229" s="1536"/>
      <c r="Q1229" s="1536"/>
      <c r="R1229" s="1567"/>
    </row>
    <row r="1230" spans="1:18">
      <c r="A1230" s="2003"/>
      <c r="B1230" s="1913"/>
      <c r="C1230" s="1536"/>
      <c r="D1230" s="1536"/>
      <c r="E1230" s="1536"/>
      <c r="F1230" s="1536"/>
      <c r="G1230" s="1536"/>
      <c r="H1230" s="1235"/>
      <c r="I1230" s="1536"/>
      <c r="J1230" s="1536"/>
      <c r="K1230" s="1537"/>
      <c r="L1230" s="1235"/>
      <c r="M1230" s="1236"/>
      <c r="N1230" s="2913"/>
      <c r="O1230" s="1628"/>
      <c r="P1230" s="1536"/>
      <c r="Q1230" s="1536"/>
      <c r="R1230" s="1567"/>
    </row>
    <row r="1231" spans="1:18">
      <c r="A1231" s="2003"/>
      <c r="B1231" s="1913"/>
      <c r="C1231" s="1536"/>
      <c r="D1231" s="1536"/>
      <c r="E1231" s="1536"/>
      <c r="F1231" s="1536"/>
      <c r="G1231" s="1536"/>
      <c r="H1231" s="1235"/>
      <c r="I1231" s="1536"/>
      <c r="J1231" s="1536"/>
      <c r="K1231" s="1537"/>
      <c r="L1231" s="1235"/>
      <c r="M1231" s="1236"/>
      <c r="N1231" s="2913"/>
      <c r="O1231" s="1628"/>
      <c r="P1231" s="1536"/>
      <c r="Q1231" s="1536"/>
      <c r="R1231" s="1567"/>
    </row>
    <row r="1232" spans="1:18">
      <c r="A1232" s="2003"/>
      <c r="B1232" s="1913"/>
      <c r="C1232" s="1536"/>
      <c r="D1232" s="1536"/>
      <c r="E1232" s="1536"/>
      <c r="F1232" s="1536"/>
      <c r="G1232" s="1536"/>
      <c r="H1232" s="1235"/>
      <c r="I1232" s="1536"/>
      <c r="J1232" s="1536"/>
      <c r="K1232" s="1537"/>
      <c r="L1232" s="1235"/>
      <c r="M1232" s="1236"/>
      <c r="N1232" s="2913"/>
      <c r="O1232" s="1628"/>
      <c r="P1232" s="1536"/>
      <c r="Q1232" s="1536"/>
      <c r="R1232" s="1567"/>
    </row>
    <row r="1233" spans="1:18">
      <c r="A1233" s="2003"/>
      <c r="B1233" s="1913"/>
      <c r="C1233" s="1536"/>
      <c r="D1233" s="1536"/>
      <c r="E1233" s="1536"/>
      <c r="F1233" s="1536"/>
      <c r="G1233" s="1536"/>
      <c r="H1233" s="1235"/>
      <c r="I1233" s="1536"/>
      <c r="J1233" s="1536"/>
      <c r="K1233" s="1537"/>
      <c r="L1233" s="1235"/>
      <c r="M1233" s="1236"/>
      <c r="N1233" s="2913"/>
      <c r="O1233" s="1628"/>
      <c r="P1233" s="1536"/>
      <c r="Q1233" s="1536"/>
      <c r="R1233" s="1567"/>
    </row>
    <row r="1234" spans="1:18">
      <c r="A1234" s="2003"/>
      <c r="B1234" s="1913"/>
      <c r="C1234" s="1536"/>
      <c r="D1234" s="1536"/>
      <c r="E1234" s="1536"/>
      <c r="F1234" s="1536"/>
      <c r="G1234" s="1536"/>
      <c r="H1234" s="1235"/>
      <c r="I1234" s="1536"/>
      <c r="J1234" s="1536"/>
      <c r="K1234" s="1537"/>
      <c r="L1234" s="1235"/>
      <c r="M1234" s="1236"/>
      <c r="N1234" s="2913"/>
      <c r="O1234" s="1628"/>
      <c r="P1234" s="1536"/>
      <c r="Q1234" s="1536"/>
      <c r="R1234" s="1567"/>
    </row>
    <row r="1235" spans="1:18">
      <c r="A1235" s="2003"/>
      <c r="B1235" s="1913"/>
      <c r="C1235" s="1536"/>
      <c r="D1235" s="1536"/>
      <c r="E1235" s="1536"/>
      <c r="F1235" s="1536"/>
      <c r="G1235" s="1536"/>
      <c r="H1235" s="1235"/>
      <c r="I1235" s="1536"/>
      <c r="J1235" s="1536"/>
      <c r="K1235" s="1537"/>
      <c r="L1235" s="1235"/>
      <c r="M1235" s="1236"/>
      <c r="N1235" s="2913"/>
      <c r="O1235" s="1628"/>
      <c r="P1235" s="1536"/>
      <c r="Q1235" s="1536"/>
      <c r="R1235" s="1567"/>
    </row>
    <row r="1236" spans="1:18">
      <c r="A1236" s="2003"/>
      <c r="B1236" s="1913"/>
      <c r="C1236" s="1536"/>
      <c r="D1236" s="1536"/>
      <c r="E1236" s="1536"/>
      <c r="F1236" s="1536"/>
      <c r="G1236" s="1536"/>
      <c r="H1236" s="1235"/>
      <c r="I1236" s="1536"/>
      <c r="J1236" s="1536"/>
      <c r="K1236" s="1537"/>
      <c r="L1236" s="1235"/>
      <c r="M1236" s="1236"/>
      <c r="N1236" s="2913"/>
      <c r="O1236" s="1628"/>
      <c r="P1236" s="1536"/>
      <c r="Q1236" s="1536"/>
      <c r="R1236" s="1567"/>
    </row>
    <row r="1237" spans="1:18">
      <c r="A1237" s="2003"/>
      <c r="B1237" s="1913"/>
      <c r="C1237" s="1536"/>
      <c r="D1237" s="1536"/>
      <c r="E1237" s="1536"/>
      <c r="F1237" s="1536"/>
      <c r="G1237" s="1536"/>
      <c r="H1237" s="1235"/>
      <c r="I1237" s="1536"/>
      <c r="J1237" s="1536"/>
      <c r="K1237" s="1537"/>
      <c r="L1237" s="1235"/>
      <c r="M1237" s="1236"/>
      <c r="N1237" s="2913"/>
      <c r="O1237" s="1628"/>
      <c r="P1237" s="1536"/>
      <c r="Q1237" s="1536"/>
      <c r="R1237" s="1567"/>
    </row>
    <row r="1238" spans="1:18">
      <c r="A1238" s="2003"/>
      <c r="B1238" s="1913"/>
      <c r="C1238" s="1536"/>
      <c r="D1238" s="1536"/>
      <c r="E1238" s="1536"/>
      <c r="F1238" s="1536"/>
      <c r="G1238" s="1536"/>
      <c r="H1238" s="1235"/>
      <c r="I1238" s="1536"/>
      <c r="J1238" s="1536"/>
      <c r="K1238" s="1537"/>
      <c r="L1238" s="1235"/>
      <c r="M1238" s="1236"/>
      <c r="N1238" s="2913"/>
      <c r="O1238" s="1628"/>
      <c r="P1238" s="1536"/>
      <c r="Q1238" s="1536"/>
      <c r="R1238" s="1567"/>
    </row>
    <row r="1239" spans="1:18">
      <c r="A1239" s="2003"/>
      <c r="B1239" s="1913"/>
      <c r="C1239" s="1536"/>
      <c r="D1239" s="1536"/>
      <c r="E1239" s="1536"/>
      <c r="F1239" s="1536"/>
      <c r="G1239" s="1536"/>
      <c r="H1239" s="1235"/>
      <c r="I1239" s="1536"/>
      <c r="J1239" s="1536"/>
      <c r="K1239" s="1537"/>
      <c r="L1239" s="1235"/>
      <c r="M1239" s="1236"/>
      <c r="N1239" s="2913"/>
      <c r="O1239" s="1628"/>
      <c r="P1239" s="1536"/>
      <c r="Q1239" s="1536"/>
      <c r="R1239" s="1567"/>
    </row>
    <row r="1240" spans="1:18">
      <c r="A1240" s="2003"/>
      <c r="B1240" s="1913"/>
      <c r="C1240" s="1536"/>
      <c r="D1240" s="1536"/>
      <c r="E1240" s="1536"/>
      <c r="F1240" s="1536"/>
      <c r="G1240" s="1536"/>
      <c r="H1240" s="1235"/>
      <c r="I1240" s="1536"/>
      <c r="J1240" s="1536"/>
      <c r="K1240" s="1537"/>
      <c r="L1240" s="1235"/>
      <c r="M1240" s="1236"/>
      <c r="N1240" s="2913"/>
      <c r="O1240" s="1628"/>
      <c r="P1240" s="1536"/>
      <c r="Q1240" s="1536"/>
      <c r="R1240" s="1567"/>
    </row>
    <row r="1241" spans="1:18">
      <c r="A1241" s="2003"/>
      <c r="B1241" s="1913"/>
      <c r="C1241" s="1536"/>
      <c r="D1241" s="1536"/>
      <c r="E1241" s="1536"/>
      <c r="F1241" s="1536"/>
      <c r="G1241" s="1536"/>
      <c r="H1241" s="1235"/>
      <c r="I1241" s="1536"/>
      <c r="J1241" s="1536"/>
      <c r="K1241" s="1537"/>
      <c r="L1241" s="1235"/>
      <c r="M1241" s="1236"/>
      <c r="N1241" s="2913"/>
      <c r="O1241" s="1628"/>
      <c r="P1241" s="1536"/>
      <c r="Q1241" s="1536"/>
      <c r="R1241" s="1567"/>
    </row>
    <row r="1242" spans="1:18">
      <c r="A1242" s="2003"/>
      <c r="B1242" s="1913"/>
      <c r="C1242" s="1536"/>
      <c r="D1242" s="1536"/>
      <c r="E1242" s="1536"/>
      <c r="F1242" s="1536"/>
      <c r="G1242" s="1536"/>
      <c r="H1242" s="1235"/>
      <c r="I1242" s="1536"/>
      <c r="J1242" s="1536"/>
      <c r="K1242" s="1537"/>
      <c r="L1242" s="1235"/>
      <c r="M1242" s="1236"/>
      <c r="N1242" s="2913"/>
      <c r="O1242" s="1628"/>
      <c r="P1242" s="1536"/>
      <c r="Q1242" s="1536"/>
      <c r="R1242" s="1567"/>
    </row>
    <row r="1243" spans="1:18">
      <c r="A1243" s="2003"/>
      <c r="B1243" s="1913"/>
      <c r="C1243" s="1536"/>
      <c r="D1243" s="1536"/>
      <c r="E1243" s="1536"/>
      <c r="F1243" s="1536"/>
      <c r="G1243" s="1536"/>
      <c r="H1243" s="1235"/>
      <c r="I1243" s="1536"/>
      <c r="J1243" s="1536"/>
      <c r="K1243" s="1537"/>
      <c r="L1243" s="1235"/>
      <c r="M1243" s="1236"/>
      <c r="N1243" s="2913"/>
      <c r="O1243" s="1628"/>
      <c r="P1243" s="1536"/>
      <c r="Q1243" s="1536"/>
      <c r="R1243" s="1567"/>
    </row>
    <row r="1244" spans="1:18">
      <c r="A1244" s="2003"/>
      <c r="B1244" s="1913"/>
      <c r="C1244" s="1536"/>
      <c r="D1244" s="1536"/>
      <c r="E1244" s="1536"/>
      <c r="F1244" s="1536"/>
      <c r="G1244" s="1536"/>
      <c r="H1244" s="1235"/>
      <c r="I1244" s="1536"/>
      <c r="J1244" s="1536"/>
      <c r="K1244" s="1537"/>
      <c r="L1244" s="1235"/>
      <c r="M1244" s="1236"/>
      <c r="N1244" s="2913"/>
      <c r="O1244" s="1628"/>
      <c r="P1244" s="1536"/>
      <c r="Q1244" s="1536"/>
      <c r="R1244" s="1567"/>
    </row>
    <row r="1245" spans="1:18">
      <c r="A1245" s="2003"/>
      <c r="B1245" s="1913"/>
      <c r="C1245" s="1536"/>
      <c r="D1245" s="1536"/>
      <c r="E1245" s="1536"/>
      <c r="F1245" s="1536"/>
      <c r="G1245" s="1536"/>
      <c r="H1245" s="1235"/>
      <c r="I1245" s="1536"/>
      <c r="J1245" s="1536"/>
      <c r="K1245" s="1537"/>
      <c r="L1245" s="1235"/>
      <c r="M1245" s="1236"/>
      <c r="N1245" s="2913"/>
      <c r="O1245" s="1628"/>
      <c r="P1245" s="1536"/>
      <c r="Q1245" s="1536"/>
      <c r="R1245" s="1567"/>
    </row>
    <row r="1246" spans="1:18">
      <c r="A1246" s="2003"/>
      <c r="B1246" s="1913"/>
      <c r="C1246" s="1536"/>
      <c r="D1246" s="1536"/>
      <c r="E1246" s="1536"/>
      <c r="F1246" s="1536"/>
      <c r="G1246" s="1536"/>
      <c r="H1246" s="1235"/>
      <c r="I1246" s="1536"/>
      <c r="J1246" s="1536"/>
      <c r="K1246" s="1537"/>
      <c r="L1246" s="1235"/>
      <c r="M1246" s="1236"/>
      <c r="N1246" s="2913"/>
      <c r="O1246" s="1628"/>
      <c r="P1246" s="1536"/>
      <c r="Q1246" s="1536"/>
      <c r="R1246" s="1567"/>
    </row>
    <row r="1247" spans="1:18">
      <c r="A1247" s="2003"/>
      <c r="B1247" s="1913"/>
      <c r="C1247" s="1536"/>
      <c r="D1247" s="1536"/>
      <c r="E1247" s="1536"/>
      <c r="F1247" s="1536"/>
      <c r="G1247" s="1536"/>
      <c r="H1247" s="1235"/>
      <c r="I1247" s="1536"/>
      <c r="J1247" s="1536"/>
      <c r="K1247" s="1537"/>
      <c r="L1247" s="1235"/>
      <c r="M1247" s="1236"/>
      <c r="N1247" s="2913"/>
      <c r="O1247" s="1628"/>
      <c r="P1247" s="1536"/>
      <c r="Q1247" s="1536"/>
      <c r="R1247" s="1567"/>
    </row>
    <row r="1248" spans="1:18">
      <c r="A1248" s="2003"/>
      <c r="B1248" s="1913"/>
      <c r="C1248" s="1536"/>
      <c r="D1248" s="1536"/>
      <c r="E1248" s="1536"/>
      <c r="F1248" s="1536"/>
      <c r="G1248" s="1536"/>
      <c r="H1248" s="1235"/>
      <c r="I1248" s="1536"/>
      <c r="J1248" s="1536"/>
      <c r="K1248" s="1537"/>
      <c r="L1248" s="1235"/>
      <c r="M1248" s="1236"/>
      <c r="N1248" s="2913"/>
      <c r="O1248" s="1628"/>
      <c r="P1248" s="1536"/>
      <c r="Q1248" s="1536"/>
      <c r="R1248" s="1567"/>
    </row>
    <row r="1249" spans="1:18">
      <c r="A1249" s="2003"/>
      <c r="B1249" s="1913"/>
      <c r="C1249" s="1536"/>
      <c r="D1249" s="1536"/>
      <c r="E1249" s="1536"/>
      <c r="F1249" s="1536"/>
      <c r="G1249" s="1536"/>
      <c r="H1249" s="1235"/>
      <c r="I1249" s="1536"/>
      <c r="J1249" s="1536"/>
      <c r="K1249" s="1537"/>
      <c r="L1249" s="1235"/>
      <c r="M1249" s="1236"/>
      <c r="N1249" s="2913"/>
      <c r="O1249" s="1628"/>
      <c r="P1249" s="1536"/>
      <c r="Q1249" s="1536"/>
      <c r="R1249" s="1567"/>
    </row>
    <row r="1250" spans="1:18">
      <c r="A1250" s="2003"/>
      <c r="B1250" s="1913"/>
      <c r="C1250" s="1536"/>
      <c r="D1250" s="1536"/>
      <c r="E1250" s="1536"/>
      <c r="F1250" s="1536"/>
      <c r="G1250" s="1536"/>
      <c r="H1250" s="1235"/>
      <c r="I1250" s="1536"/>
      <c r="J1250" s="1536"/>
      <c r="K1250" s="1537"/>
      <c r="L1250" s="1235"/>
      <c r="M1250" s="1236"/>
      <c r="N1250" s="2913"/>
      <c r="O1250" s="1628"/>
      <c r="P1250" s="1536"/>
      <c r="Q1250" s="1536"/>
      <c r="R1250" s="1567"/>
    </row>
    <row r="1251" spans="1:18">
      <c r="A1251" s="2003"/>
      <c r="B1251" s="1913"/>
      <c r="C1251" s="1536"/>
      <c r="D1251" s="1536"/>
      <c r="E1251" s="1536"/>
      <c r="F1251" s="1536"/>
      <c r="G1251" s="1536"/>
      <c r="H1251" s="1235"/>
      <c r="I1251" s="1536"/>
      <c r="J1251" s="1536"/>
      <c r="K1251" s="1537"/>
      <c r="L1251" s="1235"/>
      <c r="M1251" s="1236"/>
      <c r="N1251" s="2913"/>
      <c r="O1251" s="1628"/>
      <c r="P1251" s="1536"/>
      <c r="Q1251" s="1536"/>
      <c r="R1251" s="1567"/>
    </row>
    <row r="1252" spans="1:18">
      <c r="A1252" s="2003"/>
      <c r="B1252" s="1913"/>
      <c r="C1252" s="1536"/>
      <c r="D1252" s="1536"/>
      <c r="E1252" s="1536"/>
      <c r="F1252" s="1536"/>
      <c r="G1252" s="1536"/>
      <c r="H1252" s="1235"/>
      <c r="I1252" s="1536"/>
      <c r="J1252" s="1536"/>
      <c r="K1252" s="1537"/>
      <c r="L1252" s="1235"/>
      <c r="M1252" s="1236"/>
      <c r="N1252" s="2913"/>
      <c r="O1252" s="1628"/>
      <c r="P1252" s="1536"/>
      <c r="Q1252" s="1536"/>
      <c r="R1252" s="1567"/>
    </row>
    <row r="1253" spans="1:18">
      <c r="A1253" s="2003"/>
      <c r="B1253" s="1913"/>
      <c r="C1253" s="1536"/>
      <c r="D1253" s="1536"/>
      <c r="E1253" s="1536"/>
      <c r="F1253" s="1536"/>
      <c r="G1253" s="1536"/>
      <c r="H1253" s="1235"/>
      <c r="I1253" s="1536"/>
      <c r="J1253" s="1536"/>
      <c r="K1253" s="1537"/>
      <c r="L1253" s="1235"/>
      <c r="M1253" s="1236"/>
      <c r="N1253" s="2913"/>
      <c r="O1253" s="1628"/>
      <c r="P1253" s="1536"/>
      <c r="Q1253" s="1536"/>
      <c r="R1253" s="1567"/>
    </row>
    <row r="1254" spans="1:18">
      <c r="A1254" s="2003"/>
      <c r="B1254" s="1913"/>
      <c r="C1254" s="1536"/>
      <c r="D1254" s="1536"/>
      <c r="E1254" s="1536"/>
      <c r="F1254" s="1536"/>
      <c r="G1254" s="1536"/>
      <c r="H1254" s="1235"/>
      <c r="I1254" s="1536"/>
      <c r="J1254" s="1536"/>
      <c r="K1254" s="1537"/>
      <c r="L1254" s="1235"/>
      <c r="M1254" s="1236"/>
      <c r="N1254" s="2913"/>
      <c r="O1254" s="1628"/>
      <c r="P1254" s="1536"/>
      <c r="Q1254" s="1536"/>
      <c r="R1254" s="1567"/>
    </row>
    <row r="1255" spans="1:18">
      <c r="A1255" s="2003"/>
      <c r="B1255" s="1913"/>
      <c r="C1255" s="1536"/>
      <c r="D1255" s="1536"/>
      <c r="E1255" s="1536"/>
      <c r="F1255" s="1536"/>
      <c r="G1255" s="1536"/>
      <c r="H1255" s="1235"/>
      <c r="I1255" s="1536"/>
      <c r="J1255" s="1536"/>
      <c r="K1255" s="1537"/>
      <c r="L1255" s="1235"/>
      <c r="M1255" s="1236"/>
      <c r="N1255" s="2900"/>
      <c r="O1255" s="1628"/>
      <c r="P1255" s="1536"/>
      <c r="Q1255" s="1536"/>
      <c r="R1255" s="1567"/>
    </row>
    <row r="1256" spans="1:18">
      <c r="A1256" s="2003"/>
      <c r="B1256" s="1913"/>
      <c r="C1256" s="1536"/>
      <c r="D1256" s="1536"/>
      <c r="E1256" s="1536"/>
      <c r="F1256" s="1536"/>
      <c r="G1256" s="1536"/>
      <c r="H1256" s="1235"/>
      <c r="I1256" s="1536"/>
      <c r="J1256" s="1536"/>
      <c r="K1256" s="1537"/>
      <c r="L1256" s="1235"/>
      <c r="M1256" s="1236"/>
      <c r="N1256" s="2903"/>
      <c r="O1256" s="1628"/>
      <c r="P1256" s="1536"/>
      <c r="Q1256" s="1536"/>
      <c r="R1256" s="1567"/>
    </row>
    <row r="1257" spans="1:18">
      <c r="A1257" s="2003"/>
      <c r="B1257" s="1913"/>
      <c r="C1257" s="1536"/>
      <c r="D1257" s="1536"/>
      <c r="E1257" s="1536"/>
      <c r="F1257" s="1536"/>
      <c r="G1257" s="1536"/>
      <c r="H1257" s="1235"/>
      <c r="I1257" s="1536"/>
      <c r="J1257" s="1536"/>
      <c r="K1257" s="1537"/>
      <c r="L1257" s="1235"/>
      <c r="M1257" s="1236"/>
      <c r="N1257" s="2902"/>
      <c r="O1257" s="1628"/>
      <c r="P1257" s="1536"/>
      <c r="Q1257" s="1536"/>
      <c r="R1257" s="1567"/>
    </row>
    <row r="1258" spans="1:18">
      <c r="A1258" s="2003"/>
      <c r="B1258" s="1913"/>
      <c r="C1258" s="1536"/>
      <c r="D1258" s="1536"/>
      <c r="E1258" s="1536"/>
      <c r="F1258" s="1536"/>
      <c r="G1258" s="1536"/>
      <c r="H1258" s="1235"/>
      <c r="I1258" s="1536"/>
      <c r="J1258" s="1536"/>
      <c r="K1258" s="1537"/>
      <c r="L1258" s="1235"/>
      <c r="M1258" s="1236"/>
      <c r="N1258" s="2900"/>
      <c r="O1258" s="1628"/>
      <c r="P1258" s="1536"/>
      <c r="Q1258" s="1536"/>
      <c r="R1258" s="1567"/>
    </row>
    <row r="1259" spans="1:18" ht="16.2" thickBot="1">
      <c r="A1259" s="2009"/>
      <c r="B1259" s="2212"/>
      <c r="C1259" s="1538"/>
      <c r="D1259" s="1538"/>
      <c r="E1259" s="1538"/>
      <c r="F1259" s="1538"/>
      <c r="G1259" s="1538"/>
      <c r="H1259" s="1535"/>
      <c r="I1259" s="1538"/>
      <c r="J1259" s="1538"/>
      <c r="K1259" s="1556"/>
      <c r="L1259" s="1535"/>
      <c r="M1259" s="1872"/>
      <c r="N1259" s="2904"/>
      <c r="O1259" s="1632"/>
      <c r="P1259" s="1538"/>
      <c r="Q1259" s="1538"/>
      <c r="R1259" s="1592"/>
    </row>
    <row r="1260" spans="1:18">
      <c r="A1260" s="2047"/>
      <c r="B1260" s="2216"/>
      <c r="C1260" s="1564"/>
      <c r="D1260" s="1564"/>
      <c r="E1260" s="1564"/>
      <c r="F1260" s="1564"/>
      <c r="G1260" s="1564"/>
      <c r="H1260" s="966"/>
      <c r="I1260" s="1564"/>
      <c r="J1260" s="1564"/>
      <c r="K1260" s="1565"/>
      <c r="L1260" s="966"/>
      <c r="M1260" s="1882"/>
      <c r="N1260" s="2249"/>
      <c r="O1260" s="1634"/>
      <c r="P1260" s="1564"/>
      <c r="Q1260" s="1564"/>
      <c r="R1260" s="1566"/>
    </row>
    <row r="1261" spans="1:18">
      <c r="A1261" s="2003"/>
      <c r="B1261" s="1913"/>
      <c r="C1261" s="1536"/>
      <c r="D1261" s="1536"/>
      <c r="E1261" s="1536"/>
      <c r="F1261" s="1536"/>
      <c r="G1261" s="1536"/>
      <c r="H1261" s="1235"/>
      <c r="I1261" s="1536"/>
      <c r="J1261" s="1536"/>
      <c r="K1261" s="1537"/>
      <c r="L1261" s="1235"/>
      <c r="M1261" s="1236"/>
      <c r="N1261" s="1879"/>
      <c r="O1261" s="1628"/>
      <c r="P1261" s="1536"/>
      <c r="Q1261" s="1536"/>
      <c r="R1261" s="1567"/>
    </row>
    <row r="1262" spans="1:18">
      <c r="A1262" s="2003"/>
      <c r="B1262" s="1913"/>
      <c r="C1262" s="1536"/>
      <c r="D1262" s="1536"/>
      <c r="E1262" s="1536"/>
      <c r="F1262" s="1536"/>
      <c r="G1262" s="1536"/>
      <c r="H1262" s="1235"/>
      <c r="I1262" s="1536"/>
      <c r="J1262" s="1536"/>
      <c r="K1262" s="1537"/>
      <c r="L1262" s="1235"/>
      <c r="M1262" s="1236"/>
      <c r="N1262" s="1879"/>
      <c r="O1262" s="1628"/>
      <c r="P1262" s="1536"/>
      <c r="Q1262" s="1536"/>
      <c r="R1262" s="1567"/>
    </row>
    <row r="1263" spans="1:18">
      <c r="A1263" s="2003"/>
      <c r="B1263" s="1913"/>
      <c r="C1263" s="1536"/>
      <c r="D1263" s="1536"/>
      <c r="E1263" s="1536"/>
      <c r="F1263" s="1536"/>
      <c r="G1263" s="1536"/>
      <c r="H1263" s="1235"/>
      <c r="I1263" s="1536"/>
      <c r="J1263" s="1536"/>
      <c r="K1263" s="1537"/>
      <c r="L1263" s="1235"/>
      <c r="M1263" s="1236"/>
      <c r="N1263" s="1879"/>
      <c r="O1263" s="1628"/>
      <c r="P1263" s="1536"/>
      <c r="Q1263" s="1536"/>
      <c r="R1263" s="1567"/>
    </row>
    <row r="1264" spans="1:18">
      <c r="A1264" s="2003"/>
      <c r="B1264" s="1913"/>
      <c r="C1264" s="1536"/>
      <c r="D1264" s="1536"/>
      <c r="E1264" s="1536"/>
      <c r="F1264" s="1536"/>
      <c r="G1264" s="1536"/>
      <c r="H1264" s="1235"/>
      <c r="I1264" s="1536"/>
      <c r="J1264" s="1536"/>
      <c r="K1264" s="1537"/>
      <c r="L1264" s="1235"/>
      <c r="M1264" s="1236"/>
      <c r="N1264" s="1879"/>
      <c r="O1264" s="1628"/>
      <c r="P1264" s="1536"/>
      <c r="Q1264" s="1536"/>
      <c r="R1264" s="1567"/>
    </row>
    <row r="1265" spans="1:18">
      <c r="A1265" s="2003"/>
      <c r="B1265" s="1913"/>
      <c r="C1265" s="1536"/>
      <c r="D1265" s="1536"/>
      <c r="E1265" s="1536"/>
      <c r="F1265" s="1536"/>
      <c r="G1265" s="1536"/>
      <c r="H1265" s="1235"/>
      <c r="I1265" s="1536"/>
      <c r="J1265" s="1536"/>
      <c r="K1265" s="1537"/>
      <c r="L1265" s="1235"/>
      <c r="M1265" s="1236"/>
      <c r="N1265" s="1879"/>
      <c r="O1265" s="1628"/>
      <c r="P1265" s="1536"/>
      <c r="Q1265" s="1536"/>
      <c r="R1265" s="1567"/>
    </row>
    <row r="1266" spans="1:18">
      <c r="A1266" s="2003"/>
      <c r="B1266" s="1913"/>
      <c r="C1266" s="1536"/>
      <c r="D1266" s="1536"/>
      <c r="E1266" s="1536"/>
      <c r="F1266" s="1536"/>
      <c r="G1266" s="1536"/>
      <c r="H1266" s="1235"/>
      <c r="I1266" s="1536"/>
      <c r="J1266" s="1536"/>
      <c r="K1266" s="1537"/>
      <c r="L1266" s="1235"/>
      <c r="M1266" s="1236"/>
      <c r="N1266" s="1879"/>
      <c r="O1266" s="1628"/>
      <c r="P1266" s="1536"/>
      <c r="Q1266" s="1536"/>
      <c r="R1266" s="1567"/>
    </row>
    <row r="1267" spans="1:18">
      <c r="A1267" s="2003"/>
      <c r="B1267" s="1913"/>
      <c r="C1267" s="1536"/>
      <c r="D1267" s="1536"/>
      <c r="E1267" s="1536"/>
      <c r="F1267" s="1536"/>
      <c r="G1267" s="1536"/>
      <c r="H1267" s="1235"/>
      <c r="I1267" s="1536"/>
      <c r="J1267" s="1536"/>
      <c r="K1267" s="1537"/>
      <c r="L1267" s="1235"/>
      <c r="M1267" s="1236"/>
      <c r="N1267" s="1879"/>
      <c r="O1267" s="1628"/>
      <c r="P1267" s="1536"/>
      <c r="Q1267" s="1536"/>
      <c r="R1267" s="1567"/>
    </row>
    <row r="1268" spans="1:18">
      <c r="A1268" s="2003"/>
      <c r="B1268" s="1913"/>
      <c r="C1268" s="1536"/>
      <c r="D1268" s="1536"/>
      <c r="E1268" s="1536"/>
      <c r="F1268" s="1536"/>
      <c r="G1268" s="1536"/>
      <c r="H1268" s="1235"/>
      <c r="I1268" s="1536"/>
      <c r="J1268" s="1536"/>
      <c r="K1268" s="1537"/>
      <c r="L1268" s="1235"/>
      <c r="M1268" s="1236"/>
      <c r="N1268" s="1879"/>
      <c r="O1268" s="1628"/>
      <c r="P1268" s="1536"/>
      <c r="Q1268" s="1536"/>
      <c r="R1268" s="1567"/>
    </row>
    <row r="1269" spans="1:18">
      <c r="A1269" s="2003"/>
      <c r="B1269" s="1913"/>
      <c r="C1269" s="1536"/>
      <c r="D1269" s="1536"/>
      <c r="E1269" s="1536"/>
      <c r="F1269" s="1536"/>
      <c r="G1269" s="1536"/>
      <c r="H1269" s="1235"/>
      <c r="I1269" s="2905"/>
      <c r="J1269" s="2905"/>
      <c r="K1269" s="2905"/>
      <c r="L1269" s="1235"/>
      <c r="M1269" s="1236"/>
      <c r="N1269" s="1879"/>
      <c r="O1269" s="1628"/>
      <c r="P1269" s="1536"/>
      <c r="Q1269" s="1536"/>
      <c r="R1269" s="1567"/>
    </row>
    <row r="1270" spans="1:18">
      <c r="A1270" s="2003"/>
      <c r="B1270" s="1913"/>
      <c r="C1270" s="1536"/>
      <c r="D1270" s="1536"/>
      <c r="E1270" s="1536"/>
      <c r="F1270" s="1536"/>
      <c r="G1270" s="1536"/>
      <c r="H1270" s="1235"/>
      <c r="I1270" s="1536"/>
      <c r="J1270" s="1536"/>
      <c r="K1270" s="1537"/>
      <c r="L1270" s="1235"/>
      <c r="M1270" s="1236"/>
      <c r="N1270" s="1879"/>
      <c r="O1270" s="1628"/>
      <c r="P1270" s="1536"/>
      <c r="Q1270" s="1536"/>
      <c r="R1270" s="1567"/>
    </row>
    <row r="1271" spans="1:18">
      <c r="A1271" s="2003"/>
      <c r="B1271" s="1913"/>
      <c r="C1271" s="1536"/>
      <c r="D1271" s="1536"/>
      <c r="E1271" s="1536"/>
      <c r="F1271" s="1536"/>
      <c r="G1271" s="1536"/>
      <c r="H1271" s="1235"/>
      <c r="I1271" s="1536"/>
      <c r="J1271" s="1536"/>
      <c r="K1271" s="1537"/>
      <c r="L1271" s="1235"/>
      <c r="M1271" s="2089"/>
      <c r="N1271" s="1879"/>
      <c r="O1271" s="1628"/>
      <c r="P1271" s="1536"/>
      <c r="Q1271" s="1536"/>
      <c r="R1271" s="1567"/>
    </row>
    <row r="1272" spans="1:18">
      <c r="A1272" s="2003"/>
      <c r="B1272" s="1913"/>
      <c r="C1272" s="1536"/>
      <c r="D1272" s="1536"/>
      <c r="E1272" s="1536"/>
      <c r="F1272" s="1536"/>
      <c r="G1272" s="1536"/>
      <c r="H1272" s="1235"/>
      <c r="I1272" s="1536"/>
      <c r="J1272" s="1536"/>
      <c r="K1272" s="1537"/>
      <c r="L1272" s="1235"/>
      <c r="M1272" s="2089"/>
      <c r="N1272" s="1879"/>
      <c r="O1272" s="1628"/>
      <c r="P1272" s="1536"/>
      <c r="Q1272" s="1536"/>
      <c r="R1272" s="1567"/>
    </row>
    <row r="1273" spans="1:18">
      <c r="A1273" s="2003"/>
      <c r="B1273" s="1913"/>
      <c r="C1273" s="1536"/>
      <c r="D1273" s="1536"/>
      <c r="E1273" s="1536"/>
      <c r="F1273" s="1536"/>
      <c r="G1273" s="1536"/>
      <c r="H1273" s="1235"/>
      <c r="I1273" s="1536"/>
      <c r="J1273" s="1536"/>
      <c r="K1273" s="1537"/>
      <c r="L1273" s="1235"/>
      <c r="M1273" s="2089"/>
      <c r="N1273" s="1879"/>
      <c r="O1273" s="1628"/>
      <c r="P1273" s="1536"/>
      <c r="Q1273" s="1536"/>
      <c r="R1273" s="1567"/>
    </row>
    <row r="1274" spans="1:18">
      <c r="A1274" s="2003"/>
      <c r="B1274" s="1913"/>
      <c r="C1274" s="1536"/>
      <c r="D1274" s="1536"/>
      <c r="E1274" s="1536"/>
      <c r="F1274" s="1536"/>
      <c r="G1274" s="1536"/>
      <c r="H1274" s="1235"/>
      <c r="I1274" s="1536"/>
      <c r="J1274" s="1536"/>
      <c r="K1274" s="1537"/>
      <c r="L1274" s="1235"/>
      <c r="M1274" s="2089"/>
      <c r="N1274" s="1879"/>
      <c r="O1274" s="1628"/>
      <c r="P1274" s="1536"/>
      <c r="Q1274" s="1536"/>
      <c r="R1274" s="1567"/>
    </row>
    <row r="1275" spans="1:18">
      <c r="A1275" s="2003"/>
      <c r="B1275" s="1913"/>
      <c r="C1275" s="1536"/>
      <c r="D1275" s="1536"/>
      <c r="E1275" s="1536"/>
      <c r="F1275" s="1536"/>
      <c r="G1275" s="1536"/>
      <c r="H1275" s="1235"/>
      <c r="I1275" s="1536"/>
      <c r="J1275" s="1536"/>
      <c r="K1275" s="1537"/>
      <c r="L1275" s="1235"/>
      <c r="M1275" s="2089"/>
      <c r="N1275" s="1879"/>
      <c r="O1275" s="1628"/>
      <c r="P1275" s="1536"/>
      <c r="Q1275" s="1536"/>
      <c r="R1275" s="1567"/>
    </row>
    <row r="1276" spans="1:18">
      <c r="A1276" s="2003"/>
      <c r="B1276" s="1913"/>
      <c r="C1276" s="1536"/>
      <c r="D1276" s="1536"/>
      <c r="E1276" s="1536"/>
      <c r="F1276" s="1536"/>
      <c r="G1276" s="1536"/>
      <c r="H1276" s="1235"/>
      <c r="I1276" s="1536"/>
      <c r="J1276" s="1536"/>
      <c r="K1276" s="1537"/>
      <c r="L1276" s="1235"/>
      <c r="M1276" s="2089"/>
      <c r="N1276" s="1879"/>
      <c r="O1276" s="1628"/>
      <c r="P1276" s="1536"/>
      <c r="Q1276" s="1536"/>
      <c r="R1276" s="1567"/>
    </row>
    <row r="1277" spans="1:18">
      <c r="A1277" s="2003"/>
      <c r="B1277" s="1913"/>
      <c r="C1277" s="1536"/>
      <c r="D1277" s="1536"/>
      <c r="E1277" s="1536"/>
      <c r="F1277" s="1536"/>
      <c r="G1277" s="1536"/>
      <c r="H1277" s="1235"/>
      <c r="I1277" s="1536"/>
      <c r="J1277" s="1536"/>
      <c r="K1277" s="1537"/>
      <c r="L1277" s="1235"/>
      <c r="M1277" s="2089"/>
      <c r="N1277" s="1879"/>
      <c r="O1277" s="1628"/>
      <c r="P1277" s="1536"/>
      <c r="Q1277" s="1536"/>
      <c r="R1277" s="1567"/>
    </row>
    <row r="1278" spans="1:18">
      <c r="A1278" s="2003"/>
      <c r="B1278" s="1913"/>
      <c r="C1278" s="1536"/>
      <c r="D1278" s="1536"/>
      <c r="E1278" s="1536"/>
      <c r="F1278" s="1536"/>
      <c r="G1278" s="1536"/>
      <c r="H1278" s="1235"/>
      <c r="I1278" s="1536"/>
      <c r="J1278" s="1536"/>
      <c r="K1278" s="1537"/>
      <c r="L1278" s="1235"/>
      <c r="M1278" s="2089"/>
      <c r="N1278" s="1879"/>
      <c r="O1278" s="1628"/>
      <c r="P1278" s="1536"/>
      <c r="Q1278" s="1536"/>
      <c r="R1278" s="1567"/>
    </row>
    <row r="1279" spans="1:18">
      <c r="A1279" s="2003"/>
      <c r="B1279" s="1913"/>
      <c r="C1279" s="1536"/>
      <c r="D1279" s="1536"/>
      <c r="E1279" s="1536"/>
      <c r="F1279" s="1536"/>
      <c r="G1279" s="1536"/>
      <c r="H1279" s="1235"/>
      <c r="I1279" s="1536"/>
      <c r="J1279" s="1536"/>
      <c r="K1279" s="1537"/>
      <c r="L1279" s="1235"/>
      <c r="M1279" s="2089"/>
      <c r="N1279" s="1879"/>
      <c r="O1279" s="1628"/>
      <c r="P1279" s="1536"/>
      <c r="Q1279" s="1536"/>
      <c r="R1279" s="1567"/>
    </row>
    <row r="1280" spans="1:18">
      <c r="A1280" s="2003"/>
      <c r="B1280" s="1913"/>
      <c r="C1280" s="1536"/>
      <c r="D1280" s="1536"/>
      <c r="E1280" s="1536"/>
      <c r="F1280" s="1536"/>
      <c r="G1280" s="1536"/>
      <c r="H1280" s="1235"/>
      <c r="I1280" s="1536"/>
      <c r="J1280" s="1536"/>
      <c r="K1280" s="1537"/>
      <c r="L1280" s="1235"/>
      <c r="M1280" s="1236"/>
      <c r="N1280" s="1879"/>
      <c r="O1280" s="1628"/>
      <c r="P1280" s="1536"/>
      <c r="Q1280" s="1536"/>
      <c r="R1280" s="1567"/>
    </row>
    <row r="1281" spans="1:18">
      <c r="A1281" s="2003"/>
      <c r="B1281" s="1913"/>
      <c r="C1281" s="1536"/>
      <c r="D1281" s="1536"/>
      <c r="E1281" s="1536"/>
      <c r="F1281" s="1536"/>
      <c r="G1281" s="1536"/>
      <c r="H1281" s="1235"/>
      <c r="I1281" s="1536"/>
      <c r="J1281" s="1536"/>
      <c r="K1281" s="1537"/>
      <c r="L1281" s="1235"/>
      <c r="M1281" s="1236"/>
      <c r="N1281" s="1879"/>
      <c r="O1281" s="1628"/>
      <c r="P1281" s="1536"/>
      <c r="Q1281" s="1536"/>
      <c r="R1281" s="1567"/>
    </row>
    <row r="1282" spans="1:18">
      <c r="A1282" s="2003"/>
      <c r="B1282" s="1913"/>
      <c r="C1282" s="1536"/>
      <c r="D1282" s="1536"/>
      <c r="E1282" s="1536"/>
      <c r="F1282" s="1536"/>
      <c r="G1282" s="1536"/>
      <c r="H1282" s="1235"/>
      <c r="I1282" s="1536"/>
      <c r="J1282" s="1536"/>
      <c r="K1282" s="1537"/>
      <c r="L1282" s="1235"/>
      <c r="M1282" s="1236"/>
      <c r="N1282" s="1879"/>
      <c r="O1282" s="1628"/>
      <c r="P1282" s="1536"/>
      <c r="Q1282" s="1536"/>
      <c r="R1282" s="1567"/>
    </row>
    <row r="1283" spans="1:18">
      <c r="A1283" s="2003"/>
      <c r="B1283" s="1913"/>
      <c r="C1283" s="1536"/>
      <c r="D1283" s="1536"/>
      <c r="E1283" s="1536"/>
      <c r="F1283" s="1536"/>
      <c r="G1283" s="1536"/>
      <c r="H1283" s="1235"/>
      <c r="I1283" s="1536"/>
      <c r="J1283" s="1536"/>
      <c r="K1283" s="1537"/>
      <c r="L1283" s="1235"/>
      <c r="M1283" s="1236"/>
      <c r="N1283" s="1879"/>
      <c r="O1283" s="1628"/>
      <c r="P1283" s="1536"/>
      <c r="Q1283" s="1536"/>
      <c r="R1283" s="1567"/>
    </row>
    <row r="1284" spans="1:18">
      <c r="A1284" s="2003"/>
      <c r="B1284" s="1913"/>
      <c r="C1284" s="1536"/>
      <c r="D1284" s="1536"/>
      <c r="E1284" s="1536"/>
      <c r="F1284" s="1536"/>
      <c r="G1284" s="1536"/>
      <c r="H1284" s="1235"/>
      <c r="I1284" s="1536"/>
      <c r="J1284" s="1536"/>
      <c r="K1284" s="1537"/>
      <c r="L1284" s="1235"/>
      <c r="M1284" s="1236"/>
      <c r="N1284" s="1879"/>
      <c r="O1284" s="1628"/>
      <c r="P1284" s="1536"/>
      <c r="Q1284" s="1536"/>
      <c r="R1284" s="1567"/>
    </row>
    <row r="1285" spans="1:18">
      <c r="A1285" s="2003"/>
      <c r="B1285" s="1913"/>
      <c r="C1285" s="1536"/>
      <c r="D1285" s="1536"/>
      <c r="E1285" s="1536"/>
      <c r="F1285" s="1536"/>
      <c r="G1285" s="1536"/>
      <c r="H1285" s="1235"/>
      <c r="I1285" s="1536"/>
      <c r="J1285" s="1536"/>
      <c r="K1285" s="1537"/>
      <c r="L1285" s="1235"/>
      <c r="M1285" s="1236"/>
      <c r="N1285" s="1879"/>
      <c r="O1285" s="1628"/>
      <c r="P1285" s="1536"/>
      <c r="Q1285" s="1536"/>
      <c r="R1285" s="1567"/>
    </row>
    <row r="1286" spans="1:18">
      <c r="A1286" s="2003"/>
      <c r="B1286" s="1913"/>
      <c r="C1286" s="1536"/>
      <c r="D1286" s="1536"/>
      <c r="E1286" s="1536"/>
      <c r="F1286" s="1536"/>
      <c r="G1286" s="1536"/>
      <c r="H1286" s="1235"/>
      <c r="I1286" s="1536"/>
      <c r="J1286" s="1536"/>
      <c r="K1286" s="1537"/>
      <c r="L1286" s="1235"/>
      <c r="M1286" s="1236"/>
      <c r="N1286" s="1879"/>
      <c r="O1286" s="1628"/>
      <c r="P1286" s="1536"/>
      <c r="Q1286" s="1536"/>
      <c r="R1286" s="1567"/>
    </row>
    <row r="1287" spans="1:18">
      <c r="A1287" s="2003"/>
      <c r="B1287" s="1913"/>
      <c r="C1287" s="1536"/>
      <c r="D1287" s="1536"/>
      <c r="E1287" s="1536"/>
      <c r="F1287" s="1536"/>
      <c r="G1287" s="1536"/>
      <c r="H1287" s="1235"/>
      <c r="I1287" s="1536"/>
      <c r="J1287" s="1536"/>
      <c r="K1287" s="1537"/>
      <c r="L1287" s="1235"/>
      <c r="M1287" s="1236"/>
      <c r="N1287" s="1879"/>
      <c r="O1287" s="1628"/>
      <c r="P1287" s="1536"/>
      <c r="Q1287" s="1536"/>
      <c r="R1287" s="1567"/>
    </row>
    <row r="1288" spans="1:18">
      <c r="A1288" s="2003"/>
      <c r="B1288" s="1913"/>
      <c r="C1288" s="1536"/>
      <c r="D1288" s="1536"/>
      <c r="E1288" s="1536"/>
      <c r="F1288" s="1536"/>
      <c r="G1288" s="1536"/>
      <c r="H1288" s="1235"/>
      <c r="I1288" s="1536"/>
      <c r="J1288" s="1536"/>
      <c r="K1288" s="1537"/>
      <c r="L1288" s="1235"/>
      <c r="M1288" s="1236"/>
      <c r="N1288" s="1879"/>
      <c r="O1288" s="1628"/>
      <c r="P1288" s="1536"/>
      <c r="Q1288" s="1536"/>
      <c r="R1288" s="1567"/>
    </row>
    <row r="1289" spans="1:18">
      <c r="A1289" s="2003"/>
      <c r="B1289" s="1913"/>
      <c r="C1289" s="1536"/>
      <c r="D1289" s="1536"/>
      <c r="E1289" s="1536"/>
      <c r="F1289" s="1536"/>
      <c r="G1289" s="1536"/>
      <c r="H1289" s="1235"/>
      <c r="I1289" s="1536"/>
      <c r="J1289" s="1536"/>
      <c r="K1289" s="1537"/>
      <c r="L1289" s="1235"/>
      <c r="M1289" s="1236"/>
      <c r="N1289" s="1879"/>
      <c r="O1289" s="1628"/>
      <c r="P1289" s="1536"/>
      <c r="Q1289" s="1536"/>
      <c r="R1289" s="1567"/>
    </row>
    <row r="1290" spans="1:18">
      <c r="A1290" s="2003"/>
      <c r="B1290" s="1913"/>
      <c r="C1290" s="1536"/>
      <c r="D1290" s="1536"/>
      <c r="E1290" s="1536"/>
      <c r="F1290" s="1536"/>
      <c r="G1290" s="1536"/>
      <c r="H1290" s="1235"/>
      <c r="I1290" s="1536"/>
      <c r="J1290" s="1536"/>
      <c r="K1290" s="1537"/>
      <c r="L1290" s="1235"/>
      <c r="M1290" s="1236"/>
      <c r="N1290" s="1879"/>
      <c r="O1290" s="1628"/>
      <c r="P1290" s="1536"/>
      <c r="Q1290" s="1536"/>
      <c r="R1290" s="1567"/>
    </row>
    <row r="1291" spans="1:18">
      <c r="A1291" s="2003"/>
      <c r="B1291" s="1913"/>
      <c r="C1291" s="1536"/>
      <c r="D1291" s="1536"/>
      <c r="E1291" s="1536"/>
      <c r="F1291" s="1536"/>
      <c r="G1291" s="1536"/>
      <c r="H1291" s="1235"/>
      <c r="I1291" s="1536"/>
      <c r="J1291" s="1536"/>
      <c r="K1291" s="1537"/>
      <c r="L1291" s="1235"/>
      <c r="M1291" s="1236"/>
      <c r="N1291" s="1879"/>
      <c r="O1291" s="1628"/>
      <c r="P1291" s="1536"/>
      <c r="Q1291" s="1536"/>
      <c r="R1291" s="1567"/>
    </row>
    <row r="1292" spans="1:18">
      <c r="A1292" s="2003"/>
      <c r="B1292" s="1913"/>
      <c r="C1292" s="1536"/>
      <c r="D1292" s="1536"/>
      <c r="E1292" s="1536"/>
      <c r="F1292" s="1536"/>
      <c r="G1292" s="1536"/>
      <c r="H1292" s="1235"/>
      <c r="I1292" s="1536"/>
      <c r="J1292" s="1536"/>
      <c r="K1292" s="1537"/>
      <c r="L1292" s="1235"/>
      <c r="M1292" s="1236"/>
      <c r="N1292" s="1879"/>
      <c r="O1292" s="1628"/>
      <c r="P1292" s="1536"/>
      <c r="Q1292" s="1536"/>
      <c r="R1292" s="1567"/>
    </row>
    <row r="1293" spans="1:18">
      <c r="A1293" s="2003"/>
      <c r="B1293" s="1913"/>
      <c r="C1293" s="1536"/>
      <c r="D1293" s="1536"/>
      <c r="E1293" s="1536"/>
      <c r="F1293" s="1536"/>
      <c r="G1293" s="1536"/>
      <c r="H1293" s="1235"/>
      <c r="I1293" s="1536"/>
      <c r="J1293" s="1536"/>
      <c r="K1293" s="1537"/>
      <c r="L1293" s="1235"/>
      <c r="M1293" s="1236"/>
      <c r="N1293" s="1879"/>
      <c r="O1293" s="1628"/>
      <c r="P1293" s="1536"/>
      <c r="Q1293" s="1536"/>
      <c r="R1293" s="1567"/>
    </row>
    <row r="1294" spans="1:18">
      <c r="A1294" s="2003"/>
      <c r="B1294" s="1913"/>
      <c r="C1294" s="1536"/>
      <c r="D1294" s="1536"/>
      <c r="E1294" s="1536"/>
      <c r="F1294" s="1536"/>
      <c r="G1294" s="1536"/>
      <c r="H1294" s="1235"/>
      <c r="I1294" s="1536"/>
      <c r="J1294" s="1536"/>
      <c r="K1294" s="1537"/>
      <c r="L1294" s="1235"/>
      <c r="M1294" s="1236"/>
      <c r="N1294" s="1879"/>
      <c r="O1294" s="1628"/>
      <c r="P1294" s="1536"/>
      <c r="Q1294" s="1536"/>
      <c r="R1294" s="1567"/>
    </row>
    <row r="1295" spans="1:18">
      <c r="A1295" s="2003"/>
      <c r="B1295" s="1913"/>
      <c r="C1295" s="1536"/>
      <c r="D1295" s="1536"/>
      <c r="E1295" s="1536"/>
      <c r="F1295" s="1536"/>
      <c r="G1295" s="1536"/>
      <c r="H1295" s="1235"/>
      <c r="I1295" s="1536"/>
      <c r="J1295" s="1536"/>
      <c r="K1295" s="1537"/>
      <c r="L1295" s="1235"/>
      <c r="M1295" s="1236"/>
      <c r="N1295" s="1879"/>
      <c r="O1295" s="1628"/>
      <c r="P1295" s="1536"/>
      <c r="Q1295" s="1536"/>
      <c r="R1295" s="1567"/>
    </row>
    <row r="1296" spans="1:18">
      <c r="A1296" s="2003"/>
      <c r="B1296" s="1913"/>
      <c r="C1296" s="1536"/>
      <c r="D1296" s="1536"/>
      <c r="E1296" s="1536"/>
      <c r="F1296" s="1536"/>
      <c r="G1296" s="1536"/>
      <c r="H1296" s="1235"/>
      <c r="I1296" s="1536"/>
      <c r="J1296" s="1536"/>
      <c r="K1296" s="1537"/>
      <c r="L1296" s="1235"/>
      <c r="M1296" s="1236"/>
      <c r="N1296" s="1879"/>
      <c r="O1296" s="1628"/>
      <c r="P1296" s="1536"/>
      <c r="Q1296" s="1536"/>
      <c r="R1296" s="1567"/>
    </row>
    <row r="1297" spans="1:19">
      <c r="A1297" s="2003"/>
      <c r="B1297" s="1913"/>
      <c r="C1297" s="1536"/>
      <c r="D1297" s="1536"/>
      <c r="E1297" s="1536"/>
      <c r="F1297" s="1536"/>
      <c r="G1297" s="1536"/>
      <c r="H1297" s="1235"/>
      <c r="I1297" s="1536"/>
      <c r="J1297" s="1536"/>
      <c r="K1297" s="1537"/>
      <c r="L1297" s="1235"/>
      <c r="M1297" s="1236"/>
      <c r="N1297" s="1879"/>
      <c r="O1297" s="1628"/>
      <c r="P1297" s="1536"/>
      <c r="Q1297" s="1536"/>
      <c r="R1297" s="1567"/>
    </row>
    <row r="1298" spans="1:19">
      <c r="A1298" s="2003"/>
      <c r="B1298" s="1913"/>
      <c r="C1298" s="1536"/>
      <c r="D1298" s="1536"/>
      <c r="E1298" s="1536"/>
      <c r="F1298" s="1536"/>
      <c r="G1298" s="1536"/>
      <c r="H1298" s="1235"/>
      <c r="I1298" s="1536"/>
      <c r="J1298" s="1536"/>
      <c r="K1298" s="1537"/>
      <c r="L1298" s="1235"/>
      <c r="M1298" s="1236"/>
      <c r="N1298" s="1879"/>
      <c r="O1298" s="1628"/>
      <c r="P1298" s="1536"/>
      <c r="Q1298" s="1536"/>
      <c r="R1298" s="1567"/>
    </row>
    <row r="1299" spans="1:19">
      <c r="A1299" s="2003"/>
      <c r="B1299" s="1913"/>
      <c r="C1299" s="1536"/>
      <c r="D1299" s="1536"/>
      <c r="E1299" s="1536"/>
      <c r="F1299" s="1536"/>
      <c r="G1299" s="1536"/>
      <c r="H1299" s="1235"/>
      <c r="I1299" s="1536"/>
      <c r="J1299" s="1536"/>
      <c r="K1299" s="1537"/>
      <c r="L1299" s="1235"/>
      <c r="M1299" s="1236"/>
      <c r="N1299" s="1879"/>
      <c r="O1299" s="1628"/>
      <c r="P1299" s="1536"/>
      <c r="Q1299" s="1536"/>
      <c r="R1299" s="1567"/>
    </row>
    <row r="1300" spans="1:19">
      <c r="A1300" s="2003"/>
      <c r="B1300" s="1913"/>
      <c r="C1300" s="1536"/>
      <c r="D1300" s="1536"/>
      <c r="E1300" s="1536"/>
      <c r="F1300" s="1536"/>
      <c r="G1300" s="1536"/>
      <c r="H1300" s="1235"/>
      <c r="I1300" s="1536"/>
      <c r="J1300" s="1536"/>
      <c r="K1300" s="1537"/>
      <c r="L1300" s="1235"/>
      <c r="M1300" s="1236"/>
      <c r="N1300" s="1879"/>
      <c r="O1300" s="1628"/>
      <c r="P1300" s="1536"/>
      <c r="Q1300" s="1536"/>
      <c r="R1300" s="1567"/>
    </row>
    <row r="1301" spans="1:19">
      <c r="A1301" s="2003"/>
      <c r="B1301" s="1913"/>
      <c r="C1301" s="1536"/>
      <c r="D1301" s="1536"/>
      <c r="E1301" s="1536"/>
      <c r="F1301" s="1536"/>
      <c r="G1301" s="1536"/>
      <c r="H1301" s="1235"/>
      <c r="I1301" s="1536"/>
      <c r="J1301" s="1536"/>
      <c r="K1301" s="1537"/>
      <c r="L1301" s="1235"/>
      <c r="M1301" s="1236"/>
      <c r="N1301" s="1879"/>
      <c r="O1301" s="1628"/>
      <c r="P1301" s="1536"/>
      <c r="Q1301" s="1536"/>
      <c r="R1301" s="1567"/>
    </row>
    <row r="1302" spans="1:19">
      <c r="A1302" s="2003"/>
      <c r="B1302" s="1913"/>
      <c r="C1302" s="1536"/>
      <c r="D1302" s="1536"/>
      <c r="E1302" s="1536"/>
      <c r="F1302" s="1536"/>
      <c r="G1302" s="1536"/>
      <c r="H1302" s="1235"/>
      <c r="I1302" s="1536"/>
      <c r="J1302" s="1536"/>
      <c r="K1302" s="1537"/>
      <c r="L1302" s="1235"/>
      <c r="M1302" s="1236"/>
      <c r="N1302" s="1879"/>
      <c r="O1302" s="1628"/>
      <c r="P1302" s="1536"/>
      <c r="Q1302" s="1536"/>
      <c r="R1302" s="1567"/>
    </row>
    <row r="1303" spans="1:19">
      <c r="A1303" s="2003"/>
      <c r="B1303" s="1913"/>
      <c r="C1303" s="1536"/>
      <c r="D1303" s="1536"/>
      <c r="E1303" s="1536"/>
      <c r="F1303" s="1536"/>
      <c r="G1303" s="1536"/>
      <c r="H1303" s="1235"/>
      <c r="I1303" s="1536"/>
      <c r="J1303" s="1536"/>
      <c r="K1303" s="1556"/>
      <c r="L1303" s="1235"/>
      <c r="M1303" s="1236"/>
      <c r="N1303" s="1879"/>
      <c r="O1303" s="1628"/>
      <c r="P1303" s="1536"/>
      <c r="Q1303" s="1536"/>
      <c r="R1303" s="1567"/>
    </row>
    <row r="1304" spans="1:19" ht="16.2" thickBot="1">
      <c r="A1304" s="2093"/>
      <c r="B1304" s="2217"/>
      <c r="C1304" s="1568"/>
      <c r="D1304" s="1568"/>
      <c r="E1304" s="1568"/>
      <c r="F1304" s="1568"/>
      <c r="G1304" s="1568"/>
      <c r="H1304" s="969"/>
      <c r="I1304" s="1568"/>
      <c r="J1304" s="2271"/>
      <c r="K1304" s="1569"/>
      <c r="L1304" s="2272"/>
      <c r="M1304" s="2050"/>
      <c r="N1304" s="2256"/>
      <c r="O1304" s="2051"/>
      <c r="P1304" s="1568"/>
      <c r="Q1304" s="1568"/>
      <c r="R1304" s="1652"/>
    </row>
    <row r="1305" spans="1:19" ht="16.2" thickBot="1">
      <c r="A1305" s="2278"/>
      <c r="B1305" s="2215"/>
      <c r="C1305" s="1564"/>
      <c r="D1305" s="1564"/>
      <c r="E1305" s="1564"/>
      <c r="F1305" s="1564"/>
      <c r="G1305" s="1564"/>
      <c r="H1305" s="966"/>
      <c r="I1305" s="1564"/>
      <c r="J1305" s="1564"/>
      <c r="K1305" s="1565"/>
      <c r="L1305" s="2013"/>
      <c r="M1305" s="2279"/>
      <c r="N1305" s="2280"/>
      <c r="O1305" s="2015"/>
      <c r="P1305" s="1564"/>
      <c r="Q1305" s="1564"/>
      <c r="R1305" s="1566"/>
      <c r="S1305" s="1423" t="s">
        <v>576</v>
      </c>
    </row>
    <row r="1306" spans="1:19" ht="16.2" thickBot="1">
      <c r="A1306" s="2278"/>
      <c r="B1306" s="2204"/>
      <c r="C1306" s="1536"/>
      <c r="D1306" s="1536"/>
      <c r="E1306" s="1536"/>
      <c r="F1306" s="1536"/>
      <c r="G1306" s="1536"/>
      <c r="H1306" s="1235"/>
      <c r="I1306" s="1536"/>
      <c r="J1306" s="1536"/>
      <c r="K1306" s="1555"/>
      <c r="L1306" s="2011"/>
      <c r="M1306" s="2018"/>
      <c r="N1306" s="2250"/>
      <c r="O1306" s="1631"/>
      <c r="P1306" s="1536"/>
      <c r="Q1306" s="1536"/>
      <c r="R1306" s="1567"/>
    </row>
    <row r="1307" spans="1:19" ht="16.2" thickBot="1">
      <c r="A1307" s="2278"/>
      <c r="B1307" s="2204"/>
      <c r="C1307" s="1536"/>
      <c r="D1307" s="1536"/>
      <c r="E1307" s="1536"/>
      <c r="F1307" s="1536"/>
      <c r="G1307" s="1536"/>
      <c r="H1307" s="1235"/>
      <c r="I1307" s="1614"/>
      <c r="J1307" s="1526"/>
      <c r="K1307" s="1555"/>
      <c r="L1307" s="2011"/>
      <c r="M1307" s="2018"/>
      <c r="N1307" s="2250"/>
      <c r="O1307" s="1631"/>
      <c r="P1307" s="1536"/>
      <c r="Q1307" s="1536"/>
      <c r="R1307" s="1567"/>
    </row>
    <row r="1308" spans="1:19" ht="16.2" thickBot="1">
      <c r="A1308" s="2278"/>
      <c r="B1308" s="2204"/>
      <c r="C1308" s="1536"/>
      <c r="D1308" s="1536"/>
      <c r="E1308" s="1536"/>
      <c r="F1308" s="1536"/>
      <c r="G1308" s="1536"/>
      <c r="H1308" s="1235"/>
      <c r="I1308" s="1536"/>
      <c r="J1308" s="1536"/>
      <c r="K1308" s="1555"/>
      <c r="L1308" s="2011"/>
      <c r="M1308" s="2018"/>
      <c r="N1308" s="2250"/>
      <c r="O1308" s="1631"/>
      <c r="P1308" s="1536"/>
      <c r="Q1308" s="1536"/>
      <c r="R1308" s="1567"/>
    </row>
    <row r="1309" spans="1:19" ht="16.2" thickBot="1">
      <c r="A1309" s="2278"/>
      <c r="B1309" s="2204"/>
      <c r="C1309" s="1536"/>
      <c r="D1309" s="1536"/>
      <c r="E1309" s="1536"/>
      <c r="F1309" s="1536"/>
      <c r="G1309" s="1536"/>
      <c r="H1309" s="1235"/>
      <c r="I1309" s="1536"/>
      <c r="J1309" s="1536"/>
      <c r="K1309" s="1555"/>
      <c r="L1309" s="2011"/>
      <c r="M1309" s="2018"/>
      <c r="N1309" s="2250"/>
      <c r="O1309" s="1631"/>
      <c r="P1309" s="1536"/>
      <c r="Q1309" s="1536"/>
      <c r="R1309" s="1567"/>
      <c r="S1309" s="1423" t="s">
        <v>574</v>
      </c>
    </row>
    <row r="1310" spans="1:19" ht="16.2" thickBot="1">
      <c r="A1310" s="2278"/>
      <c r="B1310" s="2204"/>
      <c r="C1310" s="1536"/>
      <c r="D1310" s="1536"/>
      <c r="E1310" s="1536"/>
      <c r="F1310" s="1536"/>
      <c r="G1310" s="1536"/>
      <c r="H1310" s="1235"/>
      <c r="I1310" s="1536"/>
      <c r="J1310" s="1536"/>
      <c r="K1310" s="1555"/>
      <c r="L1310" s="2011"/>
      <c r="M1310" s="2018"/>
      <c r="N1310" s="2250"/>
      <c r="O1310" s="1631"/>
      <c r="P1310" s="1536"/>
      <c r="Q1310" s="1536"/>
      <c r="R1310" s="1567"/>
    </row>
    <row r="1311" spans="1:19" ht="16.2" thickBot="1">
      <c r="A1311" s="2278"/>
      <c r="B1311" s="2204"/>
      <c r="C1311" s="1536"/>
      <c r="D1311" s="1536"/>
      <c r="E1311" s="1536"/>
      <c r="F1311" s="1536"/>
      <c r="G1311" s="1536"/>
      <c r="H1311" s="1235"/>
      <c r="I1311" s="1536"/>
      <c r="J1311" s="1536"/>
      <c r="K1311" s="1555"/>
      <c r="L1311" s="2011"/>
      <c r="M1311" s="2018"/>
      <c r="N1311" s="2250"/>
      <c r="O1311" s="1631"/>
      <c r="P1311" s="1536"/>
      <c r="Q1311" s="1536"/>
      <c r="R1311" s="1567"/>
    </row>
    <row r="1312" spans="1:19" ht="16.2" thickBot="1">
      <c r="A1312" s="2278"/>
      <c r="B1312" s="2204"/>
      <c r="C1312" s="1536"/>
      <c r="D1312" s="1536"/>
      <c r="E1312" s="1536"/>
      <c r="F1312" s="1536"/>
      <c r="G1312" s="1536"/>
      <c r="H1312" s="1235"/>
      <c r="I1312" s="1536"/>
      <c r="J1312" s="1536"/>
      <c r="K1312" s="1555"/>
      <c r="L1312" s="2011"/>
      <c r="M1312" s="2018"/>
      <c r="N1312" s="2250"/>
      <c r="O1312" s="1631"/>
      <c r="P1312" s="1536"/>
      <c r="Q1312" s="1536"/>
      <c r="R1312" s="1567"/>
    </row>
    <row r="1313" spans="1:18" ht="16.2" thickBot="1">
      <c r="A1313" s="2278"/>
      <c r="B1313" s="2204"/>
      <c r="C1313" s="1536"/>
      <c r="D1313" s="1536"/>
      <c r="E1313" s="1536"/>
      <c r="F1313" s="1536"/>
      <c r="G1313" s="1536"/>
      <c r="H1313" s="1235"/>
      <c r="I1313" s="1536"/>
      <c r="J1313" s="1536"/>
      <c r="K1313" s="1555"/>
      <c r="L1313" s="2011"/>
      <c r="M1313" s="2018"/>
      <c r="N1313" s="2250"/>
      <c r="O1313" s="1631"/>
      <c r="P1313" s="1536"/>
      <c r="Q1313" s="1536"/>
      <c r="R1313" s="1567"/>
    </row>
    <row r="1314" spans="1:18" ht="16.2" thickBot="1">
      <c r="A1314" s="2278"/>
      <c r="B1314" s="2204"/>
      <c r="C1314" s="1536"/>
      <c r="D1314" s="1536"/>
      <c r="E1314" s="1536"/>
      <c r="F1314" s="1536"/>
      <c r="G1314" s="1536"/>
      <c r="H1314" s="1235"/>
      <c r="I1314" s="1536"/>
      <c r="J1314" s="1536"/>
      <c r="K1314" s="1555"/>
      <c r="L1314" s="2011"/>
      <c r="M1314" s="2018"/>
      <c r="N1314" s="2250"/>
      <c r="O1314" s="1631"/>
      <c r="P1314" s="1536"/>
      <c r="Q1314" s="1536"/>
      <c r="R1314" s="1567"/>
    </row>
    <row r="1315" spans="1:18" ht="16.2" thickBot="1">
      <c r="A1315" s="2278"/>
      <c r="B1315" s="2204"/>
      <c r="C1315" s="1536"/>
      <c r="D1315" s="1536"/>
      <c r="E1315" s="1536"/>
      <c r="F1315" s="1536"/>
      <c r="G1315" s="1536"/>
      <c r="H1315" s="1235"/>
      <c r="I1315" s="1536"/>
      <c r="J1315" s="1536"/>
      <c r="K1315" s="1555"/>
      <c r="L1315" s="2011"/>
      <c r="M1315" s="2018"/>
      <c r="N1315" s="2250"/>
      <c r="O1315" s="1631"/>
      <c r="P1315" s="1536"/>
      <c r="Q1315" s="1536"/>
      <c r="R1315" s="1567"/>
    </row>
    <row r="1316" spans="1:18" ht="16.2" thickBot="1">
      <c r="A1316" s="2278"/>
      <c r="B1316" s="2204"/>
      <c r="C1316" s="1536"/>
      <c r="D1316" s="1536"/>
      <c r="E1316" s="1536"/>
      <c r="F1316" s="1536"/>
      <c r="G1316" s="1536"/>
      <c r="H1316" s="1235"/>
      <c r="I1316" s="1536"/>
      <c r="J1316" s="1536"/>
      <c r="K1316" s="1555"/>
      <c r="L1316" s="2011"/>
      <c r="M1316" s="2018"/>
      <c r="N1316" s="2250"/>
      <c r="O1316" s="1631"/>
      <c r="P1316" s="1536"/>
      <c r="Q1316" s="1536"/>
      <c r="R1316" s="1567"/>
    </row>
    <row r="1317" spans="1:18" ht="16.2" thickBot="1">
      <c r="A1317" s="2278"/>
      <c r="B1317" s="2204"/>
      <c r="C1317" s="1536"/>
      <c r="D1317" s="1536"/>
      <c r="E1317" s="1536"/>
      <c r="F1317" s="1536"/>
      <c r="G1317" s="1536"/>
      <c r="H1317" s="1235"/>
      <c r="I1317" s="1536"/>
      <c r="J1317" s="1536"/>
      <c r="K1317" s="1555"/>
      <c r="L1317" s="2011"/>
      <c r="M1317" s="2018"/>
      <c r="N1317" s="2250"/>
      <c r="O1317" s="1631"/>
      <c r="P1317" s="1536"/>
      <c r="Q1317" s="1536"/>
      <c r="R1317" s="1567"/>
    </row>
    <row r="1318" spans="1:18" ht="16.2" thickBot="1">
      <c r="A1318" s="2278"/>
      <c r="B1318" s="2204"/>
      <c r="C1318" s="1536"/>
      <c r="D1318" s="1536"/>
      <c r="E1318" s="1536"/>
      <c r="F1318" s="1536"/>
      <c r="G1318" s="1536"/>
      <c r="H1318" s="1235"/>
      <c r="I1318" s="1536"/>
      <c r="J1318" s="1536"/>
      <c r="K1318" s="1555"/>
      <c r="L1318" s="2011"/>
      <c r="M1318" s="2018"/>
      <c r="N1318" s="2250"/>
      <c r="O1318" s="1631"/>
      <c r="P1318" s="1536"/>
      <c r="Q1318" s="1536"/>
      <c r="R1318" s="1567"/>
    </row>
    <row r="1319" spans="1:18" ht="16.2" thickBot="1">
      <c r="A1319" s="2278"/>
      <c r="B1319" s="2204"/>
      <c r="C1319" s="1536"/>
      <c r="D1319" s="1536"/>
      <c r="E1319" s="1536"/>
      <c r="F1319" s="1536"/>
      <c r="G1319" s="1536"/>
      <c r="H1319" s="1235"/>
      <c r="I1319" s="1536"/>
      <c r="J1319" s="1536"/>
      <c r="K1319" s="1555"/>
      <c r="L1319" s="2011"/>
      <c r="M1319" s="2018"/>
      <c r="N1319" s="2250"/>
      <c r="O1319" s="1631"/>
      <c r="P1319" s="1536"/>
      <c r="Q1319" s="1536"/>
      <c r="R1319" s="1567"/>
    </row>
    <row r="1320" spans="1:18" ht="16.2" thickBot="1">
      <c r="A1320" s="2278"/>
      <c r="B1320" s="2204"/>
      <c r="C1320" s="1536"/>
      <c r="D1320" s="1536"/>
      <c r="E1320" s="1536"/>
      <c r="F1320" s="1536"/>
      <c r="G1320" s="1536"/>
      <c r="H1320" s="1235"/>
      <c r="I1320" s="1536"/>
      <c r="J1320" s="1536"/>
      <c r="K1320" s="1555"/>
      <c r="L1320" s="2011"/>
      <c r="M1320" s="2018"/>
      <c r="N1320" s="2250"/>
      <c r="O1320" s="1631"/>
      <c r="P1320" s="1536"/>
      <c r="Q1320" s="1536"/>
      <c r="R1320" s="1567"/>
    </row>
    <row r="1321" spans="1:18" ht="16.2" thickBot="1">
      <c r="A1321" s="2278"/>
      <c r="B1321" s="2204"/>
      <c r="C1321" s="1536"/>
      <c r="D1321" s="1536"/>
      <c r="E1321" s="1536"/>
      <c r="F1321" s="1536"/>
      <c r="G1321" s="1536"/>
      <c r="H1321" s="1235"/>
      <c r="I1321" s="1536"/>
      <c r="J1321" s="1536"/>
      <c r="K1321" s="1555"/>
      <c r="L1321" s="2011"/>
      <c r="M1321" s="2018"/>
      <c r="N1321" s="2250"/>
      <c r="O1321" s="1631"/>
      <c r="P1321" s="1536"/>
      <c r="Q1321" s="1536"/>
      <c r="R1321" s="1567"/>
    </row>
    <row r="1322" spans="1:18" ht="16.2" thickBot="1">
      <c r="A1322" s="2278"/>
      <c r="B1322" s="2204"/>
      <c r="C1322" s="1536"/>
      <c r="D1322" s="1536"/>
      <c r="E1322" s="1536"/>
      <c r="F1322" s="1536"/>
      <c r="G1322" s="1536"/>
      <c r="H1322" s="1235"/>
      <c r="I1322" s="1536"/>
      <c r="J1322" s="1536"/>
      <c r="K1322" s="1555"/>
      <c r="L1322" s="2011"/>
      <c r="M1322" s="2018"/>
      <c r="N1322" s="2250"/>
      <c r="O1322" s="1631"/>
      <c r="P1322" s="1536"/>
      <c r="Q1322" s="1536"/>
      <c r="R1322" s="1567"/>
    </row>
    <row r="1323" spans="1:18" ht="16.2" thickBot="1">
      <c r="A1323" s="2278"/>
      <c r="B1323" s="2204"/>
      <c r="C1323" s="1536"/>
      <c r="D1323" s="1536"/>
      <c r="E1323" s="1536"/>
      <c r="F1323" s="1536"/>
      <c r="G1323" s="1536"/>
      <c r="H1323" s="1235"/>
      <c r="I1323" s="1536"/>
      <c r="J1323" s="1536"/>
      <c r="K1323" s="1555"/>
      <c r="L1323" s="2011"/>
      <c r="M1323" s="2018"/>
      <c r="N1323" s="2250"/>
      <c r="O1323" s="1631"/>
      <c r="P1323" s="1536"/>
      <c r="Q1323" s="1536"/>
      <c r="R1323" s="1567"/>
    </row>
    <row r="1324" spans="1:18" ht="16.2" thickBot="1">
      <c r="A1324" s="2278"/>
      <c r="B1324" s="2204"/>
      <c r="C1324" s="1536"/>
      <c r="D1324" s="1536"/>
      <c r="E1324" s="1536"/>
      <c r="F1324" s="1536"/>
      <c r="G1324" s="1536"/>
      <c r="H1324" s="1235"/>
      <c r="I1324" s="1536"/>
      <c r="J1324" s="1536"/>
      <c r="K1324" s="1555"/>
      <c r="L1324" s="1708"/>
      <c r="M1324" s="2018"/>
      <c r="N1324" s="2250"/>
      <c r="O1324" s="1631"/>
      <c r="P1324" s="1536"/>
      <c r="Q1324" s="1536"/>
      <c r="R1324" s="1567"/>
    </row>
    <row r="1325" spans="1:18" ht="16.2" thickBot="1">
      <c r="A1325" s="2278"/>
      <c r="B1325" s="2204"/>
      <c r="C1325" s="1536"/>
      <c r="D1325" s="1536"/>
      <c r="E1325" s="1536"/>
      <c r="F1325" s="1536"/>
      <c r="G1325" s="1536"/>
      <c r="H1325" s="1235"/>
      <c r="I1325" s="1536"/>
      <c r="J1325" s="1536"/>
      <c r="K1325" s="1537"/>
      <c r="L1325" s="1708"/>
      <c r="M1325" s="2018"/>
      <c r="N1325" s="2250"/>
      <c r="O1325" s="1631"/>
      <c r="P1325" s="1536"/>
      <c r="Q1325" s="1536"/>
      <c r="R1325" s="1567"/>
    </row>
    <row r="1326" spans="1:18" ht="16.2" thickBot="1">
      <c r="A1326" s="2278"/>
      <c r="B1326" s="2204"/>
      <c r="C1326" s="1536"/>
      <c r="D1326" s="1536"/>
      <c r="E1326" s="1536"/>
      <c r="F1326" s="1536"/>
      <c r="G1326" s="1536"/>
      <c r="H1326" s="1235"/>
      <c r="I1326" s="1536"/>
      <c r="J1326" s="1536"/>
      <c r="K1326" s="1537"/>
      <c r="L1326" s="1708"/>
      <c r="M1326" s="2018"/>
      <c r="N1326" s="2250"/>
      <c r="O1326" s="1631"/>
      <c r="P1326" s="1536"/>
      <c r="Q1326" s="1536"/>
      <c r="R1326" s="1567"/>
    </row>
    <row r="1327" spans="1:18" ht="16.2" thickBot="1">
      <c r="A1327" s="2278"/>
      <c r="B1327" s="2204"/>
      <c r="C1327" s="1536"/>
      <c r="D1327" s="1536"/>
      <c r="E1327" s="1536"/>
      <c r="F1327" s="1536"/>
      <c r="G1327" s="1536"/>
      <c r="H1327" s="1235"/>
      <c r="I1327" s="1536"/>
      <c r="J1327" s="1536"/>
      <c r="K1327" s="1537"/>
      <c r="L1327" s="1708"/>
      <c r="M1327" s="2018"/>
      <c r="N1327" s="2250"/>
      <c r="O1327" s="1631"/>
      <c r="P1327" s="1536"/>
      <c r="Q1327" s="1536"/>
      <c r="R1327" s="1567"/>
    </row>
    <row r="1328" spans="1:18" ht="16.2" thickBot="1">
      <c r="A1328" s="2278"/>
      <c r="B1328" s="2204"/>
      <c r="C1328" s="1536"/>
      <c r="D1328" s="1536"/>
      <c r="E1328" s="1536"/>
      <c r="F1328" s="1536"/>
      <c r="G1328" s="1536"/>
      <c r="H1328" s="1235"/>
      <c r="I1328" s="1536"/>
      <c r="J1328" s="1536"/>
      <c r="K1328" s="1537"/>
      <c r="L1328" s="1708"/>
      <c r="M1328" s="2018"/>
      <c r="N1328" s="2250"/>
      <c r="O1328" s="1631"/>
      <c r="P1328" s="1536"/>
      <c r="Q1328" s="1536"/>
      <c r="R1328" s="1567"/>
    </row>
    <row r="1329" spans="1:18" ht="16.2" thickBot="1">
      <c r="A1329" s="2278"/>
      <c r="B1329" s="2204"/>
      <c r="C1329" s="1536"/>
      <c r="D1329" s="1536"/>
      <c r="E1329" s="1536"/>
      <c r="F1329" s="1536"/>
      <c r="G1329" s="1536"/>
      <c r="H1329" s="1235"/>
      <c r="I1329" s="1536"/>
      <c r="J1329" s="1536"/>
      <c r="K1329" s="1537"/>
      <c r="L1329" s="1708"/>
      <c r="M1329" s="2018"/>
      <c r="N1329" s="2250"/>
      <c r="O1329" s="1631"/>
      <c r="P1329" s="1536"/>
      <c r="Q1329" s="1536"/>
      <c r="R1329" s="1567"/>
    </row>
    <row r="1330" spans="1:18" ht="16.2" thickBot="1">
      <c r="A1330" s="2278"/>
      <c r="B1330" s="2204"/>
      <c r="C1330" s="1536"/>
      <c r="D1330" s="1536"/>
      <c r="E1330" s="1536"/>
      <c r="F1330" s="1536"/>
      <c r="G1330" s="1536"/>
      <c r="H1330" s="1235"/>
      <c r="I1330" s="1536"/>
      <c r="J1330" s="1536"/>
      <c r="K1330" s="1537"/>
      <c r="L1330" s="1708"/>
      <c r="M1330" s="2018"/>
      <c r="N1330" s="2250"/>
      <c r="O1330" s="1631"/>
      <c r="P1330" s="1536"/>
      <c r="Q1330" s="1536"/>
      <c r="R1330" s="1567"/>
    </row>
    <row r="1331" spans="1:18" ht="16.2" thickBot="1">
      <c r="A1331" s="2278"/>
      <c r="B1331" s="2204"/>
      <c r="C1331" s="1536"/>
      <c r="D1331" s="1536"/>
      <c r="E1331" s="1536"/>
      <c r="F1331" s="1536"/>
      <c r="G1331" s="1536"/>
      <c r="H1331" s="1235"/>
      <c r="I1331" s="1536"/>
      <c r="J1331" s="1536"/>
      <c r="K1331" s="1537"/>
      <c r="L1331" s="1708"/>
      <c r="M1331" s="2018"/>
      <c r="N1331" s="2250"/>
      <c r="O1331" s="1631"/>
      <c r="P1331" s="1536"/>
      <c r="Q1331" s="1536"/>
      <c r="R1331" s="1567"/>
    </row>
    <row r="1332" spans="1:18" ht="16.2" thickBot="1">
      <c r="A1332" s="2278"/>
      <c r="B1332" s="2204"/>
      <c r="C1332" s="1536"/>
      <c r="D1332" s="1536"/>
      <c r="E1332" s="1536"/>
      <c r="F1332" s="1536"/>
      <c r="G1332" s="1536"/>
      <c r="H1332" s="1235"/>
      <c r="I1332" s="1536"/>
      <c r="J1332" s="1536"/>
      <c r="K1332" s="1537"/>
      <c r="L1332" s="1708"/>
      <c r="M1332" s="2018"/>
      <c r="N1332" s="2250"/>
      <c r="O1332" s="1631"/>
      <c r="P1332" s="1536"/>
      <c r="Q1332" s="1536"/>
      <c r="R1332" s="1567"/>
    </row>
    <row r="1333" spans="1:18" ht="16.2" thickBot="1">
      <c r="A1333" s="2278"/>
      <c r="B1333" s="2204"/>
      <c r="C1333" s="1536"/>
      <c r="D1333" s="1536"/>
      <c r="E1333" s="1536"/>
      <c r="F1333" s="1536"/>
      <c r="G1333" s="1536"/>
      <c r="H1333" s="1235"/>
      <c r="I1333" s="1536"/>
      <c r="J1333" s="1536"/>
      <c r="K1333" s="1537"/>
      <c r="L1333" s="1708"/>
      <c r="M1333" s="2018"/>
      <c r="N1333" s="2250"/>
      <c r="O1333" s="1631"/>
      <c r="P1333" s="1536"/>
      <c r="Q1333" s="1536"/>
      <c r="R1333" s="1567"/>
    </row>
    <row r="1334" spans="1:18" ht="16.2" thickBot="1">
      <c r="A1334" s="2278"/>
      <c r="B1334" s="2204"/>
      <c r="C1334" s="1536"/>
      <c r="D1334" s="1536"/>
      <c r="E1334" s="1536"/>
      <c r="F1334" s="1536"/>
      <c r="G1334" s="1536"/>
      <c r="H1334" s="1235"/>
      <c r="I1334" s="1536"/>
      <c r="J1334" s="1536"/>
      <c r="K1334" s="1537"/>
      <c r="L1334" s="1708"/>
      <c r="M1334" s="2018"/>
      <c r="N1334" s="2250"/>
      <c r="O1334" s="1631"/>
      <c r="P1334" s="1536"/>
      <c r="Q1334" s="1536"/>
      <c r="R1334" s="1567"/>
    </row>
    <row r="1335" spans="1:18" ht="16.2" thickBot="1">
      <c r="A1335" s="2278"/>
      <c r="B1335" s="2204"/>
      <c r="C1335" s="1536"/>
      <c r="D1335" s="1536"/>
      <c r="E1335" s="1536"/>
      <c r="F1335" s="1536"/>
      <c r="G1335" s="1536"/>
      <c r="H1335" s="1235"/>
      <c r="I1335" s="1536"/>
      <c r="J1335" s="1536"/>
      <c r="K1335" s="1537"/>
      <c r="L1335" s="1708"/>
      <c r="M1335" s="2018"/>
      <c r="N1335" s="2250"/>
      <c r="O1335" s="1631"/>
      <c r="P1335" s="1536"/>
      <c r="Q1335" s="1536"/>
      <c r="R1335" s="1567"/>
    </row>
    <row r="1336" spans="1:18" ht="16.2" thickBot="1">
      <c r="A1336" s="2278"/>
      <c r="B1336" s="2219"/>
      <c r="C1336" s="1568"/>
      <c r="D1336" s="1568"/>
      <c r="E1336" s="1568"/>
      <c r="F1336" s="1568"/>
      <c r="G1336" s="1568"/>
      <c r="H1336" s="969"/>
      <c r="I1336" s="1568"/>
      <c r="J1336" s="1568"/>
      <c r="K1336" s="1569"/>
      <c r="L1336" s="2014"/>
      <c r="M1336" s="2281"/>
      <c r="N1336" s="2282"/>
      <c r="O1336" s="2017"/>
      <c r="P1336" s="1568"/>
      <c r="Q1336" s="1568"/>
      <c r="R1336" s="1652"/>
    </row>
    <row r="1337" spans="1:18">
      <c r="A1337" s="1810"/>
      <c r="B1337" s="2208"/>
      <c r="C1337" s="1552"/>
      <c r="D1337" s="1552"/>
      <c r="E1337" s="1552"/>
      <c r="F1337" s="1552"/>
      <c r="G1337" s="1552"/>
      <c r="H1337" s="1539"/>
      <c r="I1337" s="1552"/>
      <c r="J1337" s="1552"/>
      <c r="K1337" s="1555"/>
      <c r="L1337" s="2011"/>
      <c r="M1337" s="2019"/>
      <c r="N1337" s="2252"/>
      <c r="O1337" s="1630"/>
      <c r="P1337" s="1552"/>
      <c r="Q1337" s="1552"/>
      <c r="R1337" s="1698"/>
    </row>
    <row r="1338" spans="1:18">
      <c r="A1338" s="1637"/>
      <c r="B1338" s="2204"/>
      <c r="C1338" s="1536"/>
      <c r="D1338" s="1536"/>
      <c r="E1338" s="1536"/>
      <c r="F1338" s="1536"/>
      <c r="G1338" s="1536"/>
      <c r="H1338" s="1235"/>
      <c r="I1338" s="1536"/>
      <c r="J1338" s="1536"/>
      <c r="K1338" s="1537"/>
      <c r="L1338" s="1708"/>
      <c r="M1338" s="2018"/>
      <c r="N1338" s="2250"/>
      <c r="O1338" s="1631"/>
      <c r="P1338" s="1536"/>
      <c r="Q1338" s="1536"/>
      <c r="R1338" s="1567"/>
    </row>
    <row r="1339" spans="1:18">
      <c r="A1339" s="1637"/>
      <c r="B1339" s="2204"/>
      <c r="C1339" s="1536"/>
      <c r="D1339" s="1536"/>
      <c r="E1339" s="1536"/>
      <c r="F1339" s="1536"/>
      <c r="G1339" s="1536"/>
      <c r="H1339" s="1235"/>
      <c r="I1339" s="1536"/>
      <c r="J1339" s="1536"/>
      <c r="K1339" s="1537"/>
      <c r="L1339" s="1708"/>
      <c r="M1339" s="2018"/>
      <c r="N1339" s="2250"/>
      <c r="O1339" s="1631"/>
      <c r="P1339" s="1536"/>
      <c r="Q1339" s="1536"/>
      <c r="R1339" s="1567"/>
    </row>
    <row r="1340" spans="1:18">
      <c r="A1340" s="1637"/>
      <c r="B1340" s="2204"/>
      <c r="C1340" s="1536"/>
      <c r="D1340" s="1536"/>
      <c r="E1340" s="1536"/>
      <c r="F1340" s="1536"/>
      <c r="G1340" s="1536"/>
      <c r="H1340" s="1235"/>
      <c r="I1340" s="1536"/>
      <c r="J1340" s="1536"/>
      <c r="K1340" s="1537"/>
      <c r="L1340" s="1708"/>
      <c r="M1340" s="2018"/>
      <c r="N1340" s="2250"/>
      <c r="O1340" s="1631"/>
      <c r="P1340" s="1536"/>
      <c r="Q1340" s="1536"/>
      <c r="R1340" s="1567"/>
    </row>
    <row r="1341" spans="1:18">
      <c r="A1341" s="1637"/>
      <c r="B1341" s="2204"/>
      <c r="C1341" s="1536"/>
      <c r="D1341" s="1536"/>
      <c r="E1341" s="1536"/>
      <c r="F1341" s="1536"/>
      <c r="G1341" s="1536"/>
      <c r="H1341" s="1235"/>
      <c r="I1341" s="1536"/>
      <c r="J1341" s="1536"/>
      <c r="K1341" s="1537"/>
      <c r="L1341" s="1708"/>
      <c r="M1341" s="2018"/>
      <c r="N1341" s="2250"/>
      <c r="O1341" s="1631"/>
      <c r="P1341" s="1536"/>
      <c r="Q1341" s="1536"/>
      <c r="R1341" s="1567"/>
    </row>
    <row r="1342" spans="1:18">
      <c r="A1342" s="1637"/>
      <c r="B1342" s="2204"/>
      <c r="C1342" s="1536"/>
      <c r="D1342" s="1536"/>
      <c r="E1342" s="1536"/>
      <c r="F1342" s="1536"/>
      <c r="G1342" s="1536"/>
      <c r="H1342" s="1235"/>
      <c r="I1342" s="1536"/>
      <c r="J1342" s="1536"/>
      <c r="K1342" s="1537"/>
      <c r="L1342" s="1708"/>
      <c r="M1342" s="2018"/>
      <c r="N1342" s="2250"/>
      <c r="O1342" s="1631"/>
      <c r="P1342" s="1536"/>
      <c r="Q1342" s="1536"/>
      <c r="R1342" s="1567"/>
    </row>
    <row r="1343" spans="1:18">
      <c r="A1343" s="1637"/>
      <c r="B1343" s="2204"/>
      <c r="C1343" s="1536"/>
      <c r="D1343" s="1536"/>
      <c r="E1343" s="1536"/>
      <c r="F1343" s="1536"/>
      <c r="G1343" s="1536"/>
      <c r="H1343" s="1235"/>
      <c r="I1343" s="1536"/>
      <c r="J1343" s="1536"/>
      <c r="K1343" s="1537"/>
      <c r="L1343" s="1708"/>
      <c r="M1343" s="2018"/>
      <c r="N1343" s="2250"/>
      <c r="O1343" s="1631"/>
      <c r="P1343" s="1536"/>
      <c r="Q1343" s="1536"/>
      <c r="R1343" s="1567"/>
    </row>
    <row r="1344" spans="1:18">
      <c r="A1344" s="1637"/>
      <c r="B1344" s="2204"/>
      <c r="C1344" s="1536"/>
      <c r="D1344" s="1536"/>
      <c r="E1344" s="1536"/>
      <c r="F1344" s="1536"/>
      <c r="G1344" s="1536"/>
      <c r="H1344" s="1235"/>
      <c r="I1344" s="1536"/>
      <c r="J1344" s="1536"/>
      <c r="K1344" s="1537"/>
      <c r="L1344" s="1708"/>
      <c r="M1344" s="2018"/>
      <c r="N1344" s="2250"/>
      <c r="O1344" s="1631"/>
      <c r="P1344" s="1536"/>
      <c r="Q1344" s="1536"/>
      <c r="R1344" s="1567"/>
    </row>
    <row r="1345" spans="1:18">
      <c r="A1345" s="1637"/>
      <c r="B1345" s="2204"/>
      <c r="C1345" s="1536"/>
      <c r="D1345" s="1536"/>
      <c r="E1345" s="1536"/>
      <c r="F1345" s="1536"/>
      <c r="G1345" s="1536"/>
      <c r="H1345" s="1235"/>
      <c r="I1345" s="1536"/>
      <c r="J1345" s="1536"/>
      <c r="K1345" s="1537"/>
      <c r="L1345" s="1708"/>
      <c r="M1345" s="2018"/>
      <c r="N1345" s="2250"/>
      <c r="O1345" s="1631"/>
      <c r="P1345" s="1536"/>
      <c r="Q1345" s="1536"/>
      <c r="R1345" s="1567"/>
    </row>
    <row r="1346" spans="1:18">
      <c r="A1346" s="1637"/>
      <c r="B1346" s="2204"/>
      <c r="C1346" s="1536"/>
      <c r="D1346" s="1536"/>
      <c r="E1346" s="1536"/>
      <c r="F1346" s="1536"/>
      <c r="G1346" s="1536"/>
      <c r="H1346" s="1235"/>
      <c r="I1346" s="1536"/>
      <c r="J1346" s="1536"/>
      <c r="K1346" s="1537"/>
      <c r="L1346" s="1708"/>
      <c r="M1346" s="2018"/>
      <c r="N1346" s="2250"/>
      <c r="O1346" s="1631"/>
      <c r="P1346" s="1536"/>
      <c r="Q1346" s="1536"/>
      <c r="R1346" s="1567"/>
    </row>
    <row r="1347" spans="1:18">
      <c r="A1347" s="1637"/>
      <c r="B1347" s="2204"/>
      <c r="C1347" s="1536"/>
      <c r="D1347" s="1536"/>
      <c r="E1347" s="1536"/>
      <c r="F1347" s="1536"/>
      <c r="G1347" s="1536"/>
      <c r="H1347" s="1235"/>
      <c r="I1347" s="1536"/>
      <c r="J1347" s="1536"/>
      <c r="K1347" s="1537"/>
      <c r="L1347" s="1708"/>
      <c r="M1347" s="2018"/>
      <c r="N1347" s="2250"/>
      <c r="O1347" s="1631"/>
      <c r="P1347" s="1536"/>
      <c r="Q1347" s="1536"/>
      <c r="R1347" s="1567"/>
    </row>
    <row r="1348" spans="1:18">
      <c r="A1348" s="1637"/>
      <c r="B1348" s="2204"/>
      <c r="C1348" s="1536"/>
      <c r="D1348" s="1536"/>
      <c r="E1348" s="1536"/>
      <c r="F1348" s="1536"/>
      <c r="G1348" s="1536"/>
      <c r="H1348" s="1235"/>
      <c r="I1348" s="1536"/>
      <c r="J1348" s="1536"/>
      <c r="K1348" s="1537"/>
      <c r="L1348" s="1708"/>
      <c r="M1348" s="2018"/>
      <c r="N1348" s="2250"/>
      <c r="O1348" s="1631"/>
      <c r="P1348" s="1536"/>
      <c r="Q1348" s="1536"/>
      <c r="R1348" s="1567"/>
    </row>
    <row r="1349" spans="1:18">
      <c r="A1349" s="1637"/>
      <c r="B1349" s="2204"/>
      <c r="C1349" s="1536"/>
      <c r="D1349" s="1536"/>
      <c r="E1349" s="1536"/>
      <c r="F1349" s="1536"/>
      <c r="G1349" s="1536"/>
      <c r="H1349" s="1235"/>
      <c r="I1349" s="1536"/>
      <c r="J1349" s="1536"/>
      <c r="K1349" s="1537"/>
      <c r="L1349" s="1708"/>
      <c r="M1349" s="2018"/>
      <c r="N1349" s="2250"/>
      <c r="O1349" s="1631"/>
      <c r="P1349" s="1536"/>
      <c r="Q1349" s="1536"/>
      <c r="R1349" s="1567"/>
    </row>
    <row r="1350" spans="1:18">
      <c r="A1350" s="1637"/>
      <c r="B1350" s="2204"/>
      <c r="C1350" s="1536"/>
      <c r="D1350" s="1536"/>
      <c r="E1350" s="1536"/>
      <c r="F1350" s="1536"/>
      <c r="G1350" s="1536"/>
      <c r="H1350" s="1235"/>
      <c r="I1350" s="1536"/>
      <c r="J1350" s="1536"/>
      <c r="K1350" s="1537"/>
      <c r="L1350" s="1708"/>
      <c r="M1350" s="2018"/>
      <c r="N1350" s="2250"/>
      <c r="O1350" s="1631"/>
      <c r="P1350" s="1536"/>
      <c r="Q1350" s="1536"/>
      <c r="R1350" s="1567"/>
    </row>
    <row r="1351" spans="1:18">
      <c r="A1351" s="1637"/>
      <c r="B1351" s="2204"/>
      <c r="C1351" s="1536"/>
      <c r="D1351" s="1536"/>
      <c r="E1351" s="1536"/>
      <c r="F1351" s="1536"/>
      <c r="G1351" s="1536"/>
      <c r="H1351" s="1235"/>
      <c r="I1351" s="1536"/>
      <c r="J1351" s="1536"/>
      <c r="K1351" s="1537"/>
      <c r="L1351" s="1708"/>
      <c r="M1351" s="2018"/>
      <c r="N1351" s="2250"/>
      <c r="O1351" s="1631"/>
      <c r="P1351" s="1536"/>
      <c r="Q1351" s="1536"/>
      <c r="R1351" s="1567"/>
    </row>
    <row r="1352" spans="1:18">
      <c r="A1352" s="1637"/>
      <c r="B1352" s="2204"/>
      <c r="C1352" s="1536"/>
      <c r="D1352" s="1536"/>
      <c r="E1352" s="1536"/>
      <c r="F1352" s="1536"/>
      <c r="G1352" s="1536"/>
      <c r="H1352" s="1235"/>
      <c r="I1352" s="1536"/>
      <c r="J1352" s="1536"/>
      <c r="K1352" s="1537"/>
      <c r="L1352" s="1708"/>
      <c r="M1352" s="2018"/>
      <c r="N1352" s="2250"/>
      <c r="O1352" s="1631"/>
      <c r="P1352" s="1536"/>
      <c r="Q1352" s="1536"/>
      <c r="R1352" s="1567"/>
    </row>
    <row r="1353" spans="1:18">
      <c r="A1353" s="1637"/>
      <c r="B1353" s="2204"/>
      <c r="C1353" s="1536"/>
      <c r="D1353" s="1536"/>
      <c r="E1353" s="1536"/>
      <c r="F1353" s="1536"/>
      <c r="G1353" s="1536"/>
      <c r="H1353" s="1235"/>
      <c r="I1353" s="1536"/>
      <c r="J1353" s="1536"/>
      <c r="K1353" s="1537"/>
      <c r="L1353" s="1708"/>
      <c r="M1353" s="2018"/>
      <c r="N1353" s="2250"/>
      <c r="O1353" s="1631"/>
      <c r="P1353" s="1536"/>
      <c r="Q1353" s="1536"/>
      <c r="R1353" s="1567"/>
    </row>
    <row r="1354" spans="1:18">
      <c r="A1354" s="1637"/>
      <c r="B1354" s="2204"/>
      <c r="C1354" s="1536"/>
      <c r="D1354" s="1536"/>
      <c r="E1354" s="1536"/>
      <c r="F1354" s="1536"/>
      <c r="G1354" s="1536"/>
      <c r="H1354" s="1235"/>
      <c r="I1354" s="1536"/>
      <c r="J1354" s="1536"/>
      <c r="K1354" s="1537"/>
      <c r="L1354" s="1708"/>
      <c r="M1354" s="2018"/>
      <c r="N1354" s="2250"/>
      <c r="O1354" s="1631"/>
      <c r="P1354" s="1536"/>
      <c r="Q1354" s="1536"/>
      <c r="R1354" s="1567"/>
    </row>
    <row r="1355" spans="1:18">
      <c r="A1355" s="1637"/>
      <c r="B1355" s="2204"/>
      <c r="C1355" s="1536"/>
      <c r="D1355" s="1536"/>
      <c r="E1355" s="1536"/>
      <c r="F1355" s="1536"/>
      <c r="G1355" s="1536"/>
      <c r="H1355" s="1235"/>
      <c r="I1355" s="1536"/>
      <c r="J1355" s="1536"/>
      <c r="K1355" s="1537"/>
      <c r="L1355" s="1708"/>
      <c r="M1355" s="2018"/>
      <c r="N1355" s="2250"/>
      <c r="O1355" s="1631"/>
      <c r="P1355" s="1536"/>
      <c r="Q1355" s="1536"/>
      <c r="R1355" s="1567"/>
    </row>
    <row r="1356" spans="1:18">
      <c r="A1356" s="1637"/>
      <c r="B1356" s="2204"/>
      <c r="C1356" s="1536"/>
      <c r="D1356" s="1536"/>
      <c r="E1356" s="1536"/>
      <c r="F1356" s="1536"/>
      <c r="G1356" s="1536"/>
      <c r="H1356" s="1235"/>
      <c r="I1356" s="1536"/>
      <c r="J1356" s="1536"/>
      <c r="K1356" s="1537"/>
      <c r="L1356" s="1708"/>
      <c r="M1356" s="2018"/>
      <c r="N1356" s="2250"/>
      <c r="O1356" s="1631"/>
      <c r="P1356" s="1536"/>
      <c r="Q1356" s="1536"/>
      <c r="R1356" s="1567"/>
    </row>
    <row r="1357" spans="1:18">
      <c r="A1357" s="1637"/>
      <c r="B1357" s="2204"/>
      <c r="C1357" s="1536"/>
      <c r="D1357" s="1536"/>
      <c r="E1357" s="1536"/>
      <c r="F1357" s="1536"/>
      <c r="G1357" s="1536"/>
      <c r="H1357" s="1235"/>
      <c r="I1357" s="1536"/>
      <c r="J1357" s="1536"/>
      <c r="K1357" s="1537"/>
      <c r="L1357" s="1708"/>
      <c r="M1357" s="2018"/>
      <c r="N1357" s="2250"/>
      <c r="O1357" s="1631"/>
      <c r="P1357" s="1536"/>
      <c r="Q1357" s="1536"/>
      <c r="R1357" s="1567"/>
    </row>
    <row r="1358" spans="1:18">
      <c r="A1358" s="1637"/>
      <c r="B1358" s="2204"/>
      <c r="C1358" s="1536"/>
      <c r="D1358" s="1536"/>
      <c r="E1358" s="1536"/>
      <c r="F1358" s="1536"/>
      <c r="G1358" s="1536"/>
      <c r="H1358" s="1235"/>
      <c r="I1358" s="1536"/>
      <c r="J1358" s="1536"/>
      <c r="K1358" s="1537"/>
      <c r="L1358" s="1708"/>
      <c r="M1358" s="2018"/>
      <c r="N1358" s="2250"/>
      <c r="O1358" s="1631"/>
      <c r="P1358" s="1536"/>
      <c r="Q1358" s="1536"/>
      <c r="R1358" s="1567"/>
    </row>
    <row r="1359" spans="1:18">
      <c r="A1359" s="1637"/>
      <c r="B1359" s="2204"/>
      <c r="C1359" s="1536"/>
      <c r="D1359" s="1536"/>
      <c r="E1359" s="1536"/>
      <c r="F1359" s="1536"/>
      <c r="G1359" s="1536"/>
      <c r="H1359" s="1235"/>
      <c r="I1359" s="1536"/>
      <c r="J1359" s="1536"/>
      <c r="K1359" s="1537"/>
      <c r="L1359" s="1708"/>
      <c r="M1359" s="2018"/>
      <c r="N1359" s="2250"/>
      <c r="O1359" s="1631"/>
      <c r="P1359" s="1536"/>
      <c r="Q1359" s="1536"/>
      <c r="R1359" s="1567"/>
    </row>
    <row r="1360" spans="1:18">
      <c r="A1360" s="1637"/>
      <c r="B1360" s="2204"/>
      <c r="C1360" s="1536"/>
      <c r="D1360" s="1536"/>
      <c r="E1360" s="1536"/>
      <c r="F1360" s="1536"/>
      <c r="G1360" s="1536"/>
      <c r="H1360" s="1235"/>
      <c r="I1360" s="1536"/>
      <c r="J1360" s="1536"/>
      <c r="K1360" s="1537"/>
      <c r="L1360" s="1708"/>
      <c r="M1360" s="2018"/>
      <c r="N1360" s="2250"/>
      <c r="O1360" s="1631"/>
      <c r="P1360" s="1536"/>
      <c r="Q1360" s="1536"/>
      <c r="R1360" s="1567"/>
    </row>
    <row r="1361" spans="1:18">
      <c r="A1361" s="1637"/>
      <c r="B1361" s="2204"/>
      <c r="C1361" s="1536"/>
      <c r="D1361" s="1536"/>
      <c r="E1361" s="1536"/>
      <c r="F1361" s="1536"/>
      <c r="G1361" s="1536"/>
      <c r="H1361" s="1235"/>
      <c r="I1361" s="1536"/>
      <c r="J1361" s="1536"/>
      <c r="K1361" s="1537"/>
      <c r="L1361" s="1708"/>
      <c r="M1361" s="2018"/>
      <c r="N1361" s="2250"/>
      <c r="O1361" s="1631"/>
      <c r="P1361" s="1536"/>
      <c r="Q1361" s="1536"/>
      <c r="R1361" s="1567"/>
    </row>
    <row r="1362" spans="1:18">
      <c r="A1362" s="1637"/>
      <c r="B1362" s="2204"/>
      <c r="C1362" s="1536"/>
      <c r="D1362" s="1536"/>
      <c r="E1362" s="1536"/>
      <c r="F1362" s="1536"/>
      <c r="G1362" s="1536"/>
      <c r="H1362" s="1235"/>
      <c r="I1362" s="1536"/>
      <c r="J1362" s="1536"/>
      <c r="K1362" s="1537"/>
      <c r="L1362" s="1708"/>
      <c r="M1362" s="2018"/>
      <c r="N1362" s="2250"/>
      <c r="O1362" s="1631"/>
      <c r="P1362" s="1536"/>
      <c r="Q1362" s="1536"/>
      <c r="R1362" s="1567"/>
    </row>
    <row r="1363" spans="1:18">
      <c r="A1363" s="1640"/>
      <c r="B1363" s="2209"/>
      <c r="C1363" s="1538"/>
      <c r="D1363" s="1538"/>
      <c r="E1363" s="1538"/>
      <c r="F1363" s="1538"/>
      <c r="G1363" s="1538"/>
      <c r="H1363" s="1535"/>
      <c r="I1363" s="1538"/>
      <c r="J1363" s="1538"/>
      <c r="K1363" s="1556"/>
      <c r="L1363" s="2012"/>
      <c r="M1363" s="2018"/>
      <c r="N1363" s="2250"/>
      <c r="O1363" s="2016"/>
      <c r="P1363" s="1538"/>
      <c r="Q1363" s="1538"/>
      <c r="R1363" s="1592"/>
    </row>
    <row r="1364" spans="1:18">
      <c r="A1364" s="1809"/>
      <c r="B1364" s="2215"/>
      <c r="C1364" s="1564"/>
      <c r="D1364" s="1564"/>
      <c r="E1364" s="1564"/>
      <c r="F1364" s="1564"/>
      <c r="G1364" s="1564"/>
      <c r="H1364" s="966"/>
      <c r="I1364" s="1564"/>
      <c r="J1364" s="1564"/>
      <c r="K1364" s="1565"/>
      <c r="L1364" s="2013"/>
      <c r="M1364" s="2018"/>
      <c r="N1364" s="2250"/>
      <c r="O1364" s="2015"/>
      <c r="P1364" s="1564"/>
      <c r="Q1364" s="1564"/>
      <c r="R1364" s="1566"/>
    </row>
    <row r="1365" spans="1:18">
      <c r="A1365" s="1637"/>
      <c r="B1365" s="2204"/>
      <c r="C1365" s="1536"/>
      <c r="D1365" s="1536"/>
      <c r="E1365" s="1536"/>
      <c r="F1365" s="1536"/>
      <c r="G1365" s="1536"/>
      <c r="H1365" s="1235"/>
      <c r="I1365" s="1536"/>
      <c r="J1365" s="1536"/>
      <c r="K1365" s="1555"/>
      <c r="L1365" s="2011"/>
      <c r="M1365" s="2018"/>
      <c r="N1365" s="2250"/>
      <c r="O1365" s="1631"/>
      <c r="P1365" s="1536"/>
      <c r="Q1365" s="1536"/>
      <c r="R1365" s="1698"/>
    </row>
    <row r="1366" spans="1:18">
      <c r="A1366" s="1810"/>
      <c r="B1366" s="2204"/>
      <c r="C1366" s="1536"/>
      <c r="D1366" s="1536"/>
      <c r="E1366" s="1536"/>
      <c r="F1366" s="1536"/>
      <c r="G1366" s="1536"/>
      <c r="H1366" s="1235"/>
      <c r="I1366" s="1536"/>
      <c r="J1366" s="1536"/>
      <c r="K1366" s="1555"/>
      <c r="L1366" s="2011"/>
      <c r="M1366" s="2018"/>
      <c r="N1366" s="2250"/>
      <c r="O1366" s="1631"/>
      <c r="P1366" s="1536"/>
      <c r="Q1366" s="1536"/>
      <c r="R1366" s="1698"/>
    </row>
    <row r="1367" spans="1:18">
      <c r="A1367" s="1637"/>
      <c r="B1367" s="2204"/>
      <c r="C1367" s="1536"/>
      <c r="D1367" s="1536"/>
      <c r="E1367" s="1536"/>
      <c r="F1367" s="1536"/>
      <c r="G1367" s="1536"/>
      <c r="H1367" s="1235"/>
      <c r="I1367" s="1536"/>
      <c r="J1367" s="1536"/>
      <c r="K1367" s="1555"/>
      <c r="L1367" s="2011"/>
      <c r="M1367" s="2018"/>
      <c r="N1367" s="2250"/>
      <c r="O1367" s="1631"/>
      <c r="P1367" s="1536"/>
      <c r="Q1367" s="1536"/>
      <c r="R1367" s="1698"/>
    </row>
    <row r="1368" spans="1:18">
      <c r="A1368" s="1637"/>
      <c r="B1368" s="2204"/>
      <c r="C1368" s="1536"/>
      <c r="D1368" s="1536"/>
      <c r="E1368" s="1536"/>
      <c r="F1368" s="1536"/>
      <c r="G1368" s="1536"/>
      <c r="H1368" s="1235"/>
      <c r="I1368" s="1536"/>
      <c r="J1368" s="1536"/>
      <c r="K1368" s="1555"/>
      <c r="L1368" s="2011"/>
      <c r="M1368" s="2018"/>
      <c r="N1368" s="2250"/>
      <c r="O1368" s="1631"/>
      <c r="P1368" s="1536"/>
      <c r="Q1368" s="1536"/>
      <c r="R1368" s="1698"/>
    </row>
    <row r="1369" spans="1:18">
      <c r="A1369" s="1637"/>
      <c r="B1369" s="2204"/>
      <c r="C1369" s="1536"/>
      <c r="D1369" s="1536"/>
      <c r="E1369" s="1536"/>
      <c r="F1369" s="1536"/>
      <c r="G1369" s="1536"/>
      <c r="H1369" s="1235"/>
      <c r="I1369" s="1536"/>
      <c r="J1369" s="1536"/>
      <c r="K1369" s="1555"/>
      <c r="L1369" s="2011"/>
      <c r="M1369" s="2018"/>
      <c r="N1369" s="2250"/>
      <c r="O1369" s="1631"/>
      <c r="P1369" s="1536"/>
      <c r="Q1369" s="1536"/>
      <c r="R1369" s="1698"/>
    </row>
    <row r="1370" spans="1:18">
      <c r="A1370" s="1637"/>
      <c r="B1370" s="2204"/>
      <c r="C1370" s="1536"/>
      <c r="D1370" s="1536"/>
      <c r="E1370" s="1536"/>
      <c r="F1370" s="1536"/>
      <c r="G1370" s="1536"/>
      <c r="H1370" s="1235"/>
      <c r="I1370" s="1536"/>
      <c r="J1370" s="1536"/>
      <c r="K1370" s="1555"/>
      <c r="L1370" s="2011"/>
      <c r="M1370" s="2018"/>
      <c r="N1370" s="2250"/>
      <c r="O1370" s="1631"/>
      <c r="P1370" s="1536"/>
      <c r="Q1370" s="1536"/>
      <c r="R1370" s="1698"/>
    </row>
    <row r="1371" spans="1:18">
      <c r="A1371" s="1637"/>
      <c r="B1371" s="2204"/>
      <c r="C1371" s="1536"/>
      <c r="D1371" s="1536"/>
      <c r="E1371" s="1536"/>
      <c r="F1371" s="1536"/>
      <c r="G1371" s="1536"/>
      <c r="H1371" s="1235"/>
      <c r="I1371" s="1536"/>
      <c r="J1371" s="1536"/>
      <c r="K1371" s="1555"/>
      <c r="L1371" s="2011"/>
      <c r="M1371" s="2018"/>
      <c r="N1371" s="2250"/>
      <c r="O1371" s="1631"/>
      <c r="P1371" s="1536"/>
      <c r="Q1371" s="1536"/>
      <c r="R1371" s="1698"/>
    </row>
    <row r="1372" spans="1:18">
      <c r="A1372" s="1637"/>
      <c r="B1372" s="2204"/>
      <c r="C1372" s="1536"/>
      <c r="D1372" s="1536"/>
      <c r="E1372" s="1536"/>
      <c r="F1372" s="1536"/>
      <c r="G1372" s="1536"/>
      <c r="H1372" s="1235"/>
      <c r="I1372" s="1536"/>
      <c r="J1372" s="1536"/>
      <c r="K1372" s="1555"/>
      <c r="L1372" s="2011"/>
      <c r="M1372" s="2018"/>
      <c r="N1372" s="2250"/>
      <c r="O1372" s="1631"/>
      <c r="P1372" s="1536"/>
      <c r="Q1372" s="1536"/>
      <c r="R1372" s="1698"/>
    </row>
    <row r="1373" spans="1:18">
      <c r="A1373" s="1637"/>
      <c r="B1373" s="2204"/>
      <c r="C1373" s="1536"/>
      <c r="D1373" s="1536"/>
      <c r="E1373" s="1536"/>
      <c r="F1373" s="1536"/>
      <c r="G1373" s="1536"/>
      <c r="H1373" s="1235"/>
      <c r="I1373" s="1536"/>
      <c r="J1373" s="1536"/>
      <c r="K1373" s="1555"/>
      <c r="L1373" s="2011"/>
      <c r="M1373" s="2018"/>
      <c r="N1373" s="2250"/>
      <c r="O1373" s="1631"/>
      <c r="P1373" s="1536"/>
      <c r="Q1373" s="1536"/>
      <c r="R1373" s="1567"/>
    </row>
    <row r="1374" spans="1:18">
      <c r="A1374" s="1637"/>
      <c r="B1374" s="2204"/>
      <c r="C1374" s="1536"/>
      <c r="D1374" s="1536"/>
      <c r="E1374" s="1536"/>
      <c r="F1374" s="1536"/>
      <c r="G1374" s="1536"/>
      <c r="H1374" s="1235"/>
      <c r="I1374" s="1536"/>
      <c r="J1374" s="1536"/>
      <c r="K1374" s="1555"/>
      <c r="L1374" s="2011"/>
      <c r="M1374" s="2018"/>
      <c r="N1374" s="2250"/>
      <c r="O1374" s="1631"/>
      <c r="P1374" s="1536"/>
      <c r="Q1374" s="1536"/>
      <c r="R1374" s="1567"/>
    </row>
    <row r="1375" spans="1:18">
      <c r="A1375" s="1637"/>
      <c r="B1375" s="2204"/>
      <c r="C1375" s="1536"/>
      <c r="D1375" s="1536"/>
      <c r="E1375" s="1536"/>
      <c r="F1375" s="1536"/>
      <c r="G1375" s="1536"/>
      <c r="H1375" s="1235"/>
      <c r="I1375" s="1536"/>
      <c r="J1375" s="1536"/>
      <c r="K1375" s="1555"/>
      <c r="L1375" s="2011"/>
      <c r="M1375" s="2018"/>
      <c r="N1375" s="2250"/>
      <c r="O1375" s="1631"/>
      <c r="P1375" s="1536"/>
      <c r="Q1375" s="1536"/>
      <c r="R1375" s="1567"/>
    </row>
    <row r="1376" spans="1:18">
      <c r="A1376" s="1637"/>
      <c r="B1376" s="2204"/>
      <c r="C1376" s="1536"/>
      <c r="D1376" s="1536"/>
      <c r="E1376" s="1536"/>
      <c r="F1376" s="1536"/>
      <c r="G1376" s="1536"/>
      <c r="H1376" s="1235"/>
      <c r="I1376" s="1536"/>
      <c r="J1376" s="1536"/>
      <c r="K1376" s="1555"/>
      <c r="L1376" s="2011"/>
      <c r="M1376" s="2018"/>
      <c r="N1376" s="2250"/>
      <c r="O1376" s="1631"/>
      <c r="P1376" s="1536"/>
      <c r="Q1376" s="1536"/>
      <c r="R1376" s="1567"/>
    </row>
    <row r="1377" spans="1:18">
      <c r="A1377" s="1637"/>
      <c r="B1377" s="2204"/>
      <c r="C1377" s="1536"/>
      <c r="D1377" s="1536"/>
      <c r="E1377" s="1536"/>
      <c r="F1377" s="1536"/>
      <c r="G1377" s="1536"/>
      <c r="H1377" s="1235"/>
      <c r="I1377" s="1536"/>
      <c r="J1377" s="1536"/>
      <c r="K1377" s="1555"/>
      <c r="L1377" s="2011"/>
      <c r="M1377" s="2018"/>
      <c r="N1377" s="2250"/>
      <c r="O1377" s="1631"/>
      <c r="P1377" s="1536"/>
      <c r="Q1377" s="1536"/>
      <c r="R1377" s="1567"/>
    </row>
    <row r="1378" spans="1:18">
      <c r="A1378" s="1637"/>
      <c r="B1378" s="2204"/>
      <c r="C1378" s="1536"/>
      <c r="D1378" s="1536"/>
      <c r="E1378" s="1536"/>
      <c r="F1378" s="1536"/>
      <c r="G1378" s="1536"/>
      <c r="H1378" s="1235"/>
      <c r="I1378" s="1536"/>
      <c r="J1378" s="1536"/>
      <c r="K1378" s="1555"/>
      <c r="L1378" s="2011"/>
      <c r="M1378" s="2018"/>
      <c r="N1378" s="2250"/>
      <c r="O1378" s="1631"/>
      <c r="P1378" s="1536"/>
      <c r="Q1378" s="1536"/>
      <c r="R1378" s="1567"/>
    </row>
    <row r="1379" spans="1:18">
      <c r="A1379" s="1637"/>
      <c r="B1379" s="2204"/>
      <c r="C1379" s="1536"/>
      <c r="D1379" s="1536"/>
      <c r="E1379" s="1536"/>
      <c r="F1379" s="1536"/>
      <c r="G1379" s="1536"/>
      <c r="H1379" s="1235"/>
      <c r="I1379" s="1536"/>
      <c r="J1379" s="1536"/>
      <c r="K1379" s="1555"/>
      <c r="L1379" s="2011"/>
      <c r="M1379" s="2018"/>
      <c r="N1379" s="2250"/>
      <c r="O1379" s="1631"/>
      <c r="P1379" s="1536"/>
      <c r="Q1379" s="1536"/>
      <c r="R1379" s="1567"/>
    </row>
    <row r="1380" spans="1:18">
      <c r="A1380" s="1637"/>
      <c r="B1380" s="2204"/>
      <c r="C1380" s="1536"/>
      <c r="D1380" s="1536"/>
      <c r="E1380" s="1536"/>
      <c r="F1380" s="1536"/>
      <c r="G1380" s="1536"/>
      <c r="H1380" s="1235"/>
      <c r="I1380" s="1536"/>
      <c r="J1380" s="1536"/>
      <c r="K1380" s="1555"/>
      <c r="L1380" s="2011"/>
      <c r="M1380" s="2018"/>
      <c r="N1380" s="2250"/>
      <c r="O1380" s="1631"/>
      <c r="P1380" s="1536"/>
      <c r="Q1380" s="1536"/>
      <c r="R1380" s="1567"/>
    </row>
    <row r="1381" spans="1:18">
      <c r="A1381" s="1637"/>
      <c r="B1381" s="2204"/>
      <c r="C1381" s="1536"/>
      <c r="D1381" s="1536"/>
      <c r="E1381" s="1536"/>
      <c r="F1381" s="1536"/>
      <c r="G1381" s="1536"/>
      <c r="H1381" s="1235"/>
      <c r="I1381" s="1536"/>
      <c r="J1381" s="1536"/>
      <c r="K1381" s="1555"/>
      <c r="L1381" s="2011"/>
      <c r="M1381" s="2018"/>
      <c r="N1381" s="2250"/>
      <c r="O1381" s="1631"/>
      <c r="P1381" s="1536"/>
      <c r="Q1381" s="1536"/>
      <c r="R1381" s="1567"/>
    </row>
    <row r="1382" spans="1:18">
      <c r="A1382" s="1637"/>
      <c r="B1382" s="2204"/>
      <c r="C1382" s="1536"/>
      <c r="D1382" s="1536"/>
      <c r="E1382" s="1536"/>
      <c r="F1382" s="1536"/>
      <c r="G1382" s="1536"/>
      <c r="H1382" s="1235"/>
      <c r="I1382" s="1536"/>
      <c r="J1382" s="1536"/>
      <c r="K1382" s="1555"/>
      <c r="L1382" s="2011"/>
      <c r="M1382" s="2018"/>
      <c r="N1382" s="2250"/>
      <c r="O1382" s="1631"/>
      <c r="P1382" s="1536"/>
      <c r="Q1382" s="1536"/>
      <c r="R1382" s="1567"/>
    </row>
    <row r="1383" spans="1:18">
      <c r="A1383" s="1637"/>
      <c r="B1383" s="2204"/>
      <c r="C1383" s="1536"/>
      <c r="D1383" s="1536"/>
      <c r="E1383" s="1536"/>
      <c r="F1383" s="1536"/>
      <c r="G1383" s="1536"/>
      <c r="H1383" s="1235"/>
      <c r="I1383" s="1536"/>
      <c r="J1383" s="1536"/>
      <c r="K1383" s="1555"/>
      <c r="L1383" s="2011"/>
      <c r="M1383" s="2018"/>
      <c r="N1383" s="2250"/>
      <c r="O1383" s="1631"/>
      <c r="P1383" s="1536"/>
      <c r="Q1383" s="1536"/>
      <c r="R1383" s="1567"/>
    </row>
    <row r="1384" spans="1:18">
      <c r="A1384" s="1637"/>
      <c r="B1384" s="2204"/>
      <c r="C1384" s="1536"/>
      <c r="D1384" s="1536"/>
      <c r="E1384" s="1536"/>
      <c r="F1384" s="1536"/>
      <c r="G1384" s="1536"/>
      <c r="H1384" s="1235"/>
      <c r="I1384" s="1536"/>
      <c r="J1384" s="1536"/>
      <c r="K1384" s="1555"/>
      <c r="L1384" s="2011"/>
      <c r="M1384" s="2018"/>
      <c r="N1384" s="2250"/>
      <c r="O1384" s="1631"/>
      <c r="P1384" s="1536"/>
      <c r="Q1384" s="1536"/>
      <c r="R1384" s="1567"/>
    </row>
    <row r="1385" spans="1:18">
      <c r="A1385" s="1637"/>
      <c r="B1385" s="2204"/>
      <c r="C1385" s="1536"/>
      <c r="D1385" s="1536"/>
      <c r="E1385" s="1536"/>
      <c r="F1385" s="1536"/>
      <c r="G1385" s="1536"/>
      <c r="H1385" s="1235"/>
      <c r="I1385" s="1536"/>
      <c r="J1385" s="1536"/>
      <c r="K1385" s="1555"/>
      <c r="L1385" s="2011"/>
      <c r="M1385" s="2018"/>
      <c r="N1385" s="2250"/>
      <c r="O1385" s="1631"/>
      <c r="P1385" s="1536"/>
      <c r="Q1385" s="1536"/>
      <c r="R1385" s="1567"/>
    </row>
    <row r="1386" spans="1:18">
      <c r="A1386" s="1637"/>
      <c r="B1386" s="2204"/>
      <c r="C1386" s="1536"/>
      <c r="D1386" s="1536"/>
      <c r="E1386" s="1536"/>
      <c r="F1386" s="1536"/>
      <c r="G1386" s="1536"/>
      <c r="H1386" s="1235"/>
      <c r="I1386" s="1536"/>
      <c r="J1386" s="1536"/>
      <c r="K1386" s="1555"/>
      <c r="L1386" s="2011"/>
      <c r="M1386" s="2018"/>
      <c r="N1386" s="2250"/>
      <c r="O1386" s="1631"/>
      <c r="P1386" s="1536"/>
      <c r="Q1386" s="1536"/>
      <c r="R1386" s="1567"/>
    </row>
    <row r="1387" spans="1:18">
      <c r="A1387" s="1637"/>
      <c r="B1387" s="2204"/>
      <c r="C1387" s="1536"/>
      <c r="D1387" s="1536"/>
      <c r="E1387" s="1536"/>
      <c r="F1387" s="1536"/>
      <c r="G1387" s="1536"/>
      <c r="H1387" s="1235"/>
      <c r="I1387" s="1536"/>
      <c r="J1387" s="1536"/>
      <c r="K1387" s="1555"/>
      <c r="L1387" s="2011"/>
      <c r="M1387" s="2018"/>
      <c r="N1387" s="2250"/>
      <c r="O1387" s="1631"/>
      <c r="P1387" s="1536"/>
      <c r="Q1387" s="1536"/>
      <c r="R1387" s="1567"/>
    </row>
    <row r="1388" spans="1:18">
      <c r="A1388" s="1637"/>
      <c r="B1388" s="2204"/>
      <c r="C1388" s="1536"/>
      <c r="D1388" s="1536"/>
      <c r="E1388" s="1536"/>
      <c r="F1388" s="1536"/>
      <c r="G1388" s="1536"/>
      <c r="H1388" s="1235"/>
      <c r="I1388" s="1536"/>
      <c r="J1388" s="1536"/>
      <c r="K1388" s="1555"/>
      <c r="L1388" s="2011"/>
      <c r="M1388" s="2018"/>
      <c r="N1388" s="2250"/>
      <c r="O1388" s="1631"/>
      <c r="P1388" s="1536"/>
      <c r="Q1388" s="1536"/>
      <c r="R1388" s="1567"/>
    </row>
    <row r="1389" spans="1:18">
      <c r="A1389" s="1637"/>
      <c r="B1389" s="2204"/>
      <c r="C1389" s="1536"/>
      <c r="D1389" s="1536"/>
      <c r="E1389" s="1536"/>
      <c r="F1389" s="1536"/>
      <c r="G1389" s="1536"/>
      <c r="H1389" s="1235"/>
      <c r="I1389" s="1536"/>
      <c r="J1389" s="1536"/>
      <c r="K1389" s="1555"/>
      <c r="L1389" s="2011"/>
      <c r="M1389" s="2018"/>
      <c r="N1389" s="2250"/>
      <c r="O1389" s="1631"/>
      <c r="P1389" s="1536"/>
      <c r="Q1389" s="1536"/>
      <c r="R1389" s="1567"/>
    </row>
    <row r="1390" spans="1:18">
      <c r="A1390" s="1637"/>
      <c r="B1390" s="2204"/>
      <c r="C1390" s="1536"/>
      <c r="D1390" s="1536"/>
      <c r="E1390" s="1536"/>
      <c r="F1390" s="1536"/>
      <c r="G1390" s="1536"/>
      <c r="H1390" s="1235"/>
      <c r="I1390" s="1536"/>
      <c r="J1390" s="1536"/>
      <c r="K1390" s="1555"/>
      <c r="L1390" s="2011"/>
      <c r="M1390" s="2018"/>
      <c r="N1390" s="2250"/>
      <c r="O1390" s="1631"/>
      <c r="P1390" s="1536"/>
      <c r="Q1390" s="1536"/>
      <c r="R1390" s="1567"/>
    </row>
    <row r="1391" spans="1:18">
      <c r="A1391" s="1637"/>
      <c r="B1391" s="2204"/>
      <c r="C1391" s="1536"/>
      <c r="D1391" s="1536"/>
      <c r="E1391" s="1536"/>
      <c r="F1391" s="1536"/>
      <c r="G1391" s="1536"/>
      <c r="H1391" s="1235"/>
      <c r="I1391" s="1536"/>
      <c r="J1391" s="1536"/>
      <c r="K1391" s="1555"/>
      <c r="L1391" s="2011"/>
      <c r="M1391" s="2018"/>
      <c r="N1391" s="2250"/>
      <c r="O1391" s="1631"/>
      <c r="P1391" s="1536"/>
      <c r="Q1391" s="1536"/>
      <c r="R1391" s="1567"/>
    </row>
    <row r="1392" spans="1:18">
      <c r="A1392" s="1637"/>
      <c r="B1392" s="2204"/>
      <c r="C1392" s="1536"/>
      <c r="D1392" s="1536"/>
      <c r="E1392" s="1536"/>
      <c r="F1392" s="1536"/>
      <c r="G1392" s="1536"/>
      <c r="H1392" s="1235"/>
      <c r="I1392" s="1614"/>
      <c r="J1392" s="1526"/>
      <c r="K1392" s="1555"/>
      <c r="L1392" s="1708"/>
      <c r="M1392" s="2018"/>
      <c r="N1392" s="2250"/>
      <c r="O1392" s="1631"/>
      <c r="P1392" s="1536"/>
      <c r="Q1392" s="1536"/>
      <c r="R1392" s="1567"/>
    </row>
    <row r="1393" spans="1:19">
      <c r="A1393" s="1637"/>
      <c r="B1393" s="2204"/>
      <c r="C1393" s="1536"/>
      <c r="D1393" s="1536"/>
      <c r="E1393" s="1536"/>
      <c r="F1393" s="1536"/>
      <c r="G1393" s="1536"/>
      <c r="H1393" s="1235"/>
      <c r="I1393" s="1536"/>
      <c r="J1393" s="1536"/>
      <c r="K1393" s="1555"/>
      <c r="L1393" s="1708"/>
      <c r="M1393" s="2018"/>
      <c r="N1393" s="2250"/>
      <c r="O1393" s="1631"/>
      <c r="P1393" s="1536"/>
      <c r="Q1393" s="1536"/>
      <c r="R1393" s="1567"/>
    </row>
    <row r="1394" spans="1:19">
      <c r="A1394" s="1637"/>
      <c r="B1394" s="2204"/>
      <c r="C1394" s="1536"/>
      <c r="D1394" s="1536"/>
      <c r="E1394" s="1536"/>
      <c r="F1394" s="1536"/>
      <c r="G1394" s="1536"/>
      <c r="H1394" s="1235"/>
      <c r="I1394" s="1536"/>
      <c r="J1394" s="1536"/>
      <c r="K1394" s="1555"/>
      <c r="L1394" s="1708"/>
      <c r="M1394" s="2018"/>
      <c r="N1394" s="2250"/>
      <c r="O1394" s="1631"/>
      <c r="P1394" s="1536"/>
      <c r="Q1394" s="1536"/>
      <c r="R1394" s="1567"/>
    </row>
    <row r="1395" spans="1:19">
      <c r="A1395" s="1637"/>
      <c r="B1395" s="2204"/>
      <c r="C1395" s="1536"/>
      <c r="D1395" s="1536"/>
      <c r="E1395" s="1536"/>
      <c r="F1395" s="1536"/>
      <c r="G1395" s="1536"/>
      <c r="H1395" s="1235"/>
      <c r="I1395" s="1536"/>
      <c r="J1395" s="1536"/>
      <c r="K1395" s="1555"/>
      <c r="L1395" s="1708"/>
      <c r="M1395" s="2018"/>
      <c r="N1395" s="2250"/>
      <c r="O1395" s="1631"/>
      <c r="P1395" s="1536"/>
      <c r="Q1395" s="1536"/>
      <c r="R1395" s="1567"/>
    </row>
    <row r="1396" spans="1:19">
      <c r="A1396" s="1637"/>
      <c r="B1396" s="2204"/>
      <c r="C1396" s="1536"/>
      <c r="D1396" s="1536"/>
      <c r="E1396" s="1536"/>
      <c r="F1396" s="1536"/>
      <c r="G1396" s="1536"/>
      <c r="H1396" s="1235"/>
      <c r="I1396" s="1536"/>
      <c r="J1396" s="1536"/>
      <c r="K1396" s="1555"/>
      <c r="L1396" s="1708"/>
      <c r="M1396" s="2018"/>
      <c r="N1396" s="2250"/>
      <c r="O1396" s="1631"/>
      <c r="P1396" s="1536"/>
      <c r="Q1396" s="1536"/>
      <c r="R1396" s="1567"/>
    </row>
    <row r="1397" spans="1:19">
      <c r="A1397" s="1637"/>
      <c r="B1397" s="2204"/>
      <c r="C1397" s="1536"/>
      <c r="D1397" s="1536"/>
      <c r="E1397" s="1536"/>
      <c r="F1397" s="1536"/>
      <c r="G1397" s="1536"/>
      <c r="H1397" s="1235"/>
      <c r="I1397" s="1614"/>
      <c r="J1397" s="1526"/>
      <c r="K1397" s="1555"/>
      <c r="L1397" s="1708"/>
      <c r="M1397" s="2018"/>
      <c r="N1397" s="2250"/>
      <c r="O1397" s="1631"/>
      <c r="P1397" s="1536"/>
      <c r="Q1397" s="1536"/>
      <c r="R1397" s="1567"/>
    </row>
    <row r="1398" spans="1:19">
      <c r="A1398" s="1637"/>
      <c r="B1398" s="2204"/>
      <c r="C1398" s="1536"/>
      <c r="D1398" s="1536"/>
      <c r="E1398" s="1536"/>
      <c r="F1398" s="1536"/>
      <c r="G1398" s="1536"/>
      <c r="H1398" s="1235"/>
      <c r="I1398" s="1536"/>
      <c r="J1398" s="1536"/>
      <c r="K1398" s="1555"/>
      <c r="L1398" s="1708"/>
      <c r="M1398" s="2018"/>
      <c r="N1398" s="2250"/>
      <c r="O1398" s="1631"/>
      <c r="P1398" s="1536"/>
      <c r="Q1398" s="1536"/>
      <c r="R1398" s="1567"/>
    </row>
    <row r="1399" spans="1:19">
      <c r="A1399" s="1637"/>
      <c r="B1399" s="2204"/>
      <c r="C1399" s="1536"/>
      <c r="D1399" s="1536"/>
      <c r="E1399" s="1536"/>
      <c r="F1399" s="1536"/>
      <c r="G1399" s="1536"/>
      <c r="H1399" s="1235"/>
      <c r="I1399" s="1536"/>
      <c r="J1399" s="1536"/>
      <c r="K1399" s="1555"/>
      <c r="L1399" s="1708"/>
      <c r="M1399" s="2018"/>
      <c r="N1399" s="2250"/>
      <c r="O1399" s="1631"/>
      <c r="P1399" s="1536"/>
      <c r="Q1399" s="1536"/>
      <c r="R1399" s="1567"/>
      <c r="S1399" s="1423" t="s">
        <v>762</v>
      </c>
    </row>
    <row r="1400" spans="1:19">
      <c r="A1400" s="1637"/>
      <c r="B1400" s="2204"/>
      <c r="C1400" s="1536"/>
      <c r="D1400" s="1536"/>
      <c r="E1400" s="1536"/>
      <c r="F1400" s="1536"/>
      <c r="G1400" s="1536"/>
      <c r="H1400" s="1235"/>
      <c r="I1400" s="1536"/>
      <c r="J1400" s="1536"/>
      <c r="K1400" s="1555"/>
      <c r="L1400" s="1708"/>
      <c r="M1400" s="2018"/>
      <c r="N1400" s="2250"/>
      <c r="O1400" s="1631"/>
      <c r="P1400" s="1536"/>
      <c r="Q1400" s="1536"/>
      <c r="R1400" s="1567"/>
      <c r="S1400" s="1423" t="s">
        <v>763</v>
      </c>
    </row>
    <row r="1401" spans="1:19">
      <c r="A1401" s="1637"/>
      <c r="B1401" s="2204"/>
      <c r="C1401" s="1536"/>
      <c r="D1401" s="1536"/>
      <c r="E1401" s="1536"/>
      <c r="F1401" s="1536"/>
      <c r="G1401" s="1536"/>
      <c r="H1401" s="1235"/>
      <c r="I1401" s="1536"/>
      <c r="J1401" s="1536"/>
      <c r="K1401" s="1555"/>
      <c r="L1401" s="1708"/>
      <c r="M1401" s="2018"/>
      <c r="N1401" s="2250"/>
      <c r="O1401" s="1631"/>
      <c r="P1401" s="1536"/>
      <c r="Q1401" s="1536"/>
      <c r="R1401" s="1567"/>
    </row>
    <row r="1402" spans="1:19">
      <c r="A1402" s="1637"/>
      <c r="B1402" s="2204"/>
      <c r="C1402" s="1536"/>
      <c r="D1402" s="1536"/>
      <c r="E1402" s="1536"/>
      <c r="F1402" s="1536"/>
      <c r="G1402" s="1536"/>
      <c r="H1402" s="1235"/>
      <c r="I1402" s="1614"/>
      <c r="J1402" s="1526"/>
      <c r="K1402" s="1555"/>
      <c r="L1402" s="1708"/>
      <c r="M1402" s="2018"/>
      <c r="N1402" s="2250"/>
      <c r="O1402" s="1631"/>
      <c r="P1402" s="1536"/>
      <c r="Q1402" s="1536"/>
      <c r="R1402" s="1567"/>
    </row>
    <row r="1403" spans="1:19">
      <c r="A1403" s="1637"/>
      <c r="B1403" s="2204"/>
      <c r="C1403" s="1536"/>
      <c r="D1403" s="1536"/>
      <c r="E1403" s="1536"/>
      <c r="F1403" s="1536"/>
      <c r="G1403" s="1536"/>
      <c r="H1403" s="1235"/>
      <c r="I1403" s="1536"/>
      <c r="J1403" s="1536"/>
      <c r="K1403" s="1555"/>
      <c r="L1403" s="1708"/>
      <c r="M1403" s="2018"/>
      <c r="N1403" s="2250"/>
      <c r="O1403" s="1631"/>
      <c r="P1403" s="1536"/>
      <c r="Q1403" s="1536"/>
      <c r="R1403" s="1567"/>
    </row>
    <row r="1404" spans="1:19">
      <c r="A1404" s="1637"/>
      <c r="B1404" s="2204"/>
      <c r="C1404" s="1536"/>
      <c r="D1404" s="1536"/>
      <c r="E1404" s="1536"/>
      <c r="F1404" s="1536"/>
      <c r="G1404" s="1536"/>
      <c r="H1404" s="1235"/>
      <c r="I1404" s="1536"/>
      <c r="J1404" s="1536"/>
      <c r="K1404" s="1555"/>
      <c r="L1404" s="1708"/>
      <c r="M1404" s="2018"/>
      <c r="N1404" s="2250"/>
      <c r="O1404" s="1631"/>
      <c r="P1404" s="1536"/>
      <c r="Q1404" s="1536"/>
      <c r="R1404" s="1567"/>
    </row>
    <row r="1405" spans="1:19">
      <c r="A1405" s="1637"/>
      <c r="B1405" s="2204"/>
      <c r="C1405" s="1536"/>
      <c r="D1405" s="1536"/>
      <c r="E1405" s="1536"/>
      <c r="F1405" s="1536"/>
      <c r="G1405" s="1536"/>
      <c r="H1405" s="1235"/>
      <c r="I1405" s="1536"/>
      <c r="J1405" s="1536"/>
      <c r="K1405" s="1555"/>
      <c r="L1405" s="1708"/>
      <c r="M1405" s="2018"/>
      <c r="N1405" s="2250"/>
      <c r="O1405" s="1631"/>
      <c r="P1405" s="1536"/>
      <c r="Q1405" s="1536"/>
      <c r="R1405" s="1567"/>
    </row>
    <row r="1406" spans="1:19">
      <c r="A1406" s="1637"/>
      <c r="B1406" s="2204"/>
      <c r="C1406" s="1536"/>
      <c r="D1406" s="1536"/>
      <c r="E1406" s="1536"/>
      <c r="F1406" s="1536"/>
      <c r="G1406" s="1536"/>
      <c r="H1406" s="1235"/>
      <c r="I1406" s="1536"/>
      <c r="J1406" s="1536"/>
      <c r="K1406" s="1555"/>
      <c r="L1406" s="1708"/>
      <c r="M1406" s="2018"/>
      <c r="N1406" s="2250"/>
      <c r="O1406" s="1631"/>
      <c r="P1406" s="1536"/>
      <c r="Q1406" s="1536"/>
      <c r="R1406" s="1567"/>
    </row>
    <row r="1407" spans="1:19">
      <c r="A1407" s="1812"/>
      <c r="B1407" s="2219"/>
      <c r="C1407" s="1568"/>
      <c r="D1407" s="1568"/>
      <c r="E1407" s="1568"/>
      <c r="F1407" s="1568"/>
      <c r="G1407" s="1568"/>
      <c r="H1407" s="969"/>
      <c r="I1407" s="1568"/>
      <c r="J1407" s="1568"/>
      <c r="K1407" s="1699"/>
      <c r="L1407" s="2014"/>
      <c r="M1407" s="2018"/>
      <c r="N1407" s="2250"/>
      <c r="O1407" s="2017"/>
      <c r="P1407" s="1568"/>
      <c r="Q1407" s="1568"/>
      <c r="R1407" s="1652"/>
    </row>
    <row r="1408" spans="1:19">
      <c r="A1408" s="1813"/>
      <c r="B1408" s="2208"/>
      <c r="C1408" s="1552"/>
      <c r="D1408" s="1552"/>
      <c r="E1408" s="1552"/>
      <c r="F1408" s="1552"/>
      <c r="G1408" s="1552"/>
      <c r="H1408" s="1539"/>
      <c r="I1408" s="1552"/>
      <c r="J1408" s="1552"/>
      <c r="K1408" s="1555"/>
      <c r="L1408" s="2011"/>
      <c r="M1408" s="2018"/>
      <c r="N1408" s="2250"/>
      <c r="O1408" s="1630"/>
      <c r="P1408" s="1552"/>
      <c r="Q1408" s="1552"/>
      <c r="R1408" s="1552"/>
    </row>
    <row r="1409" spans="1:18">
      <c r="A1409" s="1814"/>
      <c r="B1409" s="2204"/>
      <c r="C1409" s="1536"/>
      <c r="D1409" s="1536"/>
      <c r="E1409" s="1536"/>
      <c r="F1409" s="1536"/>
      <c r="G1409" s="1536"/>
      <c r="H1409" s="1235"/>
      <c r="I1409" s="1536"/>
      <c r="J1409" s="1536"/>
      <c r="K1409" s="1537"/>
      <c r="L1409" s="1708"/>
      <c r="M1409" s="2018"/>
      <c r="N1409" s="2250"/>
      <c r="O1409" s="1631"/>
      <c r="P1409" s="1536"/>
      <c r="Q1409" s="1536"/>
      <c r="R1409" s="1536"/>
    </row>
    <row r="1410" spans="1:18">
      <c r="A1410" s="1814"/>
      <c r="B1410" s="2204"/>
      <c r="C1410" s="1536"/>
      <c r="D1410" s="1536"/>
      <c r="E1410" s="1536"/>
      <c r="F1410" s="1536"/>
      <c r="G1410" s="1536"/>
      <c r="H1410" s="1235"/>
      <c r="I1410" s="1536"/>
      <c r="J1410" s="1536"/>
      <c r="K1410" s="1537"/>
      <c r="L1410" s="1708"/>
      <c r="M1410" s="2018"/>
      <c r="N1410" s="2250"/>
      <c r="O1410" s="1631"/>
      <c r="P1410" s="1536"/>
      <c r="Q1410" s="1536"/>
      <c r="R1410" s="1536"/>
    </row>
    <row r="1411" spans="1:18">
      <c r="A1411" s="1814"/>
      <c r="B1411" s="2204"/>
      <c r="C1411" s="1536"/>
      <c r="D1411" s="1536"/>
      <c r="E1411" s="1536"/>
      <c r="F1411" s="1536"/>
      <c r="G1411" s="1536"/>
      <c r="H1411" s="1235"/>
      <c r="I1411" s="1536"/>
      <c r="J1411" s="1536"/>
      <c r="K1411" s="1537"/>
      <c r="L1411" s="1708"/>
      <c r="M1411" s="2018"/>
      <c r="N1411" s="2250"/>
      <c r="O1411" s="1631"/>
      <c r="P1411" s="1536"/>
      <c r="Q1411" s="1536"/>
      <c r="R1411" s="1536"/>
    </row>
    <row r="1412" spans="1:18">
      <c r="A1412" s="1814"/>
      <c r="B1412" s="2204"/>
      <c r="C1412" s="1536"/>
      <c r="D1412" s="1536"/>
      <c r="E1412" s="1536"/>
      <c r="F1412" s="1536"/>
      <c r="G1412" s="1536"/>
      <c r="H1412" s="1235"/>
      <c r="I1412" s="1536"/>
      <c r="J1412" s="1536"/>
      <c r="K1412" s="1537"/>
      <c r="L1412" s="1708"/>
      <c r="M1412" s="2018"/>
      <c r="N1412" s="2250"/>
      <c r="O1412" s="1631"/>
      <c r="P1412" s="1536"/>
      <c r="Q1412" s="1536"/>
      <c r="R1412" s="1536"/>
    </row>
    <row r="1413" spans="1:18">
      <c r="A1413" s="1814"/>
      <c r="B1413" s="2204"/>
      <c r="C1413" s="1536"/>
      <c r="D1413" s="1536"/>
      <c r="E1413" s="1536"/>
      <c r="F1413" s="1536"/>
      <c r="G1413" s="1536"/>
      <c r="H1413" s="1235"/>
      <c r="I1413" s="1536"/>
      <c r="J1413" s="1536"/>
      <c r="K1413" s="1537"/>
      <c r="L1413" s="1708"/>
      <c r="M1413" s="2018"/>
      <c r="N1413" s="2250"/>
      <c r="O1413" s="1631"/>
      <c r="P1413" s="1536"/>
      <c r="Q1413" s="1536"/>
      <c r="R1413" s="1536"/>
    </row>
    <row r="1414" spans="1:18">
      <c r="A1414" s="1814"/>
      <c r="B1414" s="2204"/>
      <c r="C1414" s="1536"/>
      <c r="D1414" s="1536"/>
      <c r="E1414" s="1536"/>
      <c r="F1414" s="1536"/>
      <c r="G1414" s="1536"/>
      <c r="H1414" s="1235"/>
      <c r="I1414" s="1536"/>
      <c r="J1414" s="1536"/>
      <c r="K1414" s="1537"/>
      <c r="L1414" s="1708"/>
      <c r="M1414" s="2018"/>
      <c r="N1414" s="2250"/>
      <c r="O1414" s="1631"/>
      <c r="P1414" s="1536"/>
      <c r="Q1414" s="1536"/>
      <c r="R1414" s="1536"/>
    </row>
    <row r="1415" spans="1:18">
      <c r="A1415" s="1814"/>
      <c r="B1415" s="2204"/>
      <c r="C1415" s="1536"/>
      <c r="D1415" s="1536"/>
      <c r="E1415" s="1536"/>
      <c r="F1415" s="1536"/>
      <c r="G1415" s="1536"/>
      <c r="H1415" s="1235"/>
      <c r="I1415" s="1536"/>
      <c r="J1415" s="1536"/>
      <c r="K1415" s="1537"/>
      <c r="L1415" s="1708"/>
      <c r="M1415" s="2018"/>
      <c r="N1415" s="2250"/>
      <c r="O1415" s="1631"/>
      <c r="P1415" s="1536"/>
      <c r="Q1415" s="1536"/>
      <c r="R1415" s="1536"/>
    </row>
    <row r="1416" spans="1:18">
      <c r="A1416" s="1814"/>
      <c r="B1416" s="2204"/>
      <c r="C1416" s="1536"/>
      <c r="D1416" s="1536"/>
      <c r="E1416" s="1536"/>
      <c r="F1416" s="1536"/>
      <c r="G1416" s="1536"/>
      <c r="H1416" s="1235"/>
      <c r="I1416" s="1536"/>
      <c r="J1416" s="1536"/>
      <c r="K1416" s="1537"/>
      <c r="L1416" s="1708"/>
      <c r="M1416" s="2018"/>
      <c r="N1416" s="2250"/>
      <c r="O1416" s="1631"/>
      <c r="P1416" s="1536"/>
      <c r="Q1416" s="1536"/>
      <c r="R1416" s="1536"/>
    </row>
    <row r="1417" spans="1:18">
      <c r="A1417" s="1814"/>
      <c r="B1417" s="2204"/>
      <c r="C1417" s="1536"/>
      <c r="D1417" s="1536"/>
      <c r="E1417" s="1536"/>
      <c r="F1417" s="1536"/>
      <c r="G1417" s="1536"/>
      <c r="H1417" s="1235"/>
      <c r="I1417" s="1536"/>
      <c r="J1417" s="1536"/>
      <c r="K1417" s="1537"/>
      <c r="L1417" s="1708"/>
      <c r="M1417" s="2018"/>
      <c r="N1417" s="2250"/>
      <c r="O1417" s="1631"/>
      <c r="P1417" s="1536"/>
      <c r="Q1417" s="1536"/>
      <c r="R1417" s="1536"/>
    </row>
    <row r="1418" spans="1:18">
      <c r="A1418" s="1814"/>
      <c r="B1418" s="2204"/>
      <c r="C1418" s="1536"/>
      <c r="D1418" s="1536"/>
      <c r="E1418" s="1536"/>
      <c r="F1418" s="1536"/>
      <c r="G1418" s="1536"/>
      <c r="H1418" s="1235"/>
      <c r="I1418" s="1536"/>
      <c r="J1418" s="1536"/>
      <c r="K1418" s="1537"/>
      <c r="L1418" s="1708"/>
      <c r="M1418" s="2018"/>
      <c r="N1418" s="2250"/>
      <c r="O1418" s="1631"/>
      <c r="P1418" s="1536"/>
      <c r="Q1418" s="1536"/>
      <c r="R1418" s="1536"/>
    </row>
    <row r="1419" spans="1:18">
      <c r="A1419" s="1814"/>
      <c r="B1419" s="2204"/>
      <c r="C1419" s="1536"/>
      <c r="D1419" s="1536"/>
      <c r="E1419" s="1536"/>
      <c r="F1419" s="1536"/>
      <c r="G1419" s="1536"/>
      <c r="H1419" s="1235"/>
      <c r="I1419" s="1536"/>
      <c r="J1419" s="1536"/>
      <c r="K1419" s="1537"/>
      <c r="L1419" s="1708"/>
      <c r="M1419" s="2018"/>
      <c r="N1419" s="2250"/>
      <c r="O1419" s="1631"/>
      <c r="P1419" s="1536"/>
      <c r="Q1419" s="1536"/>
      <c r="R1419" s="1536"/>
    </row>
    <row r="1420" spans="1:18">
      <c r="A1420" s="1814"/>
      <c r="B1420" s="2204"/>
      <c r="C1420" s="1536"/>
      <c r="D1420" s="1536"/>
      <c r="E1420" s="1536"/>
      <c r="F1420" s="1536"/>
      <c r="G1420" s="1536"/>
      <c r="H1420" s="1235"/>
      <c r="I1420" s="1536"/>
      <c r="J1420" s="1536"/>
      <c r="K1420" s="1537"/>
      <c r="L1420" s="1708"/>
      <c r="M1420" s="2018"/>
      <c r="N1420" s="2250"/>
      <c r="O1420" s="1631"/>
      <c r="P1420" s="1536"/>
      <c r="Q1420" s="1536"/>
      <c r="R1420" s="1536"/>
    </row>
    <row r="1421" spans="1:18">
      <c r="A1421" s="1814"/>
      <c r="B1421" s="2204"/>
      <c r="C1421" s="1536"/>
      <c r="D1421" s="1536"/>
      <c r="E1421" s="1536"/>
      <c r="F1421" s="1536"/>
      <c r="G1421" s="1536"/>
      <c r="H1421" s="1235"/>
      <c r="I1421" s="1536"/>
      <c r="J1421" s="1536"/>
      <c r="K1421" s="1537"/>
      <c r="L1421" s="1708"/>
      <c r="M1421" s="2018"/>
      <c r="N1421" s="2250"/>
      <c r="O1421" s="1631"/>
      <c r="P1421" s="1536"/>
      <c r="Q1421" s="1536"/>
      <c r="R1421" s="1536"/>
    </row>
    <row r="1422" spans="1:18">
      <c r="A1422" s="1814"/>
      <c r="B1422" s="2204"/>
      <c r="C1422" s="1536"/>
      <c r="D1422" s="1536"/>
      <c r="E1422" s="1536"/>
      <c r="F1422" s="1536"/>
      <c r="G1422" s="1536"/>
      <c r="H1422" s="1235"/>
      <c r="I1422" s="1536"/>
      <c r="J1422" s="1536"/>
      <c r="K1422" s="1537"/>
      <c r="L1422" s="1708"/>
      <c r="M1422" s="2018"/>
      <c r="N1422" s="2250"/>
      <c r="O1422" s="1631"/>
      <c r="P1422" s="1536"/>
      <c r="Q1422" s="1536"/>
      <c r="R1422" s="1536"/>
    </row>
    <row r="1423" spans="1:18">
      <c r="A1423" s="1814"/>
      <c r="B1423" s="2204"/>
      <c r="C1423" s="1536"/>
      <c r="D1423" s="1536"/>
      <c r="E1423" s="1536"/>
      <c r="F1423" s="1536"/>
      <c r="G1423" s="1536"/>
      <c r="H1423" s="1235"/>
      <c r="I1423" s="1536"/>
      <c r="J1423" s="1536"/>
      <c r="K1423" s="1537"/>
      <c r="L1423" s="1708"/>
      <c r="M1423" s="2018"/>
      <c r="N1423" s="2250"/>
      <c r="O1423" s="1631"/>
      <c r="P1423" s="1536"/>
      <c r="Q1423" s="1536"/>
      <c r="R1423" s="1536"/>
    </row>
    <row r="1424" spans="1:18">
      <c r="A1424" s="1814"/>
      <c r="B1424" s="2204"/>
      <c r="C1424" s="1536"/>
      <c r="D1424" s="1536"/>
      <c r="E1424" s="1536"/>
      <c r="F1424" s="1536"/>
      <c r="G1424" s="1536"/>
      <c r="H1424" s="1235"/>
      <c r="I1424" s="1536"/>
      <c r="J1424" s="1536"/>
      <c r="K1424" s="1537"/>
      <c r="L1424" s="1708"/>
      <c r="M1424" s="2018"/>
      <c r="N1424" s="2250"/>
      <c r="O1424" s="1631"/>
      <c r="P1424" s="1536"/>
      <c r="Q1424" s="1536"/>
      <c r="R1424" s="1536"/>
    </row>
    <row r="1425" spans="1:18">
      <c r="A1425" s="1814"/>
      <c r="B1425" s="2204"/>
      <c r="C1425" s="1536"/>
      <c r="D1425" s="1536"/>
      <c r="E1425" s="1536"/>
      <c r="F1425" s="1536"/>
      <c r="G1425" s="1536"/>
      <c r="H1425" s="1235"/>
      <c r="I1425" s="1536"/>
      <c r="J1425" s="1536"/>
      <c r="K1425" s="1537"/>
      <c r="L1425" s="1708"/>
      <c r="M1425" s="2018"/>
      <c r="N1425" s="2250"/>
      <c r="O1425" s="1631"/>
      <c r="P1425" s="1536"/>
      <c r="Q1425" s="1536"/>
      <c r="R1425" s="1536"/>
    </row>
    <row r="1426" spans="1:18">
      <c r="A1426" s="1814"/>
      <c r="B1426" s="2204"/>
      <c r="C1426" s="1536"/>
      <c r="D1426" s="1536"/>
      <c r="E1426" s="1536"/>
      <c r="F1426" s="1536"/>
      <c r="G1426" s="1536"/>
      <c r="H1426" s="1235"/>
      <c r="I1426" s="1536"/>
      <c r="J1426" s="1536"/>
      <c r="K1426" s="1537"/>
      <c r="L1426" s="1708"/>
      <c r="M1426" s="2018"/>
      <c r="N1426" s="2250"/>
      <c r="O1426" s="1631"/>
      <c r="P1426" s="1536"/>
      <c r="Q1426" s="1536"/>
      <c r="R1426" s="1536"/>
    </row>
    <row r="1427" spans="1:18">
      <c r="A1427" s="1814"/>
      <c r="B1427" s="2204"/>
      <c r="C1427" s="1536"/>
      <c r="D1427" s="1536"/>
      <c r="E1427" s="1536"/>
      <c r="F1427" s="1536"/>
      <c r="G1427" s="1536"/>
      <c r="H1427" s="1235"/>
      <c r="I1427" s="1536"/>
      <c r="J1427" s="1536"/>
      <c r="K1427" s="1537"/>
      <c r="L1427" s="1708"/>
      <c r="M1427" s="2018"/>
      <c r="N1427" s="2250"/>
      <c r="O1427" s="1631"/>
      <c r="P1427" s="1536"/>
      <c r="Q1427" s="1536"/>
      <c r="R1427" s="1536"/>
    </row>
    <row r="1428" spans="1:18">
      <c r="A1428" s="1814"/>
      <c r="B1428" s="2204"/>
      <c r="C1428" s="1536"/>
      <c r="D1428" s="1536"/>
      <c r="E1428" s="1536"/>
      <c r="F1428" s="1536"/>
      <c r="G1428" s="1536"/>
      <c r="H1428" s="1235"/>
      <c r="I1428" s="1536"/>
      <c r="J1428" s="1536"/>
      <c r="K1428" s="1537"/>
      <c r="L1428" s="1708"/>
      <c r="M1428" s="2018"/>
      <c r="N1428" s="2250"/>
      <c r="O1428" s="1631"/>
      <c r="P1428" s="1536"/>
      <c r="Q1428" s="1536"/>
      <c r="R1428" s="1536"/>
    </row>
    <row r="1429" spans="1:18">
      <c r="A1429" s="1814"/>
      <c r="B1429" s="2204"/>
      <c r="C1429" s="1536"/>
      <c r="D1429" s="1536"/>
      <c r="E1429" s="1536"/>
      <c r="F1429" s="1536"/>
      <c r="G1429" s="1536"/>
      <c r="H1429" s="1235"/>
      <c r="I1429" s="1536"/>
      <c r="J1429" s="1536"/>
      <c r="K1429" s="1537"/>
      <c r="L1429" s="1708"/>
      <c r="M1429" s="2018"/>
      <c r="N1429" s="2250"/>
      <c r="O1429" s="1631"/>
      <c r="P1429" s="1536"/>
      <c r="Q1429" s="1536"/>
      <c r="R1429" s="1536"/>
    </row>
    <row r="1430" spans="1:18">
      <c r="A1430" s="1814"/>
      <c r="B1430" s="2204"/>
      <c r="C1430" s="1536"/>
      <c r="D1430" s="1536"/>
      <c r="E1430" s="1536"/>
      <c r="F1430" s="1536"/>
      <c r="G1430" s="1536"/>
      <c r="H1430" s="1235"/>
      <c r="I1430" s="1536"/>
      <c r="J1430" s="1536"/>
      <c r="K1430" s="1537"/>
      <c r="L1430" s="1708"/>
      <c r="M1430" s="2018"/>
      <c r="N1430" s="2250"/>
      <c r="O1430" s="1631"/>
      <c r="P1430" s="1536"/>
      <c r="Q1430" s="1536"/>
      <c r="R1430" s="1536"/>
    </row>
    <row r="1431" spans="1:18">
      <c r="A1431" s="1814"/>
      <c r="B1431" s="2204"/>
      <c r="C1431" s="1536"/>
      <c r="D1431" s="1536"/>
      <c r="E1431" s="1536"/>
      <c r="F1431" s="1536"/>
      <c r="G1431" s="1536"/>
      <c r="H1431" s="1235"/>
      <c r="I1431" s="1536"/>
      <c r="J1431" s="1536"/>
      <c r="K1431" s="1537"/>
      <c r="L1431" s="1708"/>
      <c r="M1431" s="2018"/>
      <c r="N1431" s="2250"/>
      <c r="O1431" s="1631"/>
      <c r="P1431" s="1536"/>
      <c r="Q1431" s="1536"/>
      <c r="R1431" s="1536"/>
    </row>
    <row r="1432" spans="1:18">
      <c r="A1432" s="1814"/>
      <c r="B1432" s="2204"/>
      <c r="C1432" s="1536"/>
      <c r="D1432" s="1536"/>
      <c r="E1432" s="1536"/>
      <c r="F1432" s="1536"/>
      <c r="G1432" s="1536"/>
      <c r="H1432" s="1235"/>
      <c r="I1432" s="1536"/>
      <c r="J1432" s="1536"/>
      <c r="K1432" s="1537"/>
      <c r="L1432" s="1708"/>
      <c r="M1432" s="2018"/>
      <c r="N1432" s="2250"/>
      <c r="O1432" s="1631"/>
      <c r="P1432" s="1536"/>
      <c r="Q1432" s="1536"/>
      <c r="R1432" s="1536"/>
    </row>
    <row r="1433" spans="1:18">
      <c r="A1433" s="1814"/>
      <c r="B1433" s="2204"/>
      <c r="C1433" s="1536"/>
      <c r="D1433" s="1536"/>
      <c r="E1433" s="1536"/>
      <c r="F1433" s="1536"/>
      <c r="G1433" s="1536"/>
      <c r="H1433" s="1235"/>
      <c r="I1433" s="1536"/>
      <c r="J1433" s="1536"/>
      <c r="K1433" s="1537"/>
      <c r="L1433" s="1708"/>
      <c r="M1433" s="2018"/>
      <c r="N1433" s="2250"/>
      <c r="O1433" s="1631"/>
      <c r="P1433" s="1536"/>
      <c r="Q1433" s="1536"/>
      <c r="R1433" s="1536"/>
    </row>
    <row r="1434" spans="1:18">
      <c r="A1434" s="1814"/>
      <c r="B1434" s="2204"/>
      <c r="C1434" s="1536"/>
      <c r="D1434" s="1536"/>
      <c r="E1434" s="1536"/>
      <c r="F1434" s="1536"/>
      <c r="G1434" s="1536"/>
      <c r="H1434" s="1235"/>
      <c r="I1434" s="1536"/>
      <c r="J1434" s="1536"/>
      <c r="K1434" s="1537"/>
      <c r="L1434" s="1708"/>
      <c r="M1434" s="2018"/>
      <c r="N1434" s="2250"/>
      <c r="O1434" s="1631"/>
      <c r="P1434" s="1536"/>
      <c r="Q1434" s="1536"/>
      <c r="R1434" s="1536"/>
    </row>
    <row r="1435" spans="1:18">
      <c r="A1435" s="1814"/>
      <c r="B1435" s="2204"/>
      <c r="C1435" s="1536"/>
      <c r="D1435" s="1536"/>
      <c r="E1435" s="1536"/>
      <c r="F1435" s="1536"/>
      <c r="G1435" s="1536"/>
      <c r="H1435" s="1235"/>
      <c r="I1435" s="1536"/>
      <c r="J1435" s="1536"/>
      <c r="K1435" s="1537"/>
      <c r="L1435" s="1708"/>
      <c r="M1435" s="2018"/>
      <c r="N1435" s="2250"/>
      <c r="O1435" s="1631"/>
      <c r="P1435" s="1536"/>
      <c r="Q1435" s="1536"/>
      <c r="R1435" s="1536"/>
    </row>
    <row r="1436" spans="1:18">
      <c r="A1436" s="1814"/>
      <c r="B1436" s="2204"/>
      <c r="C1436" s="1536"/>
      <c r="D1436" s="1536"/>
      <c r="E1436" s="1536"/>
      <c r="F1436" s="1536"/>
      <c r="G1436" s="1536"/>
      <c r="H1436" s="1235"/>
      <c r="I1436" s="1536"/>
      <c r="J1436" s="1536"/>
      <c r="K1436" s="1537"/>
      <c r="L1436" s="1708"/>
      <c r="M1436" s="2018"/>
      <c r="N1436" s="2250"/>
      <c r="O1436" s="1631"/>
      <c r="P1436" s="1536"/>
      <c r="Q1436" s="1536"/>
      <c r="R1436" s="1536"/>
    </row>
    <row r="1437" spans="1:18">
      <c r="A1437" s="1814"/>
      <c r="B1437" s="2204"/>
      <c r="C1437" s="1536"/>
      <c r="D1437" s="1536"/>
      <c r="E1437" s="1536"/>
      <c r="F1437" s="1536"/>
      <c r="G1437" s="1536"/>
      <c r="H1437" s="1235"/>
      <c r="I1437" s="1536"/>
      <c r="J1437" s="1536"/>
      <c r="K1437" s="1537"/>
      <c r="L1437" s="1708"/>
      <c r="M1437" s="2018"/>
      <c r="N1437" s="2250"/>
      <c r="O1437" s="1631"/>
      <c r="P1437" s="1536"/>
      <c r="Q1437" s="1536"/>
      <c r="R1437" s="1536"/>
    </row>
    <row r="1438" spans="1:18">
      <c r="A1438" s="1814"/>
      <c r="B1438" s="2204"/>
      <c r="C1438" s="1536"/>
      <c r="D1438" s="1536"/>
      <c r="E1438" s="1536"/>
      <c r="F1438" s="1536"/>
      <c r="G1438" s="1536"/>
      <c r="H1438" s="1235"/>
      <c r="I1438" s="1536"/>
      <c r="J1438" s="1536"/>
      <c r="K1438" s="1537"/>
      <c r="L1438" s="1708"/>
      <c r="M1438" s="2018"/>
      <c r="N1438" s="2250"/>
      <c r="O1438" s="1631"/>
      <c r="P1438" s="1536"/>
      <c r="Q1438" s="1536"/>
      <c r="R1438" s="1536"/>
    </row>
    <row r="1439" spans="1:18">
      <c r="A1439" s="1814"/>
      <c r="B1439" s="2204"/>
      <c r="C1439" s="1536"/>
      <c r="D1439" s="1536"/>
      <c r="E1439" s="1536"/>
      <c r="F1439" s="1536"/>
      <c r="G1439" s="1536"/>
      <c r="H1439" s="1235"/>
      <c r="I1439" s="1536"/>
      <c r="J1439" s="1536"/>
      <c r="K1439" s="1537"/>
      <c r="L1439" s="1708"/>
      <c r="M1439" s="2018"/>
      <c r="N1439" s="2250"/>
      <c r="O1439" s="1631"/>
      <c r="P1439" s="1536"/>
      <c r="Q1439" s="1536"/>
      <c r="R1439" s="1536"/>
    </row>
    <row r="1440" spans="1:18">
      <c r="A1440" s="1814"/>
      <c r="B1440" s="2204"/>
      <c r="C1440" s="1536"/>
      <c r="D1440" s="1536"/>
      <c r="E1440" s="1536"/>
      <c r="F1440" s="1536"/>
      <c r="G1440" s="1536"/>
      <c r="H1440" s="1235"/>
      <c r="I1440" s="1536"/>
      <c r="J1440" s="1536"/>
      <c r="K1440" s="1537"/>
      <c r="L1440" s="1708"/>
      <c r="M1440" s="2018"/>
      <c r="N1440" s="2250"/>
      <c r="O1440" s="1631"/>
      <c r="P1440" s="1536"/>
      <c r="Q1440" s="1536"/>
      <c r="R1440" s="1536"/>
    </row>
    <row r="1441" spans="1:18">
      <c r="A1441" s="1814"/>
      <c r="B1441" s="2204"/>
      <c r="C1441" s="1536"/>
      <c r="D1441" s="1536"/>
      <c r="E1441" s="1536"/>
      <c r="F1441" s="1536"/>
      <c r="G1441" s="1536"/>
      <c r="H1441" s="1235"/>
      <c r="I1441" s="1536"/>
      <c r="J1441" s="1536"/>
      <c r="K1441" s="1537"/>
      <c r="L1441" s="1708"/>
      <c r="M1441" s="2018"/>
      <c r="N1441" s="2250"/>
      <c r="O1441" s="1631"/>
      <c r="P1441" s="1536"/>
      <c r="Q1441" s="1536"/>
      <c r="R1441" s="1536"/>
    </row>
    <row r="1442" spans="1:18">
      <c r="A1442" s="1814"/>
      <c r="B1442" s="2204"/>
      <c r="C1442" s="1536"/>
      <c r="D1442" s="1536"/>
      <c r="E1442" s="1536"/>
      <c r="F1442" s="1536"/>
      <c r="G1442" s="1536"/>
      <c r="H1442" s="1235"/>
      <c r="I1442" s="1536"/>
      <c r="J1442" s="1536"/>
      <c r="K1442" s="1537"/>
      <c r="L1442" s="1708"/>
      <c r="M1442" s="2018"/>
      <c r="N1442" s="2250"/>
      <c r="O1442" s="1631"/>
      <c r="P1442" s="1536"/>
      <c r="Q1442" s="1536"/>
      <c r="R1442" s="1536"/>
    </row>
    <row r="1443" spans="1:18">
      <c r="A1443" s="1814"/>
      <c r="B1443" s="2204"/>
      <c r="C1443" s="1536"/>
      <c r="D1443" s="1536"/>
      <c r="E1443" s="1536"/>
      <c r="F1443" s="1536"/>
      <c r="G1443" s="1536"/>
      <c r="H1443" s="1235"/>
      <c r="I1443" s="1536"/>
      <c r="J1443" s="1536"/>
      <c r="K1443" s="1537"/>
      <c r="L1443" s="1708"/>
      <c r="M1443" s="2018"/>
      <c r="N1443" s="2250"/>
      <c r="O1443" s="1631"/>
      <c r="P1443" s="1536"/>
      <c r="Q1443" s="1536"/>
      <c r="R1443" s="1536"/>
    </row>
    <row r="1444" spans="1:18">
      <c r="A1444" s="1814"/>
      <c r="B1444" s="2204"/>
      <c r="C1444" s="1536"/>
      <c r="D1444" s="1536"/>
      <c r="E1444" s="1536"/>
      <c r="F1444" s="1536"/>
      <c r="G1444" s="1536"/>
      <c r="H1444" s="1235"/>
      <c r="I1444" s="1536"/>
      <c r="J1444" s="1536"/>
      <c r="K1444" s="1537"/>
      <c r="L1444" s="1708"/>
      <c r="M1444" s="2018"/>
      <c r="N1444" s="2250"/>
      <c r="O1444" s="1631"/>
      <c r="P1444" s="1536"/>
      <c r="Q1444" s="1536"/>
      <c r="R1444" s="1536"/>
    </row>
    <row r="1445" spans="1:18">
      <c r="A1445" s="1814"/>
      <c r="B1445" s="2204"/>
      <c r="C1445" s="1536"/>
      <c r="D1445" s="1536"/>
      <c r="E1445" s="1536"/>
      <c r="F1445" s="1536"/>
      <c r="G1445" s="1536"/>
      <c r="H1445" s="1235"/>
      <c r="I1445" s="1536"/>
      <c r="J1445" s="1536"/>
      <c r="K1445" s="1537"/>
      <c r="L1445" s="1708"/>
      <c r="M1445" s="2018"/>
      <c r="N1445" s="2250"/>
      <c r="O1445" s="1631"/>
      <c r="P1445" s="1536"/>
      <c r="Q1445" s="1536"/>
      <c r="R1445" s="1536"/>
    </row>
    <row r="1446" spans="1:18">
      <c r="A1446" s="1814"/>
      <c r="B1446" s="2204"/>
      <c r="C1446" s="1536"/>
      <c r="D1446" s="1536"/>
      <c r="E1446" s="1536"/>
      <c r="F1446" s="1536"/>
      <c r="G1446" s="1536"/>
      <c r="H1446" s="1235"/>
      <c r="I1446" s="1536"/>
      <c r="J1446" s="1536"/>
      <c r="K1446" s="1537"/>
      <c r="L1446" s="1708"/>
      <c r="M1446" s="2018"/>
      <c r="N1446" s="2250"/>
      <c r="O1446" s="1631"/>
      <c r="P1446" s="1536"/>
      <c r="Q1446" s="1536"/>
      <c r="R1446" s="1536"/>
    </row>
    <row r="1447" spans="1:18">
      <c r="A1447" s="1814"/>
      <c r="B1447" s="2204"/>
      <c r="C1447" s="1536"/>
      <c r="D1447" s="1536"/>
      <c r="E1447" s="1536"/>
      <c r="F1447" s="1536"/>
      <c r="G1447" s="1536"/>
      <c r="H1447" s="1235"/>
      <c r="I1447" s="1536"/>
      <c r="J1447" s="1536"/>
      <c r="K1447" s="1537"/>
      <c r="L1447" s="1708"/>
      <c r="M1447" s="2018"/>
      <c r="N1447" s="2250"/>
      <c r="O1447" s="1631"/>
      <c r="P1447" s="1536"/>
      <c r="Q1447" s="1536"/>
      <c r="R1447" s="1536"/>
    </row>
    <row r="1448" spans="1:18">
      <c r="A1448" s="1814"/>
      <c r="B1448" s="2204"/>
      <c r="C1448" s="1536"/>
      <c r="D1448" s="1536"/>
      <c r="E1448" s="1536"/>
      <c r="F1448" s="1536"/>
      <c r="G1448" s="1536"/>
      <c r="H1448" s="1235"/>
      <c r="I1448" s="1536"/>
      <c r="J1448" s="1536"/>
      <c r="K1448" s="1537"/>
      <c r="L1448" s="1708"/>
      <c r="M1448" s="2018"/>
      <c r="N1448" s="2250"/>
      <c r="O1448" s="1631"/>
      <c r="P1448" s="1536"/>
      <c r="Q1448" s="1536"/>
      <c r="R1448" s="1536"/>
    </row>
    <row r="1449" spans="1:18">
      <c r="A1449" s="1814"/>
      <c r="B1449" s="2204"/>
      <c r="C1449" s="1536"/>
      <c r="D1449" s="1536"/>
      <c r="E1449" s="1536"/>
      <c r="F1449" s="1536"/>
      <c r="G1449" s="1536"/>
      <c r="H1449" s="1235"/>
      <c r="I1449" s="1536"/>
      <c r="J1449" s="1536"/>
      <c r="K1449" s="1537"/>
      <c r="L1449" s="1708"/>
      <c r="M1449" s="2018"/>
      <c r="N1449" s="2250"/>
      <c r="O1449" s="1631"/>
      <c r="P1449" s="1536"/>
      <c r="Q1449" s="1536"/>
      <c r="R1449" s="1536"/>
    </row>
    <row r="1450" spans="1:18">
      <c r="A1450" s="1814"/>
      <c r="B1450" s="2204"/>
      <c r="C1450" s="1536"/>
      <c r="D1450" s="1536"/>
      <c r="E1450" s="1536"/>
      <c r="F1450" s="1536"/>
      <c r="G1450" s="1536"/>
      <c r="H1450" s="1235"/>
      <c r="I1450" s="1536"/>
      <c r="J1450" s="1536"/>
      <c r="K1450" s="1537"/>
      <c r="L1450" s="1708"/>
      <c r="M1450" s="2018"/>
      <c r="N1450" s="2250"/>
      <c r="O1450" s="1631"/>
      <c r="P1450" s="1536"/>
      <c r="Q1450" s="1536"/>
      <c r="R1450" s="1536"/>
    </row>
    <row r="1451" spans="1:18">
      <c r="A1451" s="1814"/>
      <c r="B1451" s="2204"/>
      <c r="C1451" s="1536"/>
      <c r="D1451" s="1536"/>
      <c r="E1451" s="1536"/>
      <c r="F1451" s="1536"/>
      <c r="G1451" s="1536"/>
      <c r="H1451" s="1235"/>
      <c r="I1451" s="1536"/>
      <c r="J1451" s="1536"/>
      <c r="K1451" s="1537"/>
      <c r="L1451" s="1708"/>
      <c r="M1451" s="2018"/>
      <c r="N1451" s="2250"/>
      <c r="O1451" s="1631"/>
      <c r="P1451" s="1536"/>
      <c r="Q1451" s="1536"/>
      <c r="R1451" s="1536"/>
    </row>
    <row r="1452" spans="1:18">
      <c r="A1452" s="1814"/>
      <c r="B1452" s="2204"/>
      <c r="C1452" s="1536"/>
      <c r="D1452" s="1536"/>
      <c r="E1452" s="1536"/>
      <c r="F1452" s="1536"/>
      <c r="G1452" s="1536"/>
      <c r="H1452" s="1235"/>
      <c r="I1452" s="1536"/>
      <c r="J1452" s="1536"/>
      <c r="K1452" s="1537"/>
      <c r="L1452" s="1708"/>
      <c r="M1452" s="2018"/>
      <c r="N1452" s="2250"/>
      <c r="O1452" s="1631"/>
      <c r="P1452" s="1536"/>
      <c r="Q1452" s="1536"/>
      <c r="R1452" s="1536"/>
    </row>
    <row r="1453" spans="1:18">
      <c r="A1453" s="1814"/>
      <c r="B1453" s="2204"/>
      <c r="C1453" s="1536"/>
      <c r="D1453" s="1536"/>
      <c r="E1453" s="1536"/>
      <c r="F1453" s="1536"/>
      <c r="G1453" s="1536"/>
      <c r="H1453" s="1235"/>
      <c r="I1453" s="1536"/>
      <c r="J1453" s="1536"/>
      <c r="K1453" s="1537"/>
      <c r="L1453" s="1708"/>
      <c r="M1453" s="2018"/>
      <c r="N1453" s="2250"/>
      <c r="O1453" s="1631"/>
      <c r="P1453" s="1536"/>
      <c r="Q1453" s="1536"/>
      <c r="R1453" s="1536"/>
    </row>
    <row r="1454" spans="1:18">
      <c r="A1454" s="1814"/>
      <c r="B1454" s="2204"/>
      <c r="C1454" s="1536"/>
      <c r="D1454" s="1536"/>
      <c r="E1454" s="1536"/>
      <c r="F1454" s="1536"/>
      <c r="G1454" s="1536"/>
      <c r="H1454" s="1235"/>
      <c r="I1454" s="1536"/>
      <c r="J1454" s="1536"/>
      <c r="K1454" s="1537"/>
      <c r="L1454" s="1708"/>
      <c r="M1454" s="2018"/>
      <c r="N1454" s="2250"/>
      <c r="O1454" s="1631"/>
      <c r="P1454" s="1536"/>
      <c r="Q1454" s="1536"/>
      <c r="R1454" s="1536"/>
    </row>
    <row r="1455" spans="1:18">
      <c r="A1455" s="1814"/>
      <c r="B1455" s="2204"/>
      <c r="C1455" s="1536"/>
      <c r="D1455" s="1536"/>
      <c r="E1455" s="1536"/>
      <c r="F1455" s="1536"/>
      <c r="G1455" s="1536"/>
      <c r="H1455" s="1235"/>
      <c r="I1455" s="1536"/>
      <c r="J1455" s="1536"/>
      <c r="K1455" s="1537"/>
      <c r="L1455" s="1708"/>
      <c r="M1455" s="2018"/>
      <c r="N1455" s="2250"/>
      <c r="O1455" s="1631"/>
      <c r="P1455" s="1536"/>
      <c r="Q1455" s="1536"/>
      <c r="R1455" s="1536"/>
    </row>
    <row r="1456" spans="1:18">
      <c r="A1456" s="1814"/>
      <c r="B1456" s="2204"/>
      <c r="C1456" s="1536"/>
      <c r="D1456" s="1536"/>
      <c r="E1456" s="1536"/>
      <c r="F1456" s="1536"/>
      <c r="G1456" s="1536"/>
      <c r="H1456" s="1235"/>
      <c r="I1456" s="1536"/>
      <c r="J1456" s="1536"/>
      <c r="K1456" s="1537"/>
      <c r="L1456" s="1708"/>
      <c r="M1456" s="2018"/>
      <c r="N1456" s="2250"/>
      <c r="O1456" s="1631"/>
      <c r="P1456" s="1536"/>
      <c r="Q1456" s="1536"/>
      <c r="R1456" s="1536"/>
    </row>
    <row r="1457" spans="1:18">
      <c r="A1457" s="1814"/>
      <c r="B1457" s="2204"/>
      <c r="C1457" s="1536"/>
      <c r="D1457" s="1536"/>
      <c r="E1457" s="1536"/>
      <c r="F1457" s="1536"/>
      <c r="G1457" s="1536"/>
      <c r="H1457" s="1235"/>
      <c r="I1457" s="1536"/>
      <c r="J1457" s="1536"/>
      <c r="K1457" s="1537"/>
      <c r="L1457" s="1708"/>
      <c r="M1457" s="2018"/>
      <c r="N1457" s="2250"/>
      <c r="O1457" s="1631"/>
      <c r="P1457" s="1536"/>
      <c r="Q1457" s="1536"/>
      <c r="R1457" s="1536"/>
    </row>
    <row r="1458" spans="1:18">
      <c r="A1458" s="1814"/>
      <c r="B1458" s="2204"/>
      <c r="C1458" s="1536"/>
      <c r="D1458" s="1536"/>
      <c r="E1458" s="1536"/>
      <c r="F1458" s="1536"/>
      <c r="G1458" s="1536"/>
      <c r="H1458" s="1235"/>
      <c r="I1458" s="1536"/>
      <c r="J1458" s="1536"/>
      <c r="K1458" s="1537"/>
      <c r="L1458" s="1708"/>
      <c r="M1458" s="2018"/>
      <c r="N1458" s="2250"/>
      <c r="O1458" s="1631"/>
      <c r="P1458" s="1536"/>
      <c r="Q1458" s="1536"/>
      <c r="R1458" s="1536"/>
    </row>
    <row r="1459" spans="1:18">
      <c r="A1459" s="1814"/>
      <c r="B1459" s="2204"/>
      <c r="C1459" s="1536"/>
      <c r="D1459" s="1536"/>
      <c r="E1459" s="1536"/>
      <c r="F1459" s="1536"/>
      <c r="G1459" s="1536"/>
      <c r="H1459" s="1235"/>
      <c r="I1459" s="1536"/>
      <c r="J1459" s="1536"/>
      <c r="K1459" s="1537"/>
      <c r="L1459" s="1708"/>
      <c r="M1459" s="2018"/>
      <c r="N1459" s="2250"/>
      <c r="O1459" s="1631"/>
      <c r="P1459" s="1536"/>
      <c r="Q1459" s="1536"/>
      <c r="R1459" s="1536"/>
    </row>
    <row r="1460" spans="1:18">
      <c r="A1460" s="1814"/>
      <c r="B1460" s="2204"/>
      <c r="C1460" s="1536"/>
      <c r="D1460" s="1536"/>
      <c r="E1460" s="1536"/>
      <c r="F1460" s="1536"/>
      <c r="G1460" s="1536"/>
      <c r="H1460" s="1235"/>
      <c r="I1460" s="1536"/>
      <c r="J1460" s="1536"/>
      <c r="K1460" s="1537"/>
      <c r="L1460" s="1708"/>
      <c r="M1460" s="2018"/>
      <c r="N1460" s="2250"/>
      <c r="O1460" s="1631"/>
      <c r="P1460" s="1536"/>
      <c r="Q1460" s="1536"/>
      <c r="R1460" s="1536"/>
    </row>
    <row r="1461" spans="1:18">
      <c r="A1461" s="1814"/>
      <c r="B1461" s="2204"/>
      <c r="C1461" s="1536"/>
      <c r="D1461" s="1536"/>
      <c r="E1461" s="1536"/>
      <c r="F1461" s="1536"/>
      <c r="G1461" s="1536"/>
      <c r="H1461" s="1235"/>
      <c r="I1461" s="1536"/>
      <c r="J1461" s="1536"/>
      <c r="K1461" s="1537"/>
      <c r="L1461" s="1708"/>
      <c r="M1461" s="2018"/>
      <c r="N1461" s="2250"/>
      <c r="O1461" s="1631"/>
      <c r="P1461" s="1536"/>
      <c r="Q1461" s="1536"/>
      <c r="R1461" s="1536"/>
    </row>
    <row r="1462" spans="1:18">
      <c r="A1462" s="1814"/>
      <c r="B1462" s="2204"/>
      <c r="C1462" s="1536"/>
      <c r="D1462" s="1536"/>
      <c r="E1462" s="1536"/>
      <c r="F1462" s="1536"/>
      <c r="G1462" s="1536"/>
      <c r="H1462" s="1235"/>
      <c r="I1462" s="1536"/>
      <c r="J1462" s="1536"/>
      <c r="K1462" s="1537"/>
      <c r="L1462" s="1708"/>
      <c r="M1462" s="2018"/>
      <c r="N1462" s="2250"/>
      <c r="O1462" s="1631"/>
      <c r="P1462" s="1536"/>
      <c r="Q1462" s="1536"/>
      <c r="R1462" s="1536"/>
    </row>
    <row r="1463" spans="1:18">
      <c r="A1463" s="1814"/>
      <c r="B1463" s="2204"/>
      <c r="C1463" s="1536"/>
      <c r="D1463" s="1536"/>
      <c r="E1463" s="1536"/>
      <c r="F1463" s="1536"/>
      <c r="G1463" s="1536"/>
      <c r="H1463" s="1235"/>
      <c r="I1463" s="1536"/>
      <c r="J1463" s="1536"/>
      <c r="K1463" s="1537"/>
      <c r="L1463" s="1708"/>
      <c r="M1463" s="2018"/>
      <c r="N1463" s="2250"/>
      <c r="O1463" s="1631"/>
      <c r="P1463" s="1536"/>
      <c r="Q1463" s="1536"/>
      <c r="R1463" s="1536"/>
    </row>
    <row r="1464" spans="1:18">
      <c r="A1464" s="1814"/>
      <c r="B1464" s="2204"/>
      <c r="C1464" s="1536"/>
      <c r="D1464" s="1536"/>
      <c r="E1464" s="1536"/>
      <c r="F1464" s="1536"/>
      <c r="G1464" s="1536"/>
      <c r="H1464" s="1235"/>
      <c r="I1464" s="1536"/>
      <c r="J1464" s="1536"/>
      <c r="K1464" s="1537"/>
      <c r="L1464" s="1708"/>
      <c r="M1464" s="2018"/>
      <c r="N1464" s="2250"/>
      <c r="O1464" s="1631"/>
      <c r="P1464" s="1536"/>
      <c r="Q1464" s="1536"/>
      <c r="R1464" s="1536"/>
    </row>
    <row r="1465" spans="1:18">
      <c r="A1465" s="1814"/>
      <c r="B1465" s="2204"/>
      <c r="C1465" s="1536"/>
      <c r="D1465" s="1536"/>
      <c r="E1465" s="1536"/>
      <c r="F1465" s="1536"/>
      <c r="G1465" s="1536"/>
      <c r="H1465" s="1235"/>
      <c r="I1465" s="1536"/>
      <c r="J1465" s="1536"/>
      <c r="K1465" s="1537"/>
      <c r="L1465" s="1708"/>
      <c r="M1465" s="2018"/>
      <c r="N1465" s="2250"/>
      <c r="O1465" s="1631"/>
      <c r="P1465" s="1536"/>
      <c r="Q1465" s="1536"/>
      <c r="R1465" s="1536"/>
    </row>
    <row r="1466" spans="1:18">
      <c r="A1466" s="1814"/>
      <c r="B1466" s="2204"/>
      <c r="C1466" s="1536"/>
      <c r="D1466" s="1536"/>
      <c r="E1466" s="1536"/>
      <c r="F1466" s="1536"/>
      <c r="G1466" s="1536"/>
      <c r="H1466" s="1235"/>
      <c r="I1466" s="1536"/>
      <c r="J1466" s="1536"/>
      <c r="K1466" s="1537"/>
      <c r="L1466" s="1708"/>
      <c r="M1466" s="2018"/>
      <c r="N1466" s="2250"/>
      <c r="O1466" s="1631"/>
      <c r="P1466" s="1536"/>
      <c r="Q1466" s="1536"/>
      <c r="R1466" s="1536"/>
    </row>
    <row r="1467" spans="1:18">
      <c r="A1467" s="1814"/>
      <c r="B1467" s="2204"/>
      <c r="C1467" s="1536"/>
      <c r="D1467" s="1536"/>
      <c r="E1467" s="1536"/>
      <c r="F1467" s="1536"/>
      <c r="G1467" s="1536"/>
      <c r="H1467" s="1235"/>
      <c r="I1467" s="1536"/>
      <c r="J1467" s="1536"/>
      <c r="K1467" s="1537"/>
      <c r="L1467" s="1708"/>
      <c r="M1467" s="2018"/>
      <c r="N1467" s="2250"/>
      <c r="O1467" s="1631"/>
      <c r="P1467" s="1536"/>
      <c r="Q1467" s="1536"/>
      <c r="R1467" s="1536"/>
    </row>
    <row r="1468" spans="1:18">
      <c r="A1468" s="1814"/>
      <c r="B1468" s="2204"/>
      <c r="C1468" s="1536"/>
      <c r="D1468" s="1536"/>
      <c r="E1468" s="1536"/>
      <c r="F1468" s="1536"/>
      <c r="G1468" s="1536"/>
      <c r="H1468" s="1235"/>
      <c r="I1468" s="1536"/>
      <c r="J1468" s="1536"/>
      <c r="K1468" s="1537"/>
      <c r="L1468" s="1708"/>
      <c r="M1468" s="2018"/>
      <c r="N1468" s="2250"/>
      <c r="O1468" s="1631"/>
      <c r="P1468" s="1536"/>
      <c r="Q1468" s="1536"/>
      <c r="R1468" s="1536"/>
    </row>
    <row r="1469" spans="1:18">
      <c r="A1469" s="1814"/>
      <c r="B1469" s="2204"/>
      <c r="C1469" s="1536"/>
      <c r="D1469" s="1536"/>
      <c r="E1469" s="1536"/>
      <c r="F1469" s="1536"/>
      <c r="G1469" s="1536"/>
      <c r="H1469" s="1235"/>
      <c r="I1469" s="1536"/>
      <c r="J1469" s="1536"/>
      <c r="K1469" s="1537"/>
      <c r="L1469" s="1708"/>
      <c r="M1469" s="2018"/>
      <c r="N1469" s="2250"/>
      <c r="O1469" s="1631"/>
      <c r="P1469" s="1536"/>
      <c r="Q1469" s="1536"/>
      <c r="R1469" s="1536"/>
    </row>
    <row r="1470" spans="1:18">
      <c r="A1470" s="1814"/>
      <c r="B1470" s="2204"/>
      <c r="C1470" s="1536"/>
      <c r="D1470" s="1536"/>
      <c r="E1470" s="1536"/>
      <c r="F1470" s="1536"/>
      <c r="G1470" s="1536"/>
      <c r="H1470" s="1235"/>
      <c r="I1470" s="1536"/>
      <c r="J1470" s="1536"/>
      <c r="K1470" s="1537"/>
      <c r="L1470" s="1708"/>
      <c r="M1470" s="2018"/>
      <c r="N1470" s="2250"/>
      <c r="O1470" s="1631"/>
      <c r="P1470" s="1536"/>
      <c r="Q1470" s="1536"/>
      <c r="R1470" s="1536"/>
    </row>
    <row r="1471" spans="1:18">
      <c r="A1471" s="1814"/>
      <c r="B1471" s="2204"/>
      <c r="C1471" s="1536"/>
      <c r="D1471" s="1536"/>
      <c r="E1471" s="1536"/>
      <c r="F1471" s="1536"/>
      <c r="G1471" s="1536"/>
      <c r="H1471" s="1235"/>
      <c r="I1471" s="1536"/>
      <c r="J1471" s="1536"/>
      <c r="K1471" s="1537"/>
      <c r="L1471" s="1708"/>
      <c r="M1471" s="2018"/>
      <c r="N1471" s="2250"/>
      <c r="O1471" s="1631"/>
      <c r="P1471" s="1536"/>
      <c r="Q1471" s="1536"/>
      <c r="R1471" s="1536"/>
    </row>
    <row r="1472" spans="1:18">
      <c r="A1472" s="1814"/>
      <c r="B1472" s="2204"/>
      <c r="C1472" s="1536"/>
      <c r="D1472" s="1536"/>
      <c r="E1472" s="1536"/>
      <c r="F1472" s="1536"/>
      <c r="G1472" s="1536"/>
      <c r="H1472" s="1235"/>
      <c r="I1472" s="1536"/>
      <c r="J1472" s="1536"/>
      <c r="K1472" s="1537"/>
      <c r="L1472" s="1708"/>
      <c r="M1472" s="2018"/>
      <c r="N1472" s="2250"/>
      <c r="O1472" s="1631"/>
      <c r="P1472" s="1536"/>
      <c r="Q1472" s="1536"/>
      <c r="R1472" s="1536"/>
    </row>
    <row r="1473" spans="1:18">
      <c r="A1473" s="1814"/>
      <c r="B1473" s="2204"/>
      <c r="C1473" s="1536"/>
      <c r="D1473" s="1536"/>
      <c r="E1473" s="1536"/>
      <c r="F1473" s="1536"/>
      <c r="G1473" s="1536"/>
      <c r="H1473" s="1235"/>
      <c r="I1473" s="1536"/>
      <c r="J1473" s="1536"/>
      <c r="K1473" s="1537"/>
      <c r="L1473" s="1708"/>
      <c r="M1473" s="2018"/>
      <c r="N1473" s="2250"/>
      <c r="O1473" s="1631"/>
      <c r="P1473" s="1536"/>
      <c r="Q1473" s="1536"/>
      <c r="R1473" s="1536"/>
    </row>
    <row r="1474" spans="1:18">
      <c r="A1474" s="1814"/>
      <c r="B1474" s="2204"/>
      <c r="C1474" s="1536"/>
      <c r="D1474" s="1536"/>
      <c r="E1474" s="1536"/>
      <c r="F1474" s="1536"/>
      <c r="G1474" s="1536"/>
      <c r="H1474" s="1235"/>
      <c r="I1474" s="1536"/>
      <c r="J1474" s="1536"/>
      <c r="K1474" s="1537"/>
      <c r="L1474" s="1708"/>
      <c r="M1474" s="2018"/>
      <c r="N1474" s="2250"/>
      <c r="O1474" s="1631"/>
      <c r="P1474" s="1536"/>
      <c r="Q1474" s="1536"/>
      <c r="R1474" s="1536"/>
    </row>
    <row r="1475" spans="1:18">
      <c r="A1475" s="1814"/>
      <c r="B1475" s="2204"/>
      <c r="C1475" s="1536"/>
      <c r="D1475" s="1536"/>
      <c r="E1475" s="1536"/>
      <c r="F1475" s="1536"/>
      <c r="G1475" s="1536"/>
      <c r="H1475" s="1235"/>
      <c r="I1475" s="1536"/>
      <c r="J1475" s="1536"/>
      <c r="K1475" s="1537"/>
      <c r="L1475" s="1708"/>
      <c r="M1475" s="2018"/>
      <c r="N1475" s="2250"/>
      <c r="O1475" s="1631"/>
      <c r="P1475" s="1536"/>
      <c r="Q1475" s="1536"/>
      <c r="R1475" s="1536"/>
    </row>
    <row r="1476" spans="1:18">
      <c r="A1476" s="1814"/>
      <c r="B1476" s="2204"/>
      <c r="C1476" s="1536"/>
      <c r="D1476" s="1536"/>
      <c r="E1476" s="1536"/>
      <c r="F1476" s="1536"/>
      <c r="G1476" s="1536"/>
      <c r="H1476" s="1235"/>
      <c r="I1476" s="1536"/>
      <c r="J1476" s="1536"/>
      <c r="K1476" s="1537"/>
      <c r="L1476" s="1708"/>
      <c r="M1476" s="2018"/>
      <c r="N1476" s="2250"/>
      <c r="O1476" s="1631"/>
      <c r="P1476" s="1536"/>
      <c r="Q1476" s="1536"/>
      <c r="R1476" s="1536"/>
    </row>
    <row r="1477" spans="1:18">
      <c r="A1477" s="1814"/>
      <c r="B1477" s="2204"/>
      <c r="C1477" s="1536"/>
      <c r="D1477" s="1536"/>
      <c r="E1477" s="1536"/>
      <c r="F1477" s="1536"/>
      <c r="G1477" s="1536"/>
      <c r="H1477" s="1235"/>
      <c r="I1477" s="1536"/>
      <c r="J1477" s="1536"/>
      <c r="K1477" s="1537"/>
      <c r="L1477" s="1708"/>
      <c r="M1477" s="2018"/>
      <c r="N1477" s="2250"/>
      <c r="O1477" s="1631"/>
      <c r="P1477" s="1536"/>
      <c r="Q1477" s="1536"/>
      <c r="R1477" s="1536"/>
    </row>
    <row r="1478" spans="1:18">
      <c r="A1478" s="1814"/>
      <c r="B1478" s="2204"/>
      <c r="C1478" s="1536"/>
      <c r="D1478" s="1536"/>
      <c r="E1478" s="1536"/>
      <c r="F1478" s="1536"/>
      <c r="G1478" s="1536"/>
      <c r="H1478" s="1235"/>
      <c r="I1478" s="1536"/>
      <c r="J1478" s="1536"/>
      <c r="K1478" s="1537"/>
      <c r="L1478" s="1708"/>
      <c r="M1478" s="2018"/>
      <c r="N1478" s="2250"/>
      <c r="O1478" s="1631"/>
      <c r="P1478" s="1536"/>
      <c r="Q1478" s="1536"/>
      <c r="R1478" s="1536"/>
    </row>
    <row r="1479" spans="1:18">
      <c r="A1479" s="1814"/>
      <c r="B1479" s="2204"/>
      <c r="C1479" s="1536"/>
      <c r="D1479" s="1536"/>
      <c r="E1479" s="1536"/>
      <c r="F1479" s="1536"/>
      <c r="G1479" s="1536"/>
      <c r="H1479" s="1235"/>
      <c r="I1479" s="1536"/>
      <c r="J1479" s="1536"/>
      <c r="K1479" s="1537"/>
      <c r="L1479" s="1708"/>
      <c r="M1479" s="2018"/>
      <c r="N1479" s="2250"/>
      <c r="O1479" s="1631"/>
      <c r="P1479" s="1536"/>
      <c r="Q1479" s="1536"/>
      <c r="R1479" s="1536"/>
    </row>
    <row r="1480" spans="1:18">
      <c r="A1480" s="1814"/>
      <c r="B1480" s="2204"/>
      <c r="C1480" s="1536"/>
      <c r="D1480" s="1536"/>
      <c r="E1480" s="1536"/>
      <c r="F1480" s="1536"/>
      <c r="G1480" s="1536"/>
      <c r="H1480" s="1235"/>
      <c r="I1480" s="1536"/>
      <c r="J1480" s="1536"/>
      <c r="K1480" s="1537"/>
      <c r="L1480" s="1708"/>
      <c r="M1480" s="2018"/>
      <c r="N1480" s="2250"/>
      <c r="O1480" s="1631"/>
      <c r="P1480" s="1536"/>
      <c r="Q1480" s="1536"/>
      <c r="R1480" s="1536"/>
    </row>
    <row r="1481" spans="1:18">
      <c r="A1481" s="1814"/>
      <c r="B1481" s="2204"/>
      <c r="C1481" s="1536"/>
      <c r="D1481" s="1536"/>
      <c r="E1481" s="1536"/>
      <c r="F1481" s="1536"/>
      <c r="G1481" s="1536"/>
      <c r="H1481" s="1235"/>
      <c r="I1481" s="1536"/>
      <c r="J1481" s="1536"/>
      <c r="K1481" s="1537"/>
      <c r="L1481" s="1708"/>
      <c r="M1481" s="2018"/>
      <c r="N1481" s="2250"/>
      <c r="O1481" s="1631"/>
      <c r="P1481" s="1536"/>
      <c r="Q1481" s="1536"/>
      <c r="R1481" s="1536"/>
    </row>
    <row r="1482" spans="1:18">
      <c r="A1482" s="1814"/>
      <c r="B1482" s="2204"/>
      <c r="C1482" s="1536"/>
      <c r="D1482" s="1536"/>
      <c r="E1482" s="1536"/>
      <c r="F1482" s="1536"/>
      <c r="G1482" s="1536"/>
      <c r="H1482" s="1235"/>
      <c r="I1482" s="1536"/>
      <c r="J1482" s="1536"/>
      <c r="K1482" s="1537"/>
      <c r="L1482" s="1708"/>
      <c r="M1482" s="2018"/>
      <c r="N1482" s="2250"/>
      <c r="O1482" s="1631"/>
      <c r="P1482" s="1536"/>
      <c r="Q1482" s="1536"/>
      <c r="R1482" s="1536"/>
    </row>
    <row r="1483" spans="1:18">
      <c r="A1483" s="1814"/>
      <c r="B1483" s="2204"/>
      <c r="C1483" s="1536"/>
      <c r="D1483" s="1536"/>
      <c r="E1483" s="1536"/>
      <c r="F1483" s="1536"/>
      <c r="G1483" s="1536"/>
      <c r="H1483" s="1235"/>
      <c r="I1483" s="1536"/>
      <c r="J1483" s="1536"/>
      <c r="K1483" s="1537"/>
      <c r="L1483" s="1708"/>
      <c r="M1483" s="2018"/>
      <c r="N1483" s="2250"/>
      <c r="O1483" s="1631"/>
      <c r="P1483" s="1536"/>
      <c r="Q1483" s="1536"/>
      <c r="R1483" s="1536"/>
    </row>
    <row r="1484" spans="1:18">
      <c r="A1484" s="1814"/>
      <c r="B1484" s="2204"/>
      <c r="C1484" s="1536"/>
      <c r="D1484" s="1536"/>
      <c r="E1484" s="1536"/>
      <c r="F1484" s="1536"/>
      <c r="G1484" s="1536"/>
      <c r="H1484" s="1235"/>
      <c r="I1484" s="1536"/>
      <c r="J1484" s="1536"/>
      <c r="K1484" s="1537"/>
      <c r="L1484" s="1708"/>
      <c r="M1484" s="2018"/>
      <c r="N1484" s="2250"/>
      <c r="O1484" s="1631"/>
      <c r="P1484" s="1536"/>
      <c r="Q1484" s="1536"/>
      <c r="R1484" s="1536"/>
    </row>
    <row r="1485" spans="1:18">
      <c r="A1485" s="1814"/>
      <c r="B1485" s="2204"/>
      <c r="C1485" s="1536"/>
      <c r="D1485" s="1536"/>
      <c r="E1485" s="1536"/>
      <c r="F1485" s="1536"/>
      <c r="G1485" s="1536"/>
      <c r="H1485" s="1235"/>
      <c r="I1485" s="1536"/>
      <c r="J1485" s="1536"/>
      <c r="K1485" s="1537"/>
      <c r="L1485" s="1708"/>
      <c r="M1485" s="2018"/>
      <c r="N1485" s="2250"/>
      <c r="O1485" s="1631"/>
      <c r="P1485" s="1536"/>
      <c r="Q1485" s="1536"/>
      <c r="R1485" s="1536"/>
    </row>
    <row r="1486" spans="1:18">
      <c r="A1486" s="1814"/>
      <c r="B1486" s="2204"/>
      <c r="C1486" s="1536"/>
      <c r="D1486" s="1536"/>
      <c r="E1486" s="1536"/>
      <c r="F1486" s="1536"/>
      <c r="G1486" s="1536"/>
      <c r="H1486" s="1235"/>
      <c r="I1486" s="1536"/>
      <c r="J1486" s="1536"/>
      <c r="K1486" s="1537"/>
      <c r="L1486" s="1708"/>
      <c r="M1486" s="2018"/>
      <c r="N1486" s="2250"/>
      <c r="O1486" s="1631"/>
      <c r="P1486" s="1536"/>
      <c r="Q1486" s="1536"/>
      <c r="R1486" s="1536"/>
    </row>
    <row r="1487" spans="1:18">
      <c r="A1487" s="1814"/>
      <c r="B1487" s="2204"/>
      <c r="C1487" s="1536"/>
      <c r="D1487" s="1536"/>
      <c r="E1487" s="1536"/>
      <c r="F1487" s="1536"/>
      <c r="G1487" s="1536"/>
      <c r="H1487" s="1235"/>
      <c r="I1487" s="1536"/>
      <c r="J1487" s="1536"/>
      <c r="K1487" s="1537"/>
      <c r="L1487" s="1708"/>
      <c r="M1487" s="2018"/>
      <c r="N1487" s="2250"/>
      <c r="O1487" s="1631"/>
      <c r="P1487" s="1536"/>
      <c r="Q1487" s="1536"/>
      <c r="R1487" s="1536"/>
    </row>
    <row r="1488" spans="1:18">
      <c r="A1488" s="1814"/>
      <c r="B1488" s="2204"/>
      <c r="C1488" s="1536"/>
      <c r="D1488" s="1536"/>
      <c r="E1488" s="1536"/>
      <c r="F1488" s="1536"/>
      <c r="G1488" s="1536"/>
      <c r="H1488" s="1235"/>
      <c r="I1488" s="1536"/>
      <c r="J1488" s="1536"/>
      <c r="K1488" s="1537"/>
      <c r="L1488" s="1708"/>
      <c r="M1488" s="2018"/>
      <c r="N1488" s="2250"/>
      <c r="O1488" s="1631"/>
      <c r="P1488" s="1536"/>
      <c r="Q1488" s="1536"/>
      <c r="R1488" s="1536"/>
    </row>
    <row r="1489" spans="1:18">
      <c r="A1489" s="1814"/>
      <c r="B1489" s="2204"/>
      <c r="C1489" s="1536"/>
      <c r="D1489" s="1536"/>
      <c r="E1489" s="1536"/>
      <c r="F1489" s="1536"/>
      <c r="G1489" s="1536"/>
      <c r="H1489" s="1235"/>
      <c r="I1489" s="1536"/>
      <c r="J1489" s="1536"/>
      <c r="K1489" s="1537"/>
      <c r="L1489" s="1708"/>
      <c r="M1489" s="2018"/>
      <c r="N1489" s="2250"/>
      <c r="O1489" s="1631"/>
      <c r="P1489" s="1536"/>
      <c r="Q1489" s="1536"/>
      <c r="R1489" s="1536"/>
    </row>
    <row r="1490" spans="1:18">
      <c r="A1490" s="1814"/>
      <c r="B1490" s="2204"/>
      <c r="C1490" s="1536"/>
      <c r="D1490" s="1536"/>
      <c r="E1490" s="1536"/>
      <c r="F1490" s="1536"/>
      <c r="G1490" s="1536"/>
      <c r="H1490" s="1235"/>
      <c r="I1490" s="1536"/>
      <c r="J1490" s="1536"/>
      <c r="K1490" s="1537"/>
      <c r="L1490" s="1708"/>
      <c r="M1490" s="2018"/>
      <c r="N1490" s="2250"/>
      <c r="O1490" s="1631"/>
      <c r="P1490" s="1536"/>
      <c r="Q1490" s="1536"/>
      <c r="R1490" s="1536"/>
    </row>
    <row r="1491" spans="1:18">
      <c r="A1491" s="1814"/>
      <c r="B1491" s="2204"/>
      <c r="C1491" s="1536"/>
      <c r="D1491" s="1536"/>
      <c r="E1491" s="1536"/>
      <c r="F1491" s="1536"/>
      <c r="G1491" s="1536"/>
      <c r="H1491" s="1235"/>
      <c r="I1491" s="1536"/>
      <c r="J1491" s="1536"/>
      <c r="K1491" s="1537"/>
      <c r="L1491" s="1708"/>
      <c r="M1491" s="2018"/>
      <c r="N1491" s="2250"/>
      <c r="O1491" s="1631"/>
      <c r="P1491" s="1536"/>
      <c r="Q1491" s="1536"/>
      <c r="R1491" s="1536"/>
    </row>
    <row r="1492" spans="1:18">
      <c r="A1492" s="1814"/>
      <c r="B1492" s="2204"/>
      <c r="C1492" s="1536"/>
      <c r="D1492" s="1536"/>
      <c r="E1492" s="1536"/>
      <c r="F1492" s="1536"/>
      <c r="G1492" s="1536"/>
      <c r="H1492" s="1235"/>
      <c r="I1492" s="1536"/>
      <c r="J1492" s="1536"/>
      <c r="K1492" s="1537"/>
      <c r="L1492" s="1708"/>
      <c r="M1492" s="2018"/>
      <c r="N1492" s="2250"/>
      <c r="O1492" s="1631"/>
      <c r="P1492" s="1536"/>
      <c r="Q1492" s="1536"/>
      <c r="R1492" s="1536"/>
    </row>
    <row r="1493" spans="1:18">
      <c r="A1493" s="1814"/>
      <c r="B1493" s="2204"/>
      <c r="C1493" s="1536"/>
      <c r="D1493" s="1536"/>
      <c r="E1493" s="1536"/>
      <c r="F1493" s="1536"/>
      <c r="G1493" s="1536"/>
      <c r="H1493" s="1235"/>
      <c r="I1493" s="1536"/>
      <c r="J1493" s="1536"/>
      <c r="K1493" s="1537"/>
      <c r="L1493" s="1708"/>
      <c r="M1493" s="2018"/>
      <c r="N1493" s="2250"/>
      <c r="O1493" s="1631"/>
      <c r="P1493" s="1536"/>
      <c r="Q1493" s="1536"/>
      <c r="R1493" s="1536"/>
    </row>
    <row r="1494" spans="1:18">
      <c r="A1494" s="1814"/>
      <c r="B1494" s="2204"/>
      <c r="C1494" s="1536"/>
      <c r="D1494" s="1536"/>
      <c r="E1494" s="1536"/>
      <c r="F1494" s="1536"/>
      <c r="G1494" s="1536"/>
      <c r="H1494" s="1235"/>
      <c r="I1494" s="1536"/>
      <c r="J1494" s="1536"/>
      <c r="K1494" s="1537"/>
      <c r="L1494" s="1708"/>
      <c r="M1494" s="2018"/>
      <c r="N1494" s="2250"/>
      <c r="O1494" s="1631"/>
      <c r="P1494" s="1536"/>
      <c r="Q1494" s="1536"/>
      <c r="R1494" s="1536"/>
    </row>
    <row r="1495" spans="1:18">
      <c r="A1495" s="1814"/>
      <c r="B1495" s="2204"/>
      <c r="C1495" s="1536"/>
      <c r="D1495" s="1536"/>
      <c r="E1495" s="1536"/>
      <c r="F1495" s="1536"/>
      <c r="G1495" s="1536"/>
      <c r="H1495" s="1235"/>
      <c r="I1495" s="1536"/>
      <c r="J1495" s="1536"/>
      <c r="K1495" s="1537"/>
      <c r="L1495" s="1708"/>
      <c r="M1495" s="2018"/>
      <c r="N1495" s="2250"/>
      <c r="O1495" s="1631"/>
      <c r="P1495" s="1536"/>
      <c r="Q1495" s="1536"/>
      <c r="R1495" s="1536"/>
    </row>
    <row r="1496" spans="1:18">
      <c r="A1496" s="1814"/>
      <c r="B1496" s="2204"/>
      <c r="C1496" s="1536"/>
      <c r="D1496" s="1536"/>
      <c r="E1496" s="1536"/>
      <c r="F1496" s="1536"/>
      <c r="G1496" s="1536"/>
      <c r="H1496" s="1235"/>
      <c r="I1496" s="1536"/>
      <c r="J1496" s="1536"/>
      <c r="K1496" s="1537"/>
      <c r="L1496" s="1708"/>
      <c r="M1496" s="2018"/>
      <c r="N1496" s="2250"/>
      <c r="O1496" s="1631"/>
      <c r="P1496" s="1536"/>
      <c r="Q1496" s="1536"/>
      <c r="R1496" s="1536"/>
    </row>
    <row r="1497" spans="1:18">
      <c r="A1497" s="1814"/>
      <c r="B1497" s="2204"/>
      <c r="C1497" s="1536"/>
      <c r="D1497" s="1536"/>
      <c r="E1497" s="1536"/>
      <c r="F1497" s="1536"/>
      <c r="G1497" s="1536"/>
      <c r="H1497" s="1235"/>
      <c r="I1497" s="1536"/>
      <c r="J1497" s="1536"/>
      <c r="K1497" s="1537"/>
      <c r="L1497" s="1708"/>
      <c r="M1497" s="2018"/>
      <c r="N1497" s="2250"/>
      <c r="O1497" s="1631"/>
      <c r="P1497" s="1536"/>
      <c r="Q1497" s="1536"/>
      <c r="R1497" s="1536"/>
    </row>
    <row r="1498" spans="1:18">
      <c r="A1498" s="1814"/>
      <c r="B1498" s="2204"/>
      <c r="C1498" s="1536"/>
      <c r="D1498" s="1536"/>
      <c r="E1498" s="1536"/>
      <c r="F1498" s="1536"/>
      <c r="G1498" s="1536"/>
      <c r="H1498" s="1235"/>
      <c r="I1498" s="1536"/>
      <c r="J1498" s="1536"/>
      <c r="K1498" s="1537"/>
      <c r="L1498" s="1708"/>
      <c r="M1498" s="2018"/>
      <c r="N1498" s="2250"/>
      <c r="O1498" s="1631"/>
      <c r="P1498" s="1536"/>
      <c r="Q1498" s="1536"/>
      <c r="R1498" s="1536"/>
    </row>
    <row r="1499" spans="1:18">
      <c r="A1499" s="1814"/>
      <c r="B1499" s="2204"/>
      <c r="C1499" s="1536"/>
      <c r="D1499" s="1536"/>
      <c r="E1499" s="1536"/>
      <c r="F1499" s="1536"/>
      <c r="G1499" s="1536"/>
      <c r="H1499" s="1235"/>
      <c r="I1499" s="1536"/>
      <c r="J1499" s="1536"/>
      <c r="K1499" s="1537"/>
      <c r="L1499" s="1708"/>
      <c r="M1499" s="2018"/>
      <c r="N1499" s="2250"/>
      <c r="O1499" s="1631"/>
      <c r="P1499" s="1536"/>
      <c r="Q1499" s="1536"/>
      <c r="R1499" s="1536"/>
    </row>
    <row r="1500" spans="1:18">
      <c r="A1500" s="1814"/>
      <c r="B1500" s="2204"/>
      <c r="C1500" s="1536"/>
      <c r="D1500" s="1536"/>
      <c r="E1500" s="1536"/>
      <c r="F1500" s="1536"/>
      <c r="G1500" s="1536"/>
      <c r="H1500" s="1235"/>
      <c r="I1500" s="1536"/>
      <c r="J1500" s="1536"/>
      <c r="K1500" s="1537"/>
      <c r="L1500" s="1708"/>
      <c r="M1500" s="2018"/>
      <c r="N1500" s="2250"/>
      <c r="O1500" s="1631"/>
      <c r="P1500" s="1536"/>
      <c r="Q1500" s="1536"/>
      <c r="R1500" s="1536"/>
    </row>
    <row r="1501" spans="1:18">
      <c r="A1501" s="1814"/>
      <c r="B1501" s="2204"/>
      <c r="C1501" s="1536"/>
      <c r="D1501" s="1536"/>
      <c r="E1501" s="1536"/>
      <c r="F1501" s="1536"/>
      <c r="G1501" s="1536"/>
      <c r="H1501" s="1235"/>
      <c r="I1501" s="1536"/>
      <c r="J1501" s="1536"/>
      <c r="K1501" s="1537"/>
      <c r="L1501" s="1708"/>
      <c r="M1501" s="2018"/>
      <c r="N1501" s="2250"/>
      <c r="O1501" s="1631"/>
      <c r="P1501" s="1536"/>
      <c r="Q1501" s="1536"/>
      <c r="R1501" s="1536"/>
    </row>
    <row r="1502" spans="1:18">
      <c r="A1502" s="1814"/>
      <c r="B1502" s="2204"/>
      <c r="C1502" s="1536"/>
      <c r="D1502" s="1536"/>
      <c r="E1502" s="1536"/>
      <c r="F1502" s="1536"/>
      <c r="G1502" s="1536"/>
      <c r="H1502" s="1235"/>
      <c r="I1502" s="1536"/>
      <c r="J1502" s="1536"/>
      <c r="K1502" s="1537"/>
      <c r="L1502" s="1708"/>
      <c r="M1502" s="2018"/>
      <c r="N1502" s="2250"/>
      <c r="O1502" s="1631"/>
      <c r="P1502" s="1536"/>
      <c r="Q1502" s="1536"/>
      <c r="R1502" s="1536"/>
    </row>
    <row r="1503" spans="1:18">
      <c r="A1503" s="1814"/>
      <c r="B1503" s="2204"/>
      <c r="C1503" s="1536"/>
      <c r="D1503" s="1536"/>
      <c r="E1503" s="1536"/>
      <c r="F1503" s="1536"/>
      <c r="G1503" s="1536"/>
      <c r="H1503" s="1235"/>
      <c r="I1503" s="1536"/>
      <c r="J1503" s="1536"/>
      <c r="K1503" s="1537"/>
      <c r="L1503" s="1708"/>
      <c r="M1503" s="2018"/>
      <c r="N1503" s="2250"/>
      <c r="O1503" s="1631"/>
      <c r="P1503" s="1536"/>
      <c r="Q1503" s="1536"/>
      <c r="R1503" s="1536"/>
    </row>
    <row r="1504" spans="1:18">
      <c r="A1504" s="1814"/>
      <c r="B1504" s="2204"/>
      <c r="C1504" s="1536"/>
      <c r="D1504" s="1536"/>
      <c r="E1504" s="1536"/>
      <c r="F1504" s="1536"/>
      <c r="G1504" s="1536"/>
      <c r="H1504" s="1235"/>
      <c r="I1504" s="1536"/>
      <c r="J1504" s="1536"/>
      <c r="K1504" s="1537"/>
      <c r="L1504" s="1708"/>
      <c r="M1504" s="2018"/>
      <c r="N1504" s="2250"/>
      <c r="O1504" s="1631"/>
      <c r="P1504" s="1536"/>
      <c r="Q1504" s="1536"/>
      <c r="R1504" s="1536"/>
    </row>
    <row r="1505" spans="1:18">
      <c r="A1505" s="1814"/>
      <c r="B1505" s="2204"/>
      <c r="C1505" s="1536"/>
      <c r="D1505" s="1536"/>
      <c r="E1505" s="1536"/>
      <c r="F1505" s="1536"/>
      <c r="G1505" s="1536"/>
      <c r="H1505" s="1235"/>
      <c r="I1505" s="1536"/>
      <c r="J1505" s="1536"/>
      <c r="K1505" s="1537"/>
      <c r="L1505" s="1708"/>
      <c r="M1505" s="2018"/>
      <c r="N1505" s="2250"/>
      <c r="O1505" s="1631"/>
      <c r="P1505" s="1536"/>
      <c r="Q1505" s="1536"/>
      <c r="R1505" s="1536"/>
    </row>
    <row r="1506" spans="1:18">
      <c r="A1506" s="1814"/>
      <c r="B1506" s="2204"/>
      <c r="C1506" s="1536"/>
      <c r="D1506" s="1536"/>
      <c r="E1506" s="1536"/>
      <c r="F1506" s="1536"/>
      <c r="G1506" s="1536"/>
      <c r="H1506" s="1235"/>
      <c r="I1506" s="1536"/>
      <c r="J1506" s="1536"/>
      <c r="K1506" s="1537"/>
      <c r="L1506" s="1708"/>
      <c r="M1506" s="2018"/>
      <c r="N1506" s="2250"/>
      <c r="O1506" s="1631"/>
      <c r="P1506" s="1536"/>
      <c r="Q1506" s="1536"/>
      <c r="R1506" s="1536"/>
    </row>
    <row r="1507" spans="1:18">
      <c r="A1507" s="1814"/>
      <c r="B1507" s="2204"/>
      <c r="C1507" s="1536"/>
      <c r="D1507" s="1536"/>
      <c r="E1507" s="1536"/>
      <c r="F1507" s="1536"/>
      <c r="G1507" s="1536"/>
      <c r="H1507" s="1235"/>
      <c r="I1507" s="1536"/>
      <c r="J1507" s="1536"/>
      <c r="K1507" s="1537"/>
      <c r="L1507" s="1708"/>
      <c r="M1507" s="2018"/>
      <c r="N1507" s="2250"/>
      <c r="O1507" s="1631"/>
      <c r="P1507" s="1536"/>
      <c r="Q1507" s="1536"/>
      <c r="R1507" s="1536"/>
    </row>
    <row r="1508" spans="1:18">
      <c r="A1508" s="1814"/>
      <c r="B1508" s="2204"/>
      <c r="C1508" s="1536"/>
      <c r="D1508" s="1536"/>
      <c r="E1508" s="1536"/>
      <c r="F1508" s="1536"/>
      <c r="G1508" s="1536"/>
      <c r="H1508" s="1235"/>
      <c r="I1508" s="1536"/>
      <c r="J1508" s="1536"/>
      <c r="K1508" s="1537"/>
      <c r="L1508" s="1708"/>
      <c r="M1508" s="2018"/>
      <c r="N1508" s="2250"/>
      <c r="O1508" s="1631"/>
      <c r="P1508" s="1536"/>
      <c r="Q1508" s="1536"/>
      <c r="R1508" s="1536"/>
    </row>
    <row r="1509" spans="1:18">
      <c r="A1509" s="1814"/>
      <c r="B1509" s="2204"/>
      <c r="C1509" s="1536"/>
      <c r="D1509" s="1536"/>
      <c r="E1509" s="1536"/>
      <c r="F1509" s="1536"/>
      <c r="G1509" s="1536"/>
      <c r="H1509" s="1235"/>
      <c r="I1509" s="1536"/>
      <c r="J1509" s="1536"/>
      <c r="K1509" s="1537"/>
      <c r="L1509" s="1708"/>
      <c r="M1509" s="2018"/>
      <c r="N1509" s="2250"/>
      <c r="O1509" s="1631"/>
      <c r="P1509" s="1536"/>
      <c r="Q1509" s="1536"/>
      <c r="R1509" s="1536"/>
    </row>
    <row r="1510" spans="1:18">
      <c r="A1510" s="1814"/>
      <c r="B1510" s="2204"/>
      <c r="C1510" s="1536"/>
      <c r="D1510" s="1536"/>
      <c r="E1510" s="1536"/>
      <c r="F1510" s="1536"/>
      <c r="G1510" s="1536"/>
      <c r="H1510" s="1235"/>
      <c r="I1510" s="1536"/>
      <c r="J1510" s="1536"/>
      <c r="K1510" s="1537"/>
      <c r="L1510" s="1708"/>
      <c r="M1510" s="2018"/>
      <c r="N1510" s="2250"/>
      <c r="O1510" s="1631"/>
      <c r="P1510" s="1536"/>
      <c r="Q1510" s="1536"/>
      <c r="R1510" s="1536"/>
    </row>
    <row r="1511" spans="1:18">
      <c r="A1511" s="1814"/>
      <c r="B1511" s="2204"/>
      <c r="C1511" s="1536"/>
      <c r="D1511" s="1536"/>
      <c r="E1511" s="1536"/>
      <c r="F1511" s="1536"/>
      <c r="G1511" s="1536"/>
      <c r="H1511" s="1235"/>
      <c r="I1511" s="1536"/>
      <c r="J1511" s="1536"/>
      <c r="K1511" s="1537"/>
      <c r="L1511" s="1708"/>
      <c r="M1511" s="2018"/>
      <c r="N1511" s="2250"/>
      <c r="O1511" s="1631"/>
      <c r="P1511" s="1536"/>
      <c r="Q1511" s="1536"/>
      <c r="R1511" s="1536"/>
    </row>
    <row r="1512" spans="1:18">
      <c r="A1512" s="1814"/>
      <c r="B1512" s="2204"/>
      <c r="C1512" s="1536"/>
      <c r="D1512" s="1536"/>
      <c r="E1512" s="1536"/>
      <c r="F1512" s="1536"/>
      <c r="G1512" s="1536"/>
      <c r="H1512" s="1235"/>
      <c r="I1512" s="1536"/>
      <c r="J1512" s="1536"/>
      <c r="K1512" s="1537"/>
      <c r="L1512" s="1708"/>
      <c r="M1512" s="2018"/>
      <c r="N1512" s="2250"/>
      <c r="O1512" s="1631"/>
      <c r="P1512" s="1536"/>
      <c r="Q1512" s="1536"/>
      <c r="R1512" s="1536"/>
    </row>
    <row r="1513" spans="1:18">
      <c r="A1513" s="1814"/>
      <c r="B1513" s="2204"/>
      <c r="C1513" s="1536"/>
      <c r="D1513" s="1536"/>
      <c r="E1513" s="1536"/>
      <c r="F1513" s="1536"/>
      <c r="G1513" s="1536"/>
      <c r="H1513" s="1235"/>
      <c r="I1513" s="1536"/>
      <c r="J1513" s="1536"/>
      <c r="K1513" s="1537"/>
      <c r="L1513" s="1708"/>
      <c r="M1513" s="2018"/>
      <c r="N1513" s="2250"/>
      <c r="O1513" s="1631"/>
      <c r="P1513" s="1536"/>
      <c r="Q1513" s="1536"/>
      <c r="R1513" s="1536"/>
    </row>
    <row r="1514" spans="1:18">
      <c r="A1514" s="1814"/>
      <c r="B1514" s="2204"/>
      <c r="C1514" s="1536"/>
      <c r="D1514" s="1536"/>
      <c r="E1514" s="1536"/>
      <c r="F1514" s="1536"/>
      <c r="G1514" s="1536"/>
      <c r="H1514" s="1235"/>
      <c r="I1514" s="1536"/>
      <c r="J1514" s="1536"/>
      <c r="K1514" s="1537"/>
      <c r="L1514" s="1708"/>
      <c r="M1514" s="2018"/>
      <c r="N1514" s="2250"/>
      <c r="O1514" s="1631"/>
      <c r="P1514" s="1536"/>
      <c r="Q1514" s="1536"/>
      <c r="R1514" s="1536"/>
    </row>
    <row r="1515" spans="1:18">
      <c r="A1515" s="1814"/>
      <c r="B1515" s="2204"/>
      <c r="C1515" s="1536"/>
      <c r="D1515" s="1536"/>
      <c r="E1515" s="1536"/>
      <c r="F1515" s="1536"/>
      <c r="G1515" s="1536"/>
      <c r="H1515" s="1235"/>
      <c r="I1515" s="1536"/>
      <c r="J1515" s="1536"/>
      <c r="K1515" s="1537"/>
      <c r="L1515" s="1708"/>
      <c r="M1515" s="2018"/>
      <c r="N1515" s="2250"/>
      <c r="O1515" s="1631"/>
      <c r="P1515" s="1536"/>
      <c r="Q1515" s="1536"/>
      <c r="R1515" s="1536"/>
    </row>
    <row r="1516" spans="1:18">
      <c r="A1516" s="1814"/>
      <c r="B1516" s="2204"/>
      <c r="C1516" s="1536"/>
      <c r="D1516" s="1536"/>
      <c r="E1516" s="1536"/>
      <c r="F1516" s="1536"/>
      <c r="G1516" s="1536"/>
      <c r="H1516" s="1235"/>
      <c r="I1516" s="1536"/>
      <c r="J1516" s="1536"/>
      <c r="K1516" s="1537"/>
      <c r="L1516" s="1708"/>
      <c r="M1516" s="2018"/>
      <c r="N1516" s="2250"/>
      <c r="O1516" s="1631"/>
      <c r="P1516" s="1536"/>
      <c r="Q1516" s="1536"/>
      <c r="R1516" s="1536"/>
    </row>
    <row r="1517" spans="1:18">
      <c r="A1517" s="1814"/>
      <c r="B1517" s="2204"/>
      <c r="C1517" s="1536"/>
      <c r="D1517" s="1536"/>
      <c r="E1517" s="1536"/>
      <c r="F1517" s="1536"/>
      <c r="G1517" s="1536"/>
      <c r="H1517" s="1235"/>
      <c r="I1517" s="1536"/>
      <c r="J1517" s="1536"/>
      <c r="K1517" s="1537"/>
      <c r="L1517" s="1708"/>
      <c r="M1517" s="2018"/>
      <c r="N1517" s="2250"/>
      <c r="O1517" s="1631"/>
      <c r="P1517" s="1536"/>
      <c r="Q1517" s="1536"/>
      <c r="R1517" s="1536"/>
    </row>
    <row r="1518" spans="1:18">
      <c r="A1518" s="1814"/>
      <c r="B1518" s="2204"/>
      <c r="C1518" s="1536"/>
      <c r="D1518" s="1536"/>
      <c r="E1518" s="1536"/>
      <c r="F1518" s="1536"/>
      <c r="G1518" s="1536"/>
      <c r="H1518" s="1235"/>
      <c r="I1518" s="1536"/>
      <c r="J1518" s="1536"/>
      <c r="K1518" s="1537"/>
      <c r="L1518" s="1708"/>
      <c r="M1518" s="2018"/>
      <c r="N1518" s="2250"/>
      <c r="O1518" s="1631"/>
      <c r="P1518" s="1536"/>
      <c r="Q1518" s="1536"/>
      <c r="R1518" s="1536"/>
    </row>
    <row r="1519" spans="1:18">
      <c r="A1519" s="1814"/>
      <c r="B1519" s="2204"/>
      <c r="C1519" s="1536"/>
      <c r="D1519" s="1536"/>
      <c r="E1519" s="1536"/>
      <c r="F1519" s="1536"/>
      <c r="G1519" s="1536"/>
      <c r="H1519" s="1235"/>
      <c r="I1519" s="1536"/>
      <c r="J1519" s="1536"/>
      <c r="K1519" s="1537"/>
      <c r="L1519" s="1708"/>
      <c r="M1519" s="2018"/>
      <c r="N1519" s="2250"/>
      <c r="O1519" s="1631"/>
      <c r="P1519" s="1536"/>
      <c r="Q1519" s="1536"/>
      <c r="R1519" s="1536"/>
    </row>
    <row r="1520" spans="1:18">
      <c r="A1520" s="1814"/>
      <c r="B1520" s="2204"/>
      <c r="C1520" s="1536"/>
      <c r="D1520" s="1536"/>
      <c r="E1520" s="1536"/>
      <c r="F1520" s="1536"/>
      <c r="G1520" s="1536"/>
      <c r="H1520" s="1235"/>
      <c r="I1520" s="1536"/>
      <c r="J1520" s="1536"/>
      <c r="K1520" s="1537"/>
      <c r="L1520" s="1708"/>
      <c r="M1520" s="2018"/>
      <c r="N1520" s="2250"/>
      <c r="O1520" s="1631"/>
      <c r="P1520" s="1536"/>
      <c r="Q1520" s="1536"/>
      <c r="R1520" s="1536"/>
    </row>
    <row r="1521" spans="1:18">
      <c r="A1521" s="1814"/>
      <c r="B1521" s="2204"/>
      <c r="C1521" s="1536"/>
      <c r="D1521" s="1536"/>
      <c r="E1521" s="1536"/>
      <c r="F1521" s="1536"/>
      <c r="G1521" s="1536"/>
      <c r="H1521" s="1235"/>
      <c r="I1521" s="1536"/>
      <c r="J1521" s="1536"/>
      <c r="K1521" s="1537"/>
      <c r="L1521" s="1708"/>
      <c r="M1521" s="2018"/>
      <c r="N1521" s="2250"/>
      <c r="O1521" s="1631"/>
      <c r="P1521" s="1536"/>
      <c r="Q1521" s="1536"/>
      <c r="R1521" s="1536"/>
    </row>
    <row r="1522" spans="1:18">
      <c r="A1522" s="1814"/>
      <c r="B1522" s="2204"/>
      <c r="C1522" s="1536"/>
      <c r="D1522" s="1536"/>
      <c r="E1522" s="1536"/>
      <c r="F1522" s="1536"/>
      <c r="G1522" s="1536"/>
      <c r="H1522" s="1235"/>
      <c r="I1522" s="1536"/>
      <c r="J1522" s="1536"/>
      <c r="K1522" s="1537"/>
      <c r="L1522" s="1708"/>
      <c r="M1522" s="2018"/>
      <c r="N1522" s="2250"/>
      <c r="O1522" s="1631"/>
      <c r="P1522" s="1536"/>
      <c r="Q1522" s="1536"/>
      <c r="R1522" s="1536"/>
    </row>
    <row r="1523" spans="1:18">
      <c r="A1523" s="1814"/>
      <c r="B1523" s="2204"/>
      <c r="C1523" s="1536"/>
      <c r="D1523" s="1536"/>
      <c r="E1523" s="1536"/>
      <c r="F1523" s="1536"/>
      <c r="G1523" s="1536"/>
      <c r="H1523" s="1235"/>
      <c r="I1523" s="1536"/>
      <c r="J1523" s="1536"/>
      <c r="K1523" s="1537"/>
      <c r="L1523" s="1708"/>
      <c r="M1523" s="2018"/>
      <c r="N1523" s="2250"/>
      <c r="O1523" s="1631"/>
      <c r="P1523" s="1536"/>
      <c r="Q1523" s="1536"/>
      <c r="R1523" s="1536"/>
    </row>
    <row r="1524" spans="1:18">
      <c r="A1524" s="1814"/>
      <c r="B1524" s="2204"/>
      <c r="C1524" s="1536"/>
      <c r="D1524" s="1536"/>
      <c r="E1524" s="1536"/>
      <c r="F1524" s="1536"/>
      <c r="G1524" s="1536"/>
      <c r="H1524" s="1235"/>
      <c r="I1524" s="1536"/>
      <c r="J1524" s="1536"/>
      <c r="K1524" s="1537"/>
      <c r="L1524" s="1708"/>
      <c r="M1524" s="2018"/>
      <c r="N1524" s="2250"/>
      <c r="O1524" s="1631"/>
      <c r="P1524" s="1536"/>
      <c r="Q1524" s="1536"/>
      <c r="R1524" s="1536"/>
    </row>
    <row r="1525" spans="1:18">
      <c r="A1525" s="1814"/>
      <c r="B1525" s="2204"/>
      <c r="C1525" s="1536"/>
      <c r="D1525" s="1536"/>
      <c r="E1525" s="1536"/>
      <c r="F1525" s="1536"/>
      <c r="G1525" s="1536"/>
      <c r="H1525" s="1235"/>
      <c r="I1525" s="1536"/>
      <c r="J1525" s="1536"/>
      <c r="K1525" s="1537"/>
      <c r="L1525" s="1708"/>
      <c r="M1525" s="2018"/>
      <c r="N1525" s="2250"/>
      <c r="O1525" s="1631"/>
      <c r="P1525" s="1536"/>
      <c r="Q1525" s="1536"/>
      <c r="R1525" s="1536"/>
    </row>
    <row r="1526" spans="1:18">
      <c r="A1526" s="1814"/>
      <c r="B1526" s="2204"/>
      <c r="C1526" s="1536"/>
      <c r="D1526" s="1536"/>
      <c r="E1526" s="1536"/>
      <c r="F1526" s="1536"/>
      <c r="G1526" s="1536"/>
      <c r="H1526" s="1235"/>
      <c r="I1526" s="1536"/>
      <c r="J1526" s="1536"/>
      <c r="K1526" s="1537"/>
      <c r="L1526" s="1708"/>
      <c r="M1526" s="2018"/>
      <c r="N1526" s="2250"/>
      <c r="O1526" s="1631"/>
      <c r="P1526" s="1536"/>
      <c r="Q1526" s="1536"/>
      <c r="R1526" s="1536"/>
    </row>
    <row r="1527" spans="1:18">
      <c r="A1527" s="1814"/>
      <c r="B1527" s="2204"/>
      <c r="C1527" s="1536"/>
      <c r="D1527" s="1536"/>
      <c r="E1527" s="1536"/>
      <c r="F1527" s="1536"/>
      <c r="G1527" s="1536"/>
      <c r="H1527" s="1235"/>
      <c r="I1527" s="1536"/>
      <c r="J1527" s="1536"/>
      <c r="K1527" s="1537"/>
      <c r="L1527" s="1708"/>
      <c r="M1527" s="2018"/>
      <c r="N1527" s="2250"/>
      <c r="O1527" s="1631"/>
      <c r="P1527" s="1536"/>
      <c r="Q1527" s="1536"/>
      <c r="R1527" s="1536"/>
    </row>
    <row r="1528" spans="1:18">
      <c r="A1528" s="1814"/>
      <c r="B1528" s="2204"/>
      <c r="C1528" s="1536"/>
      <c r="D1528" s="1536"/>
      <c r="E1528" s="1536"/>
      <c r="F1528" s="1536"/>
      <c r="G1528" s="1536"/>
      <c r="H1528" s="1235"/>
      <c r="I1528" s="1536"/>
      <c r="J1528" s="1536"/>
      <c r="K1528" s="1537"/>
      <c r="L1528" s="1708"/>
      <c r="M1528" s="2018"/>
      <c r="N1528" s="2250"/>
      <c r="O1528" s="1631"/>
      <c r="P1528" s="1536"/>
      <c r="Q1528" s="1536"/>
      <c r="R1528" s="1536"/>
    </row>
    <row r="1529" spans="1:18">
      <c r="A1529" s="1814"/>
      <c r="B1529" s="2204"/>
      <c r="C1529" s="1536"/>
      <c r="D1529" s="1536"/>
      <c r="E1529" s="1536"/>
      <c r="F1529" s="1536"/>
      <c r="G1529" s="1536"/>
      <c r="H1529" s="1235"/>
      <c r="I1529" s="1536"/>
      <c r="J1529" s="1536"/>
      <c r="K1529" s="1537"/>
      <c r="L1529" s="1708"/>
      <c r="M1529" s="2018"/>
      <c r="N1529" s="2250"/>
      <c r="O1529" s="1631"/>
      <c r="P1529" s="1536"/>
      <c r="Q1529" s="1536"/>
      <c r="R1529" s="1536"/>
    </row>
    <row r="1530" spans="1:18">
      <c r="A1530" s="1814"/>
      <c r="B1530" s="2204"/>
      <c r="C1530" s="1536"/>
      <c r="D1530" s="1536"/>
      <c r="E1530" s="1536"/>
      <c r="F1530" s="1536"/>
      <c r="G1530" s="1536"/>
      <c r="H1530" s="1235"/>
      <c r="I1530" s="1536"/>
      <c r="J1530" s="1536"/>
      <c r="K1530" s="1537"/>
      <c r="L1530" s="1708"/>
      <c r="M1530" s="2018"/>
      <c r="N1530" s="2250"/>
      <c r="O1530" s="1631"/>
      <c r="P1530" s="1536"/>
      <c r="Q1530" s="1536"/>
      <c r="R1530" s="1536"/>
    </row>
    <row r="1531" spans="1:18">
      <c r="A1531" s="1814"/>
      <c r="B1531" s="2204"/>
      <c r="C1531" s="1536"/>
      <c r="D1531" s="1536"/>
      <c r="E1531" s="1536"/>
      <c r="F1531" s="1536"/>
      <c r="G1531" s="1536"/>
      <c r="H1531" s="1235"/>
      <c r="I1531" s="1536"/>
      <c r="J1531" s="1536"/>
      <c r="K1531" s="1537"/>
      <c r="L1531" s="1708"/>
      <c r="M1531" s="2018"/>
      <c r="N1531" s="2250"/>
      <c r="O1531" s="1631"/>
      <c r="P1531" s="1536"/>
      <c r="Q1531" s="1536"/>
      <c r="R1531" s="1536"/>
    </row>
    <row r="1532" spans="1:18">
      <c r="A1532" s="1814"/>
      <c r="B1532" s="2204"/>
      <c r="C1532" s="1536"/>
      <c r="D1532" s="1536"/>
      <c r="E1532" s="1536"/>
      <c r="F1532" s="1536"/>
      <c r="G1532" s="1536"/>
      <c r="H1532" s="1235"/>
      <c r="I1532" s="1536"/>
      <c r="J1532" s="1536"/>
      <c r="K1532" s="1537"/>
      <c r="L1532" s="1708"/>
      <c r="M1532" s="2018"/>
      <c r="N1532" s="2250"/>
      <c r="O1532" s="1631"/>
      <c r="P1532" s="1536"/>
      <c r="Q1532" s="1536"/>
      <c r="R1532" s="1536"/>
    </row>
    <row r="1533" spans="1:18">
      <c r="A1533" s="1814"/>
      <c r="B1533" s="2204"/>
      <c r="C1533" s="1536"/>
      <c r="D1533" s="1536"/>
      <c r="E1533" s="1536"/>
      <c r="F1533" s="1536"/>
      <c r="G1533" s="1536"/>
      <c r="H1533" s="1235"/>
      <c r="I1533" s="1536"/>
      <c r="J1533" s="1536"/>
      <c r="K1533" s="1537"/>
      <c r="L1533" s="1708"/>
      <c r="M1533" s="2018"/>
      <c r="N1533" s="2250"/>
      <c r="O1533" s="1631"/>
      <c r="P1533" s="1536"/>
      <c r="Q1533" s="1536"/>
      <c r="R1533" s="1536"/>
    </row>
    <row r="1534" spans="1:18">
      <c r="A1534" s="1814"/>
      <c r="B1534" s="2204"/>
      <c r="C1534" s="1536"/>
      <c r="D1534" s="1536"/>
      <c r="E1534" s="1536"/>
      <c r="F1534" s="1536"/>
      <c r="G1534" s="1536"/>
      <c r="H1534" s="1235"/>
      <c r="I1534" s="1536"/>
      <c r="J1534" s="1536"/>
      <c r="K1534" s="1537"/>
      <c r="L1534" s="1708"/>
      <c r="M1534" s="2018"/>
      <c r="N1534" s="2250"/>
      <c r="O1534" s="1631"/>
      <c r="P1534" s="1536"/>
      <c r="Q1534" s="1536"/>
      <c r="R1534" s="1536"/>
    </row>
    <row r="1535" spans="1:18">
      <c r="A1535" s="1814"/>
      <c r="B1535" s="2204"/>
      <c r="C1535" s="1536"/>
      <c r="D1535" s="1536"/>
      <c r="E1535" s="1536"/>
      <c r="F1535" s="1536"/>
      <c r="G1535" s="1536"/>
      <c r="H1535" s="1235"/>
      <c r="I1535" s="1536"/>
      <c r="J1535" s="1536"/>
      <c r="K1535" s="1537"/>
      <c r="L1535" s="1708"/>
      <c r="M1535" s="2018"/>
      <c r="N1535" s="2250"/>
      <c r="O1535" s="1631"/>
      <c r="P1535" s="1536"/>
      <c r="Q1535" s="1536"/>
      <c r="R1535" s="1536"/>
    </row>
    <row r="1536" spans="1:18">
      <c r="A1536" s="1814"/>
      <c r="B1536" s="2204"/>
      <c r="C1536" s="1536"/>
      <c r="D1536" s="1536"/>
      <c r="E1536" s="1536"/>
      <c r="F1536" s="1536"/>
      <c r="G1536" s="1536"/>
      <c r="H1536" s="1235"/>
      <c r="I1536" s="1536"/>
      <c r="J1536" s="1536"/>
      <c r="K1536" s="1537"/>
      <c r="L1536" s="1708"/>
      <c r="M1536" s="2018"/>
      <c r="N1536" s="2250"/>
      <c r="O1536" s="1631"/>
      <c r="P1536" s="1536"/>
      <c r="Q1536" s="1536"/>
      <c r="R1536" s="1536"/>
    </row>
    <row r="1537" spans="1:18">
      <c r="A1537" s="1814"/>
      <c r="B1537" s="2204"/>
      <c r="C1537" s="1536"/>
      <c r="D1537" s="1536"/>
      <c r="E1537" s="1536"/>
      <c r="F1537" s="1536"/>
      <c r="G1537" s="1536"/>
      <c r="H1537" s="1235"/>
      <c r="I1537" s="1536"/>
      <c r="J1537" s="1536"/>
      <c r="K1537" s="1537"/>
      <c r="L1537" s="1708"/>
      <c r="M1537" s="2018"/>
      <c r="N1537" s="2250"/>
      <c r="O1537" s="1631"/>
      <c r="P1537" s="1536"/>
      <c r="Q1537" s="1536"/>
      <c r="R1537" s="1536"/>
    </row>
    <row r="1538" spans="1:18">
      <c r="A1538" s="1814"/>
      <c r="B1538" s="2204"/>
      <c r="C1538" s="1536"/>
      <c r="D1538" s="1536"/>
      <c r="E1538" s="1536"/>
      <c r="F1538" s="1536"/>
      <c r="G1538" s="1536"/>
      <c r="H1538" s="1235"/>
      <c r="I1538" s="1536"/>
      <c r="J1538" s="1536"/>
      <c r="K1538" s="1537"/>
      <c r="L1538" s="1708"/>
      <c r="M1538" s="2018"/>
      <c r="N1538" s="2250"/>
      <c r="O1538" s="1631"/>
      <c r="P1538" s="1536"/>
      <c r="Q1538" s="1536"/>
      <c r="R1538" s="1536"/>
    </row>
    <row r="1539" spans="1:18">
      <c r="A1539" s="1814"/>
      <c r="B1539" s="2204"/>
      <c r="C1539" s="1536"/>
      <c r="D1539" s="1536"/>
      <c r="E1539" s="1536"/>
      <c r="F1539" s="1536"/>
      <c r="G1539" s="1536"/>
      <c r="H1539" s="1235"/>
      <c r="I1539" s="1536"/>
      <c r="J1539" s="1536"/>
      <c r="K1539" s="1537"/>
      <c r="L1539" s="1708"/>
      <c r="M1539" s="2018"/>
      <c r="N1539" s="2250"/>
      <c r="O1539" s="1631"/>
      <c r="P1539" s="1536"/>
      <c r="Q1539" s="1536"/>
      <c r="R1539" s="1536"/>
    </row>
    <row r="1540" spans="1:18">
      <c r="A1540" s="1814"/>
      <c r="B1540" s="2204"/>
      <c r="C1540" s="1536"/>
      <c r="D1540" s="1536"/>
      <c r="E1540" s="1536"/>
      <c r="F1540" s="1536"/>
      <c r="G1540" s="1536"/>
      <c r="H1540" s="1235"/>
      <c r="I1540" s="1536"/>
      <c r="J1540" s="1536"/>
      <c r="K1540" s="1537"/>
      <c r="L1540" s="1708"/>
      <c r="M1540" s="2018"/>
      <c r="N1540" s="2250"/>
      <c r="O1540" s="1631"/>
      <c r="P1540" s="1536"/>
      <c r="Q1540" s="1536"/>
      <c r="R1540" s="1536"/>
    </row>
    <row r="1541" spans="1:18">
      <c r="A1541" s="1814"/>
      <c r="B1541" s="2204"/>
      <c r="C1541" s="1536"/>
      <c r="D1541" s="1536"/>
      <c r="E1541" s="1536"/>
      <c r="F1541" s="1536"/>
      <c r="G1541" s="1536"/>
      <c r="H1541" s="1235"/>
      <c r="I1541" s="1536"/>
      <c r="J1541" s="1536"/>
      <c r="K1541" s="1537"/>
      <c r="L1541" s="1708"/>
      <c r="M1541" s="2018"/>
      <c r="N1541" s="2250"/>
      <c r="O1541" s="1631"/>
      <c r="P1541" s="1536"/>
      <c r="Q1541" s="1536"/>
      <c r="R1541" s="1536"/>
    </row>
    <row r="1542" spans="1:18">
      <c r="A1542" s="1814"/>
      <c r="B1542" s="2204"/>
      <c r="C1542" s="1536"/>
      <c r="D1542" s="1536"/>
      <c r="E1542" s="1536"/>
      <c r="F1542" s="1536"/>
      <c r="G1542" s="1536"/>
      <c r="H1542" s="1235"/>
      <c r="I1542" s="1536"/>
      <c r="J1542" s="1536"/>
      <c r="K1542" s="1537"/>
      <c r="L1542" s="1708"/>
      <c r="M1542" s="2018"/>
      <c r="N1542" s="2250"/>
      <c r="O1542" s="1631"/>
      <c r="P1542" s="1536"/>
      <c r="Q1542" s="1536"/>
      <c r="R1542" s="1536"/>
    </row>
    <row r="1543" spans="1:18">
      <c r="A1543" s="1814"/>
      <c r="B1543" s="2204"/>
      <c r="C1543" s="1536"/>
      <c r="D1543" s="1536"/>
      <c r="E1543" s="1536"/>
      <c r="F1543" s="1536"/>
      <c r="G1543" s="1536"/>
      <c r="H1543" s="1235"/>
      <c r="I1543" s="1536"/>
      <c r="J1543" s="1536"/>
      <c r="K1543" s="1537"/>
      <c r="L1543" s="1708"/>
      <c r="M1543" s="2018"/>
      <c r="N1543" s="2250"/>
      <c r="O1543" s="1631"/>
      <c r="P1543" s="1536"/>
      <c r="Q1543" s="1536"/>
      <c r="R1543" s="1536"/>
    </row>
    <row r="1544" spans="1:18">
      <c r="A1544" s="1814"/>
      <c r="B1544" s="2204"/>
      <c r="C1544" s="1536"/>
      <c r="D1544" s="1536"/>
      <c r="E1544" s="1536"/>
      <c r="F1544" s="1536"/>
      <c r="G1544" s="1536"/>
      <c r="H1544" s="1235"/>
      <c r="I1544" s="1536"/>
      <c r="J1544" s="1536"/>
      <c r="K1544" s="1537"/>
      <c r="L1544" s="1708"/>
      <c r="M1544" s="2018"/>
      <c r="N1544" s="2250"/>
      <c r="O1544" s="1631"/>
      <c r="P1544" s="1536"/>
      <c r="Q1544" s="1536"/>
      <c r="R1544" s="1536"/>
    </row>
    <row r="1545" spans="1:18">
      <c r="A1545" s="1814"/>
      <c r="B1545" s="2204"/>
      <c r="C1545" s="1536"/>
      <c r="D1545" s="1536"/>
      <c r="E1545" s="1536"/>
      <c r="F1545" s="1536"/>
      <c r="G1545" s="1536"/>
      <c r="H1545" s="1235"/>
      <c r="I1545" s="1536"/>
      <c r="J1545" s="1536"/>
      <c r="K1545" s="1537"/>
      <c r="L1545" s="1708"/>
      <c r="M1545" s="2018"/>
      <c r="N1545" s="2250"/>
      <c r="O1545" s="1631"/>
      <c r="P1545" s="1536"/>
      <c r="Q1545" s="1536"/>
      <c r="R1545" s="1536"/>
    </row>
    <row r="1546" spans="1:18">
      <c r="A1546" s="1814"/>
      <c r="B1546" s="2204"/>
      <c r="C1546" s="1536"/>
      <c r="D1546" s="1536"/>
      <c r="E1546" s="1536"/>
      <c r="F1546" s="1536"/>
      <c r="G1546" s="1536"/>
      <c r="H1546" s="1235"/>
      <c r="I1546" s="1536"/>
      <c r="J1546" s="1536"/>
      <c r="K1546" s="1537"/>
      <c r="L1546" s="1708"/>
      <c r="M1546" s="2018"/>
      <c r="N1546" s="2250"/>
      <c r="O1546" s="1631"/>
      <c r="P1546" s="1536"/>
      <c r="Q1546" s="1536"/>
      <c r="R1546" s="1536"/>
    </row>
    <row r="1547" spans="1:18">
      <c r="A1547" s="1814"/>
      <c r="B1547" s="2204"/>
      <c r="C1547" s="1536"/>
      <c r="D1547" s="1536"/>
      <c r="E1547" s="1536"/>
      <c r="F1547" s="1536"/>
      <c r="G1547" s="1536"/>
      <c r="H1547" s="1235"/>
      <c r="I1547" s="1536"/>
      <c r="J1547" s="1536"/>
      <c r="K1547" s="1537"/>
      <c r="L1547" s="1708"/>
      <c r="M1547" s="2018"/>
      <c r="N1547" s="2250"/>
      <c r="O1547" s="1631"/>
      <c r="P1547" s="1536"/>
      <c r="Q1547" s="1536"/>
      <c r="R1547" s="1536"/>
    </row>
    <row r="1548" spans="1:18">
      <c r="A1548" s="1814"/>
      <c r="B1548" s="2204"/>
      <c r="C1548" s="1536"/>
      <c r="D1548" s="1536"/>
      <c r="E1548" s="1536"/>
      <c r="F1548" s="1536"/>
      <c r="G1548" s="1536"/>
      <c r="H1548" s="1235"/>
      <c r="I1548" s="1536"/>
      <c r="J1548" s="1536"/>
      <c r="K1548" s="1537"/>
      <c r="L1548" s="1708"/>
      <c r="M1548" s="2018"/>
      <c r="N1548" s="2250"/>
      <c r="O1548" s="1631"/>
      <c r="P1548" s="1536"/>
      <c r="Q1548" s="1536"/>
      <c r="R1548" s="1536"/>
    </row>
    <row r="1549" spans="1:18">
      <c r="A1549" s="1814"/>
      <c r="B1549" s="2204"/>
      <c r="C1549" s="1536"/>
      <c r="D1549" s="1536"/>
      <c r="E1549" s="1536"/>
      <c r="F1549" s="1536"/>
      <c r="G1549" s="1536"/>
      <c r="H1549" s="1235"/>
      <c r="I1549" s="1536"/>
      <c r="J1549" s="1536"/>
      <c r="K1549" s="1537"/>
      <c r="L1549" s="1708"/>
      <c r="M1549" s="2018"/>
      <c r="N1549" s="2250"/>
      <c r="O1549" s="1631"/>
      <c r="P1549" s="1536"/>
      <c r="Q1549" s="1536"/>
      <c r="R1549" s="1536"/>
    </row>
    <row r="1550" spans="1:18">
      <c r="A1550" s="1814"/>
      <c r="B1550" s="2204"/>
      <c r="C1550" s="1536"/>
      <c r="D1550" s="1536"/>
      <c r="E1550" s="1536"/>
      <c r="F1550" s="1536"/>
      <c r="G1550" s="1536"/>
      <c r="H1550" s="1235"/>
      <c r="I1550" s="1536"/>
      <c r="J1550" s="1536"/>
      <c r="K1550" s="1537"/>
      <c r="L1550" s="1708"/>
      <c r="M1550" s="2018"/>
      <c r="N1550" s="2250"/>
      <c r="O1550" s="1631"/>
      <c r="P1550" s="1536"/>
      <c r="Q1550" s="1536"/>
      <c r="R1550" s="1536"/>
    </row>
    <row r="1551" spans="1:18">
      <c r="A1551" s="1814"/>
      <c r="B1551" s="2204"/>
      <c r="C1551" s="1536"/>
      <c r="D1551" s="1536"/>
      <c r="E1551" s="1536"/>
      <c r="F1551" s="1536"/>
      <c r="G1551" s="1536"/>
      <c r="H1551" s="1235"/>
      <c r="I1551" s="1536"/>
      <c r="J1551" s="1536"/>
      <c r="K1551" s="1537"/>
      <c r="L1551" s="1708"/>
      <c r="M1551" s="2018"/>
      <c r="N1551" s="2250"/>
      <c r="O1551" s="1631"/>
      <c r="P1551" s="1536"/>
      <c r="Q1551" s="1536"/>
      <c r="R1551" s="1536"/>
    </row>
    <row r="1552" spans="1:18">
      <c r="A1552" s="1814"/>
      <c r="B1552" s="2204"/>
      <c r="C1552" s="1536"/>
      <c r="D1552" s="1536"/>
      <c r="E1552" s="1536"/>
      <c r="F1552" s="1536"/>
      <c r="G1552" s="1536"/>
      <c r="H1552" s="1235"/>
      <c r="I1552" s="1536"/>
      <c r="J1552" s="1536"/>
      <c r="K1552" s="1537"/>
      <c r="L1552" s="1708"/>
      <c r="M1552" s="2018"/>
      <c r="N1552" s="2250"/>
      <c r="O1552" s="1631"/>
      <c r="P1552" s="1536"/>
      <c r="Q1552" s="1536"/>
      <c r="R1552" s="1536"/>
    </row>
    <row r="1553" spans="1:18">
      <c r="A1553" s="1814"/>
      <c r="B1553" s="2204"/>
      <c r="C1553" s="1536"/>
      <c r="D1553" s="1536"/>
      <c r="E1553" s="1536"/>
      <c r="F1553" s="1536"/>
      <c r="G1553" s="1536"/>
      <c r="H1553" s="1235"/>
      <c r="I1553" s="1536"/>
      <c r="J1553" s="1536"/>
      <c r="K1553" s="1537"/>
      <c r="L1553" s="1708"/>
      <c r="M1553" s="2018"/>
      <c r="N1553" s="2250"/>
      <c r="O1553" s="1631"/>
      <c r="P1553" s="1536"/>
      <c r="Q1553" s="1536"/>
      <c r="R1553" s="1536"/>
    </row>
    <row r="1554" spans="1:18">
      <c r="A1554" s="1814"/>
      <c r="B1554" s="2204"/>
      <c r="C1554" s="1536"/>
      <c r="D1554" s="1536"/>
      <c r="E1554" s="1536"/>
      <c r="F1554" s="1536"/>
      <c r="G1554" s="1536"/>
      <c r="H1554" s="1235"/>
      <c r="I1554" s="1536"/>
      <c r="J1554" s="1536"/>
      <c r="K1554" s="1537"/>
      <c r="L1554" s="1708"/>
      <c r="M1554" s="2018"/>
      <c r="N1554" s="2250"/>
      <c r="O1554" s="1631"/>
      <c r="P1554" s="1536"/>
      <c r="Q1554" s="1536"/>
      <c r="R1554" s="1536"/>
    </row>
    <row r="1555" spans="1:18">
      <c r="A1555" s="1814"/>
      <c r="B1555" s="2204"/>
      <c r="C1555" s="1536"/>
      <c r="D1555" s="1536"/>
      <c r="E1555" s="1536"/>
      <c r="F1555" s="1536"/>
      <c r="G1555" s="1536"/>
      <c r="H1555" s="1235"/>
      <c r="I1555" s="1536"/>
      <c r="J1555" s="1536"/>
      <c r="K1555" s="1537"/>
      <c r="L1555" s="1708"/>
      <c r="M1555" s="2018"/>
      <c r="N1555" s="2250"/>
      <c r="O1555" s="1631"/>
      <c r="P1555" s="1536"/>
      <c r="Q1555" s="1536"/>
      <c r="R1555" s="1536"/>
    </row>
    <row r="1556" spans="1:18">
      <c r="A1556" s="1814"/>
      <c r="B1556" s="2204"/>
      <c r="C1556" s="1536"/>
      <c r="D1556" s="1536"/>
      <c r="E1556" s="1536"/>
      <c r="F1556" s="1536"/>
      <c r="G1556" s="1536"/>
      <c r="H1556" s="1235"/>
      <c r="I1556" s="1536"/>
      <c r="J1556" s="1536"/>
      <c r="K1556" s="1537"/>
      <c r="L1556" s="1708"/>
      <c r="M1556" s="2018"/>
      <c r="N1556" s="2250"/>
      <c r="O1556" s="1631"/>
      <c r="P1556" s="1536"/>
      <c r="Q1556" s="1536"/>
      <c r="R1556" s="1536"/>
    </row>
    <row r="1557" spans="1:18">
      <c r="A1557" s="1814"/>
      <c r="B1557" s="2204"/>
      <c r="C1557" s="1536"/>
      <c r="D1557" s="1536"/>
      <c r="E1557" s="1536"/>
      <c r="F1557" s="1536"/>
      <c r="G1557" s="1536"/>
      <c r="H1557" s="1235"/>
      <c r="I1557" s="1536"/>
      <c r="J1557" s="1536"/>
      <c r="K1557" s="1537"/>
      <c r="L1557" s="1708"/>
      <c r="M1557" s="2018"/>
      <c r="N1557" s="2250"/>
      <c r="O1557" s="1631"/>
      <c r="P1557" s="1536"/>
      <c r="Q1557" s="1536"/>
      <c r="R1557" s="1536"/>
    </row>
    <row r="1558" spans="1:18">
      <c r="A1558" s="1814"/>
      <c r="B1558" s="2204"/>
      <c r="C1558" s="1536"/>
      <c r="D1558" s="1536"/>
      <c r="E1558" s="1536"/>
      <c r="F1558" s="1536"/>
      <c r="G1558" s="1536"/>
      <c r="H1558" s="1235"/>
      <c r="I1558" s="1536"/>
      <c r="J1558" s="1536"/>
      <c r="K1558" s="1537"/>
      <c r="L1558" s="1708"/>
      <c r="M1558" s="2018"/>
      <c r="N1558" s="2250"/>
      <c r="O1558" s="1631"/>
      <c r="P1558" s="1536"/>
      <c r="Q1558" s="1536"/>
      <c r="R1558" s="1536"/>
    </row>
    <row r="1559" spans="1:18">
      <c r="A1559" s="1814"/>
      <c r="B1559" s="2204"/>
      <c r="C1559" s="1536"/>
      <c r="D1559" s="1536"/>
      <c r="E1559" s="1536"/>
      <c r="F1559" s="1536"/>
      <c r="G1559" s="1536"/>
      <c r="H1559" s="1235"/>
      <c r="I1559" s="1536"/>
      <c r="J1559" s="1536"/>
      <c r="K1559" s="1537"/>
      <c r="L1559" s="1708"/>
      <c r="M1559" s="2018"/>
      <c r="N1559" s="2250"/>
      <c r="O1559" s="1631"/>
      <c r="P1559" s="1536"/>
      <c r="Q1559" s="1536"/>
      <c r="R1559" s="1536"/>
    </row>
    <row r="1560" spans="1:18">
      <c r="A1560" s="1814"/>
      <c r="B1560" s="2204"/>
      <c r="C1560" s="1536"/>
      <c r="D1560" s="1536"/>
      <c r="E1560" s="1536"/>
      <c r="F1560" s="1536"/>
      <c r="G1560" s="1536"/>
      <c r="H1560" s="1235"/>
      <c r="I1560" s="1536"/>
      <c r="J1560" s="1536"/>
      <c r="K1560" s="1537"/>
      <c r="L1560" s="1708"/>
      <c r="M1560" s="2018"/>
      <c r="N1560" s="2250"/>
      <c r="O1560" s="1631"/>
      <c r="P1560" s="1536"/>
      <c r="Q1560" s="1536"/>
      <c r="R1560" s="1536"/>
    </row>
    <row r="1561" spans="1:18">
      <c r="A1561" s="1814"/>
      <c r="B1561" s="2204"/>
      <c r="C1561" s="1536"/>
      <c r="D1561" s="1536"/>
      <c r="E1561" s="1536"/>
      <c r="F1561" s="1536"/>
      <c r="G1561" s="1536"/>
      <c r="H1561" s="1235"/>
      <c r="I1561" s="1536"/>
      <c r="J1561" s="1536"/>
      <c r="K1561" s="1537"/>
      <c r="L1561" s="1708"/>
      <c r="M1561" s="2018"/>
      <c r="N1561" s="2250"/>
      <c r="O1561" s="1631"/>
      <c r="P1561" s="1536"/>
      <c r="Q1561" s="1536"/>
      <c r="R1561" s="1536"/>
    </row>
    <row r="1562" spans="1:18">
      <c r="A1562" s="1814"/>
      <c r="B1562" s="2204"/>
      <c r="C1562" s="1536"/>
      <c r="D1562" s="1536"/>
      <c r="E1562" s="1536"/>
      <c r="F1562" s="1536"/>
      <c r="G1562" s="1536"/>
      <c r="H1562" s="1235"/>
      <c r="I1562" s="1536"/>
      <c r="J1562" s="1536"/>
      <c r="K1562" s="1537"/>
      <c r="L1562" s="1708"/>
      <c r="M1562" s="2018"/>
      <c r="N1562" s="2250"/>
      <c r="O1562" s="1631"/>
      <c r="P1562" s="1536"/>
      <c r="Q1562" s="1536"/>
      <c r="R1562" s="1536"/>
    </row>
    <row r="1563" spans="1:18">
      <c r="A1563" s="1814"/>
      <c r="B1563" s="2204"/>
      <c r="C1563" s="1536"/>
      <c r="D1563" s="1536"/>
      <c r="E1563" s="1536"/>
      <c r="F1563" s="1536"/>
      <c r="G1563" s="1536"/>
      <c r="H1563" s="1235"/>
      <c r="I1563" s="1536"/>
      <c r="J1563" s="1536"/>
      <c r="K1563" s="1537"/>
      <c r="L1563" s="1708"/>
      <c r="M1563" s="2018"/>
      <c r="N1563" s="2250"/>
      <c r="O1563" s="1631"/>
      <c r="P1563" s="1536"/>
      <c r="Q1563" s="1536"/>
      <c r="R1563" s="1536"/>
    </row>
    <row r="1564" spans="1:18">
      <c r="A1564" s="1814"/>
      <c r="B1564" s="2204"/>
      <c r="C1564" s="1536"/>
      <c r="D1564" s="1536"/>
      <c r="E1564" s="1536"/>
      <c r="F1564" s="1536"/>
      <c r="G1564" s="1536"/>
      <c r="H1564" s="1235"/>
      <c r="I1564" s="1536"/>
      <c r="J1564" s="1536"/>
      <c r="K1564" s="1537"/>
      <c r="L1564" s="1708"/>
      <c r="M1564" s="2018"/>
      <c r="N1564" s="2250"/>
      <c r="O1564" s="1631"/>
      <c r="P1564" s="1536"/>
      <c r="Q1564" s="1536"/>
      <c r="R1564" s="1536"/>
    </row>
    <row r="1565" spans="1:18">
      <c r="A1565" s="1814"/>
      <c r="B1565" s="2204"/>
      <c r="C1565" s="1536"/>
      <c r="D1565" s="1536"/>
      <c r="E1565" s="1536"/>
      <c r="F1565" s="1536"/>
      <c r="G1565" s="1536"/>
      <c r="H1565" s="1235"/>
      <c r="I1565" s="1536"/>
      <c r="J1565" s="1536"/>
      <c r="K1565" s="1537"/>
      <c r="L1565" s="1708"/>
      <c r="M1565" s="2018"/>
      <c r="N1565" s="2250"/>
      <c r="O1565" s="1631"/>
      <c r="P1565" s="1536"/>
      <c r="Q1565" s="1536"/>
      <c r="R1565" s="1536"/>
    </row>
    <row r="1566" spans="1:18">
      <c r="A1566" s="1814"/>
      <c r="B1566" s="2204"/>
      <c r="C1566" s="1536"/>
      <c r="D1566" s="1536"/>
      <c r="E1566" s="1536"/>
      <c r="F1566" s="1536"/>
      <c r="G1566" s="1536"/>
      <c r="H1566" s="1235"/>
      <c r="I1566" s="1536"/>
      <c r="J1566" s="1536"/>
      <c r="K1566" s="1537"/>
      <c r="L1566" s="1708"/>
      <c r="M1566" s="2018"/>
      <c r="N1566" s="2250"/>
      <c r="O1566" s="1631"/>
      <c r="P1566" s="1536"/>
      <c r="Q1566" s="1536"/>
      <c r="R1566" s="1536"/>
    </row>
    <row r="1567" spans="1:18">
      <c r="A1567" s="1814"/>
      <c r="B1567" s="2204"/>
      <c r="C1567" s="1536"/>
      <c r="D1567" s="1536"/>
      <c r="E1567" s="1536"/>
      <c r="F1567" s="1536"/>
      <c r="G1567" s="1536"/>
      <c r="H1567" s="1235"/>
      <c r="I1567" s="1536"/>
      <c r="J1567" s="1536"/>
      <c r="K1567" s="1537"/>
      <c r="L1567" s="1708"/>
      <c r="M1567" s="2018"/>
      <c r="N1567" s="2250"/>
      <c r="O1567" s="1631"/>
      <c r="P1567" s="1536"/>
      <c r="Q1567" s="1536"/>
      <c r="R1567" s="1536"/>
    </row>
    <row r="1568" spans="1:18">
      <c r="A1568" s="1814"/>
      <c r="B1568" s="2204"/>
      <c r="C1568" s="1536"/>
      <c r="D1568" s="1536"/>
      <c r="E1568" s="1536"/>
      <c r="F1568" s="1536"/>
      <c r="G1568" s="1536"/>
      <c r="H1568" s="1235"/>
      <c r="I1568" s="1536"/>
      <c r="J1568" s="1536"/>
      <c r="K1568" s="1537"/>
      <c r="L1568" s="1708"/>
      <c r="M1568" s="2018"/>
      <c r="N1568" s="2250"/>
      <c r="O1568" s="1631"/>
      <c r="P1568" s="1536"/>
      <c r="Q1568" s="1536"/>
      <c r="R1568" s="1536"/>
    </row>
    <row r="1569" spans="1:18">
      <c r="A1569" s="1814"/>
      <c r="B1569" s="2204"/>
      <c r="C1569" s="1536"/>
      <c r="D1569" s="1536"/>
      <c r="E1569" s="1536"/>
      <c r="F1569" s="1536"/>
      <c r="G1569" s="1536"/>
      <c r="H1569" s="1235"/>
      <c r="I1569" s="1536"/>
      <c r="J1569" s="1536"/>
      <c r="K1569" s="1537"/>
      <c r="L1569" s="1708"/>
      <c r="M1569" s="2018"/>
      <c r="N1569" s="2250"/>
      <c r="O1569" s="1631"/>
      <c r="P1569" s="1536"/>
      <c r="Q1569" s="1536"/>
      <c r="R1569" s="1536"/>
    </row>
    <row r="1570" spans="1:18">
      <c r="A1570" s="1814"/>
      <c r="B1570" s="2204"/>
      <c r="C1570" s="1536"/>
      <c r="D1570" s="1536"/>
      <c r="E1570" s="1536"/>
      <c r="F1570" s="1536"/>
      <c r="G1570" s="1536"/>
      <c r="H1570" s="1235"/>
      <c r="I1570" s="1536"/>
      <c r="J1570" s="1536"/>
      <c r="K1570" s="1537"/>
      <c r="L1570" s="1708"/>
      <c r="M1570" s="2018"/>
      <c r="N1570" s="2250"/>
      <c r="O1570" s="1631"/>
      <c r="P1570" s="1536"/>
      <c r="Q1570" s="1536"/>
      <c r="R1570" s="1536"/>
    </row>
    <row r="1571" spans="1:18">
      <c r="A1571" s="1814"/>
      <c r="B1571" s="2204"/>
      <c r="C1571" s="1536"/>
      <c r="D1571" s="1536"/>
      <c r="E1571" s="1536"/>
      <c r="F1571" s="1536"/>
      <c r="G1571" s="1536"/>
      <c r="H1571" s="1235"/>
      <c r="I1571" s="1536"/>
      <c r="J1571" s="1536"/>
      <c r="K1571" s="1537"/>
      <c r="L1571" s="1708"/>
      <c r="M1571" s="2018"/>
      <c r="N1571" s="2250"/>
      <c r="O1571" s="1631"/>
      <c r="P1571" s="1536"/>
      <c r="Q1571" s="1536"/>
      <c r="R1571" s="1536"/>
    </row>
    <row r="1572" spans="1:18">
      <c r="A1572" s="1814"/>
      <c r="B1572" s="2204"/>
      <c r="C1572" s="1536"/>
      <c r="D1572" s="1536"/>
      <c r="E1572" s="1536"/>
      <c r="F1572" s="1536"/>
      <c r="G1572" s="1536"/>
      <c r="H1572" s="1235"/>
      <c r="I1572" s="1536"/>
      <c r="J1572" s="1536"/>
      <c r="K1572" s="1537"/>
      <c r="L1572" s="1708"/>
      <c r="M1572" s="2018"/>
      <c r="N1572" s="2250"/>
      <c r="O1572" s="1631"/>
      <c r="P1572" s="1536"/>
      <c r="Q1572" s="1536"/>
      <c r="R1572" s="1536"/>
    </row>
    <row r="1573" spans="1:18">
      <c r="A1573" s="1814"/>
      <c r="B1573" s="2204"/>
      <c r="C1573" s="1536"/>
      <c r="D1573" s="1536"/>
      <c r="E1573" s="1536"/>
      <c r="F1573" s="1536"/>
      <c r="G1573" s="1536"/>
      <c r="H1573" s="1235"/>
      <c r="I1573" s="1536"/>
      <c r="J1573" s="1536"/>
      <c r="K1573" s="1537"/>
      <c r="L1573" s="1708"/>
      <c r="M1573" s="2018"/>
      <c r="N1573" s="2250"/>
      <c r="O1573" s="1631"/>
      <c r="P1573" s="1536"/>
      <c r="Q1573" s="1536"/>
      <c r="R1573" s="1536"/>
    </row>
    <row r="1574" spans="1:18">
      <c r="A1574" s="1814"/>
      <c r="B1574" s="2204"/>
      <c r="C1574" s="1536"/>
      <c r="D1574" s="1536"/>
      <c r="E1574" s="1536"/>
      <c r="F1574" s="1536"/>
      <c r="G1574" s="1536"/>
      <c r="H1574" s="1235"/>
      <c r="I1574" s="1536"/>
      <c r="J1574" s="1536"/>
      <c r="K1574" s="1537"/>
      <c r="L1574" s="1708"/>
      <c r="M1574" s="2018"/>
      <c r="N1574" s="2250"/>
      <c r="O1574" s="1631"/>
      <c r="P1574" s="1536"/>
      <c r="Q1574" s="1536"/>
      <c r="R1574" s="1536"/>
    </row>
    <row r="1575" spans="1:18">
      <c r="A1575" s="1814"/>
      <c r="B1575" s="2204"/>
      <c r="C1575" s="1536"/>
      <c r="D1575" s="1536"/>
      <c r="E1575" s="1536"/>
      <c r="F1575" s="1536"/>
      <c r="G1575" s="1536"/>
      <c r="H1575" s="1235"/>
      <c r="I1575" s="1536"/>
      <c r="J1575" s="1536"/>
      <c r="K1575" s="1537"/>
      <c r="L1575" s="1708"/>
      <c r="M1575" s="2018"/>
      <c r="N1575" s="2250"/>
      <c r="O1575" s="1631"/>
      <c r="P1575" s="1536"/>
      <c r="Q1575" s="1536"/>
      <c r="R1575" s="1536"/>
    </row>
    <row r="1576" spans="1:18">
      <c r="A1576" s="1814"/>
      <c r="B1576" s="2204"/>
      <c r="C1576" s="1536"/>
      <c r="D1576" s="1536"/>
      <c r="E1576" s="1536"/>
      <c r="F1576" s="1536"/>
      <c r="G1576" s="1536"/>
      <c r="H1576" s="1235"/>
      <c r="I1576" s="1536"/>
      <c r="J1576" s="1536"/>
      <c r="K1576" s="1537"/>
      <c r="L1576" s="1708"/>
      <c r="M1576" s="2018"/>
      <c r="N1576" s="2250"/>
      <c r="O1576" s="1631"/>
      <c r="P1576" s="1536"/>
      <c r="Q1576" s="1536"/>
      <c r="R1576" s="1536"/>
    </row>
    <row r="1577" spans="1:18">
      <c r="A1577" s="1814"/>
      <c r="B1577" s="2204"/>
      <c r="C1577" s="1536"/>
      <c r="D1577" s="1536"/>
      <c r="E1577" s="1536"/>
      <c r="F1577" s="1536"/>
      <c r="G1577" s="1536"/>
      <c r="H1577" s="1235"/>
      <c r="I1577" s="1536"/>
      <c r="J1577" s="1536"/>
      <c r="K1577" s="1537"/>
      <c r="L1577" s="1708"/>
      <c r="M1577" s="2018"/>
      <c r="N1577" s="2250"/>
      <c r="O1577" s="1631"/>
      <c r="P1577" s="1536"/>
      <c r="Q1577" s="1536"/>
      <c r="R1577" s="1536"/>
    </row>
    <row r="1578" spans="1:18">
      <c r="A1578" s="1814"/>
      <c r="B1578" s="2204"/>
      <c r="C1578" s="1536"/>
      <c r="D1578" s="1536"/>
      <c r="E1578" s="1536"/>
      <c r="F1578" s="1536"/>
      <c r="G1578" s="1536"/>
      <c r="H1578" s="1235"/>
      <c r="I1578" s="1536"/>
      <c r="J1578" s="1536"/>
      <c r="K1578" s="1537"/>
      <c r="L1578" s="1708"/>
      <c r="M1578" s="2018"/>
      <c r="N1578" s="2250"/>
      <c r="O1578" s="1631"/>
      <c r="P1578" s="1536"/>
      <c r="Q1578" s="1536"/>
      <c r="R1578" s="1536"/>
    </row>
    <row r="1579" spans="1:18">
      <c r="A1579" s="1814"/>
      <c r="B1579" s="2204"/>
      <c r="C1579" s="1536"/>
      <c r="D1579" s="1536"/>
      <c r="E1579" s="1536"/>
      <c r="F1579" s="1536"/>
      <c r="G1579" s="1536"/>
      <c r="H1579" s="1235"/>
      <c r="I1579" s="1536"/>
      <c r="J1579" s="1536"/>
      <c r="K1579" s="1537"/>
      <c r="L1579" s="1708"/>
      <c r="M1579" s="2018"/>
      <c r="N1579" s="2250"/>
      <c r="O1579" s="1631"/>
      <c r="P1579" s="1536"/>
      <c r="Q1579" s="1536"/>
      <c r="R1579" s="1536"/>
    </row>
    <row r="1580" spans="1:18">
      <c r="A1580" s="1814"/>
      <c r="B1580" s="2204"/>
      <c r="C1580" s="1536"/>
      <c r="D1580" s="1536"/>
      <c r="E1580" s="1536"/>
      <c r="F1580" s="1536"/>
      <c r="G1580" s="1536"/>
      <c r="H1580" s="1235"/>
      <c r="I1580" s="1536"/>
      <c r="J1580" s="1536"/>
      <c r="K1580" s="1537"/>
      <c r="L1580" s="1708"/>
      <c r="M1580" s="2018"/>
      <c r="N1580" s="2250"/>
      <c r="O1580" s="1631"/>
      <c r="P1580" s="1536"/>
      <c r="Q1580" s="1536"/>
      <c r="R1580" s="1536"/>
    </row>
    <row r="1581" spans="1:18">
      <c r="A1581" s="1814"/>
      <c r="B1581" s="2204"/>
      <c r="C1581" s="1536"/>
      <c r="D1581" s="1536"/>
      <c r="E1581" s="1536"/>
      <c r="F1581" s="1536"/>
      <c r="G1581" s="1536"/>
      <c r="H1581" s="1235"/>
      <c r="I1581" s="1536"/>
      <c r="J1581" s="1536"/>
      <c r="K1581" s="1537"/>
      <c r="L1581" s="1708"/>
      <c r="M1581" s="2018"/>
      <c r="N1581" s="2250"/>
      <c r="O1581" s="1631"/>
      <c r="P1581" s="1536"/>
      <c r="Q1581" s="1536"/>
      <c r="R1581" s="1536"/>
    </row>
    <row r="1582" spans="1:18">
      <c r="A1582" s="1814"/>
      <c r="B1582" s="2204"/>
      <c r="C1582" s="1536"/>
      <c r="D1582" s="1536"/>
      <c r="E1582" s="1536"/>
      <c r="F1582" s="1536"/>
      <c r="G1582" s="1536"/>
      <c r="H1582" s="1235"/>
      <c r="I1582" s="1536"/>
      <c r="J1582" s="1536"/>
      <c r="K1582" s="1537"/>
      <c r="L1582" s="1708"/>
      <c r="M1582" s="2018"/>
      <c r="N1582" s="2250"/>
      <c r="O1582" s="1631"/>
      <c r="P1582" s="1536"/>
      <c r="Q1582" s="1536"/>
      <c r="R1582" s="1536"/>
    </row>
    <row r="1583" spans="1:18">
      <c r="A1583" s="1814"/>
      <c r="B1583" s="2204"/>
      <c r="C1583" s="1536"/>
      <c r="D1583" s="1536"/>
      <c r="E1583" s="1536"/>
      <c r="F1583" s="1536"/>
      <c r="G1583" s="1536"/>
      <c r="H1583" s="1235"/>
      <c r="I1583" s="1536"/>
      <c r="J1583" s="1536"/>
      <c r="K1583" s="1537"/>
      <c r="L1583" s="1708"/>
      <c r="M1583" s="2018"/>
      <c r="N1583" s="2250"/>
      <c r="O1583" s="1631"/>
      <c r="P1583" s="1536"/>
      <c r="Q1583" s="1536"/>
      <c r="R1583" s="1536"/>
    </row>
    <row r="1584" spans="1:18">
      <c r="A1584" s="1814"/>
      <c r="B1584" s="2204"/>
      <c r="C1584" s="1536"/>
      <c r="D1584" s="1536"/>
      <c r="E1584" s="1536"/>
      <c r="F1584" s="1536"/>
      <c r="G1584" s="1536"/>
      <c r="H1584" s="1235"/>
      <c r="I1584" s="1536"/>
      <c r="J1584" s="1536"/>
      <c r="K1584" s="1537"/>
      <c r="L1584" s="1708"/>
      <c r="M1584" s="2018"/>
      <c r="N1584" s="2250"/>
      <c r="O1584" s="1631"/>
      <c r="P1584" s="1536"/>
      <c r="Q1584" s="1536"/>
      <c r="R1584" s="1536"/>
    </row>
    <row r="1585" spans="1:18">
      <c r="A1585" s="1814"/>
      <c r="B1585" s="2204"/>
      <c r="C1585" s="1536"/>
      <c r="D1585" s="1536"/>
      <c r="E1585" s="1536"/>
      <c r="F1585" s="1536"/>
      <c r="G1585" s="1536"/>
      <c r="H1585" s="1235"/>
      <c r="I1585" s="1536"/>
      <c r="J1585" s="1536"/>
      <c r="K1585" s="1537"/>
      <c r="L1585" s="1708"/>
      <c r="M1585" s="2018"/>
      <c r="N1585" s="2250"/>
      <c r="O1585" s="1631"/>
      <c r="P1585" s="1536"/>
      <c r="Q1585" s="1536"/>
      <c r="R1585" s="1536"/>
    </row>
    <row r="1586" spans="1:18">
      <c r="A1586" s="1814"/>
      <c r="B1586" s="2204"/>
      <c r="C1586" s="1536"/>
      <c r="D1586" s="1536"/>
      <c r="E1586" s="1536"/>
      <c r="F1586" s="1536"/>
      <c r="G1586" s="1536"/>
      <c r="H1586" s="1235"/>
      <c r="I1586" s="1536"/>
      <c r="J1586" s="1536"/>
      <c r="K1586" s="1537"/>
      <c r="L1586" s="1708"/>
      <c r="M1586" s="2018"/>
      <c r="N1586" s="2250"/>
      <c r="O1586" s="1631"/>
      <c r="P1586" s="1536"/>
      <c r="Q1586" s="1536"/>
      <c r="R1586" s="1536"/>
    </row>
    <row r="1587" spans="1:18">
      <c r="A1587" s="1814"/>
      <c r="B1587" s="2204"/>
      <c r="C1587" s="1536"/>
      <c r="D1587" s="1536"/>
      <c r="E1587" s="1536"/>
      <c r="F1587" s="1536"/>
      <c r="G1587" s="1536"/>
      <c r="H1587" s="1235"/>
      <c r="I1587" s="1536"/>
      <c r="J1587" s="1536"/>
      <c r="K1587" s="1537"/>
      <c r="L1587" s="1708"/>
      <c r="M1587" s="2018"/>
      <c r="N1587" s="2250"/>
      <c r="O1587" s="1631"/>
      <c r="P1587" s="1536"/>
      <c r="Q1587" s="1536"/>
      <c r="R1587" s="1536"/>
    </row>
    <row r="1588" spans="1:18">
      <c r="A1588" s="1814"/>
      <c r="B1588" s="2204"/>
      <c r="C1588" s="1536"/>
      <c r="D1588" s="1536"/>
      <c r="E1588" s="1536"/>
      <c r="F1588" s="1536"/>
      <c r="G1588" s="1536"/>
      <c r="H1588" s="1235"/>
      <c r="I1588" s="1536"/>
      <c r="J1588" s="1536"/>
      <c r="K1588" s="1537"/>
      <c r="L1588" s="1708"/>
      <c r="M1588" s="2018"/>
      <c r="N1588" s="2250"/>
      <c r="O1588" s="1631"/>
      <c r="P1588" s="1536"/>
      <c r="Q1588" s="1536"/>
      <c r="R1588" s="1536"/>
    </row>
    <row r="1589" spans="1:18">
      <c r="A1589" s="1814"/>
      <c r="B1589" s="2204"/>
      <c r="C1589" s="1536"/>
      <c r="D1589" s="1536"/>
      <c r="E1589" s="1536"/>
      <c r="F1589" s="1536"/>
      <c r="G1589" s="1536"/>
      <c r="H1589" s="1235"/>
      <c r="I1589" s="1536"/>
      <c r="J1589" s="1536"/>
      <c r="K1589" s="1537"/>
      <c r="L1589" s="1708"/>
      <c r="M1589" s="2018"/>
      <c r="N1589" s="2250"/>
      <c r="O1589" s="1631"/>
      <c r="P1589" s="1536"/>
      <c r="Q1589" s="1536"/>
      <c r="R1589" s="1536"/>
    </row>
    <row r="1590" spans="1:18">
      <c r="A1590" s="1814"/>
      <c r="B1590" s="2204"/>
      <c r="C1590" s="1536"/>
      <c r="D1590" s="1536"/>
      <c r="E1590" s="1536"/>
      <c r="F1590" s="1536"/>
      <c r="G1590" s="1536"/>
      <c r="H1590" s="1235"/>
      <c r="I1590" s="1536"/>
      <c r="J1590" s="1536"/>
      <c r="K1590" s="1537"/>
      <c r="L1590" s="1708"/>
      <c r="M1590" s="2018"/>
      <c r="N1590" s="2250"/>
      <c r="O1590" s="1631"/>
      <c r="P1590" s="1536"/>
      <c r="Q1590" s="1536"/>
      <c r="R1590" s="1536"/>
    </row>
    <row r="1591" spans="1:18">
      <c r="A1591" s="1814"/>
      <c r="B1591" s="2204"/>
      <c r="C1591" s="1536"/>
      <c r="D1591" s="1536"/>
      <c r="E1591" s="1536"/>
      <c r="F1591" s="1536"/>
      <c r="G1591" s="1536"/>
      <c r="H1591" s="1235"/>
      <c r="I1591" s="1536"/>
      <c r="J1591" s="1536"/>
      <c r="K1591" s="1537"/>
      <c r="L1591" s="1708"/>
      <c r="M1591" s="2018"/>
      <c r="N1591" s="2250"/>
      <c r="O1591" s="1631"/>
      <c r="P1591" s="1536"/>
      <c r="Q1591" s="1536"/>
      <c r="R1591" s="1536"/>
    </row>
    <row r="1592" spans="1:18">
      <c r="A1592" s="1814"/>
      <c r="B1592" s="2204"/>
      <c r="C1592" s="1536"/>
      <c r="D1592" s="1536"/>
      <c r="E1592" s="1536"/>
      <c r="F1592" s="1536"/>
      <c r="G1592" s="1536"/>
      <c r="H1592" s="1235"/>
      <c r="I1592" s="1536"/>
      <c r="J1592" s="1536"/>
      <c r="K1592" s="1537"/>
      <c r="L1592" s="1708"/>
      <c r="M1592" s="2018"/>
      <c r="N1592" s="2250"/>
      <c r="O1592" s="1631"/>
      <c r="P1592" s="1536"/>
      <c r="Q1592" s="1536"/>
      <c r="R1592" s="1536"/>
    </row>
    <row r="1593" spans="1:18">
      <c r="A1593" s="1814"/>
      <c r="B1593" s="2204"/>
      <c r="C1593" s="1536"/>
      <c r="D1593" s="1536"/>
      <c r="E1593" s="1536"/>
      <c r="F1593" s="1536"/>
      <c r="G1593" s="1536"/>
      <c r="H1593" s="1235"/>
      <c r="I1593" s="1536"/>
      <c r="J1593" s="1536"/>
      <c r="K1593" s="1537"/>
      <c r="L1593" s="1708"/>
      <c r="M1593" s="2018"/>
      <c r="N1593" s="2250"/>
      <c r="O1593" s="1631"/>
      <c r="P1593" s="1536"/>
      <c r="Q1593" s="1536"/>
      <c r="R1593" s="1536"/>
    </row>
    <row r="1594" spans="1:18">
      <c r="A1594" s="1814"/>
      <c r="B1594" s="2204"/>
      <c r="C1594" s="1536"/>
      <c r="D1594" s="1536"/>
      <c r="E1594" s="1536"/>
      <c r="F1594" s="1536"/>
      <c r="G1594" s="1536"/>
      <c r="H1594" s="1235"/>
      <c r="I1594" s="1536"/>
      <c r="J1594" s="1536"/>
      <c r="K1594" s="1537"/>
      <c r="L1594" s="1708"/>
      <c r="M1594" s="2018"/>
      <c r="N1594" s="2250"/>
      <c r="O1594" s="1631"/>
      <c r="P1594" s="1536"/>
      <c r="Q1594" s="1536"/>
      <c r="R1594" s="1536"/>
    </row>
    <row r="1595" spans="1:18">
      <c r="A1595" s="1814"/>
      <c r="B1595" s="2204"/>
      <c r="C1595" s="1536"/>
      <c r="D1595" s="1536"/>
      <c r="E1595" s="1536"/>
      <c r="F1595" s="1536"/>
      <c r="G1595" s="1536"/>
      <c r="H1595" s="1235"/>
      <c r="I1595" s="1536"/>
      <c r="J1595" s="1536"/>
      <c r="K1595" s="1537"/>
      <c r="L1595" s="1708"/>
      <c r="M1595" s="2018"/>
      <c r="N1595" s="2250"/>
      <c r="O1595" s="1631"/>
      <c r="P1595" s="1536"/>
      <c r="Q1595" s="1536"/>
      <c r="R1595" s="1536"/>
    </row>
    <row r="1596" spans="1:18">
      <c r="A1596" s="1814"/>
      <c r="B1596" s="2204"/>
      <c r="C1596" s="1536"/>
      <c r="D1596" s="1536"/>
      <c r="E1596" s="1536"/>
      <c r="F1596" s="1536"/>
      <c r="G1596" s="1536"/>
      <c r="H1596" s="1235"/>
      <c r="I1596" s="1536"/>
      <c r="J1596" s="1536"/>
      <c r="K1596" s="1537"/>
      <c r="L1596" s="1708"/>
      <c r="M1596" s="2018"/>
      <c r="N1596" s="2250"/>
      <c r="O1596" s="1631"/>
      <c r="P1596" s="1536"/>
      <c r="Q1596" s="1536"/>
      <c r="R1596" s="1536"/>
    </row>
    <row r="1597" spans="1:18">
      <c r="A1597" s="1814"/>
      <c r="B1597" s="2204"/>
      <c r="C1597" s="1536"/>
      <c r="D1597" s="1536"/>
      <c r="E1597" s="1536"/>
      <c r="F1597" s="1536"/>
      <c r="G1597" s="1536"/>
      <c r="H1597" s="1235"/>
      <c r="I1597" s="1536"/>
      <c r="J1597" s="1536"/>
      <c r="K1597" s="1537"/>
      <c r="L1597" s="1708"/>
      <c r="M1597" s="2018"/>
      <c r="N1597" s="2250"/>
      <c r="O1597" s="1631"/>
      <c r="P1597" s="1536"/>
      <c r="Q1597" s="1536"/>
      <c r="R1597" s="1536"/>
    </row>
    <row r="1598" spans="1:18">
      <c r="A1598" s="1814"/>
      <c r="B1598" s="2204"/>
      <c r="C1598" s="1536"/>
      <c r="D1598" s="1536"/>
      <c r="E1598" s="1536"/>
      <c r="F1598" s="1536"/>
      <c r="G1598" s="1536"/>
      <c r="H1598" s="1235"/>
      <c r="I1598" s="1536"/>
      <c r="J1598" s="1536"/>
      <c r="K1598" s="1537"/>
      <c r="L1598" s="1708"/>
      <c r="M1598" s="2018"/>
      <c r="N1598" s="2250"/>
      <c r="O1598" s="1631"/>
      <c r="P1598" s="1536"/>
      <c r="Q1598" s="1536"/>
      <c r="R1598" s="1536"/>
    </row>
    <row r="1599" spans="1:18">
      <c r="A1599" s="1814"/>
      <c r="B1599" s="2204"/>
      <c r="C1599" s="1536"/>
      <c r="D1599" s="1536"/>
      <c r="E1599" s="1536"/>
      <c r="F1599" s="1536"/>
      <c r="G1599" s="1536"/>
      <c r="H1599" s="1235"/>
      <c r="I1599" s="1536"/>
      <c r="J1599" s="1536"/>
      <c r="K1599" s="1537"/>
      <c r="L1599" s="1708"/>
      <c r="M1599" s="2018"/>
      <c r="N1599" s="2250"/>
      <c r="O1599" s="1631"/>
      <c r="P1599" s="1536"/>
      <c r="Q1599" s="1536"/>
      <c r="R1599" s="1536"/>
    </row>
    <row r="1600" spans="1:18">
      <c r="A1600" s="1814"/>
      <c r="B1600" s="2204"/>
      <c r="C1600" s="1536"/>
      <c r="D1600" s="1536"/>
      <c r="E1600" s="1536"/>
      <c r="F1600" s="1536"/>
      <c r="G1600" s="1536"/>
      <c r="H1600" s="1235"/>
      <c r="I1600" s="1536"/>
      <c r="J1600" s="1536"/>
      <c r="K1600" s="1537"/>
      <c r="L1600" s="1708"/>
      <c r="M1600" s="2018"/>
      <c r="N1600" s="2250"/>
      <c r="O1600" s="1631"/>
      <c r="P1600" s="1536"/>
      <c r="Q1600" s="1536"/>
      <c r="R1600" s="1536"/>
    </row>
    <row r="1601" spans="1:18">
      <c r="A1601" s="1814"/>
      <c r="B1601" s="2204"/>
      <c r="C1601" s="1536"/>
      <c r="D1601" s="1536"/>
      <c r="E1601" s="1536"/>
      <c r="F1601" s="1536"/>
      <c r="G1601" s="1536"/>
      <c r="H1601" s="1235"/>
      <c r="I1601" s="1536"/>
      <c r="J1601" s="1536"/>
      <c r="K1601" s="1537"/>
      <c r="L1601" s="1708"/>
      <c r="M1601" s="2018"/>
      <c r="N1601" s="2250"/>
      <c r="O1601" s="1631"/>
      <c r="P1601" s="1536"/>
      <c r="Q1601" s="1536"/>
      <c r="R1601" s="1536"/>
    </row>
    <row r="1602" spans="1:18">
      <c r="A1602" s="1814"/>
      <c r="B1602" s="2204"/>
      <c r="C1602" s="1536"/>
      <c r="D1602" s="1536"/>
      <c r="E1602" s="1536"/>
      <c r="F1602" s="1536"/>
      <c r="G1602" s="1536"/>
      <c r="H1602" s="1235"/>
      <c r="I1602" s="1536"/>
      <c r="J1602" s="1536"/>
      <c r="K1602" s="1537"/>
      <c r="L1602" s="1708"/>
      <c r="M1602" s="2018"/>
      <c r="N1602" s="2250"/>
      <c r="O1602" s="1631"/>
      <c r="P1602" s="1536"/>
      <c r="Q1602" s="1536"/>
      <c r="R1602" s="1536"/>
    </row>
    <row r="1603" spans="1:18">
      <c r="A1603" s="1814"/>
      <c r="B1603" s="2204"/>
      <c r="C1603" s="1536"/>
      <c r="D1603" s="1536"/>
      <c r="E1603" s="1536"/>
      <c r="F1603" s="1536"/>
      <c r="G1603" s="1536"/>
      <c r="H1603" s="1235"/>
      <c r="I1603" s="1536"/>
      <c r="J1603" s="1536"/>
      <c r="K1603" s="1537"/>
      <c r="L1603" s="1708"/>
      <c r="M1603" s="2018"/>
      <c r="N1603" s="2250"/>
      <c r="O1603" s="1631"/>
      <c r="P1603" s="1536"/>
      <c r="Q1603" s="1536"/>
      <c r="R1603" s="1536"/>
    </row>
    <row r="1604" spans="1:18">
      <c r="A1604" s="1814"/>
      <c r="B1604" s="2204"/>
      <c r="C1604" s="1536"/>
      <c r="D1604" s="1536"/>
      <c r="E1604" s="1536"/>
      <c r="F1604" s="1536"/>
      <c r="G1604" s="1536"/>
      <c r="H1604" s="1235"/>
      <c r="I1604" s="1536"/>
      <c r="J1604" s="1536"/>
      <c r="K1604" s="1537"/>
      <c r="L1604" s="1708"/>
      <c r="M1604" s="2018"/>
      <c r="N1604" s="2250"/>
      <c r="O1604" s="1631"/>
      <c r="P1604" s="1536"/>
      <c r="Q1604" s="1536"/>
      <c r="R1604" s="1536"/>
    </row>
    <row r="1605" spans="1:18">
      <c r="A1605" s="1814"/>
      <c r="B1605" s="2204"/>
      <c r="C1605" s="1536"/>
      <c r="D1605" s="1536"/>
      <c r="E1605" s="1536"/>
      <c r="F1605" s="1536"/>
      <c r="G1605" s="1536"/>
      <c r="H1605" s="1235"/>
      <c r="I1605" s="1536"/>
      <c r="J1605" s="1536"/>
      <c r="K1605" s="1537"/>
      <c r="L1605" s="1708"/>
      <c r="M1605" s="2018"/>
      <c r="N1605" s="2250"/>
      <c r="O1605" s="1631"/>
      <c r="P1605" s="1536"/>
      <c r="Q1605" s="1536"/>
      <c r="R1605" s="1536"/>
    </row>
    <row r="1606" spans="1:18">
      <c r="A1606" s="1814"/>
      <c r="B1606" s="2204"/>
      <c r="C1606" s="1536"/>
      <c r="D1606" s="1536"/>
      <c r="E1606" s="1536"/>
      <c r="F1606" s="1536"/>
      <c r="G1606" s="1536"/>
      <c r="H1606" s="1235"/>
      <c r="I1606" s="1536"/>
      <c r="J1606" s="1536"/>
      <c r="K1606" s="1537"/>
      <c r="L1606" s="1708"/>
      <c r="M1606" s="2018"/>
      <c r="N1606" s="2250"/>
      <c r="O1606" s="1631"/>
      <c r="P1606" s="1536"/>
      <c r="Q1606" s="1536"/>
      <c r="R1606" s="1536"/>
    </row>
    <row r="1607" spans="1:18">
      <c r="A1607" s="1814"/>
      <c r="B1607" s="2204"/>
      <c r="C1607" s="1536"/>
      <c r="D1607" s="1536"/>
      <c r="E1607" s="1536"/>
      <c r="F1607" s="1536"/>
      <c r="G1607" s="1536"/>
      <c r="H1607" s="1235"/>
      <c r="I1607" s="1536"/>
      <c r="J1607" s="1536"/>
      <c r="K1607" s="1537"/>
      <c r="L1607" s="1708"/>
      <c r="M1607" s="2018"/>
      <c r="N1607" s="2250"/>
      <c r="O1607" s="1631"/>
      <c r="P1607" s="1536"/>
      <c r="Q1607" s="1536"/>
      <c r="R1607" s="1536"/>
    </row>
    <row r="1608" spans="1:18">
      <c r="A1608" s="1814"/>
      <c r="B1608" s="2204"/>
      <c r="C1608" s="1536"/>
      <c r="D1608" s="1536"/>
      <c r="E1608" s="1536"/>
      <c r="F1608" s="1536"/>
      <c r="G1608" s="1536"/>
      <c r="H1608" s="1235"/>
      <c r="I1608" s="1536"/>
      <c r="J1608" s="1536"/>
      <c r="K1608" s="1537"/>
      <c r="L1608" s="1708"/>
      <c r="M1608" s="2018"/>
      <c r="N1608" s="2250"/>
      <c r="O1608" s="1631"/>
      <c r="P1608" s="1536"/>
      <c r="Q1608" s="1536"/>
      <c r="R1608" s="1536"/>
    </row>
    <row r="1609" spans="1:18">
      <c r="A1609" s="1814"/>
      <c r="B1609" s="2204"/>
      <c r="C1609" s="1536"/>
      <c r="D1609" s="1536"/>
      <c r="E1609" s="1536"/>
      <c r="F1609" s="1536"/>
      <c r="G1609" s="1536"/>
      <c r="H1609" s="1235"/>
      <c r="I1609" s="1536"/>
      <c r="J1609" s="1536"/>
      <c r="K1609" s="1537"/>
      <c r="L1609" s="1708"/>
      <c r="M1609" s="2018"/>
      <c r="N1609" s="2250"/>
      <c r="O1609" s="1631"/>
      <c r="P1609" s="1536"/>
      <c r="Q1609" s="1536"/>
      <c r="R1609" s="1536"/>
    </row>
    <row r="1610" spans="1:18">
      <c r="A1610" s="1814"/>
      <c r="B1610" s="2204"/>
      <c r="C1610" s="1536"/>
      <c r="D1610" s="1536"/>
      <c r="E1610" s="1536"/>
      <c r="F1610" s="1536"/>
      <c r="G1610" s="1536"/>
      <c r="H1610" s="1235"/>
      <c r="I1610" s="1536"/>
      <c r="J1610" s="1536"/>
      <c r="K1610" s="1537"/>
      <c r="L1610" s="1708"/>
      <c r="M1610" s="2018"/>
      <c r="N1610" s="2250"/>
      <c r="O1610" s="1631"/>
      <c r="P1610" s="1536"/>
      <c r="Q1610" s="1536"/>
      <c r="R1610" s="1536"/>
    </row>
    <row r="1611" spans="1:18">
      <c r="A1611" s="1814"/>
      <c r="B1611" s="2204"/>
      <c r="C1611" s="1536"/>
      <c r="D1611" s="1536"/>
      <c r="E1611" s="1536"/>
      <c r="F1611" s="1536"/>
      <c r="G1611" s="1536"/>
      <c r="H1611" s="1235"/>
      <c r="I1611" s="1536"/>
      <c r="J1611" s="1536"/>
      <c r="K1611" s="1537"/>
      <c r="L1611" s="1708"/>
      <c r="M1611" s="2018"/>
      <c r="N1611" s="2250"/>
      <c r="O1611" s="1631"/>
      <c r="P1611" s="1536"/>
      <c r="Q1611" s="1536"/>
      <c r="R1611" s="1536"/>
    </row>
    <row r="1612" spans="1:18">
      <c r="A1612" s="1814"/>
      <c r="B1612" s="2204"/>
      <c r="C1612" s="1536"/>
      <c r="D1612" s="1536"/>
      <c r="E1612" s="1536"/>
      <c r="F1612" s="1536"/>
      <c r="G1612" s="1536"/>
      <c r="H1612" s="1235"/>
      <c r="I1612" s="1536"/>
      <c r="J1612" s="1536"/>
      <c r="K1612" s="1537"/>
      <c r="L1612" s="1708"/>
      <c r="M1612" s="2018"/>
      <c r="N1612" s="2250"/>
      <c r="O1612" s="1631"/>
      <c r="P1612" s="1536"/>
      <c r="Q1612" s="1536"/>
      <c r="R1612" s="1536"/>
    </row>
    <row r="1613" spans="1:18">
      <c r="A1613" s="1814"/>
      <c r="B1613" s="2204"/>
      <c r="C1613" s="1536"/>
      <c r="D1613" s="1536"/>
      <c r="E1613" s="1536"/>
      <c r="F1613" s="1536"/>
      <c r="G1613" s="1536"/>
      <c r="H1613" s="1235"/>
      <c r="I1613" s="1536"/>
      <c r="J1613" s="1536"/>
      <c r="K1613" s="1537"/>
      <c r="L1613" s="1708"/>
      <c r="M1613" s="2018"/>
      <c r="N1613" s="2250"/>
      <c r="O1613" s="1631"/>
      <c r="P1613" s="1536"/>
      <c r="Q1613" s="1536"/>
      <c r="R1613" s="1536"/>
    </row>
    <row r="1614" spans="1:18">
      <c r="A1614" s="1814"/>
      <c r="B1614" s="2204"/>
      <c r="C1614" s="1536"/>
      <c r="D1614" s="1536"/>
      <c r="E1614" s="1536"/>
      <c r="F1614" s="1536"/>
      <c r="G1614" s="1536"/>
      <c r="H1614" s="1235"/>
      <c r="I1614" s="1536"/>
      <c r="J1614" s="1536"/>
      <c r="K1614" s="1537"/>
      <c r="L1614" s="1708"/>
      <c r="M1614" s="2018"/>
      <c r="N1614" s="2250"/>
      <c r="O1614" s="1631"/>
      <c r="P1614" s="1536"/>
      <c r="Q1614" s="1536"/>
      <c r="R1614" s="1536"/>
    </row>
    <row r="1615" spans="1:18">
      <c r="A1615" s="1814"/>
      <c r="B1615" s="2204"/>
      <c r="C1615" s="1536"/>
      <c r="D1615" s="1536"/>
      <c r="E1615" s="1536"/>
      <c r="F1615" s="1536"/>
      <c r="G1615" s="1536"/>
      <c r="H1615" s="1235"/>
      <c r="I1615" s="1536"/>
      <c r="J1615" s="1536"/>
      <c r="K1615" s="1537"/>
      <c r="L1615" s="1708"/>
      <c r="M1615" s="2018"/>
      <c r="N1615" s="2250"/>
      <c r="O1615" s="1631"/>
      <c r="P1615" s="1536"/>
      <c r="Q1615" s="1536"/>
      <c r="R1615" s="1536"/>
    </row>
    <row r="1616" spans="1:18">
      <c r="A1616" s="1814"/>
      <c r="B1616" s="2204"/>
      <c r="C1616" s="1536"/>
      <c r="D1616" s="1536"/>
      <c r="E1616" s="1536"/>
      <c r="F1616" s="1536"/>
      <c r="G1616" s="1536"/>
      <c r="H1616" s="1235"/>
      <c r="I1616" s="1536"/>
      <c r="J1616" s="1536"/>
      <c r="K1616" s="1537"/>
      <c r="L1616" s="1708"/>
      <c r="M1616" s="2018"/>
      <c r="N1616" s="2250"/>
      <c r="O1616" s="1631"/>
      <c r="P1616" s="1536"/>
      <c r="Q1616" s="1536"/>
      <c r="R1616" s="1536"/>
    </row>
    <row r="1617" spans="1:18">
      <c r="A1617" s="1814"/>
      <c r="B1617" s="2204"/>
      <c r="C1617" s="1536"/>
      <c r="D1617" s="1536"/>
      <c r="E1617" s="1536"/>
      <c r="F1617" s="1536"/>
      <c r="G1617" s="1536"/>
      <c r="H1617" s="1235"/>
      <c r="I1617" s="1536"/>
      <c r="J1617" s="1536"/>
      <c r="K1617" s="1537"/>
      <c r="L1617" s="1708"/>
      <c r="M1617" s="2018"/>
      <c r="N1617" s="2250"/>
      <c r="O1617" s="1631"/>
      <c r="P1617" s="1536"/>
      <c r="Q1617" s="1536"/>
      <c r="R1617" s="1536"/>
    </row>
    <row r="1618" spans="1:18">
      <c r="A1618" s="1814"/>
      <c r="B1618" s="2204"/>
      <c r="C1618" s="1536"/>
      <c r="D1618" s="1536"/>
      <c r="E1618" s="1536"/>
      <c r="F1618" s="1536"/>
      <c r="G1618" s="1536"/>
      <c r="H1618" s="1235"/>
      <c r="I1618" s="1536"/>
      <c r="J1618" s="1536"/>
      <c r="K1618" s="1537"/>
      <c r="L1618" s="1708"/>
      <c r="M1618" s="2018"/>
      <c r="N1618" s="2250"/>
      <c r="O1618" s="1631"/>
      <c r="P1618" s="1536"/>
      <c r="Q1618" s="1536"/>
      <c r="R1618" s="1536"/>
    </row>
    <row r="1619" spans="1:18">
      <c r="A1619" s="1814"/>
      <c r="B1619" s="2204"/>
      <c r="C1619" s="1536"/>
      <c r="D1619" s="1536"/>
      <c r="E1619" s="1536"/>
      <c r="F1619" s="1536"/>
      <c r="G1619" s="1536"/>
      <c r="H1619" s="1235"/>
      <c r="I1619" s="1536"/>
      <c r="J1619" s="1536"/>
      <c r="K1619" s="1537"/>
      <c r="L1619" s="1708"/>
      <c r="M1619" s="2018"/>
      <c r="N1619" s="2250"/>
      <c r="O1619" s="1631"/>
      <c r="P1619" s="1536"/>
      <c r="Q1619" s="1536"/>
      <c r="R1619" s="1536"/>
    </row>
    <row r="1620" spans="1:18">
      <c r="A1620" s="1814"/>
      <c r="B1620" s="2204"/>
      <c r="C1620" s="1536"/>
      <c r="D1620" s="1536"/>
      <c r="E1620" s="1536"/>
      <c r="F1620" s="1536"/>
      <c r="G1620" s="1536"/>
      <c r="H1620" s="1235"/>
      <c r="I1620" s="1536"/>
      <c r="J1620" s="1536"/>
      <c r="K1620" s="1537"/>
      <c r="L1620" s="1708"/>
      <c r="M1620" s="2018"/>
      <c r="N1620" s="2250"/>
      <c r="O1620" s="1631"/>
      <c r="P1620" s="1536"/>
      <c r="Q1620" s="1536"/>
      <c r="R1620" s="1536"/>
    </row>
    <row r="1621" spans="1:18">
      <c r="A1621" s="1814"/>
      <c r="B1621" s="2204"/>
      <c r="C1621" s="1536"/>
      <c r="D1621" s="1536"/>
      <c r="E1621" s="1536"/>
      <c r="F1621" s="1536"/>
      <c r="G1621" s="1536"/>
      <c r="H1621" s="1235"/>
      <c r="I1621" s="1536"/>
      <c r="J1621" s="1536"/>
      <c r="K1621" s="1537"/>
      <c r="L1621" s="1708"/>
      <c r="M1621" s="2018"/>
      <c r="N1621" s="2250"/>
      <c r="O1621" s="1631"/>
      <c r="P1621" s="1536"/>
      <c r="Q1621" s="1536"/>
      <c r="R1621" s="1536"/>
    </row>
    <row r="1622" spans="1:18">
      <c r="A1622" s="1814"/>
      <c r="B1622" s="2204"/>
      <c r="C1622" s="1536"/>
      <c r="D1622" s="1536"/>
      <c r="E1622" s="1536"/>
      <c r="F1622" s="1536"/>
      <c r="G1622" s="1536"/>
      <c r="H1622" s="1235"/>
      <c r="I1622" s="1536"/>
      <c r="J1622" s="1536"/>
      <c r="K1622" s="1537"/>
      <c r="L1622" s="1708"/>
      <c r="M1622" s="2018"/>
      <c r="N1622" s="2250"/>
      <c r="O1622" s="1631"/>
      <c r="P1622" s="1536"/>
      <c r="Q1622" s="1536"/>
      <c r="R1622" s="1536"/>
    </row>
    <row r="1623" spans="1:18">
      <c r="A1623" s="1814"/>
      <c r="B1623" s="2204"/>
      <c r="C1623" s="1536"/>
      <c r="D1623" s="1536"/>
      <c r="E1623" s="1536"/>
      <c r="F1623" s="1536"/>
      <c r="G1623" s="1536"/>
      <c r="H1623" s="1235"/>
      <c r="I1623" s="1536"/>
      <c r="J1623" s="1536"/>
      <c r="K1623" s="1537"/>
      <c r="L1623" s="1708"/>
      <c r="M1623" s="2018"/>
      <c r="N1623" s="2250"/>
      <c r="O1623" s="1631"/>
      <c r="P1623" s="1536"/>
      <c r="Q1623" s="1536"/>
      <c r="R1623" s="1536"/>
    </row>
    <row r="1624" spans="1:18">
      <c r="A1624" s="1814"/>
      <c r="B1624" s="2204"/>
      <c r="C1624" s="1536"/>
      <c r="D1624" s="1536"/>
      <c r="E1624" s="1536"/>
      <c r="F1624" s="1536"/>
      <c r="G1624" s="1536"/>
      <c r="H1624" s="1235"/>
      <c r="I1624" s="1536"/>
      <c r="J1624" s="1536"/>
      <c r="K1624" s="1537"/>
      <c r="L1624" s="1708"/>
      <c r="M1624" s="2018"/>
      <c r="N1624" s="2250"/>
      <c r="O1624" s="1631"/>
      <c r="P1624" s="1536"/>
      <c r="Q1624" s="1536"/>
      <c r="R1624" s="1536"/>
    </row>
    <row r="1625" spans="1:18">
      <c r="A1625" s="1814"/>
      <c r="B1625" s="2204"/>
      <c r="C1625" s="1536"/>
      <c r="D1625" s="1536"/>
      <c r="E1625" s="1536"/>
      <c r="F1625" s="1536"/>
      <c r="G1625" s="1536"/>
      <c r="H1625" s="1235"/>
      <c r="I1625" s="1536"/>
      <c r="J1625" s="1536"/>
      <c r="K1625" s="1537"/>
      <c r="L1625" s="1708"/>
      <c r="M1625" s="2018"/>
      <c r="N1625" s="2250"/>
      <c r="O1625" s="1631"/>
      <c r="P1625" s="1536"/>
      <c r="Q1625" s="1536"/>
      <c r="R1625" s="1536"/>
    </row>
    <row r="1626" spans="1:18">
      <c r="A1626" s="1814"/>
      <c r="B1626" s="2204"/>
      <c r="C1626" s="1536"/>
      <c r="D1626" s="1536"/>
      <c r="E1626" s="1536"/>
      <c r="F1626" s="1536"/>
      <c r="G1626" s="1536"/>
      <c r="H1626" s="1235"/>
      <c r="I1626" s="1536"/>
      <c r="J1626" s="1536"/>
      <c r="K1626" s="1537"/>
      <c r="L1626" s="1708"/>
      <c r="M1626" s="2018"/>
      <c r="N1626" s="2250"/>
      <c r="O1626" s="1631"/>
      <c r="P1626" s="1536"/>
      <c r="Q1626" s="1536"/>
      <c r="R1626" s="1536"/>
    </row>
    <row r="1627" spans="1:18">
      <c r="A1627" s="1814"/>
      <c r="B1627" s="2204"/>
      <c r="C1627" s="1536"/>
      <c r="D1627" s="1536"/>
      <c r="E1627" s="1536"/>
      <c r="F1627" s="1536"/>
      <c r="G1627" s="1536"/>
      <c r="H1627" s="1235"/>
      <c r="I1627" s="1536"/>
      <c r="J1627" s="1536"/>
      <c r="K1627" s="1537"/>
      <c r="L1627" s="1708"/>
      <c r="M1627" s="2018"/>
      <c r="N1627" s="2250"/>
      <c r="O1627" s="1631"/>
      <c r="P1627" s="1536"/>
      <c r="Q1627" s="1536"/>
      <c r="R1627" s="1536"/>
    </row>
    <row r="1628" spans="1:18">
      <c r="A1628" s="1814"/>
      <c r="B1628" s="2204"/>
      <c r="C1628" s="1536"/>
      <c r="D1628" s="1536"/>
      <c r="E1628" s="1536"/>
      <c r="F1628" s="1536"/>
      <c r="G1628" s="1536"/>
      <c r="H1628" s="1235"/>
      <c r="I1628" s="1536"/>
      <c r="J1628" s="1536"/>
      <c r="K1628" s="1537"/>
      <c r="L1628" s="1708"/>
      <c r="M1628" s="2018"/>
      <c r="N1628" s="2250"/>
      <c r="O1628" s="1631"/>
      <c r="P1628" s="1536"/>
      <c r="Q1628" s="1536"/>
      <c r="R1628" s="1536"/>
    </row>
    <row r="1629" spans="1:18">
      <c r="A1629" s="1814"/>
      <c r="B1629" s="2204"/>
      <c r="C1629" s="1536"/>
      <c r="D1629" s="1536"/>
      <c r="E1629" s="1536"/>
      <c r="F1629" s="1536"/>
      <c r="G1629" s="1536"/>
      <c r="H1629" s="1235"/>
      <c r="I1629" s="1536"/>
      <c r="J1629" s="1536"/>
      <c r="K1629" s="1537"/>
      <c r="L1629" s="1708"/>
      <c r="M1629" s="2018"/>
      <c r="N1629" s="2250"/>
      <c r="O1629" s="1631"/>
      <c r="P1629" s="1536"/>
      <c r="Q1629" s="1536"/>
      <c r="R1629" s="1536"/>
    </row>
    <row r="1630" spans="1:18">
      <c r="A1630" s="1814"/>
      <c r="B1630" s="2204"/>
      <c r="C1630" s="1536"/>
      <c r="D1630" s="1536"/>
      <c r="E1630" s="1536"/>
      <c r="F1630" s="1536"/>
      <c r="G1630" s="1536"/>
      <c r="H1630" s="1235"/>
      <c r="I1630" s="1536"/>
      <c r="J1630" s="1536"/>
      <c r="K1630" s="1537"/>
      <c r="L1630" s="1708"/>
      <c r="M1630" s="2018"/>
      <c r="N1630" s="2250"/>
      <c r="O1630" s="1631"/>
      <c r="P1630" s="1536"/>
      <c r="Q1630" s="1536"/>
      <c r="R1630" s="1536"/>
    </row>
    <row r="1631" spans="1:18">
      <c r="A1631" s="1814"/>
      <c r="B1631" s="2204"/>
      <c r="C1631" s="1536"/>
      <c r="D1631" s="1536"/>
      <c r="E1631" s="1536"/>
      <c r="F1631" s="1536"/>
      <c r="G1631" s="1536"/>
      <c r="H1631" s="1235"/>
      <c r="I1631" s="1536"/>
      <c r="J1631" s="1536"/>
      <c r="K1631" s="1537"/>
      <c r="L1631" s="1708"/>
      <c r="M1631" s="2018"/>
      <c r="N1631" s="2250"/>
      <c r="O1631" s="1631"/>
      <c r="P1631" s="1536"/>
      <c r="Q1631" s="1536"/>
      <c r="R1631" s="1536"/>
    </row>
    <row r="1632" spans="1:18">
      <c r="A1632" s="1814"/>
      <c r="B1632" s="2204"/>
      <c r="C1632" s="1536"/>
      <c r="D1632" s="1536"/>
      <c r="E1632" s="1536"/>
      <c r="F1632" s="1536"/>
      <c r="G1632" s="1536"/>
      <c r="H1632" s="1235"/>
      <c r="I1632" s="1536"/>
      <c r="J1632" s="1536"/>
      <c r="K1632" s="1537"/>
      <c r="L1632" s="1708"/>
      <c r="M1632" s="2018"/>
      <c r="N1632" s="2250"/>
      <c r="O1632" s="1631"/>
      <c r="P1632" s="1536"/>
      <c r="Q1632" s="1536"/>
      <c r="R1632" s="1536"/>
    </row>
    <row r="1633" spans="1:18">
      <c r="A1633" s="1814"/>
      <c r="B1633" s="2204"/>
      <c r="C1633" s="1536"/>
      <c r="D1633" s="1536"/>
      <c r="E1633" s="1536"/>
      <c r="F1633" s="1536"/>
      <c r="G1633" s="1536"/>
      <c r="H1633" s="1235"/>
      <c r="I1633" s="1536"/>
      <c r="J1633" s="1536"/>
      <c r="K1633" s="1537"/>
      <c r="L1633" s="1708"/>
      <c r="M1633" s="2018"/>
      <c r="N1633" s="2250"/>
      <c r="O1633" s="1631"/>
      <c r="P1633" s="1536"/>
      <c r="Q1633" s="1536"/>
      <c r="R1633" s="1536"/>
    </row>
    <row r="1634" spans="1:18">
      <c r="A1634" s="1814"/>
      <c r="B1634" s="2204"/>
      <c r="C1634" s="1536"/>
      <c r="D1634" s="1536"/>
      <c r="E1634" s="1536"/>
      <c r="F1634" s="1536"/>
      <c r="G1634" s="1536"/>
      <c r="H1634" s="1235"/>
      <c r="I1634" s="1536"/>
      <c r="J1634" s="1536"/>
      <c r="K1634" s="1537"/>
      <c r="L1634" s="1708"/>
      <c r="M1634" s="2018"/>
      <c r="N1634" s="2250"/>
      <c r="O1634" s="1631"/>
      <c r="P1634" s="1536"/>
      <c r="Q1634" s="1536"/>
      <c r="R1634" s="1536"/>
    </row>
    <row r="1635" spans="1:18">
      <c r="A1635" s="1814"/>
      <c r="B1635" s="2204"/>
      <c r="C1635" s="1536"/>
      <c r="D1635" s="1536"/>
      <c r="E1635" s="1536"/>
      <c r="F1635" s="1536"/>
      <c r="G1635" s="1536"/>
      <c r="H1635" s="1235"/>
      <c r="I1635" s="1536"/>
      <c r="J1635" s="1536"/>
      <c r="K1635" s="1537"/>
      <c r="L1635" s="1708"/>
      <c r="M1635" s="2018"/>
      <c r="N1635" s="2250"/>
      <c r="O1635" s="1631"/>
      <c r="P1635" s="1536"/>
      <c r="Q1635" s="1536"/>
      <c r="R1635" s="1536"/>
    </row>
    <row r="1636" spans="1:18">
      <c r="A1636" s="1814"/>
      <c r="B1636" s="2204"/>
      <c r="C1636" s="1536"/>
      <c r="D1636" s="1536"/>
      <c r="E1636" s="1536"/>
      <c r="F1636" s="1536"/>
      <c r="G1636" s="1536"/>
      <c r="H1636" s="1235"/>
      <c r="I1636" s="1536"/>
      <c r="J1636" s="1536"/>
      <c r="K1636" s="1537"/>
      <c r="L1636" s="1708"/>
      <c r="M1636" s="2018"/>
      <c r="N1636" s="2250"/>
      <c r="O1636" s="1631"/>
      <c r="P1636" s="1536"/>
      <c r="Q1636" s="1536"/>
      <c r="R1636" s="1536"/>
    </row>
    <row r="1637" spans="1:18">
      <c r="A1637" s="1814"/>
      <c r="B1637" s="2204"/>
      <c r="C1637" s="1536"/>
      <c r="D1637" s="1536"/>
      <c r="E1637" s="1536"/>
      <c r="F1637" s="1536"/>
      <c r="G1637" s="1536"/>
      <c r="H1637" s="1235"/>
      <c r="I1637" s="1536"/>
      <c r="J1637" s="1536"/>
      <c r="K1637" s="1537"/>
      <c r="L1637" s="1708"/>
      <c r="M1637" s="2018"/>
      <c r="N1637" s="2250"/>
      <c r="O1637" s="1631"/>
      <c r="P1637" s="1536"/>
      <c r="Q1637" s="1536"/>
      <c r="R1637" s="1536"/>
    </row>
    <row r="1638" spans="1:18">
      <c r="A1638" s="1814"/>
      <c r="B1638" s="2204"/>
      <c r="C1638" s="1536"/>
      <c r="D1638" s="1536"/>
      <c r="E1638" s="1536"/>
      <c r="F1638" s="1536"/>
      <c r="G1638" s="1536"/>
      <c r="H1638" s="1235"/>
      <c r="I1638" s="1536"/>
      <c r="J1638" s="1536"/>
      <c r="K1638" s="1537"/>
      <c r="L1638" s="1708"/>
      <c r="M1638" s="2018"/>
      <c r="N1638" s="2250"/>
      <c r="O1638" s="1631"/>
      <c r="P1638" s="1536"/>
      <c r="Q1638" s="1536"/>
      <c r="R1638" s="1536"/>
    </row>
    <row r="1639" spans="1:18">
      <c r="A1639" s="1814"/>
      <c r="B1639" s="2204"/>
      <c r="C1639" s="1536"/>
      <c r="D1639" s="1536"/>
      <c r="E1639" s="1536"/>
      <c r="F1639" s="1536"/>
      <c r="G1639" s="1536"/>
      <c r="H1639" s="1235"/>
      <c r="I1639" s="1536"/>
      <c r="J1639" s="1536"/>
      <c r="K1639" s="1537"/>
      <c r="L1639" s="1708"/>
      <c r="M1639" s="2018"/>
      <c r="N1639" s="2250"/>
      <c r="O1639" s="1631"/>
      <c r="P1639" s="1536"/>
      <c r="Q1639" s="1536"/>
      <c r="R1639" s="1536"/>
    </row>
    <row r="1640" spans="1:18">
      <c r="A1640" s="1814"/>
      <c r="B1640" s="2204"/>
      <c r="C1640" s="1536"/>
      <c r="D1640" s="1536"/>
      <c r="E1640" s="1536"/>
      <c r="F1640" s="1536"/>
      <c r="G1640" s="1536"/>
      <c r="H1640" s="1235"/>
      <c r="I1640" s="1536"/>
      <c r="J1640" s="1536"/>
      <c r="K1640" s="1537"/>
      <c r="L1640" s="1708"/>
      <c r="M1640" s="2018"/>
      <c r="N1640" s="2250"/>
      <c r="O1640" s="1631"/>
      <c r="P1640" s="1536"/>
      <c r="Q1640" s="1536"/>
      <c r="R1640" s="1536"/>
    </row>
    <row r="1641" spans="1:18">
      <c r="A1641" s="1814"/>
      <c r="B1641" s="2204"/>
      <c r="C1641" s="1536"/>
      <c r="D1641" s="1536"/>
      <c r="E1641" s="1536"/>
      <c r="F1641" s="1536"/>
      <c r="G1641" s="1536"/>
      <c r="H1641" s="1235"/>
      <c r="I1641" s="1536"/>
      <c r="J1641" s="1536"/>
      <c r="K1641" s="1537"/>
      <c r="L1641" s="1708"/>
      <c r="M1641" s="2018"/>
      <c r="N1641" s="2250"/>
      <c r="O1641" s="1631"/>
      <c r="P1641" s="1536"/>
      <c r="Q1641" s="1536"/>
      <c r="R1641" s="1536"/>
    </row>
    <row r="1642" spans="1:18">
      <c r="A1642" s="1814"/>
      <c r="B1642" s="2204"/>
      <c r="C1642" s="1536"/>
      <c r="D1642" s="1536"/>
      <c r="E1642" s="1536"/>
      <c r="F1642" s="1536"/>
      <c r="G1642" s="1536"/>
      <c r="H1642" s="1235"/>
      <c r="I1642" s="1536"/>
      <c r="J1642" s="1536"/>
      <c r="K1642" s="1537"/>
      <c r="L1642" s="1708"/>
      <c r="M1642" s="2018"/>
      <c r="N1642" s="2250"/>
      <c r="O1642" s="1631"/>
      <c r="P1642" s="1536"/>
      <c r="Q1642" s="1536"/>
      <c r="R1642" s="1536"/>
    </row>
    <row r="1643" spans="1:18">
      <c r="A1643" s="1814"/>
      <c r="B1643" s="2204"/>
      <c r="C1643" s="1536"/>
      <c r="D1643" s="1536"/>
      <c r="E1643" s="1536"/>
      <c r="F1643" s="1536"/>
      <c r="G1643" s="1536"/>
      <c r="H1643" s="1235"/>
      <c r="I1643" s="1536"/>
      <c r="J1643" s="1536"/>
      <c r="K1643" s="1537"/>
      <c r="L1643" s="1708"/>
      <c r="M1643" s="2018"/>
      <c r="N1643" s="2250"/>
      <c r="O1643" s="1631"/>
      <c r="P1643" s="1536"/>
      <c r="Q1643" s="1536"/>
      <c r="R1643" s="1536"/>
    </row>
    <row r="1644" spans="1:18">
      <c r="A1644" s="1814"/>
      <c r="B1644" s="2204"/>
      <c r="C1644" s="1536"/>
      <c r="D1644" s="1536"/>
      <c r="E1644" s="1536"/>
      <c r="F1644" s="1536"/>
      <c r="G1644" s="1536"/>
      <c r="H1644" s="1235"/>
      <c r="I1644" s="1536"/>
      <c r="J1644" s="1536"/>
      <c r="K1644" s="1537"/>
      <c r="L1644" s="1708"/>
      <c r="M1644" s="2018"/>
      <c r="N1644" s="2250"/>
      <c r="O1644" s="1631"/>
      <c r="P1644" s="1536"/>
      <c r="Q1644" s="1536"/>
      <c r="R1644" s="1536"/>
    </row>
    <row r="1645" spans="1:18">
      <c r="A1645" s="1814"/>
      <c r="B1645" s="2204"/>
      <c r="C1645" s="1536"/>
      <c r="D1645" s="1536"/>
      <c r="E1645" s="1536"/>
      <c r="F1645" s="1536"/>
      <c r="G1645" s="1536"/>
      <c r="H1645" s="1235"/>
      <c r="I1645" s="1536"/>
      <c r="J1645" s="1536"/>
      <c r="K1645" s="1537"/>
      <c r="L1645" s="1708"/>
      <c r="M1645" s="2018"/>
      <c r="N1645" s="2250"/>
      <c r="O1645" s="1631"/>
      <c r="P1645" s="1536"/>
      <c r="Q1645" s="1536"/>
      <c r="R1645" s="1536"/>
    </row>
    <row r="1646" spans="1:18">
      <c r="A1646" s="1814"/>
      <c r="B1646" s="2204"/>
      <c r="C1646" s="1536"/>
      <c r="D1646" s="1536"/>
      <c r="E1646" s="1536"/>
      <c r="F1646" s="1536"/>
      <c r="G1646" s="1536"/>
      <c r="H1646" s="1235"/>
      <c r="I1646" s="1536"/>
      <c r="J1646" s="1536"/>
      <c r="K1646" s="1537"/>
      <c r="L1646" s="1708"/>
      <c r="M1646" s="2018"/>
      <c r="N1646" s="2250"/>
      <c r="O1646" s="1631"/>
      <c r="P1646" s="1536"/>
      <c r="Q1646" s="1536"/>
      <c r="R1646" s="1536"/>
    </row>
    <row r="1647" spans="1:18">
      <c r="A1647" s="1814"/>
      <c r="B1647" s="2204"/>
      <c r="C1647" s="1536"/>
      <c r="D1647" s="1536"/>
      <c r="E1647" s="1536"/>
      <c r="F1647" s="1536"/>
      <c r="G1647" s="1536"/>
      <c r="H1647" s="1235"/>
      <c r="I1647" s="1536"/>
      <c r="J1647" s="1536"/>
      <c r="K1647" s="1537"/>
      <c r="L1647" s="1708"/>
      <c r="M1647" s="2018"/>
      <c r="N1647" s="2250"/>
      <c r="O1647" s="1631"/>
      <c r="P1647" s="1536"/>
      <c r="Q1647" s="1536"/>
      <c r="R1647" s="1536"/>
    </row>
    <row r="1648" spans="1:18">
      <c r="A1648" s="1814"/>
      <c r="B1648" s="2204"/>
      <c r="C1648" s="1536"/>
      <c r="D1648" s="1536"/>
      <c r="E1648" s="1536"/>
      <c r="F1648" s="1536"/>
      <c r="G1648" s="1536"/>
      <c r="H1648" s="1235"/>
      <c r="I1648" s="1536"/>
      <c r="J1648" s="1536"/>
      <c r="K1648" s="1537"/>
      <c r="L1648" s="1708"/>
      <c r="M1648" s="2018"/>
      <c r="N1648" s="2250"/>
      <c r="O1648" s="1631"/>
      <c r="P1648" s="1536"/>
      <c r="Q1648" s="1536"/>
      <c r="R1648" s="1536"/>
    </row>
    <row r="1649" spans="1:18">
      <c r="A1649" s="1814"/>
      <c r="B1649" s="2204"/>
      <c r="C1649" s="1536"/>
      <c r="D1649" s="1536"/>
      <c r="E1649" s="1536"/>
      <c r="F1649" s="1536"/>
      <c r="G1649" s="1536"/>
      <c r="H1649" s="1235"/>
      <c r="I1649" s="1536"/>
      <c r="J1649" s="1536"/>
      <c r="K1649" s="1537"/>
      <c r="L1649" s="1708"/>
      <c r="M1649" s="2018"/>
      <c r="N1649" s="2250"/>
      <c r="O1649" s="1631"/>
      <c r="P1649" s="1536"/>
      <c r="Q1649" s="1536"/>
      <c r="R1649" s="1536"/>
    </row>
    <row r="1650" spans="1:18">
      <c r="A1650" s="1814"/>
      <c r="B1650" s="2204"/>
      <c r="C1650" s="1536"/>
      <c r="D1650" s="1536"/>
      <c r="E1650" s="1536"/>
      <c r="F1650" s="1536"/>
      <c r="G1650" s="1536"/>
      <c r="H1650" s="1235"/>
      <c r="I1650" s="1536"/>
      <c r="J1650" s="1536"/>
      <c r="K1650" s="1537"/>
      <c r="L1650" s="1708"/>
      <c r="M1650" s="2018"/>
      <c r="N1650" s="2250"/>
      <c r="O1650" s="1631"/>
      <c r="P1650" s="1536"/>
      <c r="Q1650" s="1536"/>
      <c r="R1650" s="1536"/>
    </row>
    <row r="1651" spans="1:18">
      <c r="A1651" s="1814"/>
      <c r="B1651" s="2204"/>
      <c r="C1651" s="1536"/>
      <c r="D1651" s="1536"/>
      <c r="E1651" s="1536"/>
      <c r="F1651" s="1536"/>
      <c r="G1651" s="1536"/>
      <c r="H1651" s="1235"/>
      <c r="I1651" s="1536"/>
      <c r="J1651" s="1536"/>
      <c r="K1651" s="1537"/>
      <c r="L1651" s="1708"/>
      <c r="M1651" s="2018"/>
      <c r="N1651" s="2250"/>
      <c r="O1651" s="1631"/>
      <c r="P1651" s="1536"/>
      <c r="Q1651" s="1536"/>
      <c r="R1651" s="1536"/>
    </row>
    <row r="1652" spans="1:18">
      <c r="A1652" s="1814"/>
      <c r="B1652" s="2204"/>
      <c r="C1652" s="1536"/>
      <c r="D1652" s="1536"/>
      <c r="E1652" s="1536"/>
      <c r="F1652" s="1536"/>
      <c r="G1652" s="1536"/>
      <c r="H1652" s="1235"/>
      <c r="I1652" s="1536"/>
      <c r="J1652" s="1536"/>
      <c r="K1652" s="1537"/>
      <c r="L1652" s="1708"/>
      <c r="M1652" s="2018"/>
      <c r="N1652" s="2250"/>
      <c r="O1652" s="1631"/>
      <c r="P1652" s="1536"/>
      <c r="Q1652" s="1536"/>
      <c r="R1652" s="1536"/>
    </row>
    <row r="1653" spans="1:18">
      <c r="A1653" s="1814"/>
      <c r="B1653" s="2204"/>
      <c r="C1653" s="1536"/>
      <c r="D1653" s="1536"/>
      <c r="E1653" s="1536"/>
      <c r="F1653" s="1536"/>
      <c r="G1653" s="1536"/>
      <c r="H1653" s="1235"/>
      <c r="I1653" s="1536"/>
      <c r="J1653" s="1536"/>
      <c r="K1653" s="1537"/>
      <c r="L1653" s="1708"/>
      <c r="M1653" s="2018"/>
      <c r="N1653" s="2250"/>
      <c r="O1653" s="1631"/>
      <c r="P1653" s="1536"/>
      <c r="Q1653" s="1536"/>
      <c r="R1653" s="1536"/>
    </row>
    <row r="1654" spans="1:18">
      <c r="A1654" s="1814"/>
      <c r="B1654" s="2204"/>
      <c r="C1654" s="1536"/>
      <c r="D1654" s="1536"/>
      <c r="E1654" s="1536"/>
      <c r="F1654" s="1536"/>
      <c r="G1654" s="1536"/>
      <c r="H1654" s="1235"/>
      <c r="I1654" s="1536"/>
      <c r="J1654" s="1536"/>
      <c r="K1654" s="1537"/>
      <c r="L1654" s="1708"/>
      <c r="M1654" s="2018"/>
      <c r="N1654" s="2250"/>
      <c r="O1654" s="1631"/>
      <c r="P1654" s="1536"/>
      <c r="Q1654" s="1536"/>
      <c r="R1654" s="1536"/>
    </row>
    <row r="1655" spans="1:18">
      <c r="A1655" s="1814"/>
      <c r="B1655" s="2204"/>
      <c r="C1655" s="1536"/>
      <c r="D1655" s="1536"/>
      <c r="E1655" s="1536"/>
      <c r="F1655" s="1536"/>
      <c r="G1655" s="1536"/>
      <c r="H1655" s="1235"/>
      <c r="I1655" s="1536"/>
      <c r="J1655" s="1536"/>
      <c r="K1655" s="1537"/>
      <c r="L1655" s="1708"/>
      <c r="M1655" s="2018"/>
      <c r="N1655" s="2250"/>
      <c r="O1655" s="1631"/>
      <c r="P1655" s="1536"/>
      <c r="Q1655" s="1536"/>
      <c r="R1655" s="1536"/>
    </row>
    <row r="1656" spans="1:18">
      <c r="A1656" s="1814"/>
      <c r="B1656" s="2204"/>
      <c r="C1656" s="1536"/>
      <c r="D1656" s="1536"/>
      <c r="E1656" s="1536"/>
      <c r="F1656" s="1536"/>
      <c r="G1656" s="1536"/>
      <c r="H1656" s="1235"/>
      <c r="I1656" s="1536"/>
      <c r="J1656" s="1536"/>
      <c r="K1656" s="1537"/>
      <c r="L1656" s="1708"/>
      <c r="M1656" s="2018"/>
      <c r="N1656" s="2250"/>
      <c r="O1656" s="1631"/>
      <c r="P1656" s="1536"/>
      <c r="Q1656" s="1536"/>
      <c r="R1656" s="1536"/>
    </row>
    <row r="1657" spans="1:18">
      <c r="A1657" s="1814"/>
      <c r="B1657" s="2204"/>
      <c r="C1657" s="1536"/>
      <c r="D1657" s="1536"/>
      <c r="E1657" s="1536"/>
      <c r="F1657" s="1536"/>
      <c r="G1657" s="1536"/>
      <c r="H1657" s="1235"/>
      <c r="I1657" s="1536"/>
      <c r="J1657" s="1536"/>
      <c r="K1657" s="1537"/>
      <c r="L1657" s="1708"/>
      <c r="M1657" s="2018"/>
      <c r="N1657" s="2250"/>
      <c r="O1657" s="1631"/>
      <c r="P1657" s="1536"/>
      <c r="Q1657" s="1536"/>
      <c r="R1657" s="1536"/>
    </row>
    <row r="1658" spans="1:18">
      <c r="A1658" s="1814"/>
      <c r="B1658" s="2204"/>
      <c r="C1658" s="1536"/>
      <c r="D1658" s="1536"/>
      <c r="E1658" s="1536"/>
      <c r="F1658" s="1536"/>
      <c r="G1658" s="1536"/>
      <c r="H1658" s="1235"/>
      <c r="I1658" s="1536"/>
      <c r="J1658" s="1536"/>
      <c r="K1658" s="1537"/>
      <c r="L1658" s="1708"/>
      <c r="M1658" s="2018"/>
      <c r="N1658" s="2250"/>
      <c r="O1658" s="1631"/>
      <c r="P1658" s="1536"/>
      <c r="Q1658" s="1536"/>
      <c r="R1658" s="1536"/>
    </row>
    <row r="1659" spans="1:18">
      <c r="A1659" s="1814"/>
      <c r="B1659" s="2204"/>
      <c r="C1659" s="1536"/>
      <c r="D1659" s="1536"/>
      <c r="E1659" s="1536"/>
      <c r="F1659" s="1536"/>
      <c r="G1659" s="1536"/>
      <c r="H1659" s="1235"/>
      <c r="I1659" s="1536"/>
      <c r="J1659" s="1536"/>
      <c r="K1659" s="1537"/>
      <c r="L1659" s="1708"/>
      <c r="M1659" s="2018"/>
      <c r="N1659" s="2250"/>
      <c r="O1659" s="1631"/>
      <c r="P1659" s="1536"/>
      <c r="Q1659" s="1536"/>
      <c r="R1659" s="1536"/>
    </row>
    <row r="1660" spans="1:18">
      <c r="A1660" s="1814"/>
      <c r="B1660" s="2204"/>
      <c r="C1660" s="1536"/>
      <c r="D1660" s="1536"/>
      <c r="E1660" s="1536"/>
      <c r="F1660" s="1536"/>
      <c r="G1660" s="1536"/>
      <c r="H1660" s="1235"/>
      <c r="I1660" s="1536"/>
      <c r="J1660" s="1536"/>
      <c r="K1660" s="1537"/>
      <c r="L1660" s="1708"/>
      <c r="M1660" s="2018"/>
      <c r="N1660" s="2250"/>
      <c r="O1660" s="1631"/>
      <c r="P1660" s="1536"/>
      <c r="Q1660" s="1536"/>
      <c r="R1660" s="1536"/>
    </row>
    <row r="1661" spans="1:18">
      <c r="A1661" s="1814"/>
      <c r="B1661" s="2204"/>
      <c r="C1661" s="1536"/>
      <c r="D1661" s="1536"/>
      <c r="E1661" s="1536"/>
      <c r="F1661" s="1536"/>
      <c r="G1661" s="1536"/>
      <c r="H1661" s="1235"/>
      <c r="I1661" s="1536"/>
      <c r="J1661" s="1536"/>
      <c r="K1661" s="1537"/>
      <c r="L1661" s="1708"/>
      <c r="M1661" s="2018"/>
      <c r="N1661" s="2250"/>
      <c r="O1661" s="1631"/>
      <c r="P1661" s="1536"/>
      <c r="Q1661" s="1536"/>
      <c r="R1661" s="1536"/>
    </row>
    <row r="1662" spans="1:18">
      <c r="A1662" s="1814"/>
      <c r="B1662" s="2204"/>
      <c r="C1662" s="1536"/>
      <c r="D1662" s="1536"/>
      <c r="E1662" s="1536"/>
      <c r="F1662" s="1536"/>
      <c r="G1662" s="1536"/>
      <c r="H1662" s="1235"/>
      <c r="I1662" s="1536"/>
      <c r="J1662" s="1536"/>
      <c r="K1662" s="1537"/>
      <c r="L1662" s="1708"/>
      <c r="M1662" s="2018"/>
      <c r="N1662" s="2250"/>
      <c r="O1662" s="1631"/>
      <c r="P1662" s="1536"/>
      <c r="Q1662" s="1536"/>
      <c r="R1662" s="1536"/>
    </row>
    <row r="1663" spans="1:18">
      <c r="A1663" s="1814"/>
      <c r="B1663" s="2204"/>
      <c r="C1663" s="1536"/>
      <c r="D1663" s="1536"/>
      <c r="E1663" s="1536"/>
      <c r="F1663" s="1536"/>
      <c r="G1663" s="1536"/>
      <c r="H1663" s="1235"/>
      <c r="I1663" s="1536"/>
      <c r="J1663" s="1536"/>
      <c r="K1663" s="1537"/>
      <c r="L1663" s="1708"/>
      <c r="M1663" s="2018"/>
      <c r="N1663" s="2250"/>
      <c r="O1663" s="1631"/>
      <c r="P1663" s="1536"/>
      <c r="Q1663" s="1536"/>
      <c r="R1663" s="1536"/>
    </row>
    <row r="1664" spans="1:18">
      <c r="A1664" s="1814"/>
      <c r="B1664" s="2204"/>
      <c r="C1664" s="1536"/>
      <c r="D1664" s="1536"/>
      <c r="E1664" s="1536"/>
      <c r="F1664" s="1536"/>
      <c r="G1664" s="1536"/>
      <c r="H1664" s="1235"/>
      <c r="I1664" s="1536"/>
      <c r="J1664" s="1536"/>
      <c r="K1664" s="1537"/>
      <c r="L1664" s="1708"/>
      <c r="M1664" s="2018"/>
      <c r="N1664" s="2250"/>
      <c r="O1664" s="1631"/>
      <c r="P1664" s="1536"/>
      <c r="Q1664" s="1536"/>
      <c r="R1664" s="1536"/>
    </row>
    <row r="1665" spans="1:18">
      <c r="A1665" s="1814"/>
      <c r="B1665" s="2204"/>
      <c r="C1665" s="1536"/>
      <c r="D1665" s="1536"/>
      <c r="E1665" s="1536"/>
      <c r="F1665" s="1536"/>
      <c r="G1665" s="1536"/>
      <c r="H1665" s="1235"/>
      <c r="I1665" s="1536"/>
      <c r="J1665" s="1536"/>
      <c r="K1665" s="1537"/>
      <c r="L1665" s="1708"/>
      <c r="M1665" s="2018"/>
      <c r="N1665" s="2250"/>
      <c r="O1665" s="1631"/>
      <c r="P1665" s="1536"/>
      <c r="Q1665" s="1536"/>
      <c r="R1665" s="1536"/>
    </row>
    <row r="1666" spans="1:18">
      <c r="A1666" s="1814"/>
      <c r="B1666" s="2204"/>
      <c r="C1666" s="1536"/>
      <c r="D1666" s="1536"/>
      <c r="E1666" s="1536"/>
      <c r="F1666" s="1536"/>
      <c r="G1666" s="1536"/>
      <c r="H1666" s="1235"/>
      <c r="I1666" s="1536"/>
      <c r="J1666" s="1536"/>
      <c r="K1666" s="1537"/>
      <c r="L1666" s="1708"/>
      <c r="M1666" s="2018"/>
      <c r="N1666" s="2250"/>
      <c r="O1666" s="1631"/>
      <c r="P1666" s="1536"/>
      <c r="Q1666" s="1536"/>
      <c r="R1666" s="1536"/>
    </row>
    <row r="1667" spans="1:18">
      <c r="A1667" s="1814"/>
      <c r="B1667" s="2204"/>
      <c r="C1667" s="1536"/>
      <c r="D1667" s="1536"/>
      <c r="E1667" s="1536"/>
      <c r="F1667" s="1536"/>
      <c r="G1667" s="1536"/>
      <c r="H1667" s="1235"/>
      <c r="I1667" s="1536"/>
      <c r="J1667" s="1536"/>
      <c r="K1667" s="1537"/>
      <c r="L1667" s="1708"/>
      <c r="M1667" s="2018"/>
      <c r="N1667" s="2250"/>
      <c r="O1667" s="1631"/>
      <c r="P1667" s="1536"/>
      <c r="Q1667" s="1536"/>
      <c r="R1667" s="1536"/>
    </row>
    <row r="1668" spans="1:18">
      <c r="A1668" s="1814"/>
      <c r="B1668" s="2204"/>
      <c r="C1668" s="1536"/>
      <c r="D1668" s="1536"/>
      <c r="E1668" s="1536"/>
      <c r="F1668" s="1536"/>
      <c r="G1668" s="1536"/>
      <c r="H1668" s="1235"/>
      <c r="I1668" s="1536"/>
      <c r="J1668" s="1536"/>
      <c r="K1668" s="1537"/>
      <c r="L1668" s="1708"/>
      <c r="M1668" s="2018"/>
      <c r="N1668" s="2250"/>
      <c r="O1668" s="1631"/>
      <c r="P1668" s="1536"/>
      <c r="Q1668" s="1536"/>
      <c r="R1668" s="1536"/>
    </row>
    <row r="1669" spans="1:18">
      <c r="A1669" s="1814"/>
      <c r="B1669" s="2204"/>
      <c r="C1669" s="1536"/>
      <c r="D1669" s="1536"/>
      <c r="E1669" s="1536"/>
      <c r="F1669" s="1536"/>
      <c r="G1669" s="1536"/>
      <c r="H1669" s="1235"/>
      <c r="I1669" s="1536"/>
      <c r="J1669" s="1536"/>
      <c r="K1669" s="1537"/>
      <c r="L1669" s="1708"/>
      <c r="M1669" s="2018"/>
      <c r="N1669" s="2250"/>
      <c r="O1669" s="1631"/>
      <c r="P1669" s="1536"/>
      <c r="Q1669" s="1536"/>
      <c r="R1669" s="1536"/>
    </row>
    <row r="1670" spans="1:18">
      <c r="A1670" s="1814"/>
      <c r="B1670" s="2204"/>
      <c r="C1670" s="1536"/>
      <c r="D1670" s="1536"/>
      <c r="E1670" s="1536"/>
      <c r="F1670" s="1536"/>
      <c r="G1670" s="1536"/>
      <c r="H1670" s="1235"/>
      <c r="I1670" s="1536"/>
      <c r="J1670" s="1536"/>
      <c r="K1670" s="1537"/>
      <c r="L1670" s="1708"/>
      <c r="M1670" s="2018"/>
      <c r="N1670" s="2250"/>
      <c r="O1670" s="1631"/>
      <c r="P1670" s="1536"/>
      <c r="Q1670" s="1536"/>
      <c r="R1670" s="1536"/>
    </row>
    <row r="1671" spans="1:18">
      <c r="A1671" s="1814"/>
      <c r="B1671" s="2204"/>
      <c r="C1671" s="1536"/>
      <c r="D1671" s="1536"/>
      <c r="E1671" s="1536"/>
      <c r="F1671" s="1536"/>
      <c r="G1671" s="1536"/>
      <c r="H1671" s="1235"/>
      <c r="I1671" s="1536"/>
      <c r="J1671" s="1536"/>
      <c r="K1671" s="1537"/>
      <c r="L1671" s="1708"/>
      <c r="M1671" s="2018"/>
      <c r="N1671" s="2250"/>
      <c r="O1671" s="1631"/>
      <c r="P1671" s="1536"/>
      <c r="Q1671" s="1536"/>
      <c r="R1671" s="1536"/>
    </row>
    <row r="1672" spans="1:18">
      <c r="A1672" s="1814"/>
      <c r="B1672" s="2204"/>
      <c r="C1672" s="1536"/>
      <c r="D1672" s="1536"/>
      <c r="E1672" s="1536"/>
      <c r="F1672" s="1536"/>
      <c r="G1672" s="1536"/>
      <c r="H1672" s="1235"/>
      <c r="I1672" s="1536"/>
      <c r="J1672" s="1536"/>
      <c r="K1672" s="1537"/>
      <c r="L1672" s="1708"/>
      <c r="M1672" s="2018"/>
      <c r="N1672" s="2250"/>
      <c r="O1672" s="1631"/>
      <c r="P1672" s="1536"/>
      <c r="Q1672" s="1536"/>
      <c r="R1672" s="1536"/>
    </row>
    <row r="1673" spans="1:18">
      <c r="A1673" s="1814"/>
      <c r="B1673" s="2204"/>
      <c r="C1673" s="1536"/>
      <c r="D1673" s="1536"/>
      <c r="E1673" s="1536"/>
      <c r="F1673" s="1536"/>
      <c r="G1673" s="1536"/>
      <c r="H1673" s="1235"/>
      <c r="I1673" s="1536"/>
      <c r="J1673" s="1536"/>
      <c r="K1673" s="1537"/>
      <c r="L1673" s="1708"/>
      <c r="M1673" s="2018"/>
      <c r="N1673" s="2250"/>
      <c r="O1673" s="1631"/>
      <c r="P1673" s="1536"/>
      <c r="Q1673" s="1536"/>
      <c r="R1673" s="1536"/>
    </row>
    <row r="1674" spans="1:18">
      <c r="A1674" s="1814"/>
      <c r="B1674" s="2204"/>
      <c r="C1674" s="1536"/>
      <c r="D1674" s="1536"/>
      <c r="E1674" s="1536"/>
      <c r="F1674" s="1536"/>
      <c r="G1674" s="1536"/>
      <c r="H1674" s="1235"/>
      <c r="I1674" s="1536"/>
      <c r="J1674" s="1536"/>
      <c r="K1674" s="1537"/>
      <c r="L1674" s="1708"/>
      <c r="M1674" s="2018"/>
      <c r="N1674" s="2250"/>
      <c r="O1674" s="1631"/>
      <c r="P1674" s="1536"/>
      <c r="Q1674" s="1536"/>
      <c r="R1674" s="1536"/>
    </row>
    <row r="1675" spans="1:18">
      <c r="A1675" s="1814"/>
      <c r="B1675" s="2204"/>
      <c r="C1675" s="1536"/>
      <c r="D1675" s="1536"/>
      <c r="E1675" s="1536"/>
      <c r="F1675" s="1536"/>
      <c r="G1675" s="1536"/>
      <c r="H1675" s="1235"/>
      <c r="I1675" s="1536"/>
      <c r="J1675" s="1536"/>
      <c r="K1675" s="1537"/>
      <c r="L1675" s="1708"/>
      <c r="M1675" s="2018"/>
      <c r="N1675" s="2250"/>
      <c r="O1675" s="1631"/>
      <c r="P1675" s="1536"/>
      <c r="Q1675" s="1536"/>
      <c r="R1675" s="1536"/>
    </row>
    <row r="1676" spans="1:18">
      <c r="A1676" s="1814"/>
      <c r="B1676" s="2204"/>
      <c r="C1676" s="1536"/>
      <c r="D1676" s="1536"/>
      <c r="E1676" s="1536"/>
      <c r="F1676" s="1536"/>
      <c r="G1676" s="1536"/>
      <c r="H1676" s="1235"/>
      <c r="I1676" s="1536"/>
      <c r="J1676" s="1536"/>
      <c r="K1676" s="1537"/>
      <c r="L1676" s="1708"/>
      <c r="M1676" s="2018"/>
      <c r="N1676" s="2250"/>
      <c r="O1676" s="1631"/>
      <c r="P1676" s="1536"/>
      <c r="Q1676" s="1536"/>
      <c r="R1676" s="1536"/>
    </row>
    <row r="1677" spans="1:18">
      <c r="A1677" s="1814"/>
      <c r="B1677" s="2204"/>
      <c r="C1677" s="1536"/>
      <c r="D1677" s="1536"/>
      <c r="E1677" s="1536"/>
      <c r="F1677" s="1536"/>
      <c r="G1677" s="1536"/>
      <c r="H1677" s="1235"/>
      <c r="I1677" s="1536"/>
      <c r="J1677" s="1536"/>
      <c r="K1677" s="1537"/>
      <c r="L1677" s="1708"/>
      <c r="M1677" s="2018"/>
      <c r="N1677" s="2250"/>
      <c r="O1677" s="1631"/>
      <c r="P1677" s="1536"/>
      <c r="Q1677" s="1536"/>
      <c r="R1677" s="1536"/>
    </row>
    <row r="1678" spans="1:18">
      <c r="A1678" s="1814"/>
      <c r="B1678" s="2204"/>
      <c r="C1678" s="1536"/>
      <c r="D1678" s="1536"/>
      <c r="E1678" s="1536"/>
      <c r="F1678" s="1536"/>
      <c r="G1678" s="1536"/>
      <c r="H1678" s="1235"/>
      <c r="I1678" s="1536"/>
      <c r="J1678" s="1536"/>
      <c r="K1678" s="1537"/>
      <c r="L1678" s="1708"/>
      <c r="M1678" s="2018"/>
      <c r="N1678" s="2250"/>
      <c r="O1678" s="1631"/>
      <c r="P1678" s="1536"/>
      <c r="Q1678" s="1536"/>
      <c r="R1678" s="1536"/>
    </row>
    <row r="1679" spans="1:18">
      <c r="A1679" s="1814"/>
      <c r="B1679" s="2204"/>
      <c r="C1679" s="1536"/>
      <c r="D1679" s="1536"/>
      <c r="E1679" s="1536"/>
      <c r="F1679" s="1536"/>
      <c r="G1679" s="1536"/>
      <c r="H1679" s="1235"/>
      <c r="I1679" s="1536"/>
      <c r="J1679" s="1536"/>
      <c r="K1679" s="1537"/>
      <c r="L1679" s="1708"/>
      <c r="M1679" s="2018"/>
      <c r="N1679" s="2250"/>
      <c r="O1679" s="1631"/>
      <c r="P1679" s="1536"/>
      <c r="Q1679" s="1536"/>
      <c r="R1679" s="1536"/>
    </row>
    <row r="1680" spans="1:18">
      <c r="A1680" s="1814"/>
      <c r="B1680" s="2204"/>
      <c r="C1680" s="1536"/>
      <c r="D1680" s="1536"/>
      <c r="E1680" s="1536"/>
      <c r="F1680" s="1536"/>
      <c r="G1680" s="1536"/>
      <c r="H1680" s="1235"/>
      <c r="I1680" s="1536"/>
      <c r="J1680" s="1536"/>
      <c r="K1680" s="1537"/>
      <c r="L1680" s="1708"/>
      <c r="M1680" s="2018"/>
      <c r="N1680" s="2250"/>
      <c r="O1680" s="1631"/>
      <c r="P1680" s="1536"/>
      <c r="Q1680" s="1536"/>
      <c r="R1680" s="1536"/>
    </row>
    <row r="1681" spans="1:18">
      <c r="A1681" s="1814"/>
      <c r="B1681" s="2204"/>
      <c r="C1681" s="1536"/>
      <c r="D1681" s="1536"/>
      <c r="E1681" s="1536"/>
      <c r="F1681" s="1536"/>
      <c r="G1681" s="1536"/>
      <c r="H1681" s="1235"/>
      <c r="I1681" s="1536"/>
      <c r="J1681" s="1536"/>
      <c r="K1681" s="1537"/>
      <c r="L1681" s="1708"/>
      <c r="M1681" s="2018"/>
      <c r="N1681" s="2250"/>
      <c r="O1681" s="1631"/>
      <c r="P1681" s="1536"/>
      <c r="Q1681" s="1536"/>
      <c r="R1681" s="1536"/>
    </row>
    <row r="1682" spans="1:18">
      <c r="A1682" s="1814"/>
      <c r="B1682" s="2204"/>
      <c r="C1682" s="1536"/>
      <c r="D1682" s="1536"/>
      <c r="E1682" s="1536"/>
      <c r="F1682" s="1536"/>
      <c r="G1682" s="1536"/>
      <c r="H1682" s="1235"/>
      <c r="I1682" s="1536"/>
      <c r="J1682" s="1536"/>
      <c r="K1682" s="1537"/>
      <c r="L1682" s="1708"/>
      <c r="M1682" s="2018"/>
      <c r="N1682" s="2250"/>
      <c r="O1682" s="1631"/>
      <c r="P1682" s="1536"/>
      <c r="Q1682" s="1536"/>
      <c r="R1682" s="1536"/>
    </row>
    <row r="1683" spans="1:18">
      <c r="A1683" s="1814"/>
      <c r="B1683" s="2204"/>
      <c r="C1683" s="1536"/>
      <c r="D1683" s="1536"/>
      <c r="E1683" s="1536"/>
      <c r="F1683" s="1536"/>
      <c r="G1683" s="1536"/>
      <c r="H1683" s="1235"/>
      <c r="I1683" s="1536"/>
      <c r="J1683" s="1536"/>
      <c r="K1683" s="1537"/>
      <c r="L1683" s="1708"/>
      <c r="M1683" s="2018"/>
      <c r="N1683" s="2250"/>
      <c r="O1683" s="1631"/>
      <c r="P1683" s="1536"/>
      <c r="Q1683" s="1536"/>
      <c r="R1683" s="1536"/>
    </row>
    <row r="1684" spans="1:18">
      <c r="A1684" s="1814"/>
      <c r="B1684" s="2204"/>
      <c r="C1684" s="1536"/>
      <c r="D1684" s="1536"/>
      <c r="E1684" s="1536"/>
      <c r="F1684" s="1536"/>
      <c r="G1684" s="1536"/>
      <c r="H1684" s="1235"/>
      <c r="I1684" s="1536"/>
      <c r="J1684" s="1536"/>
      <c r="K1684" s="1537"/>
      <c r="L1684" s="1708"/>
      <c r="M1684" s="2018"/>
      <c r="N1684" s="2250"/>
      <c r="O1684" s="1631"/>
      <c r="P1684" s="1536"/>
      <c r="Q1684" s="1536"/>
      <c r="R1684" s="1536"/>
    </row>
    <row r="1685" spans="1:18">
      <c r="A1685" s="1814"/>
      <c r="B1685" s="2204"/>
      <c r="C1685" s="1536"/>
      <c r="D1685" s="1536"/>
      <c r="E1685" s="1536"/>
      <c r="F1685" s="1536"/>
      <c r="G1685" s="1536"/>
      <c r="H1685" s="1235"/>
      <c r="I1685" s="1536"/>
      <c r="J1685" s="1536"/>
      <c r="K1685" s="1537"/>
      <c r="L1685" s="1708"/>
      <c r="M1685" s="2018"/>
      <c r="N1685" s="2250"/>
      <c r="O1685" s="1631"/>
      <c r="P1685" s="1536"/>
      <c r="Q1685" s="1536"/>
      <c r="R1685" s="1536"/>
    </row>
  </sheetData>
  <mergeCells count="340">
    <mergeCell ref="I224:J224"/>
    <mergeCell ref="I194:J194"/>
    <mergeCell ref="I199:J199"/>
    <mergeCell ref="I204:J204"/>
    <mergeCell ref="I214:J214"/>
    <mergeCell ref="N19:N20"/>
    <mergeCell ref="N21:N22"/>
    <mergeCell ref="N23:N24"/>
    <mergeCell ref="N25:N26"/>
    <mergeCell ref="N27:N29"/>
    <mergeCell ref="N30:N31"/>
    <mergeCell ref="N32:N33"/>
    <mergeCell ref="I72:J72"/>
    <mergeCell ref="I77:J77"/>
    <mergeCell ref="N34:N35"/>
    <mergeCell ref="N36:N38"/>
    <mergeCell ref="N39:N40"/>
    <mergeCell ref="N41:N43"/>
    <mergeCell ref="N44:N45"/>
    <mergeCell ref="N46:N47"/>
    <mergeCell ref="N48:N49"/>
    <mergeCell ref="N50:N52"/>
    <mergeCell ref="N53:N54"/>
    <mergeCell ref="N55:N56"/>
    <mergeCell ref="N2:N3"/>
    <mergeCell ref="N4:N6"/>
    <mergeCell ref="N7:N8"/>
    <mergeCell ref="N9:N10"/>
    <mergeCell ref="N11:N12"/>
    <mergeCell ref="N13:N14"/>
    <mergeCell ref="N15:N16"/>
    <mergeCell ref="N17:N18"/>
    <mergeCell ref="I219:J219"/>
    <mergeCell ref="I123:J123"/>
    <mergeCell ref="N98:N100"/>
    <mergeCell ref="N101:N103"/>
    <mergeCell ref="I144:J144"/>
    <mergeCell ref="N105:N106"/>
    <mergeCell ref="N107:N108"/>
    <mergeCell ref="N109:N110"/>
    <mergeCell ref="N111:N114"/>
    <mergeCell ref="N115:N116"/>
    <mergeCell ref="N117:N119"/>
    <mergeCell ref="N120:N123"/>
    <mergeCell ref="N124:N125"/>
    <mergeCell ref="N126:N127"/>
    <mergeCell ref="I37:J37"/>
    <mergeCell ref="I42:J42"/>
    <mergeCell ref="N1201:N1202"/>
    <mergeCell ref="N1203:N1205"/>
    <mergeCell ref="N1206:N1207"/>
    <mergeCell ref="N1208:N1209"/>
    <mergeCell ref="N1210:N1211"/>
    <mergeCell ref="N1212:N1213"/>
    <mergeCell ref="N1214:N1215"/>
    <mergeCell ref="N1216:N1217"/>
    <mergeCell ref="N57:N58"/>
    <mergeCell ref="N59:N60"/>
    <mergeCell ref="N61:N63"/>
    <mergeCell ref="N64:N65"/>
    <mergeCell ref="N68:N69"/>
    <mergeCell ref="N70:N71"/>
    <mergeCell ref="N1173:N1174"/>
    <mergeCell ref="N1175:N1176"/>
    <mergeCell ref="N1177:N1178"/>
    <mergeCell ref="N1179:N1180"/>
    <mergeCell ref="N1181:N1186"/>
    <mergeCell ref="N1187:N1192"/>
    <mergeCell ref="N1193:N1194"/>
    <mergeCell ref="N1195:N1196"/>
    <mergeCell ref="N1197:N1198"/>
    <mergeCell ref="N1199:N1200"/>
    <mergeCell ref="N1251:N1252"/>
    <mergeCell ref="N1253:N1254"/>
    <mergeCell ref="I1269:K1269"/>
    <mergeCell ref="N1255:N1257"/>
    <mergeCell ref="N1258:N1259"/>
    <mergeCell ref="N1218:N1219"/>
    <mergeCell ref="N1220:N1221"/>
    <mergeCell ref="N1222:N1223"/>
    <mergeCell ref="N1224:N1225"/>
    <mergeCell ref="N1226:N1227"/>
    <mergeCell ref="N1228:N1237"/>
    <mergeCell ref="N1238:N1246"/>
    <mergeCell ref="N1247:N1248"/>
    <mergeCell ref="N1249:N1250"/>
    <mergeCell ref="N1156:N1157"/>
    <mergeCell ref="N1158:N1159"/>
    <mergeCell ref="N1160:N1161"/>
    <mergeCell ref="N1162:N1163"/>
    <mergeCell ref="N1164:N1165"/>
    <mergeCell ref="N1166:N1168"/>
    <mergeCell ref="N1169:N1170"/>
    <mergeCell ref="N1171:N1172"/>
    <mergeCell ref="N1140:N1141"/>
    <mergeCell ref="N1142:N1144"/>
    <mergeCell ref="N1145:N1147"/>
    <mergeCell ref="N1148:N1149"/>
    <mergeCell ref="N1150:N1151"/>
    <mergeCell ref="N1152:N1153"/>
    <mergeCell ref="N1154:N1155"/>
    <mergeCell ref="N1006:N1007"/>
    <mergeCell ref="N1008:N1009"/>
    <mergeCell ref="N1010:N1011"/>
    <mergeCell ref="N1028:N1029"/>
    <mergeCell ref="N1030:N1031"/>
    <mergeCell ref="N1032:N1034"/>
    <mergeCell ref="N1035:N1036"/>
    <mergeCell ref="N1037:N1038"/>
    <mergeCell ref="N1039:N1040"/>
    <mergeCell ref="N1041:N1042"/>
    <mergeCell ref="N1044:N1045"/>
    <mergeCell ref="N1046:N1047"/>
    <mergeCell ref="N1048:N1049"/>
    <mergeCell ref="N1050:N1051"/>
    <mergeCell ref="N1052:N1058"/>
    <mergeCell ref="N1059:N1064"/>
    <mergeCell ref="N1065:N1067"/>
    <mergeCell ref="I922:J922"/>
    <mergeCell ref="N948:N949"/>
    <mergeCell ref="N950:N951"/>
    <mergeCell ref="I961:J961"/>
    <mergeCell ref="I956:J956"/>
    <mergeCell ref="N952:N953"/>
    <mergeCell ref="N954:N955"/>
    <mergeCell ref="N957:N958"/>
    <mergeCell ref="N959:N960"/>
    <mergeCell ref="I953:J953"/>
    <mergeCell ref="I979:J979"/>
    <mergeCell ref="I984:J984"/>
    <mergeCell ref="N965:N966"/>
    <mergeCell ref="N962:N964"/>
    <mergeCell ref="N967:N969"/>
    <mergeCell ref="I974:J974"/>
    <mergeCell ref="N933:N934"/>
    <mergeCell ref="N935:N936"/>
    <mergeCell ref="N937:N938"/>
    <mergeCell ref="N939:N942"/>
    <mergeCell ref="N943:N944"/>
    <mergeCell ref="N945:N946"/>
    <mergeCell ref="N907:N908"/>
    <mergeCell ref="N900:N901"/>
    <mergeCell ref="N902:N903"/>
    <mergeCell ref="I87:J87"/>
    <mergeCell ref="I89:J89"/>
    <mergeCell ref="I99:J99"/>
    <mergeCell ref="I104:J104"/>
    <mergeCell ref="I113:J113"/>
    <mergeCell ref="I118:J118"/>
    <mergeCell ref="N96:N97"/>
    <mergeCell ref="N94:N95"/>
    <mergeCell ref="N73:N74"/>
    <mergeCell ref="N75:N76"/>
    <mergeCell ref="N78:N79"/>
    <mergeCell ref="N80:N81"/>
    <mergeCell ref="N82:N83"/>
    <mergeCell ref="N84:N85"/>
    <mergeCell ref="N86:N88"/>
    <mergeCell ref="N90:N91"/>
    <mergeCell ref="N92:N93"/>
    <mergeCell ref="N638:N642"/>
    <mergeCell ref="N643:N647"/>
    <mergeCell ref="N648:N651"/>
    <mergeCell ref="N652:N657"/>
    <mergeCell ref="N658:N661"/>
    <mergeCell ref="N662:N666"/>
    <mergeCell ref="N667:N670"/>
    <mergeCell ref="N671:N681"/>
    <mergeCell ref="N682:N692"/>
    <mergeCell ref="N693:N694"/>
    <mergeCell ref="N695:N696"/>
    <mergeCell ref="N697:N698"/>
    <mergeCell ref="N699:N700"/>
    <mergeCell ref="N701:N703"/>
    <mergeCell ref="N704:N705"/>
    <mergeCell ref="N706:N707"/>
    <mergeCell ref="N708:N709"/>
    <mergeCell ref="N711:N712"/>
    <mergeCell ref="N713:N714"/>
    <mergeCell ref="N716:N717"/>
    <mergeCell ref="N718:N719"/>
    <mergeCell ref="N720:N721"/>
    <mergeCell ref="N722:N723"/>
    <mergeCell ref="N724:N725"/>
    <mergeCell ref="N726:N727"/>
    <mergeCell ref="N729:N730"/>
    <mergeCell ref="N731:N732"/>
    <mergeCell ref="N734:N735"/>
    <mergeCell ref="N736:N737"/>
    <mergeCell ref="N738:N739"/>
    <mergeCell ref="N740:N741"/>
    <mergeCell ref="N742:N743"/>
    <mergeCell ref="N744:N745"/>
    <mergeCell ref="N746:N747"/>
    <mergeCell ref="N748:N749"/>
    <mergeCell ref="N750:N751"/>
    <mergeCell ref="N753:N754"/>
    <mergeCell ref="N755:N756"/>
    <mergeCell ref="N758:N759"/>
    <mergeCell ref="N760:N761"/>
    <mergeCell ref="N779:N780"/>
    <mergeCell ref="N781:N782"/>
    <mergeCell ref="N783:N787"/>
    <mergeCell ref="N788:N798"/>
    <mergeCell ref="N799:N802"/>
    <mergeCell ref="N872:N873"/>
    <mergeCell ref="N874:N875"/>
    <mergeCell ref="N803:N807"/>
    <mergeCell ref="N763:N765"/>
    <mergeCell ref="N766:N767"/>
    <mergeCell ref="N768:N769"/>
    <mergeCell ref="N770:N771"/>
    <mergeCell ref="N772:N773"/>
    <mergeCell ref="N774:N776"/>
    <mergeCell ref="N777:N778"/>
    <mergeCell ref="N823:N824"/>
    <mergeCell ref="N818:N819"/>
    <mergeCell ref="N820:N821"/>
    <mergeCell ref="N808:N809"/>
    <mergeCell ref="N810:N811"/>
    <mergeCell ref="N812:N813"/>
    <mergeCell ref="N814:N815"/>
    <mergeCell ref="N816:N817"/>
    <mergeCell ref="N852:N853"/>
    <mergeCell ref="N854:N856"/>
    <mergeCell ref="N857:N858"/>
    <mergeCell ref="N859:N860"/>
    <mergeCell ref="N861:N862"/>
    <mergeCell ref="N863:N865"/>
    <mergeCell ref="N866:N867"/>
    <mergeCell ref="N868:N869"/>
    <mergeCell ref="N870:N871"/>
    <mergeCell ref="I1091:J1091"/>
    <mergeCell ref="N1078:N1079"/>
    <mergeCell ref="N1080:N1081"/>
    <mergeCell ref="N1082:N1083"/>
    <mergeCell ref="N1084:N1085"/>
    <mergeCell ref="N1087:N1088"/>
    <mergeCell ref="N1089:N1090"/>
    <mergeCell ref="I893:J893"/>
    <mergeCell ref="N890:N896"/>
    <mergeCell ref="I912:J912"/>
    <mergeCell ref="I899:J899"/>
    <mergeCell ref="I904:J904"/>
    <mergeCell ref="I942:J942"/>
    <mergeCell ref="I947:J947"/>
    <mergeCell ref="N909:N910"/>
    <mergeCell ref="N911:N913"/>
    <mergeCell ref="N914:N915"/>
    <mergeCell ref="N916:N917"/>
    <mergeCell ref="N918:N919"/>
    <mergeCell ref="N920:N921"/>
    <mergeCell ref="N923:N924"/>
    <mergeCell ref="N925:N927"/>
    <mergeCell ref="N928:N930"/>
    <mergeCell ref="N931:N932"/>
    <mergeCell ref="I1116:J1116"/>
    <mergeCell ref="I1121:J1121"/>
    <mergeCell ref="N985:N986"/>
    <mergeCell ref="N987:N988"/>
    <mergeCell ref="N989:N990"/>
    <mergeCell ref="N991:N993"/>
    <mergeCell ref="N1012:N1013"/>
    <mergeCell ref="N1014:N1015"/>
    <mergeCell ref="N1016:N1017"/>
    <mergeCell ref="N1018:N1019"/>
    <mergeCell ref="N1020:N1023"/>
    <mergeCell ref="N1024:N1027"/>
    <mergeCell ref="N994:N995"/>
    <mergeCell ref="N996:N997"/>
    <mergeCell ref="N998:N999"/>
    <mergeCell ref="N1000:N1001"/>
    <mergeCell ref="N1002:N1003"/>
    <mergeCell ref="N1004:N1005"/>
    <mergeCell ref="N1070:N1072"/>
    <mergeCell ref="N1068:N1069"/>
    <mergeCell ref="N1073:N1074"/>
    <mergeCell ref="I1043:J1043"/>
    <mergeCell ref="I1066:J1066"/>
    <mergeCell ref="N1075:N1077"/>
    <mergeCell ref="I151:J151"/>
    <mergeCell ref="I156:J156"/>
    <mergeCell ref="I161:J161"/>
    <mergeCell ref="I1086:J1086"/>
    <mergeCell ref="I1076:J1076"/>
    <mergeCell ref="N970:N971"/>
    <mergeCell ref="N972:N973"/>
    <mergeCell ref="N975:N976"/>
    <mergeCell ref="N977:N978"/>
    <mergeCell ref="N980:N981"/>
    <mergeCell ref="N982:N983"/>
    <mergeCell ref="I1071:J1071"/>
    <mergeCell ref="N876:N877"/>
    <mergeCell ref="N878:N879"/>
    <mergeCell ref="N880:N881"/>
    <mergeCell ref="N882:N885"/>
    <mergeCell ref="N886:N889"/>
    <mergeCell ref="N897:N898"/>
    <mergeCell ref="N905:N906"/>
    <mergeCell ref="N825:N826"/>
    <mergeCell ref="N828:N829"/>
    <mergeCell ref="N830:N831"/>
    <mergeCell ref="N832:N833"/>
    <mergeCell ref="N834:N835"/>
    <mergeCell ref="N1133:N1134"/>
    <mergeCell ref="N1135:N1136"/>
    <mergeCell ref="N1137:N1139"/>
    <mergeCell ref="N1098:N1099"/>
    <mergeCell ref="N1100:N1101"/>
    <mergeCell ref="N1102:N1103"/>
    <mergeCell ref="N1104:N1105"/>
    <mergeCell ref="N1106:N1107"/>
    <mergeCell ref="N1108:N1109"/>
    <mergeCell ref="N1110:N1112"/>
    <mergeCell ref="N1113:N1115"/>
    <mergeCell ref="N1117:N1119"/>
    <mergeCell ref="N1092:N1093"/>
    <mergeCell ref="N1094:N1095"/>
    <mergeCell ref="N1096:N1097"/>
    <mergeCell ref="N1120:N1123"/>
    <mergeCell ref="N1124:N1125"/>
    <mergeCell ref="N1126:N1128"/>
    <mergeCell ref="N1129:N1130"/>
    <mergeCell ref="N1131:N1132"/>
    <mergeCell ref="N146:N147"/>
    <mergeCell ref="N148:N149"/>
    <mergeCell ref="N150:N152"/>
    <mergeCell ref="N153:N154"/>
    <mergeCell ref="N155:N157"/>
    <mergeCell ref="N158:N159"/>
    <mergeCell ref="N160:N162"/>
    <mergeCell ref="N163:N164"/>
    <mergeCell ref="N165:N166"/>
    <mergeCell ref="N167:N168"/>
    <mergeCell ref="N836:N838"/>
    <mergeCell ref="N839:N840"/>
    <mergeCell ref="N841:N844"/>
    <mergeCell ref="N845:N847"/>
    <mergeCell ref="N848:N849"/>
    <mergeCell ref="N850:N851"/>
  </mergeCells>
  <phoneticPr fontId="52" type="noConversion"/>
  <conditionalFormatting sqref="M2:M47 M89:M188 M467:M524 M525:N525 M526:M531 M532:N532 M533:M535 M536:N536 M537:M552 M553:N553 M554:M557 M558:N558 M559:M563 M564:N564 M565:M572 M573:N573 M574:M589 M590:N590 M591:M592 M593:N593 M594:M595 M596:N596 M597 M598:N598 M599:M600 M601:N601 M602 M603:N603 M604:M605 M606:N606 M607 M608:N608 M609:M615 N610 N612 N614 N624 N626 N628 N632 N634 N636 M638:N638 M639:M642 M643:N643 M644:M647 M648:N648 M649:M651 M652:N652 M653:M657 M658:N658 M659:M661 M662:N662 M663:M666 M667:N667 M668:M670 M671:N671 M672:M681 M682:N682 M683:M692 M693:N693 M694:M700 N695 N697 N699 M701:N701 M702:M709 N704 N706 N708 M710:N710 N711 M711:M714 N713 M715:N715 N716 M716:M727 N718 N720 N722 N724 N726 M728:N728 N729 M729:M732 N731 M733:N733 N734 M734:M751 N736 N738 N740 N742 N744 N746 N748 N750 M752:N752 N753 M753:M756 N755 M757:N757 N758 M758:M761 N760 M762:N763 M764:M773 N766 N768 N770 N772 M774:N774 M775:M782 N777 N779 N781 M783:N783 M784:M787 M788:N788 M789:M798 M799:N799 M800:M802 M803:N803 M804:M817 N808 N810 N812 N814 N816 M818:N818 M819:M821 N820 M822:N822 N823 M823:M824 M825:N825 M826 M827:N828 M829 M830:N830 M831 M832:N832 M833 M834:N834 M835 M836:N836 M837:M838 M839:N839 M840 M841:N841 M842:M844 M845:N845 M846:M853 N848 N850 N852 M854:N854 M855:M862 N857 N859 N861 M863:N863 M864:M881 N866 N868 N870 N872 N874 N876 N878 N880 M882:N882 M883:M885 M886:N886 M887:M889 M890:N890 M891:M898 N897 M899:N899 N900 M900:M903 N902 M904:N904 N905 M905:M910 N907 N909 M911:N911 M912:M921 N914 N916 N918 N920 M922:N922 N923 M923:M924 M925:N925 M926:M927 M928:N928 M929:M938 N931 N933 N935 N937 M939:N939 M940:M946 N943 N945 M947:N947 N948 N950 N952 N954 M954:M955 M956:N956 N957 M957:M960 N959 M961:N961 N962 M962:M973 N965 N967 N970 N972 M974:N974 N975 M975:M978 N977 M979:N979 N980 M980:M983 N982 M984:N984 N985 M985:M990 N987 N989 M991:N991 M992:M1019 N994 N996 N998 N1000 N1002 N1004 N1006 N1008 N1010 N1012 N1014 N1016 N1018 M1020:N1020 M1021:M1023 M1024:N1024 M1025:M1031 N1028 N1030 M1032:N1032 M1033:M1042 N1035 N1037 N1039 N1041 M1043:N1043 N1044 M1044:M1051 N1046 N1048 N1050 M1052:N1052 M1053:M1058 M1059:N1059 M1060:M1064 M1065:N1065 M1066:M1067 M1068:N1068 M1069:M1074 N1070 N1073 M1075:N1075 M1076:M1085 N1078 N1080 N1082 N1084 M1086:N1086 N1087 M1087:M1090 N1089 M1091:N1091 N1092 M1092:M1109 N1094 N1096 N1098 N1100 N1102 N1104 N1106 N1108 M1110:N1110 M1111:M1112 M1113:N1113 M1114:M1115 M1116:N1117 M1118:M1119 M1120:N1120 M1121:M1125 N1124 M1126:N1126 M1127:M1136 N1129 N1131 N1133 N1135 M1137:N1137 M1138:M1141 N1140 M1142:N1142 M1143:M1180 N1145 N1148 N1150 N1152 N1154 N1156 N1158 N1160 N1162 N1164 N1166 N1169 N1171 N1173 N1175 N1177 N1179 M1181:N1181 M1182:M1186 M1187:N1187 M1188:M1202 N1193 N1195 N1197 N1199 N1201 M1203:N1203 M1204:M1205 M1206:N1206 M1207:M1254 N1208 N1210 N1212 N1214 N1216 N1218 N1220 N1222 N1224 N1226 N1228 N1238 M1255:N1255 M1256:M1257 M1258:N1258 M1259 M1260:N1270 N1271:N1279 M1280:N1685">
    <cfRule type="cellIs" dxfId="203" priority="64" operator="greaterThan">
      <formula>1.89</formula>
    </cfRule>
    <cfRule type="cellIs" dxfId="202" priority="63" operator="between">
      <formula>1.5</formula>
      <formula>1.89</formula>
    </cfRule>
  </conditionalFormatting>
  <conditionalFormatting sqref="M618:M637">
    <cfRule type="cellIs" dxfId="201" priority="15" operator="between">
      <formula>1.5</formula>
      <formula>1.89</formula>
    </cfRule>
    <cfRule type="cellIs" dxfId="200" priority="16" operator="greaterThan">
      <formula>1.89</formula>
    </cfRule>
  </conditionalFormatting>
  <conditionalFormatting sqref="M48:N48 M49:M86">
    <cfRule type="cellIs" dxfId="199" priority="99" operator="between">
      <formula>1.5</formula>
      <formula>1.89</formula>
    </cfRule>
    <cfRule type="cellIs" dxfId="198" priority="100" operator="greaterThan">
      <formula>1.89</formula>
    </cfRule>
  </conditionalFormatting>
  <conditionalFormatting sqref="N2 N4 N11 N13 N15 N19 N23 N25 N30 N39 N44 N46 O61:O147 O156:O228 O230:O442 O444:O615 O623:O674">
    <cfRule type="cellIs" dxfId="197" priority="66" operator="lessThan">
      <formula>1.82</formula>
    </cfRule>
    <cfRule type="cellIs" dxfId="196" priority="65" operator="greaterThan">
      <formula>1.82</formula>
    </cfRule>
  </conditionalFormatting>
  <conditionalFormatting sqref="N66:N67 N72 N77 N86 N89">
    <cfRule type="cellIs" dxfId="195" priority="11" operator="between">
      <formula>1.5</formula>
      <formula>1.89</formula>
    </cfRule>
    <cfRule type="cellIs" dxfId="194" priority="12" operator="greaterThan">
      <formula>1.89</formula>
    </cfRule>
  </conditionalFormatting>
  <conditionalFormatting sqref="N101">
    <cfRule type="cellIs" dxfId="193" priority="60" operator="greaterThan">
      <formula>1.89</formula>
    </cfRule>
    <cfRule type="cellIs" dxfId="192" priority="59" operator="between">
      <formula>1.5</formula>
      <formula>1.89</formula>
    </cfRule>
  </conditionalFormatting>
  <conditionalFormatting sqref="N115">
    <cfRule type="cellIs" dxfId="191" priority="9" operator="between">
      <formula>1.5</formula>
      <formula>1.89</formula>
    </cfRule>
    <cfRule type="cellIs" dxfId="190" priority="10" operator="greaterThan">
      <formula>1.89</formula>
    </cfRule>
  </conditionalFormatting>
  <conditionalFormatting sqref="N117">
    <cfRule type="cellIs" dxfId="189" priority="5" operator="between">
      <formula>1.5</formula>
      <formula>1.89</formula>
    </cfRule>
    <cfRule type="cellIs" dxfId="188" priority="6" operator="greaterThan">
      <formula>1.89</formula>
    </cfRule>
  </conditionalFormatting>
  <conditionalFormatting sqref="N120">
    <cfRule type="cellIs" dxfId="187" priority="7" operator="between">
      <formula>1.5</formula>
      <formula>1.89</formula>
    </cfRule>
    <cfRule type="cellIs" dxfId="186" priority="8" operator="greaterThan">
      <formula>1.89</formula>
    </cfRule>
  </conditionalFormatting>
  <conditionalFormatting sqref="N129">
    <cfRule type="cellIs" dxfId="185" priority="56" operator="greaterThan">
      <formula>1.89</formula>
    </cfRule>
    <cfRule type="cellIs" dxfId="184" priority="55" operator="between">
      <formula>1.5</formula>
      <formula>1.89</formula>
    </cfRule>
  </conditionalFormatting>
  <conditionalFormatting sqref="N131 N136 N141 N145 N163 N165 N167 N169 N171 N173 N175 N177 N179 N181 N183 N185 N187 M189:N189 M190:M197 N192 N194 N196 M198:N199 M200 M201:N201 M202 M203:N203 M204 M205:N205 M206 M207:N207 M208 M209:N209 M210:M212 N211 M213:N213 M214:M216 N215 M217:N218 M219 M220:N220 M221 M222:N223 M224 M225:N225 M226 M227:N228 M230:N230 M231 M232:N232 M233:M264 N234 N236 N238 N240 N242 M265:N265 M266:M268 M269:N269 M270:M272 M273:N273 M274:M276 M277:N277 M278:M279 M280:N280 M281:M283 M284:N284 M285:M291 M292:N292 M293:M295 M296:N296 M297:M298 M299:N299 M300:M302 M303:N303 M304:M307 M308:N308 M309:M314 M315:N315 M316:M323 M324:N324 M325:M328 M329:N329 M330 M331:N331 M332 M333:N333 M334 M335:N335 M336:M344 N337 N339 N341 N343 M345:N345 M346:M351 N348 N350 M352:N352 M353:M355 M356:N356 M357:M360 N359 M361:N361 M362:M373 N364 N366 N368 N370 N372 M374:N374 M375:M378 N377 M379:N379 M380:M393 N382 N384 N386 N388 N390 N392 M394:N394 M395:M398 M399:N399 M400:M412 N403 N405 M413:N413 M414:M428 M429:N429 M430:M433 M434:N434 M435:M436 M437:N437 M438:M445 M446:N446 M447:M453 N451 M454:N454 M455:M457 M458:N458 M459:M461 M462:N462 M463:M465 M466:N466 N472 N474 N476 N478 N480 N482 N484 N487 N489 N491 N493 N495 N497 N499 N501 N503 N505 N507 N510 N512 N514 N517">
    <cfRule type="cellIs" dxfId="183" priority="110" operator="greaterThan">
      <formula>1.89</formula>
    </cfRule>
    <cfRule type="cellIs" dxfId="182" priority="109" operator="between">
      <formula>1.5</formula>
      <formula>1.89</formula>
    </cfRule>
  </conditionalFormatting>
  <conditionalFormatting sqref="N248 N250 N252 N254 N256 N258 N260">
    <cfRule type="cellIs" dxfId="181" priority="53" operator="between">
      <formula>1.5</formula>
      <formula>1.89</formula>
    </cfRule>
    <cfRule type="cellIs" dxfId="180" priority="54" operator="greaterThan">
      <formula>1.89</formula>
    </cfRule>
  </conditionalFormatting>
  <conditionalFormatting sqref="N288 N290">
    <cfRule type="cellIs" dxfId="179" priority="51" operator="between">
      <formula>1.5</formula>
      <formula>1.89</formula>
    </cfRule>
    <cfRule type="cellIs" dxfId="178" priority="52" operator="greaterThan">
      <formula>1.89</formula>
    </cfRule>
  </conditionalFormatting>
  <conditionalFormatting sqref="N306">
    <cfRule type="cellIs" dxfId="177" priority="50" operator="greaterThan">
      <formula>1.89</formula>
    </cfRule>
    <cfRule type="cellIs" dxfId="176" priority="49" operator="between">
      <formula>1.5</formula>
      <formula>1.89</formula>
    </cfRule>
  </conditionalFormatting>
  <conditionalFormatting sqref="N313">
    <cfRule type="cellIs" dxfId="175" priority="44" operator="greaterThan">
      <formula>1.89</formula>
    </cfRule>
    <cfRule type="cellIs" dxfId="174" priority="43" operator="between">
      <formula>1.5</formula>
      <formula>1.89</formula>
    </cfRule>
  </conditionalFormatting>
  <conditionalFormatting sqref="N318 N320 N322">
    <cfRule type="cellIs" dxfId="173" priority="48" operator="greaterThan">
      <formula>1.89</formula>
    </cfRule>
    <cfRule type="cellIs" dxfId="172" priority="47" operator="between">
      <formula>1.5</formula>
      <formula>1.89</formula>
    </cfRule>
  </conditionalFormatting>
  <conditionalFormatting sqref="N327">
    <cfRule type="cellIs" dxfId="171" priority="46" operator="greaterThan">
      <formula>1.89</formula>
    </cfRule>
    <cfRule type="cellIs" dxfId="170" priority="45" operator="between">
      <formula>1.5</formula>
      <formula>1.89</formula>
    </cfRule>
  </conditionalFormatting>
  <conditionalFormatting sqref="N519 N521 N523">
    <cfRule type="cellIs" dxfId="169" priority="42" operator="greaterThan">
      <formula>1.89</formula>
    </cfRule>
    <cfRule type="cellIs" dxfId="168" priority="41" operator="between">
      <formula>1.5</formula>
      <formula>1.89</formula>
    </cfRule>
  </conditionalFormatting>
  <conditionalFormatting sqref="N528 N530">
    <cfRule type="cellIs" dxfId="167" priority="39" operator="between">
      <formula>1.5</formula>
      <formula>1.89</formula>
    </cfRule>
    <cfRule type="cellIs" dxfId="166" priority="40" operator="greaterThan">
      <formula>1.89</formula>
    </cfRule>
  </conditionalFormatting>
  <conditionalFormatting sqref="N545 N547 N549 N551">
    <cfRule type="cellIs" dxfId="165" priority="38" operator="greaterThan">
      <formula>1.89</formula>
    </cfRule>
    <cfRule type="cellIs" dxfId="164" priority="37" operator="between">
      <formula>1.5</formula>
      <formula>1.89</formula>
    </cfRule>
  </conditionalFormatting>
  <conditionalFormatting sqref="N556">
    <cfRule type="cellIs" dxfId="163" priority="36" operator="greaterThan">
      <formula>1.89</formula>
    </cfRule>
    <cfRule type="cellIs" dxfId="162" priority="35" operator="between">
      <formula>1.5</formula>
      <formula>1.89</formula>
    </cfRule>
  </conditionalFormatting>
  <conditionalFormatting sqref="N562">
    <cfRule type="cellIs" dxfId="161" priority="33" operator="between">
      <formula>1.5</formula>
      <formula>1.89</formula>
    </cfRule>
    <cfRule type="cellIs" dxfId="160" priority="34" operator="greaterThan">
      <formula>1.89</formula>
    </cfRule>
  </conditionalFormatting>
  <conditionalFormatting sqref="N565 N567 N569 N571">
    <cfRule type="cellIs" dxfId="159" priority="31" operator="between">
      <formula>1.5</formula>
      <formula>1.89</formula>
    </cfRule>
    <cfRule type="cellIs" dxfId="158" priority="32" operator="greaterThan">
      <formula>1.89</formula>
    </cfRule>
  </conditionalFormatting>
  <conditionalFormatting sqref="N576 N578 N580 N582 N584 N586 N588">
    <cfRule type="cellIs" dxfId="157" priority="30" operator="greaterThan">
      <formula>1.89</formula>
    </cfRule>
    <cfRule type="cellIs" dxfId="156" priority="29" operator="between">
      <formula>1.5</formula>
      <formula>1.89</formula>
    </cfRule>
  </conditionalFormatting>
  <conditionalFormatting sqref="N616">
    <cfRule type="cellIs" dxfId="155" priority="26" operator="greaterThan">
      <formula>1.89</formula>
    </cfRule>
    <cfRule type="cellIs" dxfId="154" priority="25" operator="between">
      <formula>1.5</formula>
      <formula>1.89</formula>
    </cfRule>
  </conditionalFormatting>
  <conditionalFormatting sqref="N1247 N1249 N1251 N1253">
    <cfRule type="cellIs" dxfId="153" priority="14" operator="greaterThan">
      <formula>1.89</formula>
    </cfRule>
    <cfRule type="cellIs" dxfId="152" priority="13" operator="between">
      <formula>1.5</formula>
      <formula>1.89</formula>
    </cfRule>
  </conditionalFormatting>
  <conditionalFormatting sqref="N1686:N1048576">
    <cfRule type="cellIs" dxfId="151" priority="116" operator="lessThan">
      <formula>1.82</formula>
    </cfRule>
    <cfRule type="cellIs" dxfId="150" priority="115" operator="greaterThan">
      <formula>1.82</formula>
    </cfRule>
  </conditionalFormatting>
  <conditionalFormatting sqref="N229:P229">
    <cfRule type="cellIs" dxfId="149" priority="1" operator="between">
      <formula>1.5</formula>
      <formula>1.89</formula>
    </cfRule>
    <cfRule type="cellIs" dxfId="148" priority="2" operator="greaterThan">
      <formula>1.89</formula>
    </cfRule>
  </conditionalFormatting>
  <conditionalFormatting sqref="O684:O689">
    <cfRule type="cellIs" dxfId="147" priority="76" operator="lessThan">
      <formula>1.82</formula>
    </cfRule>
    <cfRule type="cellIs" dxfId="146" priority="75" operator="greaterThan">
      <formula>1.82</formula>
    </cfRule>
  </conditionalFormatting>
  <conditionalFormatting sqref="O616:P622">
    <cfRule type="cellIs" dxfId="145" priority="20" operator="greaterThan">
      <formula>1.89</formula>
    </cfRule>
    <cfRule type="cellIs" dxfId="144" priority="19" operator="between">
      <formula>1.5</formula>
      <formula>1.89</formula>
    </cfRule>
  </conditionalFormatting>
  <dataValidations count="16">
    <dataValidation type="list" allowBlank="1" showInputMessage="1" showErrorMessage="1" sqref="O148:O155 O675:O679 O1:O60 O729:O1002 O1004:O1048576" xr:uid="{A56465BD-C45A-4D0E-8E8B-239C26712092}">
      <formula1>"J-Kamwavi, S-Runyowa,T-Tengende, J-Ngwenya,L-Ngirazi,E-Chiurani,T-Sibanda,E-Mlambo,C-Sande,T-Zifa"</formula1>
    </dataValidation>
    <dataValidation type="list" allowBlank="1" showInputMessage="1" showErrorMessage="1" sqref="G357:G417 G623:G1048576 G419:G615 G1:G355" xr:uid="{640D31F8-8B59-42AF-9138-B6A12AADC4C5}">
      <formula1>"West,East,Up,Down,x/cN,x/cS"</formula1>
    </dataValidation>
    <dataValidation type="list" allowBlank="1" showInputMessage="1" showErrorMessage="1" sqref="P444:P615 R616:R622 P623:P1048576 P1:P228 P230:P442 R229" xr:uid="{35BADFD3-32F0-41C3-8244-C7A3FA23988F}">
      <formula1>"TM,AC,KK,SM,LB"</formula1>
    </dataValidation>
    <dataValidation type="list" allowBlank="1" showInputMessage="1" showErrorMessage="1" sqref="B623:B1048576 B2:B228 B230:B615" xr:uid="{68E66759-AF45-4D80-960A-5B401027E200}">
      <formula1>"1L,2L,3L,4L,5L,6L,7L,PK02,8L,9L,10L"</formula1>
    </dataValidation>
    <dataValidation type="list" allowBlank="1" showInputMessage="1" showErrorMessage="1" sqref="E623:E1048576 E1:E615" xr:uid="{96DE3847-58A6-41B4-B7EF-76D831616BB1}">
      <formula1>"RCH,FCH,SLG,SDC,GRABS"</formula1>
    </dataValidation>
    <dataValidation type="list" allowBlank="1" showInputMessage="1" showErrorMessage="1" sqref="D623:D1048576 D1:D615" xr:uid="{BE41407D-0070-4FCA-A4F6-5B132AA1BFCC}">
      <formula1>"BOX RSE,RSE,CON-DRV,SBL1,SBL2,SBL3,SBL4,HLGE, WINZ, XCUT"</formula1>
    </dataValidation>
    <dataValidation type="list" allowBlank="1" showInputMessage="1" showErrorMessage="1" promptTitle="BIF,CSH,CBIF,STW,CHL-CSH" sqref="R623:R1048576 R1:R228 R230:R615" xr:uid="{488405B4-BFF8-4923-8A08-D61FDD55CECC}">
      <formula1>"BIF,CSH,CBIF,STW,CHL-CSH"</formula1>
    </dataValidation>
    <dataValidation type="list" allowBlank="1" showInputMessage="1" showErrorMessage="1" sqref="C623:C1048576 C1:C228 C230:C615" xr:uid="{A0B29FA6-9178-4719-AD5E-4C44F68961AA}">
      <formula1>"CONC,E1,E2,E3,E4,E5,E9,E8,E7,W1,W2,W3,W4,W5,W6,W7,W8,W9,W10,W11,W12,W13,W14,W15,W16,W17,W18,W19,W20,W21,W22,W23,E13,W24,W25,W26,W27,W28,W29,W30,ADIT"</formula1>
    </dataValidation>
    <dataValidation type="list" allowBlank="1" showInputMessage="1" showErrorMessage="1" sqref="Q616:Q622 Q229" xr:uid="{E6100B7B-6227-4467-BD90-31536B75AB84}">
      <formula1>"L-Ngirazi,J-Kamwavi,E-Chiurani,T-Sibanda,E-Mlambo,C-Sande,T-Zifa"</formula1>
    </dataValidation>
    <dataValidation type="list" allowBlank="1" showInputMessage="1" showErrorMessage="1" sqref="D617 D619 D621:D622" xr:uid="{468079BF-7833-45BB-9155-9120EAD662F9}">
      <formula1>"A,B,C"</formula1>
    </dataValidation>
    <dataValidation type="list" allowBlank="1" showInputMessage="1" showErrorMessage="1" sqref="B616:B622 B229" xr:uid="{C9D7E3BB-55D5-4968-B54B-E60684DAA1A1}">
      <formula1>"1L,2L,3L,4L,5L,6L,7L"</formula1>
    </dataValidation>
    <dataValidation type="list" allowBlank="1" showInputMessage="1" showErrorMessage="1" sqref="E616:E622 D616" xr:uid="{0DE75D6B-3015-4090-80DE-CFDFDA1B4786}">
      <formula1>"HLGE,RSE,CON-DRV,SBL1,SBL2,SBL3,SBL4"</formula1>
    </dataValidation>
    <dataValidation type="list" allowBlank="1" showInputMessage="1" showErrorMessage="1" sqref="C616:C622 C229" xr:uid="{9E12416D-B726-40E7-A139-EFCF1993D83D}">
      <formula1>"E1,E2,E3,E4,E5,E6,E7,E8,E9,,W1,W25,W27,W24,W2,W3,W4,W5,W6,W7,W8,W9,W10,W11,W12,W13,W14,W15,W16,W17,W18,W19,W20,W21,W22,W23,W26"</formula1>
    </dataValidation>
    <dataValidation type="list" allowBlank="1" showInputMessage="1" showErrorMessage="1" sqref="G616 H617 G618 H619 H621:H622 G620" xr:uid="{E942553D-6E3A-4A15-B0C1-FE450C292912}">
      <formula1>"East,West,North,South"</formula1>
    </dataValidation>
    <dataValidation type="list" allowBlank="1" showInputMessage="1" showErrorMessage="1" sqref="D618 F617 D620 F619 F621:F622" xr:uid="{8B47817B-BA75-48F9-90E8-F38AE2C39D4C}">
      <formula1>"FLCH,SCH,SLGE,FCH,RCH,CHIP,GRABS"</formula1>
    </dataValidation>
    <dataValidation type="date" allowBlank="1" showInputMessage="1" showErrorMessage="1" sqref="A1:A1048576" xr:uid="{302334F6-0741-46F8-972B-EDB60D285F4A}">
      <formula1>45292</formula1>
      <formula2>47484</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0ACE-9270-4F68-97E0-4C3D03F47611}">
  <sheetPr>
    <tabColor theme="9" tint="0.39997558519241921"/>
  </sheetPr>
  <dimension ref="A1:V2044"/>
  <sheetViews>
    <sheetView tabSelected="1" zoomScale="80" zoomScaleNormal="80" workbookViewId="0">
      <pane xSplit="1" ySplit="1" topLeftCell="B368" activePane="bottomRight" state="frozen"/>
      <selection pane="topRight" activeCell="B1" sqref="B1"/>
      <selection pane="bottomLeft" activeCell="A2" sqref="A2"/>
      <selection pane="bottomRight" activeCell="S393" sqref="S393"/>
    </sheetView>
  </sheetViews>
  <sheetFormatPr defaultColWidth="9.109375" defaultRowHeight="18.75" customHeight="1"/>
  <cols>
    <col min="1" max="1" width="10.109375" style="917" customWidth="1"/>
    <col min="2" max="2" width="12.21875" style="31" customWidth="1"/>
    <col min="3" max="3" width="15.21875" style="31" customWidth="1"/>
    <col min="4" max="4" width="8.88671875" style="31" customWidth="1"/>
    <col min="5" max="5" width="12.109375" style="31" customWidth="1"/>
    <col min="6" max="6" width="12.77734375" style="31" customWidth="1"/>
    <col min="7" max="7" width="14.21875" style="31" customWidth="1"/>
    <col min="8" max="8" width="16.33203125" style="31" customWidth="1"/>
    <col min="9" max="9" width="13.21875" style="31" bestFit="1" customWidth="1"/>
    <col min="10" max="11" width="8.21875" style="31" bestFit="1" customWidth="1"/>
    <col min="12" max="12" width="7.21875" style="31" customWidth="1"/>
    <col min="13" max="13" width="11.33203125" style="31" customWidth="1"/>
    <col min="14" max="14" width="15.21875" style="31" customWidth="1"/>
    <col min="15" max="15" width="9.109375" style="2039" bestFit="1" customWidth="1"/>
    <col min="16" max="16" width="13" style="2040" bestFit="1" customWidth="1"/>
    <col min="17" max="17" width="14.109375" style="33" customWidth="1"/>
    <col min="18" max="18" width="14" style="32" customWidth="1"/>
    <col min="19" max="19" width="13.77734375" style="31" bestFit="1" customWidth="1"/>
    <col min="20" max="20" width="4.88671875" style="31" bestFit="1" customWidth="1"/>
    <col min="21" max="16384" width="9.109375" style="31"/>
  </cols>
  <sheetData>
    <row r="1" spans="1:18" s="30" customFormat="1" ht="49.2" thickBot="1">
      <c r="A1" s="2383" t="s">
        <v>15</v>
      </c>
      <c r="B1" s="1589" t="s">
        <v>449</v>
      </c>
      <c r="C1" s="1437" t="s">
        <v>764</v>
      </c>
      <c r="D1" s="1437"/>
      <c r="E1" s="1437" t="s">
        <v>217</v>
      </c>
      <c r="F1" s="1437" t="s">
        <v>765</v>
      </c>
      <c r="G1" s="1437" t="s">
        <v>453</v>
      </c>
      <c r="H1" s="1437" t="s">
        <v>454</v>
      </c>
      <c r="I1" s="1437" t="s">
        <v>455</v>
      </c>
      <c r="J1" s="1437" t="s">
        <v>766</v>
      </c>
      <c r="K1" s="1437" t="s">
        <v>767</v>
      </c>
      <c r="L1" s="1437" t="s">
        <v>768</v>
      </c>
      <c r="M1" s="1437" t="s">
        <v>769</v>
      </c>
      <c r="N1" s="1437" t="s">
        <v>770</v>
      </c>
      <c r="O1" s="1438" t="s">
        <v>460</v>
      </c>
      <c r="P1" s="1439" t="s">
        <v>771</v>
      </c>
      <c r="Q1" s="1440" t="s">
        <v>462</v>
      </c>
      <c r="R1" s="1441" t="s">
        <v>463</v>
      </c>
    </row>
    <row r="2" spans="1:18" ht="15.6">
      <c r="A2" s="2981">
        <v>45870</v>
      </c>
      <c r="B2" s="1585" t="s">
        <v>687</v>
      </c>
      <c r="C2" s="1585" t="s">
        <v>450</v>
      </c>
      <c r="D2" s="1585"/>
      <c r="E2" s="1585" t="s">
        <v>468</v>
      </c>
      <c r="F2" s="1585" t="s">
        <v>772</v>
      </c>
      <c r="G2" s="1585">
        <v>2</v>
      </c>
      <c r="H2" s="1585" t="s">
        <v>470</v>
      </c>
      <c r="I2" s="1585" t="s">
        <v>773</v>
      </c>
      <c r="J2" s="1585"/>
      <c r="K2" s="1585">
        <v>0</v>
      </c>
      <c r="L2" s="1585">
        <v>1</v>
      </c>
      <c r="M2" s="1585">
        <f>L2-K2</f>
        <v>1</v>
      </c>
      <c r="N2" s="1585" t="s">
        <v>774</v>
      </c>
      <c r="O2" s="2020">
        <v>1.45</v>
      </c>
      <c r="P2" s="2990">
        <f>+AVERAGE(O2:O3,O5:O11)</f>
        <v>1.9511111111111115</v>
      </c>
      <c r="Q2" s="1586"/>
      <c r="R2" s="1587"/>
    </row>
    <row r="3" spans="1:18" ht="18.75" customHeight="1">
      <c r="A3" s="2982"/>
      <c r="B3" s="1237"/>
      <c r="C3" s="1237"/>
      <c r="D3" s="1237"/>
      <c r="E3" s="1237"/>
      <c r="F3" s="1237"/>
      <c r="G3" s="1237"/>
      <c r="H3" s="1237"/>
      <c r="I3" s="1237"/>
      <c r="J3" s="1237"/>
      <c r="K3" s="1237">
        <v>1</v>
      </c>
      <c r="L3" s="1237">
        <v>2</v>
      </c>
      <c r="M3" s="1237"/>
      <c r="N3" s="1237" t="s">
        <v>775</v>
      </c>
      <c r="O3" s="2021">
        <v>2.86</v>
      </c>
      <c r="P3" s="2985"/>
      <c r="Q3" s="1238"/>
      <c r="R3" s="1239"/>
    </row>
    <row r="4" spans="1:18" ht="18.75" customHeight="1">
      <c r="A4" s="2982"/>
      <c r="B4" s="1237"/>
      <c r="C4" s="1237"/>
      <c r="D4" s="1237"/>
      <c r="E4" s="1237"/>
      <c r="F4" s="1237"/>
      <c r="G4" s="1237"/>
      <c r="H4" s="1237"/>
      <c r="I4" s="1237"/>
      <c r="J4" s="2945" t="s">
        <v>776</v>
      </c>
      <c r="K4" s="2945"/>
      <c r="L4" s="2945"/>
      <c r="M4" s="2945"/>
      <c r="N4" s="1237" t="s">
        <v>777</v>
      </c>
      <c r="O4" s="2021">
        <v>1.06</v>
      </c>
      <c r="P4" s="2985"/>
      <c r="Q4" s="1238"/>
      <c r="R4" s="1239"/>
    </row>
    <row r="5" spans="1:18" ht="18.75" customHeight="1">
      <c r="A5" s="2982"/>
      <c r="B5" s="1237"/>
      <c r="C5" s="1237"/>
      <c r="D5" s="1237"/>
      <c r="E5" s="1237"/>
      <c r="F5" s="1237"/>
      <c r="G5" s="1237"/>
      <c r="H5" s="1237"/>
      <c r="I5" s="1237"/>
      <c r="J5" s="1237"/>
      <c r="K5" s="1237">
        <v>2</v>
      </c>
      <c r="L5" s="1237">
        <v>3</v>
      </c>
      <c r="M5" s="1237">
        <f t="shared" ref="M5:M13" si="0">L5-K5</f>
        <v>1</v>
      </c>
      <c r="N5" s="1237" t="s">
        <v>778</v>
      </c>
      <c r="O5" s="2021">
        <v>1.79</v>
      </c>
      <c r="P5" s="2985"/>
      <c r="Q5" s="1238"/>
      <c r="R5" s="1239"/>
    </row>
    <row r="6" spans="1:18" ht="18.75" customHeight="1">
      <c r="A6" s="2982"/>
      <c r="B6" s="1237"/>
      <c r="C6" s="1237"/>
      <c r="D6" s="1237"/>
      <c r="E6" s="1237"/>
      <c r="F6" s="1237"/>
      <c r="G6" s="1237"/>
      <c r="H6" s="1237"/>
      <c r="I6" s="1237"/>
      <c r="J6" s="1237"/>
      <c r="K6" s="1237">
        <v>3</v>
      </c>
      <c r="L6" s="1237">
        <v>4</v>
      </c>
      <c r="M6" s="1237">
        <f t="shared" si="0"/>
        <v>1</v>
      </c>
      <c r="N6" s="1237" t="s">
        <v>779</v>
      </c>
      <c r="O6" s="2021">
        <v>1.94</v>
      </c>
      <c r="P6" s="2985"/>
      <c r="Q6" s="1238"/>
      <c r="R6" s="1239"/>
    </row>
    <row r="7" spans="1:18" ht="18.75" customHeight="1">
      <c r="A7" s="2982"/>
      <c r="B7" s="1237" t="s">
        <v>687</v>
      </c>
      <c r="C7" s="1237" t="s">
        <v>450</v>
      </c>
      <c r="D7" s="1237"/>
      <c r="E7" s="1237" t="s">
        <v>468</v>
      </c>
      <c r="F7" s="1237" t="s">
        <v>772</v>
      </c>
      <c r="G7" s="1237">
        <v>4</v>
      </c>
      <c r="H7" s="1237" t="s">
        <v>470</v>
      </c>
      <c r="I7" s="1237" t="s">
        <v>773</v>
      </c>
      <c r="J7" s="1237"/>
      <c r="K7" s="1237">
        <v>0</v>
      </c>
      <c r="L7" s="1237">
        <v>1</v>
      </c>
      <c r="M7" s="1237">
        <f t="shared" si="0"/>
        <v>1</v>
      </c>
      <c r="N7" s="1237" t="s">
        <v>780</v>
      </c>
      <c r="O7" s="2021">
        <v>1.1499999999999999</v>
      </c>
      <c r="P7" s="2985"/>
      <c r="Q7" s="1238"/>
      <c r="R7" s="1239"/>
    </row>
    <row r="8" spans="1:18" ht="18.75" customHeight="1">
      <c r="A8" s="2982"/>
      <c r="B8" s="1237"/>
      <c r="C8" s="1237"/>
      <c r="D8" s="1237"/>
      <c r="E8" s="1237"/>
      <c r="F8" s="1237"/>
      <c r="G8" s="1237"/>
      <c r="H8" s="1237"/>
      <c r="I8" s="1237"/>
      <c r="J8" s="1237"/>
      <c r="K8" s="1237">
        <v>1</v>
      </c>
      <c r="L8" s="1237">
        <v>2</v>
      </c>
      <c r="M8" s="1237">
        <f t="shared" si="0"/>
        <v>1</v>
      </c>
      <c r="N8" s="1237" t="s">
        <v>781</v>
      </c>
      <c r="O8" s="2021">
        <v>0.56000000000000005</v>
      </c>
      <c r="P8" s="2985"/>
      <c r="Q8" s="1238"/>
      <c r="R8" s="1239"/>
    </row>
    <row r="9" spans="1:18" ht="18.75" customHeight="1">
      <c r="A9" s="2982"/>
      <c r="B9" s="1237"/>
      <c r="C9" s="1237"/>
      <c r="D9" s="1237"/>
      <c r="E9" s="1237"/>
      <c r="F9" s="1237"/>
      <c r="G9" s="1237"/>
      <c r="H9" s="1237"/>
      <c r="I9" s="1237"/>
      <c r="J9" s="1237"/>
      <c r="K9" s="1237">
        <v>2</v>
      </c>
      <c r="L9" s="1237">
        <v>3</v>
      </c>
      <c r="M9" s="1237">
        <f t="shared" si="0"/>
        <v>1</v>
      </c>
      <c r="N9" s="1237" t="s">
        <v>782</v>
      </c>
      <c r="O9" s="2021">
        <v>2.71</v>
      </c>
      <c r="P9" s="2985"/>
      <c r="Q9" s="1238"/>
      <c r="R9" s="1239"/>
    </row>
    <row r="10" spans="1:18" ht="18.75" customHeight="1">
      <c r="A10" s="2982"/>
      <c r="B10" s="1237"/>
      <c r="C10" s="1237"/>
      <c r="D10" s="1237"/>
      <c r="E10" s="1237"/>
      <c r="F10" s="1237"/>
      <c r="G10" s="1237"/>
      <c r="H10" s="1237"/>
      <c r="I10" s="1237"/>
      <c r="J10" s="1237"/>
      <c r="K10" s="1237">
        <v>3</v>
      </c>
      <c r="L10" s="1237">
        <v>4</v>
      </c>
      <c r="M10" s="1237">
        <f t="shared" si="0"/>
        <v>1</v>
      </c>
      <c r="N10" s="1237" t="s">
        <v>783</v>
      </c>
      <c r="O10" s="2021">
        <v>2.59</v>
      </c>
      <c r="P10" s="2985"/>
      <c r="Q10" s="1238"/>
      <c r="R10" s="1239"/>
    </row>
    <row r="11" spans="1:18" ht="18.75" customHeight="1">
      <c r="A11" s="2982"/>
      <c r="B11" s="1237"/>
      <c r="C11" s="1237"/>
      <c r="D11" s="1237"/>
      <c r="E11" s="1237"/>
      <c r="F11" s="1237"/>
      <c r="G11" s="1237"/>
      <c r="H11" s="1237"/>
      <c r="I11" s="1237"/>
      <c r="J11" s="1237"/>
      <c r="K11" s="1237">
        <v>4</v>
      </c>
      <c r="L11" s="1237">
        <v>5</v>
      </c>
      <c r="M11" s="1237">
        <f t="shared" si="0"/>
        <v>1</v>
      </c>
      <c r="N11" s="1237" t="s">
        <v>784</v>
      </c>
      <c r="O11" s="2021">
        <v>2.5099999999999998</v>
      </c>
      <c r="P11" s="2986"/>
      <c r="Q11" s="1238"/>
      <c r="R11" s="1239"/>
    </row>
    <row r="12" spans="1:18" ht="18.75" customHeight="1">
      <c r="A12" s="2982"/>
      <c r="B12" s="1237" t="s">
        <v>577</v>
      </c>
      <c r="C12" s="1237" t="s">
        <v>450</v>
      </c>
      <c r="D12" s="1237"/>
      <c r="E12" s="1237" t="s">
        <v>511</v>
      </c>
      <c r="F12" s="1237" t="s">
        <v>785</v>
      </c>
      <c r="G12" s="1237">
        <v>4.8</v>
      </c>
      <c r="H12" s="1237" t="s">
        <v>786</v>
      </c>
      <c r="I12" s="1237" t="s">
        <v>773</v>
      </c>
      <c r="J12" s="1237"/>
      <c r="K12" s="1237">
        <v>0</v>
      </c>
      <c r="L12" s="1237">
        <v>1</v>
      </c>
      <c r="M12" s="1237">
        <f t="shared" si="0"/>
        <v>1</v>
      </c>
      <c r="N12" s="1237" t="s">
        <v>787</v>
      </c>
      <c r="O12" s="2021">
        <v>1.87</v>
      </c>
      <c r="P12" s="2987">
        <f>+AVERAGE(O12:O13,O15:O17)</f>
        <v>1.016</v>
      </c>
      <c r="Q12" s="1238"/>
      <c r="R12" s="1239"/>
    </row>
    <row r="13" spans="1:18" ht="18.75" customHeight="1">
      <c r="A13" s="2982"/>
      <c r="B13" s="1237"/>
      <c r="C13" s="1237"/>
      <c r="D13" s="1237"/>
      <c r="E13" s="1237"/>
      <c r="F13" s="1237"/>
      <c r="G13" s="1237"/>
      <c r="H13" s="1237"/>
      <c r="I13" s="1237"/>
      <c r="J13" s="1237"/>
      <c r="K13" s="1237">
        <v>1</v>
      </c>
      <c r="L13" s="1237">
        <v>2</v>
      </c>
      <c r="M13" s="1237">
        <f t="shared" si="0"/>
        <v>1</v>
      </c>
      <c r="N13" s="1237" t="s">
        <v>788</v>
      </c>
      <c r="O13" s="2021">
        <v>0.24</v>
      </c>
      <c r="P13" s="2988"/>
      <c r="Q13" s="1238"/>
      <c r="R13" s="1239"/>
    </row>
    <row r="14" spans="1:18" ht="18.75" customHeight="1">
      <c r="A14" s="2982"/>
      <c r="B14" s="1237"/>
      <c r="C14" s="1237"/>
      <c r="D14" s="1237"/>
      <c r="E14" s="1237"/>
      <c r="F14" s="1237"/>
      <c r="G14" s="1237"/>
      <c r="H14" s="1237"/>
      <c r="I14" s="1237"/>
      <c r="J14" s="2945" t="s">
        <v>618</v>
      </c>
      <c r="K14" s="2945"/>
      <c r="L14" s="2945"/>
      <c r="M14" s="2945"/>
      <c r="N14" s="1237" t="s">
        <v>789</v>
      </c>
      <c r="O14" s="2021">
        <v>0.12</v>
      </c>
      <c r="P14" s="2988"/>
      <c r="Q14" s="1238"/>
      <c r="R14" s="1239"/>
    </row>
    <row r="15" spans="1:18" ht="18.75" customHeight="1">
      <c r="A15" s="2982"/>
      <c r="B15" s="1237"/>
      <c r="C15" s="1237"/>
      <c r="D15" s="1237"/>
      <c r="E15" s="1237"/>
      <c r="F15" s="1237"/>
      <c r="G15" s="1237"/>
      <c r="H15" s="1237"/>
      <c r="I15" s="1237"/>
      <c r="J15" s="1237"/>
      <c r="K15" s="1237">
        <v>2</v>
      </c>
      <c r="L15" s="1237">
        <v>3</v>
      </c>
      <c r="M15" s="1237">
        <f>L15-K15</f>
        <v>1</v>
      </c>
      <c r="N15" s="1237" t="s">
        <v>790</v>
      </c>
      <c r="O15" s="2021">
        <v>0.16</v>
      </c>
      <c r="P15" s="2988"/>
      <c r="Q15" s="1238"/>
      <c r="R15" s="1239"/>
    </row>
    <row r="16" spans="1:18" ht="18.75" customHeight="1">
      <c r="A16" s="2982"/>
      <c r="B16" s="1237"/>
      <c r="C16" s="1237"/>
      <c r="D16" s="1237"/>
      <c r="E16" s="1237"/>
      <c r="F16" s="1237"/>
      <c r="G16" s="1237"/>
      <c r="H16" s="1237"/>
      <c r="I16" s="1237"/>
      <c r="J16" s="1237"/>
      <c r="K16" s="1237">
        <v>3</v>
      </c>
      <c r="L16" s="1237">
        <v>4</v>
      </c>
      <c r="M16" s="1237">
        <f>L16-K16</f>
        <v>1</v>
      </c>
      <c r="N16" s="1237" t="s">
        <v>791</v>
      </c>
      <c r="O16" s="2021">
        <v>0.24</v>
      </c>
      <c r="P16" s="2988"/>
      <c r="Q16" s="1238"/>
      <c r="R16" s="1239"/>
    </row>
    <row r="17" spans="1:18" ht="18.75" customHeight="1">
      <c r="A17" s="2982"/>
      <c r="B17" s="1237"/>
      <c r="C17" s="1237"/>
      <c r="D17" s="1237"/>
      <c r="E17" s="1237"/>
      <c r="F17" s="1237"/>
      <c r="G17" s="1237"/>
      <c r="H17" s="1237"/>
      <c r="I17" s="1237"/>
      <c r="J17" s="1237"/>
      <c r="K17" s="1237">
        <v>4</v>
      </c>
      <c r="L17" s="1237">
        <v>5</v>
      </c>
      <c r="M17" s="1237">
        <f>L17-K17</f>
        <v>1</v>
      </c>
      <c r="N17" s="1237" t="s">
        <v>792</v>
      </c>
      <c r="O17" s="2021">
        <v>2.57</v>
      </c>
      <c r="P17" s="2989"/>
      <c r="Q17" s="1238"/>
      <c r="R17" s="1239"/>
    </row>
    <row r="18" spans="1:18" ht="18.75" customHeight="1">
      <c r="A18" s="2982"/>
      <c r="B18" s="1237" t="s">
        <v>479</v>
      </c>
      <c r="C18" s="1237" t="s">
        <v>793</v>
      </c>
      <c r="D18" s="1237"/>
      <c r="E18" s="1237" t="s">
        <v>468</v>
      </c>
      <c r="F18" s="1237" t="s">
        <v>772</v>
      </c>
      <c r="G18" s="1237">
        <v>2</v>
      </c>
      <c r="H18" s="1237" t="s">
        <v>470</v>
      </c>
      <c r="I18" s="1237" t="s">
        <v>794</v>
      </c>
      <c r="J18" s="1237"/>
      <c r="K18" s="1237">
        <v>0</v>
      </c>
      <c r="L18" s="1237">
        <v>1.2</v>
      </c>
      <c r="M18" s="1237">
        <f>L18-K18</f>
        <v>1.2</v>
      </c>
      <c r="N18" s="1237" t="s">
        <v>795</v>
      </c>
      <c r="O18" s="2021">
        <v>2.84</v>
      </c>
      <c r="P18" s="2984">
        <f>+AVERAGE(O18,O20:O23,O25:O28)</f>
        <v>3.8766666666666669</v>
      </c>
      <c r="Q18" s="1238"/>
      <c r="R18" s="1239"/>
    </row>
    <row r="19" spans="1:18" ht="18.75" customHeight="1">
      <c r="A19" s="2982"/>
      <c r="B19" s="1237"/>
      <c r="C19" s="1237"/>
      <c r="D19" s="1237"/>
      <c r="E19" s="1237"/>
      <c r="F19" s="1237"/>
      <c r="G19" s="1237"/>
      <c r="H19" s="1237"/>
      <c r="I19" s="1237"/>
      <c r="J19" s="2945" t="s">
        <v>529</v>
      </c>
      <c r="K19" s="2945"/>
      <c r="L19" s="2945"/>
      <c r="M19" s="2945"/>
      <c r="N19" s="1237" t="s">
        <v>796</v>
      </c>
      <c r="O19" s="2021">
        <v>0</v>
      </c>
      <c r="P19" s="2985"/>
      <c r="Q19" s="1238"/>
      <c r="R19" s="1239"/>
    </row>
    <row r="20" spans="1:18" ht="18.75" customHeight="1">
      <c r="A20" s="2982"/>
      <c r="B20" s="1237"/>
      <c r="C20" s="1237"/>
      <c r="D20" s="1237"/>
      <c r="E20" s="1237"/>
      <c r="F20" s="1237"/>
      <c r="G20" s="1237"/>
      <c r="H20" s="1237"/>
      <c r="I20" s="1237"/>
      <c r="J20" s="1237"/>
      <c r="K20" s="1237">
        <v>1.2</v>
      </c>
      <c r="L20" s="1237">
        <v>2.2000000000000002</v>
      </c>
      <c r="M20" s="1237">
        <f>L20-K20</f>
        <v>1.0000000000000002</v>
      </c>
      <c r="N20" s="1237" t="s">
        <v>797</v>
      </c>
      <c r="O20" s="2021">
        <v>1.1100000000000001</v>
      </c>
      <c r="P20" s="2985"/>
      <c r="Q20" s="1238"/>
      <c r="R20" s="1239"/>
    </row>
    <row r="21" spans="1:18" ht="18.75" customHeight="1">
      <c r="A21" s="2982"/>
      <c r="B21" s="1237"/>
      <c r="C21" s="1237"/>
      <c r="D21" s="1237"/>
      <c r="E21" s="1237"/>
      <c r="F21" s="1237"/>
      <c r="G21" s="1237"/>
      <c r="H21" s="1237"/>
      <c r="I21" s="1237"/>
      <c r="J21" s="1237"/>
      <c r="K21" s="1237">
        <v>2.2000000000000002</v>
      </c>
      <c r="L21" s="1237">
        <v>3.2</v>
      </c>
      <c r="M21" s="1237">
        <f>L21-K21</f>
        <v>1</v>
      </c>
      <c r="N21" s="1237" t="s">
        <v>798</v>
      </c>
      <c r="O21" s="2021">
        <v>4.17</v>
      </c>
      <c r="P21" s="2985"/>
      <c r="Q21" s="1238"/>
      <c r="R21" s="1239"/>
    </row>
    <row r="22" spans="1:18" ht="18.75" customHeight="1">
      <c r="A22" s="2982"/>
      <c r="B22" s="1237"/>
      <c r="C22" s="1237"/>
      <c r="D22" s="1237"/>
      <c r="E22" s="1237"/>
      <c r="F22" s="1237"/>
      <c r="G22" s="1237"/>
      <c r="H22" s="1237"/>
      <c r="I22" s="1237"/>
      <c r="J22" s="1237"/>
      <c r="K22" s="1237">
        <v>3.2</v>
      </c>
      <c r="L22" s="1237">
        <v>3.9</v>
      </c>
      <c r="M22" s="1237">
        <f>L22-K22</f>
        <v>0.69999999999999973</v>
      </c>
      <c r="N22" s="1237" t="s">
        <v>799</v>
      </c>
      <c r="O22" s="2021">
        <v>4.5</v>
      </c>
      <c r="P22" s="2985"/>
      <c r="Q22" s="1238"/>
      <c r="R22" s="1239"/>
    </row>
    <row r="23" spans="1:18" ht="18.75" customHeight="1">
      <c r="A23" s="2982"/>
      <c r="B23" s="1237" t="s">
        <v>479</v>
      </c>
      <c r="C23" s="1237" t="s">
        <v>793</v>
      </c>
      <c r="D23" s="1237"/>
      <c r="E23" s="1237" t="s">
        <v>468</v>
      </c>
      <c r="F23" s="1237" t="s">
        <v>772</v>
      </c>
      <c r="G23" s="1237">
        <v>4</v>
      </c>
      <c r="H23" s="1237" t="s">
        <v>470</v>
      </c>
      <c r="I23" s="1237" t="s">
        <v>794</v>
      </c>
      <c r="J23" s="1237"/>
      <c r="K23" s="1237">
        <v>0</v>
      </c>
      <c r="L23" s="1237">
        <v>1</v>
      </c>
      <c r="M23" s="1237">
        <f>L23-K23</f>
        <v>1</v>
      </c>
      <c r="N23" s="1237" t="s">
        <v>800</v>
      </c>
      <c r="O23" s="2021">
        <v>8.9600000000000009</v>
      </c>
      <c r="P23" s="2985"/>
      <c r="Q23" s="1238"/>
      <c r="R23" s="1239"/>
    </row>
    <row r="24" spans="1:18" ht="18.75" customHeight="1">
      <c r="A24" s="2982"/>
      <c r="B24" s="1237"/>
      <c r="C24" s="1237"/>
      <c r="D24" s="1237"/>
      <c r="E24" s="1237"/>
      <c r="F24" s="1237"/>
      <c r="G24" s="1237"/>
      <c r="H24" s="1237"/>
      <c r="I24" s="1237"/>
      <c r="J24" s="2945" t="s">
        <v>776</v>
      </c>
      <c r="K24" s="2945"/>
      <c r="L24" s="2945"/>
      <c r="M24" s="2945"/>
      <c r="N24" s="1237" t="s">
        <v>801</v>
      </c>
      <c r="O24" s="2021">
        <v>3.27</v>
      </c>
      <c r="P24" s="2985"/>
      <c r="Q24" s="1238"/>
      <c r="R24" s="1239"/>
    </row>
    <row r="25" spans="1:18" ht="18.75" customHeight="1">
      <c r="A25" s="2982"/>
      <c r="B25" s="1237"/>
      <c r="C25" s="1237"/>
      <c r="D25" s="1237"/>
      <c r="E25" s="1237"/>
      <c r="F25" s="1237"/>
      <c r="G25" s="1237"/>
      <c r="H25" s="1237"/>
      <c r="I25" s="1237"/>
      <c r="J25" s="1237"/>
      <c r="K25" s="1237">
        <v>1</v>
      </c>
      <c r="L25" s="1237">
        <v>2</v>
      </c>
      <c r="M25" s="1237">
        <f t="shared" ref="M25:M33" si="1">L25-K25</f>
        <v>1</v>
      </c>
      <c r="N25" s="1237" t="s">
        <v>802</v>
      </c>
      <c r="O25" s="2021">
        <v>0.1</v>
      </c>
      <c r="P25" s="2985"/>
      <c r="Q25" s="1238"/>
      <c r="R25" s="1239"/>
    </row>
    <row r="26" spans="1:18" ht="18.75" customHeight="1">
      <c r="A26" s="2982"/>
      <c r="B26" s="1237"/>
      <c r="C26" s="1237"/>
      <c r="D26" s="1237"/>
      <c r="E26" s="1237"/>
      <c r="F26" s="1237"/>
      <c r="G26" s="1237"/>
      <c r="H26" s="1237"/>
      <c r="I26" s="1237"/>
      <c r="J26" s="1237"/>
      <c r="K26" s="1237">
        <v>2</v>
      </c>
      <c r="L26" s="1237">
        <v>2.6</v>
      </c>
      <c r="M26" s="1237">
        <f t="shared" si="1"/>
        <v>0.60000000000000009</v>
      </c>
      <c r="N26" s="1237" t="s">
        <v>803</v>
      </c>
      <c r="O26" s="2021">
        <v>0.49</v>
      </c>
      <c r="P26" s="2985"/>
      <c r="Q26" s="1238"/>
      <c r="R26" s="1239"/>
    </row>
    <row r="27" spans="1:18" ht="18.75" customHeight="1">
      <c r="A27" s="2982"/>
      <c r="B27" s="1237"/>
      <c r="C27" s="1237"/>
      <c r="D27" s="1237"/>
      <c r="E27" s="1237"/>
      <c r="F27" s="1237"/>
      <c r="G27" s="1237"/>
      <c r="H27" s="1237"/>
      <c r="I27" s="1237"/>
      <c r="J27" s="1237"/>
      <c r="K27" s="1237">
        <v>2.6</v>
      </c>
      <c r="L27" s="1237">
        <v>3.6</v>
      </c>
      <c r="M27" s="1237">
        <f t="shared" si="1"/>
        <v>1</v>
      </c>
      <c r="N27" s="1237" t="s">
        <v>804</v>
      </c>
      <c r="O27" s="2021">
        <v>5.23</v>
      </c>
      <c r="P27" s="2985"/>
      <c r="Q27" s="1238"/>
      <c r="R27" s="1239"/>
    </row>
    <row r="28" spans="1:18" ht="18.75" customHeight="1">
      <c r="A28" s="2982"/>
      <c r="B28" s="1237"/>
      <c r="C28" s="1237"/>
      <c r="D28" s="1237"/>
      <c r="E28" s="1237"/>
      <c r="F28" s="1237"/>
      <c r="G28" s="1237"/>
      <c r="H28" s="1237"/>
      <c r="I28" s="1237"/>
      <c r="J28" s="1237"/>
      <c r="K28" s="1237">
        <v>3.6</v>
      </c>
      <c r="L28" s="1237">
        <v>4.3</v>
      </c>
      <c r="M28" s="1237">
        <f t="shared" si="1"/>
        <v>0.69999999999999973</v>
      </c>
      <c r="N28" s="1237" t="s">
        <v>805</v>
      </c>
      <c r="O28" s="2021">
        <v>7.49</v>
      </c>
      <c r="P28" s="2986"/>
      <c r="Q28" s="1238"/>
      <c r="R28" s="1239"/>
    </row>
    <row r="29" spans="1:18" ht="18.75" customHeight="1">
      <c r="A29" s="2982"/>
      <c r="B29" s="1237" t="s">
        <v>806</v>
      </c>
      <c r="C29" s="1237" t="s">
        <v>807</v>
      </c>
      <c r="D29" s="1237"/>
      <c r="E29" s="1237" t="s">
        <v>468</v>
      </c>
      <c r="F29" s="1237" t="s">
        <v>772</v>
      </c>
      <c r="G29" s="1237">
        <v>0.4</v>
      </c>
      <c r="H29" s="1237" t="s">
        <v>808</v>
      </c>
      <c r="I29" s="1237" t="s">
        <v>809</v>
      </c>
      <c r="J29" s="1237"/>
      <c r="K29" s="1237">
        <v>0</v>
      </c>
      <c r="L29" s="1237">
        <v>1</v>
      </c>
      <c r="M29" s="1237">
        <f t="shared" si="1"/>
        <v>1</v>
      </c>
      <c r="N29" s="1237" t="s">
        <v>810</v>
      </c>
      <c r="O29" s="2021">
        <v>3.3</v>
      </c>
      <c r="P29" s="2984">
        <f>+AVERAGE(O29:O33,O35)</f>
        <v>4.121666666666667</v>
      </c>
      <c r="Q29" s="1238"/>
      <c r="R29" s="1239"/>
    </row>
    <row r="30" spans="1:18" ht="18.75" customHeight="1">
      <c r="A30" s="2982"/>
      <c r="B30" s="1237"/>
      <c r="C30" s="1237"/>
      <c r="D30" s="1237"/>
      <c r="E30" s="1237"/>
      <c r="F30" s="1237"/>
      <c r="G30" s="1237"/>
      <c r="H30" s="1237"/>
      <c r="I30" s="1237"/>
      <c r="J30" s="1237"/>
      <c r="K30" s="1237">
        <v>1</v>
      </c>
      <c r="L30" s="1237">
        <v>2</v>
      </c>
      <c r="M30" s="1237">
        <f t="shared" si="1"/>
        <v>1</v>
      </c>
      <c r="N30" s="1237" t="s">
        <v>811</v>
      </c>
      <c r="O30" s="2021">
        <v>3.12</v>
      </c>
      <c r="P30" s="2985"/>
      <c r="Q30" s="1238"/>
      <c r="R30" s="1239"/>
    </row>
    <row r="31" spans="1:18" ht="18.75" customHeight="1">
      <c r="A31" s="2982"/>
      <c r="B31" s="1237"/>
      <c r="C31" s="1237"/>
      <c r="D31" s="1237"/>
      <c r="E31" s="1237"/>
      <c r="F31" s="1237"/>
      <c r="G31" s="1237"/>
      <c r="H31" s="1237"/>
      <c r="I31" s="1237"/>
      <c r="J31" s="1237"/>
      <c r="K31" s="1237">
        <v>2</v>
      </c>
      <c r="L31" s="1237">
        <v>2.7</v>
      </c>
      <c r="M31" s="1237">
        <f t="shared" si="1"/>
        <v>0.70000000000000018</v>
      </c>
      <c r="N31" s="1237" t="s">
        <v>812</v>
      </c>
      <c r="O31" s="2021">
        <v>1.8</v>
      </c>
      <c r="P31" s="2985"/>
      <c r="Q31" s="1238"/>
      <c r="R31" s="1239"/>
    </row>
    <row r="32" spans="1:18" ht="18.75" customHeight="1">
      <c r="A32" s="2982"/>
      <c r="B32" s="1237" t="s">
        <v>806</v>
      </c>
      <c r="C32" s="1237" t="s">
        <v>807</v>
      </c>
      <c r="D32" s="1237"/>
      <c r="E32" s="1237" t="s">
        <v>468</v>
      </c>
      <c r="F32" s="1237" t="s">
        <v>772</v>
      </c>
      <c r="G32" s="1237">
        <v>0.4</v>
      </c>
      <c r="H32" s="1237"/>
      <c r="I32" s="1237" t="s">
        <v>809</v>
      </c>
      <c r="J32" s="1237"/>
      <c r="K32" s="1237">
        <v>0</v>
      </c>
      <c r="L32" s="1237">
        <v>1</v>
      </c>
      <c r="M32" s="1237">
        <f t="shared" si="1"/>
        <v>1</v>
      </c>
      <c r="N32" s="1237" t="s">
        <v>813</v>
      </c>
      <c r="O32" s="2021">
        <v>7.06</v>
      </c>
      <c r="P32" s="2985"/>
      <c r="Q32" s="1238"/>
      <c r="R32" s="1239"/>
    </row>
    <row r="33" spans="1:18" ht="18.75" customHeight="1">
      <c r="A33" s="2982"/>
      <c r="B33" s="1237"/>
      <c r="C33" s="1237"/>
      <c r="D33" s="1237"/>
      <c r="E33" s="1237"/>
      <c r="F33" s="1237"/>
      <c r="G33" s="1237"/>
      <c r="H33" s="1237"/>
      <c r="I33" s="1237"/>
      <c r="J33" s="1237"/>
      <c r="K33" s="1237">
        <v>1</v>
      </c>
      <c r="L33" s="1237">
        <v>2</v>
      </c>
      <c r="M33" s="1237">
        <f t="shared" si="1"/>
        <v>1</v>
      </c>
      <c r="N33" s="1237" t="s">
        <v>814</v>
      </c>
      <c r="O33" s="2021">
        <v>4.1399999999999997</v>
      </c>
      <c r="P33" s="2985"/>
      <c r="Q33" s="1238"/>
      <c r="R33" s="1239"/>
    </row>
    <row r="34" spans="1:18" ht="18.75" customHeight="1">
      <c r="A34" s="2982"/>
      <c r="B34" s="1237"/>
      <c r="C34" s="1237"/>
      <c r="D34" s="1237"/>
      <c r="E34" s="1237"/>
      <c r="F34" s="1237"/>
      <c r="G34" s="1237"/>
      <c r="H34" s="1237"/>
      <c r="I34" s="1237"/>
      <c r="J34" s="2945" t="s">
        <v>618</v>
      </c>
      <c r="K34" s="2945"/>
      <c r="L34" s="2945"/>
      <c r="M34" s="2945"/>
      <c r="N34" s="1237" t="s">
        <v>815</v>
      </c>
      <c r="O34" s="2021">
        <v>3.79</v>
      </c>
      <c r="P34" s="2985"/>
      <c r="Q34" s="1238"/>
      <c r="R34" s="1239"/>
    </row>
    <row r="35" spans="1:18" ht="18.75" customHeight="1">
      <c r="A35" s="2982"/>
      <c r="B35" s="1237"/>
      <c r="C35" s="1237"/>
      <c r="D35" s="1237"/>
      <c r="E35" s="1237"/>
      <c r="F35" s="1237"/>
      <c r="G35" s="1237"/>
      <c r="H35" s="1237"/>
      <c r="I35" s="1237"/>
      <c r="J35" s="1237"/>
      <c r="K35" s="1237">
        <v>2</v>
      </c>
      <c r="L35" s="1237">
        <v>2.9</v>
      </c>
      <c r="M35" s="1237">
        <f t="shared" ref="M35:M44" si="2">L35-K35</f>
        <v>0.89999999999999991</v>
      </c>
      <c r="N35" s="1237" t="s">
        <v>816</v>
      </c>
      <c r="O35" s="2021">
        <v>5.31</v>
      </c>
      <c r="P35" s="2986"/>
      <c r="Q35" s="1238"/>
      <c r="R35" s="1239"/>
    </row>
    <row r="36" spans="1:18" ht="18.75" customHeight="1">
      <c r="A36" s="2982"/>
      <c r="B36" s="1237" t="s">
        <v>479</v>
      </c>
      <c r="C36" s="1237" t="s">
        <v>480</v>
      </c>
      <c r="D36" s="1237" t="s">
        <v>817</v>
      </c>
      <c r="E36" s="1237" t="s">
        <v>481</v>
      </c>
      <c r="F36" s="1237" t="s">
        <v>785</v>
      </c>
      <c r="G36" s="1237">
        <v>3.8</v>
      </c>
      <c r="H36" s="1237" t="s">
        <v>786</v>
      </c>
      <c r="I36" s="1237" t="s">
        <v>818</v>
      </c>
      <c r="J36" s="1237"/>
      <c r="K36" s="1237">
        <v>0</v>
      </c>
      <c r="L36" s="1237">
        <v>1</v>
      </c>
      <c r="M36" s="1237">
        <f t="shared" si="2"/>
        <v>1</v>
      </c>
      <c r="N36" s="1237" t="s">
        <v>819</v>
      </c>
      <c r="O36" s="2021">
        <v>0.18</v>
      </c>
      <c r="P36" s="2987">
        <f>+AVERAGE(O36:O40)</f>
        <v>1.458</v>
      </c>
      <c r="Q36" s="1238"/>
      <c r="R36" s="1239"/>
    </row>
    <row r="37" spans="1:18" ht="18.75" customHeight="1">
      <c r="A37" s="2982"/>
      <c r="B37" s="1237"/>
      <c r="C37" s="1237"/>
      <c r="D37" s="1237"/>
      <c r="E37" s="1237"/>
      <c r="F37" s="1237"/>
      <c r="G37" s="1237"/>
      <c r="H37" s="1237"/>
      <c r="I37" s="1237"/>
      <c r="J37" s="1237"/>
      <c r="K37" s="1237">
        <v>1</v>
      </c>
      <c r="L37" s="1237">
        <v>2</v>
      </c>
      <c r="M37" s="1237">
        <f t="shared" si="2"/>
        <v>1</v>
      </c>
      <c r="N37" s="1237" t="s">
        <v>820</v>
      </c>
      <c r="O37" s="2021">
        <v>2.95</v>
      </c>
      <c r="P37" s="2988"/>
      <c r="Q37" s="1238"/>
      <c r="R37" s="1239"/>
    </row>
    <row r="38" spans="1:18" ht="18.75" customHeight="1">
      <c r="A38" s="2982"/>
      <c r="B38" s="1237"/>
      <c r="C38" s="1237"/>
      <c r="D38" s="1237"/>
      <c r="E38" s="1237"/>
      <c r="F38" s="1237"/>
      <c r="G38" s="1237"/>
      <c r="H38" s="1237"/>
      <c r="I38" s="1237"/>
      <c r="J38" s="1237"/>
      <c r="K38" s="1237">
        <v>2</v>
      </c>
      <c r="L38" s="1237">
        <v>3</v>
      </c>
      <c r="M38" s="1237">
        <f t="shared" si="2"/>
        <v>1</v>
      </c>
      <c r="N38" s="1237" t="s">
        <v>821</v>
      </c>
      <c r="O38" s="2021">
        <v>2.65</v>
      </c>
      <c r="P38" s="2988"/>
      <c r="Q38" s="1238"/>
      <c r="R38" s="1239"/>
    </row>
    <row r="39" spans="1:18" ht="18.75" customHeight="1">
      <c r="A39" s="2982"/>
      <c r="B39" s="1237"/>
      <c r="C39" s="1237"/>
      <c r="D39" s="1237"/>
      <c r="E39" s="1237"/>
      <c r="F39" s="1237"/>
      <c r="G39" s="1237"/>
      <c r="H39" s="1237"/>
      <c r="I39" s="1237"/>
      <c r="J39" s="1237"/>
      <c r="K39" s="1237">
        <v>3</v>
      </c>
      <c r="L39" s="1237">
        <v>4</v>
      </c>
      <c r="M39" s="1237">
        <f t="shared" si="2"/>
        <v>1</v>
      </c>
      <c r="N39" s="1237" t="s">
        <v>822</v>
      </c>
      <c r="O39" s="2021">
        <v>0.73</v>
      </c>
      <c r="P39" s="2988"/>
      <c r="Q39" s="1238"/>
      <c r="R39" s="1239"/>
    </row>
    <row r="40" spans="1:18" ht="18.75" customHeight="1">
      <c r="A40" s="2982"/>
      <c r="B40" s="1237"/>
      <c r="C40" s="1237"/>
      <c r="D40" s="1237"/>
      <c r="E40" s="1237"/>
      <c r="F40" s="1237"/>
      <c r="G40" s="1237"/>
      <c r="H40" s="1237"/>
      <c r="I40" s="1237"/>
      <c r="J40" s="1237"/>
      <c r="K40" s="1237">
        <v>4</v>
      </c>
      <c r="L40" s="1237">
        <v>5</v>
      </c>
      <c r="M40" s="1237">
        <f t="shared" si="2"/>
        <v>1</v>
      </c>
      <c r="N40" s="1237" t="s">
        <v>823</v>
      </c>
      <c r="O40" s="2021">
        <v>0.78</v>
      </c>
      <c r="P40" s="2989"/>
      <c r="Q40" s="1238"/>
      <c r="R40" s="1239"/>
    </row>
    <row r="41" spans="1:18" ht="18.75" customHeight="1">
      <c r="A41" s="2982"/>
      <c r="B41" s="1237" t="s">
        <v>466</v>
      </c>
      <c r="C41" s="1237" t="s">
        <v>824</v>
      </c>
      <c r="D41" s="1237" t="s">
        <v>825</v>
      </c>
      <c r="E41" s="1237" t="s">
        <v>481</v>
      </c>
      <c r="F41" s="1237" t="s">
        <v>785</v>
      </c>
      <c r="G41" s="1237">
        <v>5.2</v>
      </c>
      <c r="H41" s="1237" t="s">
        <v>474</v>
      </c>
      <c r="I41" s="1237" t="s">
        <v>826</v>
      </c>
      <c r="J41" s="1237"/>
      <c r="K41" s="1237">
        <v>0</v>
      </c>
      <c r="L41" s="1237">
        <v>1</v>
      </c>
      <c r="M41" s="1237">
        <f t="shared" si="2"/>
        <v>1</v>
      </c>
      <c r="N41" s="1237" t="s">
        <v>827</v>
      </c>
      <c r="O41" s="2021">
        <v>1.1200000000000001</v>
      </c>
      <c r="P41" s="2987">
        <f>+AVERAGE(O41:O43)</f>
        <v>1.1599999999999999</v>
      </c>
      <c r="Q41" s="1238"/>
      <c r="R41" s="1239"/>
    </row>
    <row r="42" spans="1:18" ht="18.75" customHeight="1">
      <c r="A42" s="2982"/>
      <c r="B42" s="1237"/>
      <c r="C42" s="1237"/>
      <c r="D42" s="1237"/>
      <c r="E42" s="1237"/>
      <c r="F42" s="1237"/>
      <c r="G42" s="1237"/>
      <c r="H42" s="1237"/>
      <c r="I42" s="1237"/>
      <c r="J42" s="1237"/>
      <c r="K42" s="1237">
        <v>1</v>
      </c>
      <c r="L42" s="1237">
        <v>2</v>
      </c>
      <c r="M42" s="1237">
        <f t="shared" si="2"/>
        <v>1</v>
      </c>
      <c r="N42" s="1237" t="s">
        <v>828</v>
      </c>
      <c r="O42" s="2021">
        <v>1.1399999999999999</v>
      </c>
      <c r="P42" s="2988"/>
      <c r="Q42" s="1238"/>
      <c r="R42" s="1239"/>
    </row>
    <row r="43" spans="1:18" ht="18.75" customHeight="1">
      <c r="A43" s="2982"/>
      <c r="B43" s="1237"/>
      <c r="C43" s="1237"/>
      <c r="D43" s="1237"/>
      <c r="E43" s="1237"/>
      <c r="F43" s="1237"/>
      <c r="G43" s="1237"/>
      <c r="H43" s="1237"/>
      <c r="I43" s="1237"/>
      <c r="J43" s="1237"/>
      <c r="K43" s="1237">
        <v>2</v>
      </c>
      <c r="L43" s="1237">
        <v>3</v>
      </c>
      <c r="M43" s="1237">
        <f t="shared" si="2"/>
        <v>1</v>
      </c>
      <c r="N43" s="1237" t="s">
        <v>829</v>
      </c>
      <c r="O43" s="2021">
        <v>1.22</v>
      </c>
      <c r="P43" s="2989"/>
      <c r="Q43" s="1238"/>
      <c r="R43" s="1239"/>
    </row>
    <row r="44" spans="1:18" ht="18.75" customHeight="1">
      <c r="A44" s="2982"/>
      <c r="B44" s="1237" t="s">
        <v>466</v>
      </c>
      <c r="C44" s="1237" t="s">
        <v>516</v>
      </c>
      <c r="D44" s="1237" t="s">
        <v>817</v>
      </c>
      <c r="E44" s="1237" t="s">
        <v>511</v>
      </c>
      <c r="F44" s="1237" t="s">
        <v>785</v>
      </c>
      <c r="G44" s="1237">
        <v>3</v>
      </c>
      <c r="H44" s="1237" t="s">
        <v>474</v>
      </c>
      <c r="I44" s="1237" t="s">
        <v>830</v>
      </c>
      <c r="J44" s="1237"/>
      <c r="K44" s="1237">
        <v>0</v>
      </c>
      <c r="L44" s="1237">
        <v>1</v>
      </c>
      <c r="M44" s="1237">
        <f t="shared" si="2"/>
        <v>1</v>
      </c>
      <c r="N44" s="1237" t="s">
        <v>831</v>
      </c>
      <c r="O44" s="2021">
        <v>1.1399999999999999</v>
      </c>
      <c r="P44" s="2987">
        <f>+AVERAGE(O44,O46:O48,O49,O51:O52)</f>
        <v>1.4782857142857144</v>
      </c>
      <c r="Q44" s="1238"/>
      <c r="R44" s="1239"/>
    </row>
    <row r="45" spans="1:18" ht="18.75" customHeight="1">
      <c r="A45" s="2982"/>
      <c r="B45" s="1237"/>
      <c r="C45" s="1237"/>
      <c r="D45" s="1237"/>
      <c r="E45" s="1237"/>
      <c r="F45" s="1237"/>
      <c r="G45" s="1237"/>
      <c r="H45" s="1237"/>
      <c r="I45" s="1237"/>
      <c r="J45" s="2945" t="s">
        <v>618</v>
      </c>
      <c r="K45" s="2945"/>
      <c r="L45" s="2945"/>
      <c r="M45" s="2945"/>
      <c r="N45" s="1237" t="s">
        <v>832</v>
      </c>
      <c r="O45" s="2021">
        <v>0.75</v>
      </c>
      <c r="P45" s="2988"/>
      <c r="Q45" s="1238"/>
      <c r="R45" s="1239"/>
    </row>
    <row r="46" spans="1:18" ht="18.75" customHeight="1">
      <c r="A46" s="2982"/>
      <c r="B46" s="1237"/>
      <c r="C46" s="1237"/>
      <c r="D46" s="1237"/>
      <c r="E46" s="1237"/>
      <c r="F46" s="1237"/>
      <c r="G46" s="1237"/>
      <c r="H46" s="1237"/>
      <c r="I46" s="1237"/>
      <c r="J46" s="1237"/>
      <c r="K46" s="1237">
        <v>1</v>
      </c>
      <c r="L46" s="1237">
        <v>2</v>
      </c>
      <c r="M46" s="1237">
        <f>L46-K46</f>
        <v>1</v>
      </c>
      <c r="N46" s="1237" t="s">
        <v>833</v>
      </c>
      <c r="O46" s="2021">
        <v>0.72</v>
      </c>
      <c r="P46" s="2988"/>
      <c r="Q46" s="1238"/>
      <c r="R46" s="1239"/>
    </row>
    <row r="47" spans="1:18" ht="18.75" customHeight="1">
      <c r="A47" s="2982"/>
      <c r="B47" s="1237"/>
      <c r="C47" s="1237"/>
      <c r="D47" s="1237"/>
      <c r="E47" s="1237"/>
      <c r="F47" s="1237"/>
      <c r="G47" s="1237"/>
      <c r="H47" s="1237"/>
      <c r="I47" s="1237"/>
      <c r="J47" s="1237"/>
      <c r="K47" s="1237">
        <v>2</v>
      </c>
      <c r="L47" s="1237">
        <v>3</v>
      </c>
      <c r="M47" s="1237">
        <f>L47-K47</f>
        <v>1</v>
      </c>
      <c r="N47" s="1237" t="s">
        <v>834</v>
      </c>
      <c r="O47" s="2021">
        <v>0.57999999999999996</v>
      </c>
      <c r="P47" s="2988"/>
      <c r="Q47" s="1238"/>
      <c r="R47" s="1239"/>
    </row>
    <row r="48" spans="1:18" ht="18.75" customHeight="1">
      <c r="A48" s="2982"/>
      <c r="B48" s="1237" t="s">
        <v>466</v>
      </c>
      <c r="C48" s="1237" t="s">
        <v>516</v>
      </c>
      <c r="D48" s="1237" t="s">
        <v>817</v>
      </c>
      <c r="E48" s="1237" t="s">
        <v>468</v>
      </c>
      <c r="F48" s="1237" t="s">
        <v>785</v>
      </c>
      <c r="G48" s="1237">
        <v>5</v>
      </c>
      <c r="H48" s="1237" t="s">
        <v>474</v>
      </c>
      <c r="I48" s="1237" t="s">
        <v>830</v>
      </c>
      <c r="J48" s="1237"/>
      <c r="K48" s="1237">
        <v>0</v>
      </c>
      <c r="L48" s="1237">
        <v>1</v>
      </c>
      <c r="M48" s="1237">
        <f>L48-K48</f>
        <v>1</v>
      </c>
      <c r="N48" s="1237" t="s">
        <v>835</v>
      </c>
      <c r="O48" s="2021">
        <v>1.23</v>
      </c>
      <c r="P48" s="2988"/>
      <c r="Q48" s="1238"/>
      <c r="R48" s="1239"/>
    </row>
    <row r="49" spans="1:18" ht="18.75" customHeight="1">
      <c r="A49" s="2982"/>
      <c r="B49" s="1237"/>
      <c r="C49" s="1237"/>
      <c r="D49" s="1237"/>
      <c r="E49" s="1237"/>
      <c r="F49" s="1237"/>
      <c r="G49" s="1237"/>
      <c r="H49" s="1237"/>
      <c r="I49" s="1237"/>
      <c r="J49" s="1237"/>
      <c r="K49" s="1237">
        <v>1</v>
      </c>
      <c r="L49" s="1237">
        <v>2</v>
      </c>
      <c r="M49" s="1237">
        <f>L49-K49</f>
        <v>1</v>
      </c>
      <c r="N49" s="1237" t="s">
        <v>836</v>
      </c>
      <c r="O49" s="2021">
        <v>0.99</v>
      </c>
      <c r="P49" s="2988"/>
      <c r="Q49" s="1238"/>
      <c r="R49" s="1239"/>
    </row>
    <row r="50" spans="1:18" ht="18.75" customHeight="1">
      <c r="A50" s="2982"/>
      <c r="B50" s="1237"/>
      <c r="C50" s="1237"/>
      <c r="D50" s="1237"/>
      <c r="E50" s="1237"/>
      <c r="F50" s="1237"/>
      <c r="G50" s="1237"/>
      <c r="H50" s="1237"/>
      <c r="I50" s="1237"/>
      <c r="J50" s="2945" t="s">
        <v>529</v>
      </c>
      <c r="K50" s="2945"/>
      <c r="L50" s="2945"/>
      <c r="M50" s="2945"/>
      <c r="N50" s="1237" t="s">
        <v>837</v>
      </c>
      <c r="O50" s="2021">
        <v>1.06</v>
      </c>
      <c r="P50" s="2988"/>
      <c r="Q50" s="1238"/>
      <c r="R50" s="1239"/>
    </row>
    <row r="51" spans="1:18" ht="18.75" customHeight="1">
      <c r="A51" s="2982"/>
      <c r="B51" s="1237"/>
      <c r="C51" s="1237"/>
      <c r="D51" s="1237"/>
      <c r="E51" s="1237"/>
      <c r="F51" s="1237"/>
      <c r="G51" s="1237"/>
      <c r="H51" s="1237"/>
      <c r="I51" s="1237"/>
      <c r="J51" s="1237"/>
      <c r="K51" s="1237">
        <v>2</v>
      </c>
      <c r="L51" s="1237">
        <v>3</v>
      </c>
      <c r="M51" s="1237">
        <f t="shared" ref="M51:M59" si="3">L51-K51</f>
        <v>1</v>
      </c>
      <c r="N51" s="1237" t="s">
        <v>838</v>
      </c>
      <c r="O51" s="2021">
        <v>0.61</v>
      </c>
      <c r="P51" s="2988"/>
      <c r="Q51" s="1238"/>
      <c r="R51" s="1239"/>
    </row>
    <row r="52" spans="1:18" ht="18.75" customHeight="1">
      <c r="A52" s="2982"/>
      <c r="B52" s="1237"/>
      <c r="C52" s="1237"/>
      <c r="D52" s="1237"/>
      <c r="E52" s="1237"/>
      <c r="F52" s="1237"/>
      <c r="G52" s="1237"/>
      <c r="H52" s="1237"/>
      <c r="I52" s="1237"/>
      <c r="J52" s="1237"/>
      <c r="K52" s="1237">
        <v>3</v>
      </c>
      <c r="L52" s="1237">
        <v>4</v>
      </c>
      <c r="M52" s="1237">
        <f t="shared" si="3"/>
        <v>1</v>
      </c>
      <c r="N52" s="1237" t="s">
        <v>839</v>
      </c>
      <c r="O52" s="2021">
        <v>5.0780000000000003</v>
      </c>
      <c r="P52" s="2989"/>
      <c r="Q52" s="1238"/>
      <c r="R52" s="1239"/>
    </row>
    <row r="53" spans="1:18" ht="18.75" customHeight="1">
      <c r="A53" s="2982"/>
      <c r="B53" s="1237" t="s">
        <v>466</v>
      </c>
      <c r="C53" s="1237" t="s">
        <v>793</v>
      </c>
      <c r="D53" s="1237" t="s">
        <v>840</v>
      </c>
      <c r="E53" s="1237" t="s">
        <v>511</v>
      </c>
      <c r="F53" s="1237" t="s">
        <v>772</v>
      </c>
      <c r="G53" s="1237">
        <v>2</v>
      </c>
      <c r="H53" s="1237" t="s">
        <v>470</v>
      </c>
      <c r="I53" s="1237" t="s">
        <v>841</v>
      </c>
      <c r="J53" s="1237">
        <v>1</v>
      </c>
      <c r="K53" s="1237">
        <v>0</v>
      </c>
      <c r="L53" s="1237">
        <v>1</v>
      </c>
      <c r="M53" s="1237">
        <f t="shared" si="3"/>
        <v>1</v>
      </c>
      <c r="N53" s="1237" t="s">
        <v>842</v>
      </c>
      <c r="O53" s="2021">
        <v>4.29</v>
      </c>
      <c r="P53" s="2984">
        <f>+AVERAGE(O53:O56)</f>
        <v>2.3925000000000001</v>
      </c>
      <c r="Q53" s="1238"/>
      <c r="R53" s="1239"/>
    </row>
    <row r="54" spans="1:18" ht="18.75" customHeight="1">
      <c r="A54" s="2982"/>
      <c r="B54" s="1237"/>
      <c r="C54" s="1237"/>
      <c r="D54" s="1237"/>
      <c r="E54" s="1237"/>
      <c r="F54" s="1237"/>
      <c r="G54" s="1237"/>
      <c r="H54" s="1237"/>
      <c r="I54" s="1237"/>
      <c r="J54" s="1237"/>
      <c r="K54" s="1237">
        <v>1</v>
      </c>
      <c r="L54" s="1237">
        <v>2</v>
      </c>
      <c r="M54" s="1237">
        <f t="shared" si="3"/>
        <v>1</v>
      </c>
      <c r="N54" s="1237" t="s">
        <v>843</v>
      </c>
      <c r="O54" s="2021">
        <v>0.08</v>
      </c>
      <c r="P54" s="2985"/>
      <c r="Q54" s="1238"/>
      <c r="R54" s="1239"/>
    </row>
    <row r="55" spans="1:18" ht="18.75" customHeight="1">
      <c r="A55" s="2982"/>
      <c r="B55" s="1237"/>
      <c r="C55" s="1237"/>
      <c r="D55" s="1237"/>
      <c r="E55" s="1237"/>
      <c r="F55" s="1237"/>
      <c r="G55" s="1237"/>
      <c r="H55" s="1237"/>
      <c r="I55" s="1237"/>
      <c r="J55" s="1237"/>
      <c r="K55" s="1237">
        <v>2</v>
      </c>
      <c r="L55" s="1237">
        <v>3</v>
      </c>
      <c r="M55" s="1237">
        <f t="shared" si="3"/>
        <v>1</v>
      </c>
      <c r="N55" s="1237" t="s">
        <v>844</v>
      </c>
      <c r="O55" s="2021">
        <v>0.08</v>
      </c>
      <c r="P55" s="2985"/>
      <c r="Q55" s="1238"/>
      <c r="R55" s="1239"/>
    </row>
    <row r="56" spans="1:18" ht="18.75" customHeight="1">
      <c r="A56" s="2982"/>
      <c r="B56" s="1237"/>
      <c r="C56" s="1237"/>
      <c r="D56" s="1237"/>
      <c r="E56" s="1237"/>
      <c r="F56" s="1237"/>
      <c r="G56" s="1237"/>
      <c r="H56" s="1237"/>
      <c r="I56" s="1237"/>
      <c r="J56" s="1237"/>
      <c r="K56" s="1237">
        <v>3</v>
      </c>
      <c r="L56" s="1237">
        <v>4</v>
      </c>
      <c r="M56" s="1237">
        <f t="shared" si="3"/>
        <v>1</v>
      </c>
      <c r="N56" s="1237" t="s">
        <v>845</v>
      </c>
      <c r="O56" s="2021">
        <v>5.12</v>
      </c>
      <c r="P56" s="2986"/>
      <c r="Q56" s="1238"/>
      <c r="R56" s="1239"/>
    </row>
    <row r="57" spans="1:18" ht="18.75" customHeight="1">
      <c r="A57" s="2982"/>
      <c r="B57" s="1237" t="s">
        <v>466</v>
      </c>
      <c r="C57" s="1237" t="s">
        <v>846</v>
      </c>
      <c r="D57" s="1237"/>
      <c r="E57" s="1237" t="s">
        <v>511</v>
      </c>
      <c r="F57" s="1237" t="s">
        <v>772</v>
      </c>
      <c r="G57" s="1237">
        <v>2</v>
      </c>
      <c r="H57" s="1237" t="s">
        <v>470</v>
      </c>
      <c r="I57" s="1237" t="s">
        <v>847</v>
      </c>
      <c r="J57" s="1237">
        <v>19</v>
      </c>
      <c r="K57" s="1237">
        <v>0</v>
      </c>
      <c r="L57" s="1237">
        <v>1</v>
      </c>
      <c r="M57" s="1237">
        <f t="shared" si="3"/>
        <v>1</v>
      </c>
      <c r="N57" s="1237" t="s">
        <v>848</v>
      </c>
      <c r="O57" s="2023">
        <v>2.72</v>
      </c>
      <c r="P57" s="2984">
        <f>+AVERAGE(O57:O59,O61:O64,O66)</f>
        <v>4.5782499999999997</v>
      </c>
      <c r="Q57" s="1541"/>
      <c r="R57" s="1591"/>
    </row>
    <row r="58" spans="1:18" ht="18.75" customHeight="1">
      <c r="A58" s="2982"/>
      <c r="B58" s="1237"/>
      <c r="C58" s="1237"/>
      <c r="D58" s="1237"/>
      <c r="E58" s="1237"/>
      <c r="F58" s="1237"/>
      <c r="G58" s="1237"/>
      <c r="H58" s="1237"/>
      <c r="I58" s="1237"/>
      <c r="J58" s="1237"/>
      <c r="K58" s="1237">
        <v>1</v>
      </c>
      <c r="L58" s="1237">
        <v>2</v>
      </c>
      <c r="M58" s="1237">
        <f t="shared" si="3"/>
        <v>1</v>
      </c>
      <c r="N58" s="1237" t="s">
        <v>849</v>
      </c>
      <c r="O58" s="2021">
        <v>3.29</v>
      </c>
      <c r="P58" s="2985"/>
      <c r="Q58" s="1238"/>
      <c r="R58" s="1239"/>
    </row>
    <row r="59" spans="1:18" ht="18.75" customHeight="1">
      <c r="A59" s="2982"/>
      <c r="B59" s="1237"/>
      <c r="C59" s="1237"/>
      <c r="D59" s="1237"/>
      <c r="E59" s="1237"/>
      <c r="F59" s="1237"/>
      <c r="G59" s="1237"/>
      <c r="H59" s="1237"/>
      <c r="I59" s="1237"/>
      <c r="J59" s="1237"/>
      <c r="K59" s="1237">
        <v>2</v>
      </c>
      <c r="L59" s="1237">
        <v>3</v>
      </c>
      <c r="M59" s="1237">
        <f t="shared" si="3"/>
        <v>1</v>
      </c>
      <c r="N59" s="1237" t="s">
        <v>850</v>
      </c>
      <c r="O59" s="2021">
        <v>2.996</v>
      </c>
      <c r="P59" s="2985"/>
      <c r="Q59" s="1238"/>
      <c r="R59" s="1239"/>
    </row>
    <row r="60" spans="1:18" ht="18.75" customHeight="1">
      <c r="A60" s="2982"/>
      <c r="B60" s="1237"/>
      <c r="C60" s="1237"/>
      <c r="D60" s="1237"/>
      <c r="E60" s="1237"/>
      <c r="F60" s="1237"/>
      <c r="G60" s="1237"/>
      <c r="H60" s="1237"/>
      <c r="I60" s="1237"/>
      <c r="J60" s="2945" t="s">
        <v>851</v>
      </c>
      <c r="K60" s="2945"/>
      <c r="L60" s="2945"/>
      <c r="M60" s="2945"/>
      <c r="N60" s="1237" t="s">
        <v>852</v>
      </c>
      <c r="O60" s="2021">
        <v>0</v>
      </c>
      <c r="P60" s="2985"/>
      <c r="Q60" s="1238"/>
      <c r="R60" s="1239"/>
    </row>
    <row r="61" spans="1:18" ht="18.75" customHeight="1">
      <c r="A61" s="2982"/>
      <c r="B61" s="1237"/>
      <c r="C61" s="1237"/>
      <c r="D61" s="1237"/>
      <c r="E61" s="1237"/>
      <c r="F61" s="1237"/>
      <c r="G61" s="1237"/>
      <c r="H61" s="1237"/>
      <c r="I61" s="1237"/>
      <c r="J61" s="1237"/>
      <c r="K61" s="1237">
        <v>3</v>
      </c>
      <c r="L61" s="1237">
        <v>4</v>
      </c>
      <c r="M61" s="1237">
        <f>L61-K61</f>
        <v>1</v>
      </c>
      <c r="N61" s="1237" t="s">
        <v>853</v>
      </c>
      <c r="O61" s="2021">
        <v>4.24</v>
      </c>
      <c r="P61" s="2985"/>
      <c r="Q61" s="1238"/>
      <c r="R61" s="1239"/>
    </row>
    <row r="62" spans="1:18" ht="18.75" customHeight="1">
      <c r="A62" s="2982"/>
      <c r="B62" s="1237" t="s">
        <v>466</v>
      </c>
      <c r="C62" s="1237" t="s">
        <v>846</v>
      </c>
      <c r="D62" s="1237"/>
      <c r="E62" s="1237" t="s">
        <v>511</v>
      </c>
      <c r="F62" s="1237" t="s">
        <v>772</v>
      </c>
      <c r="G62" s="1237">
        <v>2</v>
      </c>
      <c r="H62" s="1237" t="s">
        <v>470</v>
      </c>
      <c r="I62" s="1237" t="s">
        <v>847</v>
      </c>
      <c r="J62" s="1237">
        <v>19</v>
      </c>
      <c r="K62" s="1237">
        <v>0</v>
      </c>
      <c r="L62" s="1237">
        <v>1</v>
      </c>
      <c r="M62" s="1237">
        <f>L62-K62</f>
        <v>1</v>
      </c>
      <c r="N62" s="1237" t="s">
        <v>854</v>
      </c>
      <c r="O62" s="2021">
        <v>4.16</v>
      </c>
      <c r="P62" s="2985"/>
      <c r="Q62" s="1238"/>
      <c r="R62" s="1239"/>
    </row>
    <row r="63" spans="1:18" ht="18.75" customHeight="1">
      <c r="A63" s="2982"/>
      <c r="B63" s="1237"/>
      <c r="C63" s="1237"/>
      <c r="D63" s="1237"/>
      <c r="E63" s="1237"/>
      <c r="F63" s="1237"/>
      <c r="G63" s="1237"/>
      <c r="H63" s="1237"/>
      <c r="I63" s="1237"/>
      <c r="J63" s="1237"/>
      <c r="K63" s="1237">
        <v>1</v>
      </c>
      <c r="L63" s="1237">
        <v>2</v>
      </c>
      <c r="M63" s="1237">
        <f>L63-K63</f>
        <v>1</v>
      </c>
      <c r="N63" s="1237" t="s">
        <v>855</v>
      </c>
      <c r="O63" s="2021">
        <v>5.13</v>
      </c>
      <c r="P63" s="2985"/>
      <c r="Q63" s="1238"/>
      <c r="R63" s="1239"/>
    </row>
    <row r="64" spans="1:18" ht="18.75" customHeight="1">
      <c r="A64" s="2982"/>
      <c r="B64" s="1237"/>
      <c r="C64" s="1237"/>
      <c r="D64" s="1237"/>
      <c r="E64" s="1237"/>
      <c r="F64" s="1237"/>
      <c r="G64" s="1237"/>
      <c r="H64" s="1237"/>
      <c r="I64" s="1237"/>
      <c r="J64" s="1237"/>
      <c r="K64" s="1237">
        <v>2</v>
      </c>
      <c r="L64" s="1237">
        <v>3</v>
      </c>
      <c r="M64" s="1237">
        <f>L64-K64</f>
        <v>1</v>
      </c>
      <c r="N64" s="1237" t="s">
        <v>856</v>
      </c>
      <c r="O64" s="2021">
        <v>7.19</v>
      </c>
      <c r="P64" s="2985"/>
      <c r="Q64" s="1238"/>
      <c r="R64" s="1239"/>
    </row>
    <row r="65" spans="1:18" ht="18.75" customHeight="1">
      <c r="A65" s="2982"/>
      <c r="B65" s="1237"/>
      <c r="C65" s="1237"/>
      <c r="D65" s="1237"/>
      <c r="E65" s="1237"/>
      <c r="F65" s="1237"/>
      <c r="G65" s="1237"/>
      <c r="H65" s="1237"/>
      <c r="I65" s="1237"/>
      <c r="J65" s="2945" t="s">
        <v>618</v>
      </c>
      <c r="K65" s="2945"/>
      <c r="L65" s="2945"/>
      <c r="M65" s="2945"/>
      <c r="N65" s="1237" t="s">
        <v>857</v>
      </c>
      <c r="O65" s="2021">
        <v>7.13</v>
      </c>
      <c r="P65" s="2985"/>
      <c r="Q65" s="1238"/>
      <c r="R65" s="1239"/>
    </row>
    <row r="66" spans="1:18" ht="18.75" customHeight="1">
      <c r="A66" s="2982"/>
      <c r="B66" s="1237"/>
      <c r="C66" s="1237"/>
      <c r="D66" s="1237"/>
      <c r="E66" s="1237"/>
      <c r="F66" s="1237"/>
      <c r="G66" s="1237"/>
      <c r="H66" s="1237"/>
      <c r="I66" s="1237"/>
      <c r="J66" s="1237"/>
      <c r="K66" s="1237">
        <v>3</v>
      </c>
      <c r="L66" s="1237">
        <v>4</v>
      </c>
      <c r="M66" s="1237">
        <f>L66-K66</f>
        <v>1</v>
      </c>
      <c r="N66" s="1237" t="s">
        <v>858</v>
      </c>
      <c r="O66" s="2021">
        <v>6.9</v>
      </c>
      <c r="P66" s="2986"/>
      <c r="Q66" s="1238"/>
      <c r="R66" s="1239"/>
    </row>
    <row r="67" spans="1:18" ht="18.75" customHeight="1">
      <c r="A67" s="2982"/>
      <c r="B67" s="1237" t="s">
        <v>466</v>
      </c>
      <c r="C67" s="1237" t="s">
        <v>467</v>
      </c>
      <c r="D67" s="1237"/>
      <c r="E67" s="1237" t="s">
        <v>511</v>
      </c>
      <c r="F67" s="1237" t="s">
        <v>772</v>
      </c>
      <c r="G67" s="1237">
        <v>2</v>
      </c>
      <c r="H67" s="1237" t="s">
        <v>474</v>
      </c>
      <c r="I67" s="1237" t="s">
        <v>859</v>
      </c>
      <c r="J67" s="1237">
        <v>18.2</v>
      </c>
      <c r="K67" s="1237">
        <v>0</v>
      </c>
      <c r="L67" s="1237">
        <v>1</v>
      </c>
      <c r="M67" s="1237">
        <f>L67-K67</f>
        <v>1</v>
      </c>
      <c r="N67" s="1237" t="s">
        <v>860</v>
      </c>
      <c r="O67" s="2021">
        <v>13.39</v>
      </c>
      <c r="P67" s="2935">
        <f>+AVERAGE(O67:O69,O71:O73)</f>
        <v>9.7140000000000004</v>
      </c>
      <c r="Q67" s="1238"/>
      <c r="R67" s="1239"/>
    </row>
    <row r="68" spans="1:18" ht="18.75" customHeight="1">
      <c r="A68" s="2982"/>
      <c r="B68" s="1237"/>
      <c r="C68" s="1237"/>
      <c r="D68" s="1237"/>
      <c r="E68" s="1237"/>
      <c r="F68" s="1237"/>
      <c r="G68" s="1237"/>
      <c r="H68" s="1237"/>
      <c r="I68" s="1237"/>
      <c r="J68" s="1237"/>
      <c r="K68" s="1237">
        <v>1</v>
      </c>
      <c r="L68" s="1237">
        <v>2</v>
      </c>
      <c r="M68" s="1237">
        <f>L68-K68</f>
        <v>1</v>
      </c>
      <c r="N68" s="1237" t="s">
        <v>861</v>
      </c>
      <c r="O68" s="2021">
        <v>17.52</v>
      </c>
      <c r="P68" s="2933"/>
      <c r="Q68" s="1238"/>
      <c r="R68" s="1239"/>
    </row>
    <row r="69" spans="1:18" ht="18.75" customHeight="1">
      <c r="A69" s="2982"/>
      <c r="B69" s="1237" t="s">
        <v>466</v>
      </c>
      <c r="C69" s="1237" t="s">
        <v>467</v>
      </c>
      <c r="D69" s="1237"/>
      <c r="E69" s="1237" t="s">
        <v>511</v>
      </c>
      <c r="F69" s="1237" t="s">
        <v>772</v>
      </c>
      <c r="G69" s="1237">
        <v>2</v>
      </c>
      <c r="H69" s="1237" t="s">
        <v>474</v>
      </c>
      <c r="I69" s="1237" t="s">
        <v>859</v>
      </c>
      <c r="J69" s="1237"/>
      <c r="K69" s="1237">
        <v>0</v>
      </c>
      <c r="L69" s="1237">
        <v>1</v>
      </c>
      <c r="M69" s="1237">
        <f>L69-K69</f>
        <v>1</v>
      </c>
      <c r="N69" s="1237" t="s">
        <v>862</v>
      </c>
      <c r="O69" s="2021">
        <v>6.8940000000000001</v>
      </c>
      <c r="P69" s="2933"/>
      <c r="Q69" s="1238"/>
      <c r="R69" s="1239"/>
    </row>
    <row r="70" spans="1:18" ht="18.75" customHeight="1">
      <c r="A70" s="2982"/>
      <c r="B70" s="1237"/>
      <c r="C70" s="1237"/>
      <c r="D70" s="1237"/>
      <c r="E70" s="1237"/>
      <c r="F70" s="1237"/>
      <c r="G70" s="1237"/>
      <c r="H70" s="1237"/>
      <c r="I70" s="1237"/>
      <c r="J70" s="2945" t="s">
        <v>529</v>
      </c>
      <c r="K70" s="2945"/>
      <c r="L70" s="2945"/>
      <c r="M70" s="2945"/>
      <c r="N70" s="1237" t="s">
        <v>863</v>
      </c>
      <c r="O70" s="2021">
        <v>3.21</v>
      </c>
      <c r="P70" s="2933"/>
      <c r="Q70" s="1238"/>
      <c r="R70" s="1239"/>
    </row>
    <row r="71" spans="1:18" ht="18.75" customHeight="1">
      <c r="A71" s="2982"/>
      <c r="B71" s="1237"/>
      <c r="C71" s="1237"/>
      <c r="D71" s="1237"/>
      <c r="E71" s="1237"/>
      <c r="F71" s="1237"/>
      <c r="G71" s="1237"/>
      <c r="H71" s="1237"/>
      <c r="I71" s="1237"/>
      <c r="J71" s="1237"/>
      <c r="K71" s="1237">
        <v>1</v>
      </c>
      <c r="L71" s="1237">
        <v>2</v>
      </c>
      <c r="M71" s="1237">
        <f t="shared" ref="M71:M102" si="4">L71-K71</f>
        <v>1</v>
      </c>
      <c r="N71" s="1237" t="s">
        <v>864</v>
      </c>
      <c r="O71" s="2021">
        <v>6.69</v>
      </c>
      <c r="P71" s="2933"/>
      <c r="Q71" s="1238"/>
      <c r="R71" s="1239"/>
    </row>
    <row r="72" spans="1:18" ht="18.75" customHeight="1">
      <c r="A72" s="2982"/>
      <c r="B72" s="1237" t="s">
        <v>466</v>
      </c>
      <c r="C72" s="1237" t="s">
        <v>467</v>
      </c>
      <c r="D72" s="1237"/>
      <c r="E72" s="1237" t="s">
        <v>511</v>
      </c>
      <c r="F72" s="1237" t="s">
        <v>772</v>
      </c>
      <c r="G72" s="1237">
        <v>2</v>
      </c>
      <c r="H72" s="1237" t="s">
        <v>474</v>
      </c>
      <c r="I72" s="1237" t="s">
        <v>859</v>
      </c>
      <c r="J72" s="1237"/>
      <c r="K72" s="1237">
        <v>0</v>
      </c>
      <c r="L72" s="1237">
        <v>1</v>
      </c>
      <c r="M72" s="1237">
        <f t="shared" si="4"/>
        <v>1</v>
      </c>
      <c r="N72" s="1237" t="s">
        <v>865</v>
      </c>
      <c r="O72" s="2021">
        <v>6.83</v>
      </c>
      <c r="P72" s="2933"/>
      <c r="Q72" s="1238"/>
      <c r="R72" s="1239"/>
    </row>
    <row r="73" spans="1:18" ht="18.75" customHeight="1">
      <c r="A73" s="2982"/>
      <c r="B73" s="1237"/>
      <c r="C73" s="1237"/>
      <c r="D73" s="1237"/>
      <c r="E73" s="1237"/>
      <c r="F73" s="1237"/>
      <c r="G73" s="1237"/>
      <c r="H73" s="1237"/>
      <c r="I73" s="1237"/>
      <c r="J73" s="1237"/>
      <c r="K73" s="1237">
        <v>1</v>
      </c>
      <c r="L73" s="1237">
        <v>2</v>
      </c>
      <c r="M73" s="1237">
        <f t="shared" si="4"/>
        <v>1</v>
      </c>
      <c r="N73" s="1237" t="s">
        <v>866</v>
      </c>
      <c r="O73" s="2021">
        <v>6.96</v>
      </c>
      <c r="P73" s="2934"/>
      <c r="Q73" s="1238"/>
      <c r="R73" s="1239"/>
    </row>
    <row r="74" spans="1:18" ht="18.75" customHeight="1">
      <c r="A74" s="2982"/>
      <c r="B74" s="1237" t="s">
        <v>466</v>
      </c>
      <c r="C74" s="1237" t="s">
        <v>867</v>
      </c>
      <c r="D74" s="1237" t="s">
        <v>825</v>
      </c>
      <c r="E74" s="1237" t="s">
        <v>468</v>
      </c>
      <c r="F74" s="1237" t="s">
        <v>772</v>
      </c>
      <c r="G74" s="1237">
        <v>1</v>
      </c>
      <c r="H74" s="1237" t="s">
        <v>470</v>
      </c>
      <c r="I74" s="1237" t="s">
        <v>868</v>
      </c>
      <c r="J74" s="1237"/>
      <c r="K74" s="1237">
        <v>0</v>
      </c>
      <c r="L74" s="1237">
        <v>1</v>
      </c>
      <c r="M74" s="1237">
        <f t="shared" si="4"/>
        <v>1</v>
      </c>
      <c r="N74" s="1237" t="s">
        <v>869</v>
      </c>
      <c r="O74" s="2021">
        <v>1.32</v>
      </c>
      <c r="P74" s="2939">
        <f>+AVERAGE(O74:O75)</f>
        <v>1.7095000000000002</v>
      </c>
      <c r="Q74" s="1238"/>
      <c r="R74" s="1239"/>
    </row>
    <row r="75" spans="1:18" ht="18.75" customHeight="1" thickBot="1">
      <c r="A75" s="2982"/>
      <c r="B75" s="1540"/>
      <c r="C75" s="1540"/>
      <c r="D75" s="1540"/>
      <c r="E75" s="1540"/>
      <c r="F75" s="1540"/>
      <c r="G75" s="1540"/>
      <c r="H75" s="1540"/>
      <c r="I75" s="1540"/>
      <c r="J75" s="1540"/>
      <c r="K75" s="1540">
        <v>1</v>
      </c>
      <c r="L75" s="1540">
        <v>2</v>
      </c>
      <c r="M75" s="1540">
        <f t="shared" si="4"/>
        <v>1</v>
      </c>
      <c r="N75" s="1540" t="s">
        <v>870</v>
      </c>
      <c r="O75" s="2023">
        <v>2.0990000000000002</v>
      </c>
      <c r="P75" s="2940"/>
      <c r="Q75" s="1541"/>
      <c r="R75" s="1591"/>
    </row>
    <row r="76" spans="1:18" ht="18.75" customHeight="1">
      <c r="A76" s="2926">
        <v>45871</v>
      </c>
      <c r="B76" s="1585" t="s">
        <v>479</v>
      </c>
      <c r="C76" s="1585" t="s">
        <v>480</v>
      </c>
      <c r="D76" s="1585"/>
      <c r="E76" s="1585" t="s">
        <v>481</v>
      </c>
      <c r="F76" s="1585" t="s">
        <v>785</v>
      </c>
      <c r="G76" s="1585">
        <v>11</v>
      </c>
      <c r="H76" s="1585" t="s">
        <v>786</v>
      </c>
      <c r="I76" s="1585" t="s">
        <v>871</v>
      </c>
      <c r="J76" s="2072"/>
      <c r="K76" s="2400">
        <v>0</v>
      </c>
      <c r="L76" s="2400">
        <v>1</v>
      </c>
      <c r="M76" s="1585">
        <f t="shared" si="4"/>
        <v>1</v>
      </c>
      <c r="N76" s="1585" t="s">
        <v>872</v>
      </c>
      <c r="O76" s="2020">
        <v>17.13</v>
      </c>
      <c r="P76" s="2932">
        <f>+AVERAGE(O76:O85)</f>
        <v>5.5579000000000001</v>
      </c>
      <c r="Q76" s="1586"/>
      <c r="R76" s="1587"/>
    </row>
    <row r="77" spans="1:18" ht="18.75" customHeight="1">
      <c r="A77" s="2927"/>
      <c r="B77" s="1237"/>
      <c r="C77" s="1237"/>
      <c r="D77" s="1237"/>
      <c r="E77" s="1237"/>
      <c r="F77" s="1237"/>
      <c r="G77" s="1237"/>
      <c r="H77" s="1237"/>
      <c r="I77" s="1237"/>
      <c r="J77" s="1237"/>
      <c r="K77" s="1237">
        <v>1</v>
      </c>
      <c r="L77" s="1237">
        <v>2</v>
      </c>
      <c r="M77" s="1237">
        <f t="shared" si="4"/>
        <v>1</v>
      </c>
      <c r="N77" s="1237" t="s">
        <v>873</v>
      </c>
      <c r="O77" s="2021">
        <v>5.2030000000000003</v>
      </c>
      <c r="P77" s="2933"/>
      <c r="Q77" s="1238"/>
      <c r="R77" s="1239"/>
    </row>
    <row r="78" spans="1:18" ht="18.75" customHeight="1">
      <c r="A78" s="2927"/>
      <c r="B78" s="1237"/>
      <c r="C78" s="1237"/>
      <c r="D78" s="1237"/>
      <c r="E78" s="1237"/>
      <c r="F78" s="1237"/>
      <c r="G78" s="1237"/>
      <c r="H78" s="1237"/>
      <c r="I78" s="1237"/>
      <c r="J78" s="1237"/>
      <c r="K78" s="1237">
        <v>2</v>
      </c>
      <c r="L78" s="1237">
        <v>3</v>
      </c>
      <c r="M78" s="1237">
        <f t="shared" si="4"/>
        <v>1</v>
      </c>
      <c r="N78" s="1237" t="s">
        <v>874</v>
      </c>
      <c r="O78" s="2021">
        <v>6.27</v>
      </c>
      <c r="P78" s="2933"/>
      <c r="Q78" s="1238"/>
      <c r="R78" s="1239"/>
    </row>
    <row r="79" spans="1:18" ht="18.75" customHeight="1">
      <c r="A79" s="2927"/>
      <c r="B79" s="1237"/>
      <c r="C79" s="1237"/>
      <c r="D79" s="1237"/>
      <c r="E79" s="1237"/>
      <c r="F79" s="1237"/>
      <c r="G79" s="1237"/>
      <c r="H79" s="1237"/>
      <c r="I79" s="1237"/>
      <c r="J79" s="1237"/>
      <c r="K79" s="1237">
        <v>3</v>
      </c>
      <c r="L79" s="1237">
        <v>4</v>
      </c>
      <c r="M79" s="1237">
        <f t="shared" si="4"/>
        <v>1</v>
      </c>
      <c r="N79" s="1237" t="s">
        <v>875</v>
      </c>
      <c r="O79" s="2021">
        <v>8.23</v>
      </c>
      <c r="P79" s="2933"/>
      <c r="Q79" s="1238"/>
      <c r="R79" s="1239"/>
    </row>
    <row r="80" spans="1:18" ht="18.75" customHeight="1">
      <c r="A80" s="2927"/>
      <c r="B80" s="1237"/>
      <c r="C80" s="1237"/>
      <c r="D80" s="1237"/>
      <c r="E80" s="1237"/>
      <c r="F80" s="1237"/>
      <c r="G80" s="1237"/>
      <c r="H80" s="1237"/>
      <c r="I80" s="1237"/>
      <c r="J80" s="1237"/>
      <c r="K80" s="1237">
        <v>4</v>
      </c>
      <c r="L80" s="1237">
        <v>5</v>
      </c>
      <c r="M80" s="1237">
        <f t="shared" si="4"/>
        <v>1</v>
      </c>
      <c r="N80" s="1237" t="s">
        <v>876</v>
      </c>
      <c r="O80" s="2021">
        <v>4.38</v>
      </c>
      <c r="P80" s="2933"/>
      <c r="Q80" s="1238"/>
      <c r="R80" s="1239"/>
    </row>
    <row r="81" spans="1:18" ht="18.75" customHeight="1">
      <c r="A81" s="2927"/>
      <c r="B81" s="1237"/>
      <c r="C81" s="1237"/>
      <c r="D81" s="1237"/>
      <c r="E81" s="1237"/>
      <c r="F81" s="1237"/>
      <c r="G81" s="1237"/>
      <c r="H81" s="1237"/>
      <c r="I81" s="1237"/>
      <c r="J81" s="1237"/>
      <c r="K81" s="1237">
        <v>5</v>
      </c>
      <c r="L81" s="1237">
        <v>6</v>
      </c>
      <c r="M81" s="1237">
        <f t="shared" si="4"/>
        <v>1</v>
      </c>
      <c r="N81" s="1237" t="s">
        <v>877</v>
      </c>
      <c r="O81" s="2021">
        <v>2.097</v>
      </c>
      <c r="P81" s="2933"/>
      <c r="Q81" s="1238"/>
      <c r="R81" s="1239"/>
    </row>
    <row r="82" spans="1:18" ht="18.75" customHeight="1">
      <c r="A82" s="2927"/>
      <c r="B82" s="1237"/>
      <c r="C82" s="1237"/>
      <c r="D82" s="1237"/>
      <c r="E82" s="1237"/>
      <c r="F82" s="1237"/>
      <c r="G82" s="1237"/>
      <c r="H82" s="1237"/>
      <c r="I82" s="1237"/>
      <c r="J82" s="1237"/>
      <c r="K82" s="1237">
        <v>6</v>
      </c>
      <c r="L82" s="1237">
        <v>7</v>
      </c>
      <c r="M82" s="1237">
        <f t="shared" si="4"/>
        <v>1</v>
      </c>
      <c r="N82" s="1237" t="s">
        <v>878</v>
      </c>
      <c r="O82" s="2021">
        <v>4.3840000000000003</v>
      </c>
      <c r="P82" s="2933"/>
      <c r="Q82" s="1238"/>
      <c r="R82" s="1239"/>
    </row>
    <row r="83" spans="1:18" ht="18.75" customHeight="1">
      <c r="A83" s="2927"/>
      <c r="B83" s="1237"/>
      <c r="C83" s="1237"/>
      <c r="D83" s="1237"/>
      <c r="E83" s="1237"/>
      <c r="F83" s="1237"/>
      <c r="G83" s="1237"/>
      <c r="H83" s="1237"/>
      <c r="I83" s="1237"/>
      <c r="J83" s="1237"/>
      <c r="K83" s="1237">
        <v>7</v>
      </c>
      <c r="L83" s="1237">
        <v>8</v>
      </c>
      <c r="M83" s="1237">
        <f t="shared" si="4"/>
        <v>1</v>
      </c>
      <c r="N83" s="1237" t="s">
        <v>879</v>
      </c>
      <c r="O83" s="2021">
        <v>0.58299999999999996</v>
      </c>
      <c r="P83" s="2933"/>
      <c r="Q83" s="1238"/>
      <c r="R83" s="1239"/>
    </row>
    <row r="84" spans="1:18" ht="18.75" customHeight="1">
      <c r="A84" s="2927"/>
      <c r="B84" s="1237"/>
      <c r="C84" s="1237"/>
      <c r="D84" s="1237"/>
      <c r="E84" s="1237"/>
      <c r="F84" s="1237"/>
      <c r="G84" s="1237"/>
      <c r="H84" s="1237"/>
      <c r="I84" s="1237"/>
      <c r="J84" s="1237"/>
      <c r="K84" s="1237">
        <v>8</v>
      </c>
      <c r="L84" s="1237">
        <v>9</v>
      </c>
      <c r="M84" s="1237">
        <f t="shared" si="4"/>
        <v>1</v>
      </c>
      <c r="N84" s="1237" t="s">
        <v>880</v>
      </c>
      <c r="O84" s="2021">
        <v>4.1219999999999999</v>
      </c>
      <c r="P84" s="2933"/>
      <c r="Q84" s="1238"/>
      <c r="R84" s="1239"/>
    </row>
    <row r="85" spans="1:18" ht="18.75" customHeight="1">
      <c r="A85" s="2927"/>
      <c r="B85" s="1237"/>
      <c r="C85" s="1237"/>
      <c r="D85" s="1237"/>
      <c r="E85" s="1237"/>
      <c r="F85" s="1237"/>
      <c r="G85" s="1237"/>
      <c r="H85" s="1237"/>
      <c r="I85" s="1237"/>
      <c r="J85" s="1237"/>
      <c r="K85" s="1237">
        <v>9</v>
      </c>
      <c r="L85" s="1237">
        <v>10</v>
      </c>
      <c r="M85" s="1237">
        <f t="shared" si="4"/>
        <v>1</v>
      </c>
      <c r="N85" s="1237" t="s">
        <v>881</v>
      </c>
      <c r="O85" s="2021">
        <v>3.18</v>
      </c>
      <c r="P85" s="2934"/>
      <c r="Q85" s="1238"/>
      <c r="R85" s="1239"/>
    </row>
    <row r="86" spans="1:18" ht="18.75" customHeight="1">
      <c r="A86" s="2927"/>
      <c r="B86" s="1237" t="s">
        <v>479</v>
      </c>
      <c r="C86" s="1237" t="s">
        <v>793</v>
      </c>
      <c r="D86" s="1237"/>
      <c r="E86" s="1237" t="s">
        <v>468</v>
      </c>
      <c r="F86" s="1237" t="s">
        <v>772</v>
      </c>
      <c r="G86" s="1237">
        <v>2</v>
      </c>
      <c r="H86" s="1237" t="s">
        <v>470</v>
      </c>
      <c r="I86" s="1237" t="s">
        <v>882</v>
      </c>
      <c r="J86" s="1237"/>
      <c r="K86" s="1237">
        <v>0</v>
      </c>
      <c r="L86" s="1237">
        <v>1</v>
      </c>
      <c r="M86" s="1237">
        <f t="shared" si="4"/>
        <v>1</v>
      </c>
      <c r="N86" s="1237" t="s">
        <v>883</v>
      </c>
      <c r="O86" s="2021">
        <v>2.11</v>
      </c>
      <c r="P86" s="2935">
        <f>+AVERAGE(O86:O88,O90:O93,O95:O96)</f>
        <v>7.4866666666666664</v>
      </c>
      <c r="Q86" s="1238"/>
      <c r="R86" s="1239"/>
    </row>
    <row r="87" spans="1:18" ht="18.75" customHeight="1">
      <c r="A87" s="2927"/>
      <c r="B87" s="1237"/>
      <c r="C87" s="1237"/>
      <c r="D87" s="1237"/>
      <c r="E87" s="1237"/>
      <c r="F87" s="1237"/>
      <c r="G87" s="1237"/>
      <c r="H87" s="1237"/>
      <c r="I87" s="1237"/>
      <c r="J87" s="1237"/>
      <c r="K87" s="1237">
        <v>1</v>
      </c>
      <c r="L87" s="1237">
        <v>2</v>
      </c>
      <c r="M87" s="1237">
        <f t="shared" si="4"/>
        <v>1</v>
      </c>
      <c r="N87" s="1237" t="s">
        <v>884</v>
      </c>
      <c r="O87" s="2021">
        <v>2.16</v>
      </c>
      <c r="P87" s="2933"/>
      <c r="Q87" s="1238"/>
      <c r="R87" s="1239"/>
    </row>
    <row r="88" spans="1:18" ht="18.75" customHeight="1">
      <c r="A88" s="2927"/>
      <c r="B88" s="1237"/>
      <c r="C88" s="1237"/>
      <c r="D88" s="1237"/>
      <c r="E88" s="1237"/>
      <c r="F88" s="1237"/>
      <c r="G88" s="1237"/>
      <c r="H88" s="1237"/>
      <c r="I88" s="1237"/>
      <c r="J88" s="1237"/>
      <c r="K88" s="1237">
        <v>2</v>
      </c>
      <c r="L88" s="1237">
        <v>3</v>
      </c>
      <c r="M88" s="1237">
        <f t="shared" si="4"/>
        <v>1</v>
      </c>
      <c r="N88" s="1237" t="s">
        <v>885</v>
      </c>
      <c r="O88" s="2021">
        <v>13.63</v>
      </c>
      <c r="P88" s="2933"/>
      <c r="Q88" s="1238"/>
      <c r="R88" s="1239"/>
    </row>
    <row r="89" spans="1:18" ht="18.75" customHeight="1">
      <c r="A89" s="2927"/>
      <c r="B89" s="1237"/>
      <c r="C89" s="1237"/>
      <c r="D89" s="1237"/>
      <c r="E89" s="1237"/>
      <c r="F89" s="1237"/>
      <c r="G89" s="1237"/>
      <c r="H89" s="1237"/>
      <c r="I89" s="1237"/>
      <c r="J89" s="2945" t="s">
        <v>618</v>
      </c>
      <c r="K89" s="2945"/>
      <c r="L89" s="2945"/>
      <c r="M89" s="1237">
        <f t="shared" si="4"/>
        <v>0</v>
      </c>
      <c r="N89" s="1237" t="s">
        <v>886</v>
      </c>
      <c r="O89" s="2021">
        <v>2.2599999999999998</v>
      </c>
      <c r="P89" s="2933"/>
      <c r="Q89" s="1238"/>
      <c r="R89" s="1239"/>
    </row>
    <row r="90" spans="1:18" ht="18.75" customHeight="1">
      <c r="A90" s="2927"/>
      <c r="B90" s="1237"/>
      <c r="C90" s="1237"/>
      <c r="D90" s="1237"/>
      <c r="E90" s="1237"/>
      <c r="F90" s="1237"/>
      <c r="G90" s="1237"/>
      <c r="H90" s="1237"/>
      <c r="I90" s="1237"/>
      <c r="J90" s="1237"/>
      <c r="K90" s="1237">
        <v>3</v>
      </c>
      <c r="L90" s="1237">
        <v>4</v>
      </c>
      <c r="M90" s="1237">
        <f t="shared" si="4"/>
        <v>1</v>
      </c>
      <c r="N90" s="1237" t="s">
        <v>887</v>
      </c>
      <c r="O90" s="2021">
        <v>18.989999999999998</v>
      </c>
      <c r="P90" s="2933"/>
      <c r="Q90" s="1238"/>
      <c r="R90" s="1239"/>
    </row>
    <row r="91" spans="1:18" ht="18.75" customHeight="1">
      <c r="A91" s="2927"/>
      <c r="B91" s="1237" t="s">
        <v>479</v>
      </c>
      <c r="C91" s="1237" t="s">
        <v>793</v>
      </c>
      <c r="D91" s="1237"/>
      <c r="E91" s="1237" t="s">
        <v>468</v>
      </c>
      <c r="F91" s="1237" t="s">
        <v>772</v>
      </c>
      <c r="G91" s="1237">
        <v>4</v>
      </c>
      <c r="H91" s="1237" t="s">
        <v>470</v>
      </c>
      <c r="I91" s="1237" t="s">
        <v>794</v>
      </c>
      <c r="J91" s="1237"/>
      <c r="K91" s="1237">
        <v>0</v>
      </c>
      <c r="L91" s="1237">
        <v>1</v>
      </c>
      <c r="M91" s="1237">
        <f t="shared" si="4"/>
        <v>1</v>
      </c>
      <c r="N91" s="1237" t="s">
        <v>888</v>
      </c>
      <c r="O91" s="2021">
        <v>15.06</v>
      </c>
      <c r="P91" s="2933"/>
      <c r="Q91" s="1238"/>
      <c r="R91" s="1239"/>
    </row>
    <row r="92" spans="1:18" ht="18.75" customHeight="1">
      <c r="A92" s="2927"/>
      <c r="B92" s="1237"/>
      <c r="C92" s="1237"/>
      <c r="D92" s="1237"/>
      <c r="E92" s="1237"/>
      <c r="F92" s="1237"/>
      <c r="G92" s="1237"/>
      <c r="H92" s="1237"/>
      <c r="I92" s="1237"/>
      <c r="J92" s="1237"/>
      <c r="K92" s="1237">
        <v>1</v>
      </c>
      <c r="L92" s="1237">
        <v>2</v>
      </c>
      <c r="M92" s="1237">
        <f t="shared" si="4"/>
        <v>1</v>
      </c>
      <c r="N92" s="1237" t="s">
        <v>889</v>
      </c>
      <c r="O92" s="2021">
        <v>0.48</v>
      </c>
      <c r="P92" s="2933"/>
      <c r="Q92" s="1238"/>
      <c r="R92" s="1239"/>
    </row>
    <row r="93" spans="1:18" ht="18.75" customHeight="1">
      <c r="A93" s="2927"/>
      <c r="B93" s="1237"/>
      <c r="C93" s="1237"/>
      <c r="D93" s="1237"/>
      <c r="E93" s="1237"/>
      <c r="F93" s="1237"/>
      <c r="G93" s="1237"/>
      <c r="H93" s="1237"/>
      <c r="I93" s="1237"/>
      <c r="J93" s="1237"/>
      <c r="K93" s="1237">
        <v>2</v>
      </c>
      <c r="L93" s="1237">
        <v>3</v>
      </c>
      <c r="M93" s="1237">
        <f t="shared" si="4"/>
        <v>1</v>
      </c>
      <c r="N93" s="1237" t="s">
        <v>890</v>
      </c>
      <c r="O93" s="2021">
        <v>1.1499999999999999</v>
      </c>
      <c r="P93" s="2933"/>
      <c r="Q93" s="1238"/>
      <c r="R93" s="1239"/>
    </row>
    <row r="94" spans="1:18" ht="18.75" customHeight="1">
      <c r="A94" s="2927"/>
      <c r="B94" s="1237"/>
      <c r="C94" s="1237"/>
      <c r="D94" s="1237"/>
      <c r="E94" s="1237"/>
      <c r="F94" s="1237"/>
      <c r="G94" s="1237"/>
      <c r="H94" s="1237"/>
      <c r="I94" s="1237"/>
      <c r="J94" s="2945" t="s">
        <v>529</v>
      </c>
      <c r="K94" s="2945"/>
      <c r="L94" s="2945"/>
      <c r="M94" s="1237">
        <f t="shared" si="4"/>
        <v>0</v>
      </c>
      <c r="N94" s="1237" t="s">
        <v>891</v>
      </c>
      <c r="O94" s="2021">
        <v>0</v>
      </c>
      <c r="P94" s="2933"/>
      <c r="Q94" s="1238"/>
      <c r="R94" s="1239"/>
    </row>
    <row r="95" spans="1:18" ht="18.75" customHeight="1">
      <c r="A95" s="2927"/>
      <c r="B95" s="1237"/>
      <c r="C95" s="1237"/>
      <c r="D95" s="1237"/>
      <c r="E95" s="1237"/>
      <c r="F95" s="1237"/>
      <c r="G95" s="1237"/>
      <c r="H95" s="1237"/>
      <c r="I95" s="1237"/>
      <c r="J95" s="1237"/>
      <c r="K95" s="1237">
        <v>3</v>
      </c>
      <c r="L95" s="1237">
        <v>4</v>
      </c>
      <c r="M95" s="1237">
        <f t="shared" si="4"/>
        <v>1</v>
      </c>
      <c r="N95" s="1237" t="s">
        <v>892</v>
      </c>
      <c r="O95" s="2021">
        <v>5.27</v>
      </c>
      <c r="P95" s="2933"/>
      <c r="Q95" s="1238"/>
      <c r="R95" s="1239"/>
    </row>
    <row r="96" spans="1:18" ht="18.75" customHeight="1">
      <c r="A96" s="2927"/>
      <c r="B96" s="1237"/>
      <c r="C96" s="1237"/>
      <c r="D96" s="1237"/>
      <c r="E96" s="1237"/>
      <c r="F96" s="1237"/>
      <c r="G96" s="1237"/>
      <c r="H96" s="1237"/>
      <c r="I96" s="1237"/>
      <c r="J96" s="1237"/>
      <c r="K96" s="1237">
        <v>4</v>
      </c>
      <c r="L96" s="1237">
        <v>5</v>
      </c>
      <c r="M96" s="1237">
        <f t="shared" si="4"/>
        <v>1</v>
      </c>
      <c r="N96" s="1237" t="s">
        <v>893</v>
      </c>
      <c r="O96" s="2021">
        <v>8.5299999999999994</v>
      </c>
      <c r="P96" s="2934"/>
      <c r="Q96" s="1238"/>
      <c r="R96" s="1239"/>
    </row>
    <row r="97" spans="1:18" ht="18.75" customHeight="1">
      <c r="A97" s="2927"/>
      <c r="B97" s="1237" t="s">
        <v>806</v>
      </c>
      <c r="C97" s="1237" t="s">
        <v>807</v>
      </c>
      <c r="D97" s="1237"/>
      <c r="E97" s="1237" t="s">
        <v>468</v>
      </c>
      <c r="F97" s="1237" t="s">
        <v>772</v>
      </c>
      <c r="G97" s="1237">
        <v>0.4</v>
      </c>
      <c r="H97" s="1237" t="s">
        <v>808</v>
      </c>
      <c r="I97" s="1237" t="s">
        <v>809</v>
      </c>
      <c r="J97" s="1237"/>
      <c r="K97" s="1237">
        <v>0</v>
      </c>
      <c r="L97" s="1237">
        <v>1</v>
      </c>
      <c r="M97" s="1237">
        <f t="shared" si="4"/>
        <v>1</v>
      </c>
      <c r="N97" s="1237" t="s">
        <v>894</v>
      </c>
      <c r="O97" s="2021">
        <v>1.08</v>
      </c>
      <c r="P97" s="2935">
        <f>+AVERAGE(O97:O102)</f>
        <v>2.5183333333333331</v>
      </c>
      <c r="Q97" s="1238"/>
      <c r="R97" s="1239"/>
    </row>
    <row r="98" spans="1:18" ht="18.75" customHeight="1">
      <c r="A98" s="2927"/>
      <c r="B98" s="1237"/>
      <c r="C98" s="1237"/>
      <c r="D98" s="1237"/>
      <c r="E98" s="1237"/>
      <c r="F98" s="1237"/>
      <c r="G98" s="1237"/>
      <c r="H98" s="1237"/>
      <c r="I98" s="1237"/>
      <c r="J98" s="1237"/>
      <c r="K98" s="1237">
        <v>1</v>
      </c>
      <c r="L98" s="1237">
        <v>2</v>
      </c>
      <c r="M98" s="1237">
        <f t="shared" si="4"/>
        <v>1</v>
      </c>
      <c r="N98" s="1237" t="s">
        <v>895</v>
      </c>
      <c r="O98" s="2021">
        <v>0.85</v>
      </c>
      <c r="P98" s="2933"/>
      <c r="Q98" s="1238"/>
      <c r="R98" s="1239"/>
    </row>
    <row r="99" spans="1:18" ht="18.75" customHeight="1">
      <c r="A99" s="2927"/>
      <c r="B99" s="1237"/>
      <c r="C99" s="1237"/>
      <c r="D99" s="1237"/>
      <c r="E99" s="1237"/>
      <c r="F99" s="1237"/>
      <c r="G99" s="1237"/>
      <c r="H99" s="1237"/>
      <c r="I99" s="1237"/>
      <c r="J99" s="1237"/>
      <c r="K99" s="1237">
        <v>2</v>
      </c>
      <c r="L99" s="1237">
        <v>3</v>
      </c>
      <c r="M99" s="1237">
        <f t="shared" si="4"/>
        <v>1</v>
      </c>
      <c r="N99" s="1237" t="s">
        <v>896</v>
      </c>
      <c r="O99" s="2021">
        <v>3.2</v>
      </c>
      <c r="P99" s="2933"/>
      <c r="Q99" s="1238"/>
      <c r="R99" s="1239"/>
    </row>
    <row r="100" spans="1:18" ht="18.75" customHeight="1">
      <c r="A100" s="2927"/>
      <c r="B100" s="1237" t="s">
        <v>806</v>
      </c>
      <c r="C100" s="1237" t="s">
        <v>807</v>
      </c>
      <c r="D100" s="1237"/>
      <c r="E100" s="1237" t="s">
        <v>468</v>
      </c>
      <c r="F100" s="1237" t="s">
        <v>772</v>
      </c>
      <c r="G100" s="1237">
        <v>0.4</v>
      </c>
      <c r="H100" s="1237" t="s">
        <v>808</v>
      </c>
      <c r="I100" s="1237" t="s">
        <v>809</v>
      </c>
      <c r="J100" s="1237"/>
      <c r="K100" s="1237">
        <v>0</v>
      </c>
      <c r="L100" s="1237">
        <v>1</v>
      </c>
      <c r="M100" s="1237">
        <f t="shared" si="4"/>
        <v>1</v>
      </c>
      <c r="N100" s="1237" t="s">
        <v>897</v>
      </c>
      <c r="O100" s="2021">
        <v>1.05</v>
      </c>
      <c r="P100" s="2933"/>
      <c r="Q100" s="1238"/>
      <c r="R100" s="1239"/>
    </row>
    <row r="101" spans="1:18" ht="18.75" customHeight="1">
      <c r="A101" s="2927"/>
      <c r="B101" s="1237"/>
      <c r="C101" s="1237"/>
      <c r="D101" s="1237"/>
      <c r="E101" s="1237"/>
      <c r="F101" s="1237"/>
      <c r="G101" s="1237"/>
      <c r="H101" s="1237"/>
      <c r="I101" s="1237"/>
      <c r="J101" s="1237"/>
      <c r="K101" s="1237">
        <v>1</v>
      </c>
      <c r="L101" s="1237">
        <v>2</v>
      </c>
      <c r="M101" s="1237">
        <f t="shared" si="4"/>
        <v>1</v>
      </c>
      <c r="N101" s="1237" t="s">
        <v>898</v>
      </c>
      <c r="O101" s="2021">
        <v>5.27</v>
      </c>
      <c r="P101" s="2933"/>
      <c r="Q101" s="1238"/>
      <c r="R101" s="1239"/>
    </row>
    <row r="102" spans="1:18" ht="18.75" customHeight="1">
      <c r="A102" s="2927"/>
      <c r="B102" s="1237"/>
      <c r="C102" s="1237"/>
      <c r="D102" s="1237"/>
      <c r="E102" s="1237"/>
      <c r="F102" s="1237"/>
      <c r="G102" s="1237"/>
      <c r="H102" s="1237"/>
      <c r="I102" s="1237"/>
      <c r="J102" s="1237"/>
      <c r="K102" s="1237">
        <v>2</v>
      </c>
      <c r="L102" s="1237">
        <v>3</v>
      </c>
      <c r="M102" s="1237">
        <f t="shared" si="4"/>
        <v>1</v>
      </c>
      <c r="N102" s="1237" t="s">
        <v>899</v>
      </c>
      <c r="O102" s="2021">
        <v>3.66</v>
      </c>
      <c r="P102" s="2934"/>
      <c r="Q102" s="1238"/>
      <c r="R102" s="1239"/>
    </row>
    <row r="103" spans="1:18" ht="18.75" customHeight="1">
      <c r="A103" s="2927"/>
      <c r="B103" s="1237" t="s">
        <v>687</v>
      </c>
      <c r="C103" s="1237" t="s">
        <v>450</v>
      </c>
      <c r="D103" s="1237"/>
      <c r="E103" s="1237" t="s">
        <v>468</v>
      </c>
      <c r="F103" s="1237" t="s">
        <v>772</v>
      </c>
      <c r="G103" s="1237">
        <v>2</v>
      </c>
      <c r="H103" s="1237" t="s">
        <v>470</v>
      </c>
      <c r="I103" s="1237" t="s">
        <v>773</v>
      </c>
      <c r="J103" s="1237"/>
      <c r="K103" s="1237">
        <v>0</v>
      </c>
      <c r="L103" s="1237">
        <v>1</v>
      </c>
      <c r="M103" s="1237">
        <f t="shared" ref="M103:M134" si="5">L103-K103</f>
        <v>1</v>
      </c>
      <c r="N103" s="1237" t="s">
        <v>900</v>
      </c>
      <c r="O103" s="2021">
        <v>0.53</v>
      </c>
      <c r="P103" s="2936">
        <f>+AVERAGE(O103,O105:O108)</f>
        <v>1.4132</v>
      </c>
      <c r="Q103" s="1238"/>
      <c r="R103" s="1239"/>
    </row>
    <row r="104" spans="1:18" ht="18.75" customHeight="1">
      <c r="A104" s="2927"/>
      <c r="B104" s="1237"/>
      <c r="C104" s="1237"/>
      <c r="D104" s="1237"/>
      <c r="E104" s="1237"/>
      <c r="F104" s="1237"/>
      <c r="G104" s="1237"/>
      <c r="H104" s="1237"/>
      <c r="I104" s="1237"/>
      <c r="J104" s="2945" t="s">
        <v>901</v>
      </c>
      <c r="K104" s="2945"/>
      <c r="L104" s="2945"/>
      <c r="M104" s="1237">
        <f t="shared" si="5"/>
        <v>0</v>
      </c>
      <c r="N104" s="1237" t="s">
        <v>902</v>
      </c>
      <c r="O104" s="2021">
        <v>1.1100000000000001</v>
      </c>
      <c r="P104" s="2937"/>
      <c r="Q104" s="1238"/>
      <c r="R104" s="1239"/>
    </row>
    <row r="105" spans="1:18" ht="18.75" customHeight="1">
      <c r="A105" s="2927"/>
      <c r="B105" s="1237"/>
      <c r="C105" s="1237"/>
      <c r="D105" s="1237"/>
      <c r="E105" s="1237"/>
      <c r="F105" s="1237"/>
      <c r="G105" s="1237"/>
      <c r="H105" s="1237"/>
      <c r="I105" s="1237"/>
      <c r="J105" s="1237"/>
      <c r="K105" s="1237">
        <v>1</v>
      </c>
      <c r="L105" s="1237">
        <v>2</v>
      </c>
      <c r="M105" s="1237">
        <f t="shared" si="5"/>
        <v>1</v>
      </c>
      <c r="N105" s="1237" t="s">
        <v>903</v>
      </c>
      <c r="O105" s="2021">
        <v>0.47</v>
      </c>
      <c r="P105" s="2937"/>
      <c r="Q105" s="1238"/>
      <c r="R105" s="1239"/>
    </row>
    <row r="106" spans="1:18" ht="18.75" customHeight="1">
      <c r="A106" s="2927"/>
      <c r="B106" s="1237"/>
      <c r="C106" s="1237"/>
      <c r="D106" s="1237"/>
      <c r="E106" s="1237"/>
      <c r="F106" s="1237"/>
      <c r="G106" s="1237"/>
      <c r="H106" s="1237"/>
      <c r="I106" s="1237"/>
      <c r="J106" s="1237"/>
      <c r="K106" s="1237">
        <v>2</v>
      </c>
      <c r="L106" s="1237">
        <v>3</v>
      </c>
      <c r="M106" s="1237">
        <f t="shared" si="5"/>
        <v>1</v>
      </c>
      <c r="N106" s="1237" t="s">
        <v>904</v>
      </c>
      <c r="O106" s="2021">
        <v>0.51</v>
      </c>
      <c r="P106" s="2937"/>
      <c r="Q106" s="1238"/>
      <c r="R106" s="1239"/>
    </row>
    <row r="107" spans="1:18" ht="18.75" customHeight="1">
      <c r="A107" s="2927"/>
      <c r="B107" s="1237"/>
      <c r="C107" s="1237"/>
      <c r="D107" s="1237"/>
      <c r="E107" s="1237"/>
      <c r="F107" s="1237"/>
      <c r="G107" s="1237"/>
      <c r="H107" s="1237"/>
      <c r="I107" s="1237"/>
      <c r="J107" s="1237"/>
      <c r="K107" s="1237">
        <v>3</v>
      </c>
      <c r="L107" s="1237">
        <v>4</v>
      </c>
      <c r="M107" s="1237">
        <f t="shared" si="5"/>
        <v>1</v>
      </c>
      <c r="N107" s="1237" t="s">
        <v>905</v>
      </c>
      <c r="O107" s="2021">
        <v>1.036</v>
      </c>
      <c r="P107" s="2937"/>
      <c r="Q107" s="1238"/>
      <c r="R107" s="1239"/>
    </row>
    <row r="108" spans="1:18" ht="18.75" customHeight="1">
      <c r="A108" s="2927"/>
      <c r="B108" s="1237"/>
      <c r="C108" s="1237"/>
      <c r="D108" s="1237"/>
      <c r="E108" s="1237"/>
      <c r="F108" s="1237"/>
      <c r="G108" s="1237"/>
      <c r="H108" s="1237"/>
      <c r="I108" s="1237"/>
      <c r="J108" s="1237"/>
      <c r="K108" s="1237">
        <v>4</v>
      </c>
      <c r="L108" s="1237">
        <v>5</v>
      </c>
      <c r="M108" s="1237">
        <f t="shared" si="5"/>
        <v>1</v>
      </c>
      <c r="N108" s="1237" t="s">
        <v>906</v>
      </c>
      <c r="O108" s="2021">
        <v>4.5199999999999996</v>
      </c>
      <c r="P108" s="2937"/>
      <c r="Q108" s="1238"/>
      <c r="R108" s="1239"/>
    </row>
    <row r="109" spans="1:18" ht="18.75" customHeight="1">
      <c r="A109" s="2927"/>
      <c r="B109" s="1237"/>
      <c r="C109" s="1237"/>
      <c r="D109" s="1237"/>
      <c r="E109" s="1237"/>
      <c r="F109" s="1237"/>
      <c r="G109" s="1237"/>
      <c r="H109" s="1237"/>
      <c r="I109" s="1237"/>
      <c r="J109" s="2945" t="s">
        <v>618</v>
      </c>
      <c r="K109" s="2945"/>
      <c r="L109" s="2945"/>
      <c r="M109" s="1237">
        <f t="shared" si="5"/>
        <v>0</v>
      </c>
      <c r="N109" s="1237" t="s">
        <v>907</v>
      </c>
      <c r="O109" s="2021">
        <v>0.32</v>
      </c>
      <c r="P109" s="2938"/>
      <c r="Q109" s="1238"/>
      <c r="R109" s="1239"/>
    </row>
    <row r="110" spans="1:18" ht="18.75" customHeight="1">
      <c r="A110" s="2927"/>
      <c r="B110" s="1237" t="s">
        <v>577</v>
      </c>
      <c r="C110" s="1237" t="s">
        <v>450</v>
      </c>
      <c r="D110" s="1237"/>
      <c r="E110" s="1237" t="s">
        <v>511</v>
      </c>
      <c r="F110" s="1237" t="s">
        <v>785</v>
      </c>
      <c r="G110" s="1237">
        <v>5</v>
      </c>
      <c r="H110" s="1237" t="s">
        <v>786</v>
      </c>
      <c r="I110" s="1237" t="s">
        <v>773</v>
      </c>
      <c r="J110" s="1237"/>
      <c r="K110" s="1237">
        <v>0</v>
      </c>
      <c r="L110" s="1237">
        <v>1</v>
      </c>
      <c r="M110" s="1237">
        <f t="shared" si="5"/>
        <v>1</v>
      </c>
      <c r="N110" s="1237" t="s">
        <v>908</v>
      </c>
      <c r="O110" s="2021">
        <v>0.51500000000000001</v>
      </c>
      <c r="P110" s="2939">
        <f>+AVERAGE(O110:O113,O115)</f>
        <v>1.6131999999999997</v>
      </c>
      <c r="Q110" s="1238"/>
      <c r="R110" s="1239"/>
    </row>
    <row r="111" spans="1:18" ht="18.75" customHeight="1">
      <c r="A111" s="2927"/>
      <c r="B111" s="1237"/>
      <c r="C111" s="1237"/>
      <c r="D111" s="1237"/>
      <c r="E111" s="1237"/>
      <c r="F111" s="1237"/>
      <c r="G111" s="1237"/>
      <c r="H111" s="1237"/>
      <c r="I111" s="1237"/>
      <c r="J111" s="1237"/>
      <c r="K111" s="1237">
        <v>1</v>
      </c>
      <c r="L111" s="1237">
        <v>2</v>
      </c>
      <c r="M111" s="1237">
        <f t="shared" si="5"/>
        <v>1</v>
      </c>
      <c r="N111" s="1237" t="s">
        <v>909</v>
      </c>
      <c r="O111" s="2021">
        <v>1.1479999999999999</v>
      </c>
      <c r="P111" s="2940"/>
      <c r="Q111" s="1238"/>
      <c r="R111" s="1239"/>
    </row>
    <row r="112" spans="1:18" ht="18.75" customHeight="1">
      <c r="A112" s="2927"/>
      <c r="B112" s="1237"/>
      <c r="C112" s="1237"/>
      <c r="D112" s="1237"/>
      <c r="E112" s="1237"/>
      <c r="F112" s="1237"/>
      <c r="G112" s="1237"/>
      <c r="H112" s="1237"/>
      <c r="I112" s="1237"/>
      <c r="J112" s="1237"/>
      <c r="K112" s="1237">
        <v>2</v>
      </c>
      <c r="L112" s="1237">
        <v>3</v>
      </c>
      <c r="M112" s="1237">
        <f t="shared" si="5"/>
        <v>1</v>
      </c>
      <c r="N112" s="1237" t="s">
        <v>910</v>
      </c>
      <c r="O112" s="2021">
        <v>5.492</v>
      </c>
      <c r="P112" s="2940"/>
      <c r="Q112" s="1238"/>
      <c r="R112" s="1239"/>
    </row>
    <row r="113" spans="1:18" ht="18.75" customHeight="1">
      <c r="A113" s="2927"/>
      <c r="B113" s="1237"/>
      <c r="C113" s="1237"/>
      <c r="D113" s="1237"/>
      <c r="E113" s="1237"/>
      <c r="F113" s="1237"/>
      <c r="G113" s="1237"/>
      <c r="H113" s="1237"/>
      <c r="I113" s="1237"/>
      <c r="J113" s="1237"/>
      <c r="K113" s="1237">
        <v>3</v>
      </c>
      <c r="L113" s="1237">
        <v>4</v>
      </c>
      <c r="M113" s="1237">
        <f t="shared" si="5"/>
        <v>1</v>
      </c>
      <c r="N113" s="1237" t="s">
        <v>911</v>
      </c>
      <c r="O113" s="2021">
        <v>0.52</v>
      </c>
      <c r="P113" s="2940"/>
      <c r="Q113" s="1238"/>
      <c r="R113" s="1239"/>
    </row>
    <row r="114" spans="1:18" ht="18.75" customHeight="1">
      <c r="A114" s="2927"/>
      <c r="B114" s="1237"/>
      <c r="C114" s="1237"/>
      <c r="D114" s="1237"/>
      <c r="E114" s="1237"/>
      <c r="F114" s="1237"/>
      <c r="G114" s="1237"/>
      <c r="H114" s="1237"/>
      <c r="I114" s="1237"/>
      <c r="J114" s="2945" t="s">
        <v>529</v>
      </c>
      <c r="K114" s="2945"/>
      <c r="L114" s="2945"/>
      <c r="M114" s="1237">
        <f t="shared" si="5"/>
        <v>0</v>
      </c>
      <c r="N114" s="1237" t="s">
        <v>912</v>
      </c>
      <c r="O114" s="2021">
        <v>3.2</v>
      </c>
      <c r="P114" s="2940"/>
      <c r="Q114" s="1238"/>
      <c r="R114" s="1239"/>
    </row>
    <row r="115" spans="1:18" ht="18.75" customHeight="1">
      <c r="A115" s="2927"/>
      <c r="B115" s="1237"/>
      <c r="C115" s="1237"/>
      <c r="D115" s="1237"/>
      <c r="E115" s="1237"/>
      <c r="F115" s="1237"/>
      <c r="G115" s="1237"/>
      <c r="H115" s="1237"/>
      <c r="I115" s="1237"/>
      <c r="J115" s="1237"/>
      <c r="K115" s="1237">
        <v>4</v>
      </c>
      <c r="L115" s="1237">
        <v>5</v>
      </c>
      <c r="M115" s="1237">
        <f t="shared" si="5"/>
        <v>1</v>
      </c>
      <c r="N115" s="1237" t="s">
        <v>913</v>
      </c>
      <c r="O115" s="2021">
        <v>0.39100000000000001</v>
      </c>
      <c r="P115" s="2941"/>
      <c r="Q115" s="1238"/>
      <c r="R115" s="1239"/>
    </row>
    <row r="116" spans="1:18" ht="18.75" customHeight="1">
      <c r="A116" s="2927"/>
      <c r="B116" s="1237" t="s">
        <v>466</v>
      </c>
      <c r="C116" s="1237" t="s">
        <v>793</v>
      </c>
      <c r="D116" s="1237" t="s">
        <v>840</v>
      </c>
      <c r="E116" s="1237" t="s">
        <v>511</v>
      </c>
      <c r="F116" s="1237" t="s">
        <v>772</v>
      </c>
      <c r="G116" s="1237">
        <v>2</v>
      </c>
      <c r="H116" s="1237" t="s">
        <v>470</v>
      </c>
      <c r="I116" s="1237" t="s">
        <v>841</v>
      </c>
      <c r="J116" s="1237">
        <v>2.2000000000000002</v>
      </c>
      <c r="K116" s="1237">
        <v>0</v>
      </c>
      <c r="L116" s="1237">
        <v>1</v>
      </c>
      <c r="M116" s="1237">
        <f t="shared" si="5"/>
        <v>1</v>
      </c>
      <c r="N116" s="1237" t="s">
        <v>914</v>
      </c>
      <c r="O116" s="2021">
        <v>1.57</v>
      </c>
      <c r="P116" s="2936">
        <f>+AVERAGE(O116:O119)</f>
        <v>1.2722500000000001</v>
      </c>
      <c r="Q116" s="1238"/>
      <c r="R116" s="1239"/>
    </row>
    <row r="117" spans="1:18" ht="18.75" customHeight="1">
      <c r="A117" s="2927"/>
      <c r="B117" s="1237"/>
      <c r="C117" s="1237"/>
      <c r="D117" s="1237"/>
      <c r="E117" s="1237"/>
      <c r="F117" s="1237"/>
      <c r="G117" s="1237"/>
      <c r="H117" s="1237"/>
      <c r="I117" s="1237"/>
      <c r="J117" s="1237"/>
      <c r="K117" s="1237">
        <v>1</v>
      </c>
      <c r="L117" s="1237">
        <v>2</v>
      </c>
      <c r="M117" s="1237">
        <f t="shared" si="5"/>
        <v>1</v>
      </c>
      <c r="N117" s="1237" t="s">
        <v>915</v>
      </c>
      <c r="O117" s="2021">
        <v>1.78</v>
      </c>
      <c r="P117" s="2937"/>
      <c r="Q117" s="1238"/>
      <c r="R117" s="1239"/>
    </row>
    <row r="118" spans="1:18" ht="18.75" customHeight="1">
      <c r="A118" s="2927"/>
      <c r="B118" s="1237"/>
      <c r="C118" s="1237"/>
      <c r="D118" s="1237"/>
      <c r="E118" s="1237"/>
      <c r="F118" s="1237"/>
      <c r="G118" s="1237"/>
      <c r="H118" s="1237"/>
      <c r="I118" s="1237"/>
      <c r="J118" s="1237"/>
      <c r="K118" s="1237">
        <v>2</v>
      </c>
      <c r="L118" s="1237">
        <v>3</v>
      </c>
      <c r="M118" s="1237">
        <f t="shared" si="5"/>
        <v>1</v>
      </c>
      <c r="N118" s="1237" t="s">
        <v>916</v>
      </c>
      <c r="O118" s="2021">
        <v>1.65</v>
      </c>
      <c r="P118" s="2937"/>
      <c r="Q118" s="1238"/>
      <c r="R118" s="1239"/>
    </row>
    <row r="119" spans="1:18" ht="18.75" customHeight="1">
      <c r="A119" s="2927"/>
      <c r="B119" s="1237"/>
      <c r="C119" s="1237"/>
      <c r="D119" s="1237"/>
      <c r="E119" s="1237"/>
      <c r="F119" s="1237"/>
      <c r="G119" s="1237"/>
      <c r="H119" s="1237"/>
      <c r="I119" s="1237"/>
      <c r="J119" s="1237"/>
      <c r="K119" s="1237">
        <v>3</v>
      </c>
      <c r="L119" s="1237">
        <v>4</v>
      </c>
      <c r="M119" s="1237">
        <f t="shared" si="5"/>
        <v>1</v>
      </c>
      <c r="N119" s="1237" t="s">
        <v>917</v>
      </c>
      <c r="O119" s="2021">
        <v>8.8999999999999996E-2</v>
      </c>
      <c r="P119" s="2937"/>
      <c r="Q119" s="1238"/>
      <c r="R119" s="1239"/>
    </row>
    <row r="120" spans="1:18" ht="18.75" customHeight="1">
      <c r="A120" s="2927"/>
      <c r="B120" s="1237"/>
      <c r="C120" s="1237"/>
      <c r="D120" s="1237"/>
      <c r="E120" s="1237"/>
      <c r="F120" s="1237"/>
      <c r="G120" s="1237"/>
      <c r="H120" s="1237"/>
      <c r="I120" s="1237"/>
      <c r="J120" s="2945" t="s">
        <v>776</v>
      </c>
      <c r="K120" s="2945"/>
      <c r="L120" s="2945"/>
      <c r="M120" s="1237">
        <f t="shared" si="5"/>
        <v>0</v>
      </c>
      <c r="N120" s="1237" t="s">
        <v>918</v>
      </c>
      <c r="O120" s="2021">
        <v>1.03</v>
      </c>
      <c r="P120" s="2938"/>
      <c r="Q120" s="1238"/>
      <c r="R120" s="1239"/>
    </row>
    <row r="121" spans="1:18" ht="18.75" customHeight="1">
      <c r="A121" s="2927"/>
      <c r="B121" s="1237" t="s">
        <v>466</v>
      </c>
      <c r="C121" s="1237" t="s">
        <v>846</v>
      </c>
      <c r="D121" s="1237"/>
      <c r="E121" s="1237" t="s">
        <v>511</v>
      </c>
      <c r="F121" s="1237" t="s">
        <v>772</v>
      </c>
      <c r="G121" s="1237">
        <v>2</v>
      </c>
      <c r="H121" s="1237" t="s">
        <v>470</v>
      </c>
      <c r="I121" s="1237" t="s">
        <v>847</v>
      </c>
      <c r="J121" s="1237">
        <v>18</v>
      </c>
      <c r="K121" s="1237">
        <v>0</v>
      </c>
      <c r="L121" s="1237">
        <v>1</v>
      </c>
      <c r="M121" s="1237">
        <f t="shared" si="5"/>
        <v>1</v>
      </c>
      <c r="N121" s="1237" t="s">
        <v>919</v>
      </c>
      <c r="O121" s="2021">
        <v>3.97</v>
      </c>
      <c r="P121" s="2935">
        <f>+AVERAGE(O121:O124,O126:O129)</f>
        <v>3.3287500000000003</v>
      </c>
      <c r="Q121" s="1238"/>
      <c r="R121" s="1239"/>
    </row>
    <row r="122" spans="1:18" ht="18.75" customHeight="1">
      <c r="A122" s="2927"/>
      <c r="B122" s="1237"/>
      <c r="C122" s="1237"/>
      <c r="D122" s="1237"/>
      <c r="E122" s="1237"/>
      <c r="F122" s="1237"/>
      <c r="G122" s="1237"/>
      <c r="H122" s="1237"/>
      <c r="I122" s="1237"/>
      <c r="J122" s="1237"/>
      <c r="K122" s="1237">
        <v>1</v>
      </c>
      <c r="L122" s="1237">
        <v>2</v>
      </c>
      <c r="M122" s="1237">
        <f t="shared" si="5"/>
        <v>1</v>
      </c>
      <c r="N122" s="1237" t="s">
        <v>920</v>
      </c>
      <c r="O122" s="2021">
        <v>2.44</v>
      </c>
      <c r="P122" s="2933"/>
      <c r="Q122" s="1238"/>
      <c r="R122" s="1239"/>
    </row>
    <row r="123" spans="1:18" ht="18.75" customHeight="1">
      <c r="A123" s="2927"/>
      <c r="B123" s="1237"/>
      <c r="C123" s="1237"/>
      <c r="D123" s="1237"/>
      <c r="E123" s="1237"/>
      <c r="F123" s="1237"/>
      <c r="G123" s="1237"/>
      <c r="H123" s="1237"/>
      <c r="I123" s="1237"/>
      <c r="J123" s="1237"/>
      <c r="K123" s="1237">
        <v>2</v>
      </c>
      <c r="L123" s="1237">
        <v>3</v>
      </c>
      <c r="M123" s="1237">
        <f t="shared" si="5"/>
        <v>1</v>
      </c>
      <c r="N123" s="1237" t="s">
        <v>921</v>
      </c>
      <c r="O123" s="2021">
        <v>2.87</v>
      </c>
      <c r="P123" s="2933"/>
      <c r="Q123" s="1238"/>
      <c r="R123" s="1239"/>
    </row>
    <row r="124" spans="1:18" ht="18.75" customHeight="1">
      <c r="A124" s="2927"/>
      <c r="B124" s="1237"/>
      <c r="C124" s="1237"/>
      <c r="D124" s="1237"/>
      <c r="E124" s="1237"/>
      <c r="F124" s="1237"/>
      <c r="G124" s="1237"/>
      <c r="H124" s="1237"/>
      <c r="I124" s="1237"/>
      <c r="J124" s="1237"/>
      <c r="K124" s="1237">
        <v>3</v>
      </c>
      <c r="L124" s="1237">
        <v>4</v>
      </c>
      <c r="M124" s="1237">
        <f t="shared" si="5"/>
        <v>1</v>
      </c>
      <c r="N124" s="1237" t="s">
        <v>922</v>
      </c>
      <c r="O124" s="2021">
        <v>5.27</v>
      </c>
      <c r="P124" s="2933"/>
      <c r="Q124" s="1238"/>
      <c r="R124" s="1239"/>
    </row>
    <row r="125" spans="1:18" ht="18.75" customHeight="1">
      <c r="A125" s="2927"/>
      <c r="B125" s="1237"/>
      <c r="C125" s="1237"/>
      <c r="D125" s="1237"/>
      <c r="E125" s="1237"/>
      <c r="F125" s="1237"/>
      <c r="G125" s="1237"/>
      <c r="H125" s="1237"/>
      <c r="I125" s="1237"/>
      <c r="J125" s="2945" t="s">
        <v>618</v>
      </c>
      <c r="K125" s="2945"/>
      <c r="L125" s="2945"/>
      <c r="M125" s="1237">
        <f t="shared" si="5"/>
        <v>0</v>
      </c>
      <c r="N125" s="1237" t="s">
        <v>923</v>
      </c>
      <c r="O125" s="2021">
        <v>7.68</v>
      </c>
      <c r="P125" s="2933"/>
      <c r="Q125" s="1238"/>
      <c r="R125" s="1239"/>
    </row>
    <row r="126" spans="1:18" ht="18.75" customHeight="1">
      <c r="A126" s="2927"/>
      <c r="B126" s="1237" t="s">
        <v>466</v>
      </c>
      <c r="C126" s="1237" t="s">
        <v>846</v>
      </c>
      <c r="D126" s="1237"/>
      <c r="E126" s="1237" t="s">
        <v>511</v>
      </c>
      <c r="F126" s="1237" t="s">
        <v>772</v>
      </c>
      <c r="G126" s="1237">
        <v>4</v>
      </c>
      <c r="H126" s="1237" t="s">
        <v>470</v>
      </c>
      <c r="I126" s="1237" t="s">
        <v>847</v>
      </c>
      <c r="J126" s="1237"/>
      <c r="K126" s="1237">
        <v>0</v>
      </c>
      <c r="L126" s="1237">
        <v>1</v>
      </c>
      <c r="M126" s="1237">
        <f t="shared" si="5"/>
        <v>1</v>
      </c>
      <c r="N126" s="1237" t="s">
        <v>924</v>
      </c>
      <c r="O126" s="2021">
        <v>4.62</v>
      </c>
      <c r="P126" s="2933"/>
      <c r="Q126" s="1238"/>
      <c r="R126" s="1239"/>
    </row>
    <row r="127" spans="1:18" ht="18.75" customHeight="1">
      <c r="A127" s="2927"/>
      <c r="B127" s="1237"/>
      <c r="C127" s="1237"/>
      <c r="D127" s="1237"/>
      <c r="E127" s="1237"/>
      <c r="F127" s="1237"/>
      <c r="G127" s="1237"/>
      <c r="H127" s="1237"/>
      <c r="I127" s="1237"/>
      <c r="J127" s="1237"/>
      <c r="K127" s="1237">
        <v>1</v>
      </c>
      <c r="L127" s="1237">
        <v>2</v>
      </c>
      <c r="M127" s="1237">
        <f t="shared" si="5"/>
        <v>1</v>
      </c>
      <c r="N127" s="1237" t="s">
        <v>925</v>
      </c>
      <c r="O127" s="2021">
        <v>4.63</v>
      </c>
      <c r="P127" s="2933"/>
      <c r="Q127" s="1238"/>
      <c r="R127" s="1239"/>
    </row>
    <row r="128" spans="1:18" ht="18.75" customHeight="1">
      <c r="A128" s="2927"/>
      <c r="B128" s="1237"/>
      <c r="C128" s="1237"/>
      <c r="D128" s="1237"/>
      <c r="E128" s="1237"/>
      <c r="F128" s="1237"/>
      <c r="G128" s="1237"/>
      <c r="H128" s="1237"/>
      <c r="I128" s="1237"/>
      <c r="J128" s="1237"/>
      <c r="K128" s="1237">
        <v>2</v>
      </c>
      <c r="L128" s="1237">
        <v>3</v>
      </c>
      <c r="M128" s="1237">
        <f t="shared" si="5"/>
        <v>1</v>
      </c>
      <c r="N128" s="1237" t="s">
        <v>926</v>
      </c>
      <c r="O128" s="2021">
        <v>1.25</v>
      </c>
      <c r="P128" s="2933"/>
      <c r="Q128" s="1238"/>
      <c r="R128" s="1239"/>
    </row>
    <row r="129" spans="1:18" ht="18.75" customHeight="1">
      <c r="A129" s="2927"/>
      <c r="B129" s="1237"/>
      <c r="C129" s="1237"/>
      <c r="D129" s="1237"/>
      <c r="E129" s="1237"/>
      <c r="F129" s="1237"/>
      <c r="G129" s="1237"/>
      <c r="H129" s="1237"/>
      <c r="I129" s="1237"/>
      <c r="J129" s="1237"/>
      <c r="K129" s="1237">
        <v>3</v>
      </c>
      <c r="L129" s="1237">
        <v>4</v>
      </c>
      <c r="M129" s="1237">
        <f t="shared" si="5"/>
        <v>1</v>
      </c>
      <c r="N129" s="1237" t="s">
        <v>927</v>
      </c>
      <c r="O129" s="2021">
        <v>1.58</v>
      </c>
      <c r="P129" s="2933"/>
      <c r="Q129" s="1238"/>
      <c r="R129" s="1239"/>
    </row>
    <row r="130" spans="1:18" ht="18.75" customHeight="1">
      <c r="A130" s="2927"/>
      <c r="B130" s="1237"/>
      <c r="C130" s="1237"/>
      <c r="D130" s="1237"/>
      <c r="E130" s="1237"/>
      <c r="F130" s="1237"/>
      <c r="G130" s="1237"/>
      <c r="H130" s="1237"/>
      <c r="I130" s="1237"/>
      <c r="J130" s="2945" t="s">
        <v>529</v>
      </c>
      <c r="K130" s="2945"/>
      <c r="L130" s="2945"/>
      <c r="M130" s="1237">
        <f t="shared" si="5"/>
        <v>0</v>
      </c>
      <c r="N130" s="1237" t="s">
        <v>928</v>
      </c>
      <c r="O130" s="2021">
        <v>0</v>
      </c>
      <c r="P130" s="2934"/>
      <c r="Q130" s="1238"/>
      <c r="R130" s="1239"/>
    </row>
    <row r="131" spans="1:18" ht="18.75" customHeight="1">
      <c r="A131" s="2927"/>
      <c r="B131" s="1237" t="s">
        <v>466</v>
      </c>
      <c r="C131" s="1237" t="s">
        <v>867</v>
      </c>
      <c r="D131" s="1237" t="s">
        <v>825</v>
      </c>
      <c r="E131" s="1237" t="s">
        <v>468</v>
      </c>
      <c r="F131" s="1237" t="s">
        <v>772</v>
      </c>
      <c r="G131" s="1237">
        <v>1.2</v>
      </c>
      <c r="H131" s="1237" t="s">
        <v>470</v>
      </c>
      <c r="I131" s="1237" t="s">
        <v>868</v>
      </c>
      <c r="J131" s="1237">
        <v>17</v>
      </c>
      <c r="K131" s="1237">
        <v>0</v>
      </c>
      <c r="L131" s="1237">
        <v>1</v>
      </c>
      <c r="M131" s="1237">
        <f t="shared" si="5"/>
        <v>1</v>
      </c>
      <c r="N131" s="1237" t="s">
        <v>929</v>
      </c>
      <c r="O131" s="2021">
        <v>0.94</v>
      </c>
      <c r="P131" s="2935">
        <f>+AVERAGE(O131:O136)</f>
        <v>3.5649999999999999</v>
      </c>
      <c r="Q131" s="1238"/>
      <c r="R131" s="1239"/>
    </row>
    <row r="132" spans="1:18" ht="18.75" customHeight="1">
      <c r="A132" s="2927"/>
      <c r="B132" s="1237"/>
      <c r="C132" s="1237"/>
      <c r="D132" s="1237"/>
      <c r="E132" s="1237"/>
      <c r="F132" s="1237"/>
      <c r="G132" s="1237"/>
      <c r="H132" s="1237"/>
      <c r="I132" s="1237"/>
      <c r="J132" s="1237"/>
      <c r="K132" s="1237">
        <v>1</v>
      </c>
      <c r="L132" s="1237">
        <v>2</v>
      </c>
      <c r="M132" s="1237">
        <f t="shared" si="5"/>
        <v>1</v>
      </c>
      <c r="N132" s="1237" t="s">
        <v>930</v>
      </c>
      <c r="O132" s="2021">
        <v>4.67</v>
      </c>
      <c r="P132" s="2933"/>
      <c r="Q132" s="1238"/>
      <c r="R132" s="1239"/>
    </row>
    <row r="133" spans="1:18" ht="18.75" customHeight="1">
      <c r="A133" s="2927"/>
      <c r="B133" s="1237"/>
      <c r="C133" s="1237"/>
      <c r="D133" s="1237"/>
      <c r="E133" s="1237"/>
      <c r="F133" s="1237"/>
      <c r="G133" s="1237"/>
      <c r="H133" s="1237"/>
      <c r="I133" s="1237"/>
      <c r="J133" s="1237"/>
      <c r="K133" s="1237">
        <v>2</v>
      </c>
      <c r="L133" s="1237">
        <v>3</v>
      </c>
      <c r="M133" s="1237">
        <f t="shared" si="5"/>
        <v>1</v>
      </c>
      <c r="N133" s="1237" t="s">
        <v>931</v>
      </c>
      <c r="O133" s="2021">
        <v>3.98</v>
      </c>
      <c r="P133" s="2933"/>
      <c r="Q133" s="1238"/>
      <c r="R133" s="1239"/>
    </row>
    <row r="134" spans="1:18" ht="18.75" customHeight="1">
      <c r="A134" s="2927"/>
      <c r="B134" s="1237" t="s">
        <v>466</v>
      </c>
      <c r="C134" s="1237" t="s">
        <v>867</v>
      </c>
      <c r="D134" s="1237" t="s">
        <v>825</v>
      </c>
      <c r="E134" s="1237" t="s">
        <v>468</v>
      </c>
      <c r="F134" s="1237" t="s">
        <v>772</v>
      </c>
      <c r="G134" s="1237">
        <v>3.2</v>
      </c>
      <c r="H134" s="1237" t="s">
        <v>470</v>
      </c>
      <c r="I134" s="1237" t="s">
        <v>868</v>
      </c>
      <c r="J134" s="1237">
        <v>17</v>
      </c>
      <c r="K134" s="1237">
        <v>0</v>
      </c>
      <c r="L134" s="1237">
        <v>1</v>
      </c>
      <c r="M134" s="1237">
        <f t="shared" si="5"/>
        <v>1</v>
      </c>
      <c r="N134" s="1237" t="s">
        <v>932</v>
      </c>
      <c r="O134" s="2024">
        <v>7.58</v>
      </c>
      <c r="P134" s="2933"/>
      <c r="Q134" s="1238"/>
      <c r="R134" s="1239"/>
    </row>
    <row r="135" spans="1:18" ht="18.75" customHeight="1">
      <c r="A135" s="2927"/>
      <c r="B135" s="1237"/>
      <c r="C135" s="1237"/>
      <c r="D135" s="1237"/>
      <c r="E135" s="1237"/>
      <c r="F135" s="1237"/>
      <c r="G135" s="1237"/>
      <c r="H135" s="1237"/>
      <c r="I135" s="1237"/>
      <c r="J135" s="1237"/>
      <c r="K135" s="1237">
        <v>1</v>
      </c>
      <c r="L135" s="1237">
        <v>2</v>
      </c>
      <c r="M135" s="1237">
        <f t="shared" ref="M135:M187" si="6">L135-K135</f>
        <v>1</v>
      </c>
      <c r="N135" s="1237" t="s">
        <v>933</v>
      </c>
      <c r="O135" s="2024">
        <v>4.09</v>
      </c>
      <c r="P135" s="2933"/>
      <c r="Q135" s="1238"/>
      <c r="R135" s="1239"/>
    </row>
    <row r="136" spans="1:18" ht="18.75" customHeight="1">
      <c r="A136" s="2927"/>
      <c r="B136" s="1237"/>
      <c r="C136" s="1237"/>
      <c r="D136" s="1237"/>
      <c r="E136" s="1237"/>
      <c r="F136" s="1237"/>
      <c r="G136" s="1237"/>
      <c r="H136" s="1237"/>
      <c r="I136" s="1237"/>
      <c r="J136" s="1237"/>
      <c r="K136" s="1237">
        <v>2</v>
      </c>
      <c r="L136" s="1237">
        <v>3</v>
      </c>
      <c r="M136" s="1237">
        <f t="shared" si="6"/>
        <v>1</v>
      </c>
      <c r="N136" s="1237" t="s">
        <v>934</v>
      </c>
      <c r="O136" s="2024">
        <v>0.13</v>
      </c>
      <c r="P136" s="2934"/>
      <c r="Q136" s="1238"/>
      <c r="R136" s="1239"/>
    </row>
    <row r="137" spans="1:18" ht="18.75" customHeight="1">
      <c r="A137" s="2927"/>
      <c r="B137" s="1237" t="s">
        <v>466</v>
      </c>
      <c r="C137" s="1237" t="s">
        <v>467</v>
      </c>
      <c r="D137" s="1237"/>
      <c r="E137" s="1237" t="s">
        <v>511</v>
      </c>
      <c r="F137" s="1237" t="s">
        <v>772</v>
      </c>
      <c r="G137" s="1237">
        <v>2</v>
      </c>
      <c r="H137" s="1237" t="s">
        <v>474</v>
      </c>
      <c r="I137" s="1237" t="s">
        <v>859</v>
      </c>
      <c r="J137" s="1237"/>
      <c r="K137" s="1237">
        <v>0</v>
      </c>
      <c r="L137" s="1237">
        <v>1</v>
      </c>
      <c r="M137" s="1237">
        <f t="shared" si="6"/>
        <v>1</v>
      </c>
      <c r="N137" s="1237" t="s">
        <v>935</v>
      </c>
      <c r="O137" s="2024">
        <v>6.74</v>
      </c>
      <c r="P137" s="2942">
        <f>+AVERAGE(O137:O139,O141:O144,O146:O147)</f>
        <v>5.9555555555555557</v>
      </c>
      <c r="Q137" s="1238"/>
      <c r="R137" s="1239"/>
    </row>
    <row r="138" spans="1:18" ht="18.75" customHeight="1">
      <c r="A138" s="2927"/>
      <c r="B138" s="1237"/>
      <c r="C138" s="1237"/>
      <c r="D138" s="1237"/>
      <c r="E138" s="1237"/>
      <c r="F138" s="1237"/>
      <c r="G138" s="1237"/>
      <c r="H138" s="1237"/>
      <c r="I138" s="1237"/>
      <c r="J138" s="1237"/>
      <c r="K138" s="1237">
        <v>1</v>
      </c>
      <c r="L138" s="1237">
        <v>2</v>
      </c>
      <c r="M138" s="1237">
        <f t="shared" si="6"/>
        <v>1</v>
      </c>
      <c r="N138" s="1237" t="s">
        <v>936</v>
      </c>
      <c r="O138" s="2024">
        <v>7.85</v>
      </c>
      <c r="P138" s="2943"/>
      <c r="Q138" s="1238"/>
      <c r="R138" s="1239"/>
    </row>
    <row r="139" spans="1:18" ht="18.75" customHeight="1">
      <c r="A139" s="2927"/>
      <c r="B139" s="1237"/>
      <c r="C139" s="1237"/>
      <c r="D139" s="1237"/>
      <c r="E139" s="1237"/>
      <c r="F139" s="1237"/>
      <c r="G139" s="1237"/>
      <c r="H139" s="1237"/>
      <c r="I139" s="1237"/>
      <c r="J139" s="1237"/>
      <c r="K139" s="1237">
        <v>2</v>
      </c>
      <c r="L139" s="1237">
        <v>3</v>
      </c>
      <c r="M139" s="1237">
        <f t="shared" si="6"/>
        <v>1</v>
      </c>
      <c r="N139" s="1237" t="s">
        <v>937</v>
      </c>
      <c r="O139" s="2024">
        <v>3.88</v>
      </c>
      <c r="P139" s="2943"/>
      <c r="Q139" s="1238"/>
      <c r="R139" s="1239"/>
    </row>
    <row r="140" spans="1:18" ht="18.75" customHeight="1">
      <c r="A140" s="2927"/>
      <c r="B140" s="1237"/>
      <c r="C140" s="1237"/>
      <c r="D140" s="1237"/>
      <c r="E140" s="1237"/>
      <c r="F140" s="1237"/>
      <c r="G140" s="1237"/>
      <c r="H140" s="1237"/>
      <c r="I140" s="1237"/>
      <c r="J140" s="2945" t="s">
        <v>938</v>
      </c>
      <c r="K140" s="2945"/>
      <c r="L140" s="2945"/>
      <c r="M140" s="1237">
        <f t="shared" si="6"/>
        <v>0</v>
      </c>
      <c r="N140" s="1237" t="s">
        <v>939</v>
      </c>
      <c r="O140" s="2024">
        <v>1.05</v>
      </c>
      <c r="P140" s="2943"/>
      <c r="Q140" s="1238"/>
      <c r="R140" s="1239"/>
    </row>
    <row r="141" spans="1:18" ht="18.75" customHeight="1">
      <c r="A141" s="2927"/>
      <c r="B141" s="1237" t="s">
        <v>466</v>
      </c>
      <c r="C141" s="1237" t="s">
        <v>467</v>
      </c>
      <c r="D141" s="1237"/>
      <c r="E141" s="1237" t="s">
        <v>511</v>
      </c>
      <c r="F141" s="1237" t="s">
        <v>772</v>
      </c>
      <c r="G141" s="1237">
        <v>4</v>
      </c>
      <c r="H141" s="1237" t="s">
        <v>474</v>
      </c>
      <c r="I141" s="1237" t="s">
        <v>859</v>
      </c>
      <c r="J141" s="1237"/>
      <c r="K141" s="1237">
        <v>0</v>
      </c>
      <c r="L141" s="1237">
        <v>1</v>
      </c>
      <c r="M141" s="1237">
        <f t="shared" si="6"/>
        <v>1</v>
      </c>
      <c r="N141" s="1237" t="s">
        <v>940</v>
      </c>
      <c r="O141" s="2024">
        <v>6.55</v>
      </c>
      <c r="P141" s="2943"/>
      <c r="Q141" s="1238"/>
      <c r="R141" s="1239"/>
    </row>
    <row r="142" spans="1:18" ht="18.75" customHeight="1">
      <c r="A142" s="2927"/>
      <c r="B142" s="1237"/>
      <c r="C142" s="1237"/>
      <c r="D142" s="1237"/>
      <c r="E142" s="1237"/>
      <c r="F142" s="1237"/>
      <c r="G142" s="1237"/>
      <c r="H142" s="1237"/>
      <c r="I142" s="1237"/>
      <c r="J142" s="1237"/>
      <c r="K142" s="1237">
        <v>1</v>
      </c>
      <c r="L142" s="1237">
        <v>2</v>
      </c>
      <c r="M142" s="1237">
        <f t="shared" si="6"/>
        <v>1</v>
      </c>
      <c r="N142" s="1237" t="s">
        <v>941</v>
      </c>
      <c r="O142" s="2024">
        <v>8.4499999999999993</v>
      </c>
      <c r="P142" s="2943"/>
      <c r="Q142" s="1238"/>
      <c r="R142" s="1239"/>
    </row>
    <row r="143" spans="1:18" ht="18.75" customHeight="1">
      <c r="A143" s="2927"/>
      <c r="B143" s="1237"/>
      <c r="C143" s="1237"/>
      <c r="D143" s="1237"/>
      <c r="E143" s="1237"/>
      <c r="F143" s="1237"/>
      <c r="G143" s="1237"/>
      <c r="H143" s="1237"/>
      <c r="I143" s="1237"/>
      <c r="J143" s="1237"/>
      <c r="K143" s="1237">
        <v>2</v>
      </c>
      <c r="L143" s="1237">
        <v>3</v>
      </c>
      <c r="M143" s="1237">
        <f t="shared" si="6"/>
        <v>1</v>
      </c>
      <c r="N143" s="1237" t="s">
        <v>942</v>
      </c>
      <c r="O143" s="2024">
        <v>3.17</v>
      </c>
      <c r="P143" s="2943"/>
      <c r="Q143" s="1238"/>
      <c r="R143" s="1239"/>
    </row>
    <row r="144" spans="1:18" ht="18.75" customHeight="1">
      <c r="A144" s="2927"/>
      <c r="B144" s="1237" t="s">
        <v>466</v>
      </c>
      <c r="C144" s="1237" t="s">
        <v>467</v>
      </c>
      <c r="D144" s="1237"/>
      <c r="E144" s="1237" t="s">
        <v>511</v>
      </c>
      <c r="F144" s="1237" t="s">
        <v>772</v>
      </c>
      <c r="G144" s="1237">
        <v>4</v>
      </c>
      <c r="H144" s="1237" t="s">
        <v>474</v>
      </c>
      <c r="I144" s="1237" t="s">
        <v>859</v>
      </c>
      <c r="J144" s="1237"/>
      <c r="K144" s="1237">
        <v>0</v>
      </c>
      <c r="L144" s="1237">
        <v>1</v>
      </c>
      <c r="M144" s="1237">
        <f t="shared" si="6"/>
        <v>1</v>
      </c>
      <c r="N144" s="1237" t="s">
        <v>943</v>
      </c>
      <c r="O144" s="2024">
        <v>5.29</v>
      </c>
      <c r="P144" s="2943"/>
      <c r="Q144" s="1238"/>
      <c r="R144" s="1239"/>
    </row>
    <row r="145" spans="1:18" ht="18.75" customHeight="1">
      <c r="A145" s="2927"/>
      <c r="B145" s="1237"/>
      <c r="C145" s="1237"/>
      <c r="D145" s="1237"/>
      <c r="E145" s="1237"/>
      <c r="F145" s="1237"/>
      <c r="G145" s="1237"/>
      <c r="H145" s="1237"/>
      <c r="I145" s="1237"/>
      <c r="J145" s="2945" t="s">
        <v>618</v>
      </c>
      <c r="K145" s="2945"/>
      <c r="L145" s="2945"/>
      <c r="M145" s="1237">
        <f t="shared" si="6"/>
        <v>0</v>
      </c>
      <c r="N145" s="1237" t="s">
        <v>944</v>
      </c>
      <c r="O145" s="2024">
        <v>3.77</v>
      </c>
      <c r="P145" s="2943"/>
      <c r="Q145" s="1238"/>
      <c r="R145" s="1239"/>
    </row>
    <row r="146" spans="1:18" ht="18.75" customHeight="1">
      <c r="A146" s="2927"/>
      <c r="B146" s="1237"/>
      <c r="C146" s="1237"/>
      <c r="D146" s="1237"/>
      <c r="E146" s="1237"/>
      <c r="F146" s="1237"/>
      <c r="G146" s="1237"/>
      <c r="H146" s="1237"/>
      <c r="I146" s="1237"/>
      <c r="J146" s="1237"/>
      <c r="K146" s="1237">
        <v>1</v>
      </c>
      <c r="L146" s="1237">
        <v>2</v>
      </c>
      <c r="M146" s="1237">
        <f t="shared" si="6"/>
        <v>1</v>
      </c>
      <c r="N146" s="1237" t="s">
        <v>945</v>
      </c>
      <c r="O146" s="2024">
        <v>6.74</v>
      </c>
      <c r="P146" s="2943"/>
      <c r="Q146" s="1238"/>
      <c r="R146" s="1239"/>
    </row>
    <row r="147" spans="1:18" ht="18.75" customHeight="1">
      <c r="A147" s="2927"/>
      <c r="B147" s="1237"/>
      <c r="C147" s="1237"/>
      <c r="D147" s="1237"/>
      <c r="E147" s="1237"/>
      <c r="F147" s="1237"/>
      <c r="G147" s="1237"/>
      <c r="H147" s="1237"/>
      <c r="I147" s="1237"/>
      <c r="J147" s="1237"/>
      <c r="K147" s="1237">
        <v>2</v>
      </c>
      <c r="L147" s="1237">
        <v>3</v>
      </c>
      <c r="M147" s="1237">
        <f t="shared" si="6"/>
        <v>1</v>
      </c>
      <c r="N147" s="1237" t="s">
        <v>946</v>
      </c>
      <c r="O147" s="2024">
        <v>4.93</v>
      </c>
      <c r="P147" s="2944"/>
      <c r="Q147" s="1238"/>
      <c r="R147" s="1239"/>
    </row>
    <row r="148" spans="1:18" ht="18.75" customHeight="1">
      <c r="A148" s="2927"/>
      <c r="B148" s="1237" t="s">
        <v>466</v>
      </c>
      <c r="C148" s="1237" t="s">
        <v>516</v>
      </c>
      <c r="D148" s="1237" t="s">
        <v>817</v>
      </c>
      <c r="E148" s="1237" t="s">
        <v>511</v>
      </c>
      <c r="F148" s="1237" t="s">
        <v>785</v>
      </c>
      <c r="G148" s="1237">
        <v>4.2</v>
      </c>
      <c r="H148" s="1237" t="s">
        <v>474</v>
      </c>
      <c r="I148" s="1237" t="s">
        <v>830</v>
      </c>
      <c r="J148" s="1237"/>
      <c r="K148" s="1237">
        <v>0</v>
      </c>
      <c r="L148" s="1237">
        <v>1</v>
      </c>
      <c r="M148" s="1237">
        <f t="shared" si="6"/>
        <v>1</v>
      </c>
      <c r="N148" s="1237" t="s">
        <v>947</v>
      </c>
      <c r="O148" s="2024">
        <v>1.47</v>
      </c>
      <c r="P148" s="2946">
        <f>+AVERAGE(O148:O149,O151:O154,O156:O157)</f>
        <v>0.9325</v>
      </c>
      <c r="Q148" s="1238"/>
      <c r="R148" s="1239"/>
    </row>
    <row r="149" spans="1:18" ht="18.75" customHeight="1">
      <c r="A149" s="2927"/>
      <c r="B149" s="1237"/>
      <c r="C149" s="1237"/>
      <c r="D149" s="1237"/>
      <c r="E149" s="1237"/>
      <c r="F149" s="1237"/>
      <c r="G149" s="1237"/>
      <c r="H149" s="1237"/>
      <c r="I149" s="1237"/>
      <c r="J149" s="1237"/>
      <c r="K149" s="1237">
        <v>1</v>
      </c>
      <c r="L149" s="1237">
        <v>2</v>
      </c>
      <c r="M149" s="1237">
        <f t="shared" si="6"/>
        <v>1</v>
      </c>
      <c r="N149" s="1237" t="s">
        <v>948</v>
      </c>
      <c r="O149" s="2024">
        <v>0.74</v>
      </c>
      <c r="P149" s="2947"/>
      <c r="Q149" s="1238"/>
      <c r="R149" s="1239"/>
    </row>
    <row r="150" spans="1:18" ht="18.75" customHeight="1">
      <c r="A150" s="2927"/>
      <c r="B150" s="1237"/>
      <c r="C150" s="1237"/>
      <c r="D150" s="1237"/>
      <c r="E150" s="1237"/>
      <c r="F150" s="1237"/>
      <c r="G150" s="1237"/>
      <c r="H150" s="1237"/>
      <c r="I150" s="1237"/>
      <c r="J150" s="2945" t="s">
        <v>618</v>
      </c>
      <c r="K150" s="2945"/>
      <c r="L150" s="2945"/>
      <c r="M150" s="1237">
        <f t="shared" si="6"/>
        <v>0</v>
      </c>
      <c r="N150" s="1237" t="s">
        <v>949</v>
      </c>
      <c r="O150" s="2024">
        <v>0.44</v>
      </c>
      <c r="P150" s="2947"/>
      <c r="Q150" s="1238"/>
      <c r="R150" s="1239"/>
    </row>
    <row r="151" spans="1:18" ht="18.75" customHeight="1">
      <c r="A151" s="2927"/>
      <c r="B151" s="1237"/>
      <c r="C151" s="1237"/>
      <c r="D151" s="1237"/>
      <c r="E151" s="1237"/>
      <c r="F151" s="1237"/>
      <c r="G151" s="1237"/>
      <c r="H151" s="1237"/>
      <c r="I151" s="1237"/>
      <c r="J151" s="1237"/>
      <c r="K151" s="1237">
        <v>2</v>
      </c>
      <c r="L151" s="1237">
        <v>3</v>
      </c>
      <c r="M151" s="1237">
        <f t="shared" si="6"/>
        <v>1</v>
      </c>
      <c r="N151" s="1237" t="s">
        <v>950</v>
      </c>
      <c r="O151" s="2024">
        <v>0.34</v>
      </c>
      <c r="P151" s="2947"/>
      <c r="Q151" s="1238"/>
      <c r="R151" s="1239"/>
    </row>
    <row r="152" spans="1:18" ht="18.75" customHeight="1">
      <c r="A152" s="2927"/>
      <c r="B152" s="1237" t="s">
        <v>466</v>
      </c>
      <c r="C152" s="1237" t="s">
        <v>516</v>
      </c>
      <c r="D152" s="1237" t="s">
        <v>817</v>
      </c>
      <c r="E152" s="1237" t="s">
        <v>468</v>
      </c>
      <c r="F152" s="1237" t="s">
        <v>772</v>
      </c>
      <c r="G152" s="1237">
        <v>2.6</v>
      </c>
      <c r="H152" s="1237" t="s">
        <v>474</v>
      </c>
      <c r="I152" s="1237" t="s">
        <v>830</v>
      </c>
      <c r="J152" s="1237"/>
      <c r="K152" s="1237">
        <v>0</v>
      </c>
      <c r="L152" s="1237">
        <v>1</v>
      </c>
      <c r="M152" s="1237">
        <f t="shared" si="6"/>
        <v>1</v>
      </c>
      <c r="N152" s="1237" t="s">
        <v>951</v>
      </c>
      <c r="O152" s="2024">
        <v>0.57999999999999996</v>
      </c>
      <c r="P152" s="2947"/>
      <c r="Q152" s="1238"/>
      <c r="R152" s="1239"/>
    </row>
    <row r="153" spans="1:18" ht="18.75" customHeight="1">
      <c r="A153" s="2927"/>
      <c r="B153" s="1237"/>
      <c r="C153" s="1237"/>
      <c r="D153" s="1237"/>
      <c r="E153" s="1237"/>
      <c r="F153" s="1237"/>
      <c r="G153" s="1237"/>
      <c r="H153" s="1237"/>
      <c r="I153" s="1237"/>
      <c r="J153" s="1237"/>
      <c r="K153" s="1237">
        <v>1</v>
      </c>
      <c r="L153" s="1237">
        <v>2</v>
      </c>
      <c r="M153" s="1237">
        <f t="shared" si="6"/>
        <v>1</v>
      </c>
      <c r="N153" s="1237" t="s">
        <v>952</v>
      </c>
      <c r="O153" s="2024">
        <v>0.6</v>
      </c>
      <c r="P153" s="2947"/>
      <c r="Q153" s="1238"/>
      <c r="R153" s="1239"/>
    </row>
    <row r="154" spans="1:18" ht="18.75" customHeight="1">
      <c r="A154" s="2927"/>
      <c r="B154" s="1237"/>
      <c r="C154" s="1237"/>
      <c r="D154" s="1237"/>
      <c r="E154" s="1237"/>
      <c r="F154" s="1237"/>
      <c r="G154" s="1237"/>
      <c r="H154" s="1237"/>
      <c r="I154" s="1237"/>
      <c r="J154" s="1237"/>
      <c r="K154" s="1237">
        <v>2</v>
      </c>
      <c r="L154" s="1237">
        <v>3</v>
      </c>
      <c r="M154" s="1237">
        <f t="shared" si="6"/>
        <v>1</v>
      </c>
      <c r="N154" s="1237" t="s">
        <v>953</v>
      </c>
      <c r="O154" s="2024">
        <v>1.02</v>
      </c>
      <c r="P154" s="2947"/>
      <c r="Q154" s="1238"/>
      <c r="R154" s="1239"/>
    </row>
    <row r="155" spans="1:18" ht="18.75" customHeight="1">
      <c r="A155" s="2927"/>
      <c r="B155" s="1237"/>
      <c r="C155" s="1237"/>
      <c r="D155" s="1237"/>
      <c r="E155" s="1237"/>
      <c r="F155" s="1237"/>
      <c r="G155" s="1237"/>
      <c r="H155" s="1237"/>
      <c r="I155" s="1237"/>
      <c r="J155" s="2945" t="s">
        <v>954</v>
      </c>
      <c r="K155" s="2945"/>
      <c r="L155" s="2945"/>
      <c r="M155" s="1237">
        <f t="shared" si="6"/>
        <v>0</v>
      </c>
      <c r="N155" s="1237" t="s">
        <v>955</v>
      </c>
      <c r="O155" s="2024">
        <v>0.68</v>
      </c>
      <c r="P155" s="2947"/>
      <c r="Q155" s="1238"/>
      <c r="R155" s="1239"/>
    </row>
    <row r="156" spans="1:18" ht="18.75" customHeight="1">
      <c r="A156" s="2927"/>
      <c r="B156" s="1237"/>
      <c r="C156" s="1237"/>
      <c r="D156" s="1237"/>
      <c r="E156" s="1237"/>
      <c r="F156" s="1237"/>
      <c r="G156" s="1237"/>
      <c r="H156" s="1237"/>
      <c r="I156" s="1237"/>
      <c r="J156" s="1237"/>
      <c r="K156" s="1237">
        <v>3</v>
      </c>
      <c r="L156" s="1237">
        <v>4</v>
      </c>
      <c r="M156" s="1237">
        <f t="shared" si="6"/>
        <v>1</v>
      </c>
      <c r="N156" s="1237" t="s">
        <v>956</v>
      </c>
      <c r="O156" s="2024">
        <v>0.45</v>
      </c>
      <c r="P156" s="2947"/>
      <c r="Q156" s="1238"/>
      <c r="R156" s="1239"/>
    </row>
    <row r="157" spans="1:18" ht="18.75" customHeight="1" thickBot="1">
      <c r="A157" s="2927"/>
      <c r="B157" s="1237"/>
      <c r="C157" s="1237"/>
      <c r="D157" s="1237"/>
      <c r="E157" s="1237"/>
      <c r="F157" s="1237"/>
      <c r="G157" s="1237"/>
      <c r="H157" s="1237"/>
      <c r="I157" s="1237"/>
      <c r="J157" s="1237"/>
      <c r="K157" s="1237">
        <v>4</v>
      </c>
      <c r="L157" s="1237">
        <v>4.5999999999999996</v>
      </c>
      <c r="M157" s="1237">
        <f t="shared" si="6"/>
        <v>0.59999999999999964</v>
      </c>
      <c r="N157" s="1237" t="s">
        <v>957</v>
      </c>
      <c r="O157" s="2024">
        <v>2.2599999999999998</v>
      </c>
      <c r="P157" s="2948"/>
      <c r="Q157" s="1238"/>
      <c r="R157" s="1239"/>
    </row>
    <row r="158" spans="1:18" ht="18.75" customHeight="1">
      <c r="A158" s="2926">
        <v>45872</v>
      </c>
      <c r="B158" s="1585" t="s">
        <v>466</v>
      </c>
      <c r="C158" s="1585" t="s">
        <v>824</v>
      </c>
      <c r="D158" s="1585" t="s">
        <v>825</v>
      </c>
      <c r="E158" s="1585" t="s">
        <v>481</v>
      </c>
      <c r="F158" s="1585" t="s">
        <v>958</v>
      </c>
      <c r="G158" s="1585">
        <v>1.2</v>
      </c>
      <c r="H158" s="1585" t="s">
        <v>470</v>
      </c>
      <c r="I158" s="1585" t="s">
        <v>826</v>
      </c>
      <c r="J158" s="1585"/>
      <c r="K158" s="1585">
        <v>0</v>
      </c>
      <c r="L158" s="1585">
        <v>1</v>
      </c>
      <c r="M158" s="1585">
        <f t="shared" si="6"/>
        <v>1</v>
      </c>
      <c r="N158" s="1585" t="s">
        <v>959</v>
      </c>
      <c r="O158" s="2026">
        <v>0.85</v>
      </c>
      <c r="P158" s="2929">
        <f>+AVERAGE(O158,O160:O169,O171:O174,O176:O179,O181)</f>
        <v>1.5315000000000001</v>
      </c>
      <c r="Q158" s="1586"/>
      <c r="R158" s="1587"/>
    </row>
    <row r="159" spans="1:18" ht="18.75" customHeight="1">
      <c r="A159" s="2927"/>
      <c r="B159" s="1237"/>
      <c r="C159" s="1237"/>
      <c r="D159" s="1237"/>
      <c r="E159" s="1237"/>
      <c r="F159" s="1237"/>
      <c r="G159" s="1237"/>
      <c r="H159" s="1237"/>
      <c r="I159" s="1237"/>
      <c r="J159" s="1237"/>
      <c r="K159" s="1237">
        <v>1</v>
      </c>
      <c r="L159" s="1237">
        <v>2</v>
      </c>
      <c r="M159" s="1237">
        <f t="shared" si="6"/>
        <v>1</v>
      </c>
      <c r="N159" s="1237" t="s">
        <v>960</v>
      </c>
      <c r="O159" s="2024">
        <v>0.52</v>
      </c>
      <c r="P159" s="2930"/>
      <c r="Q159" s="1238"/>
      <c r="R159" s="1239"/>
    </row>
    <row r="160" spans="1:18" ht="18.75" customHeight="1">
      <c r="A160" s="2927"/>
      <c r="B160" s="1237"/>
      <c r="C160" s="1237"/>
      <c r="D160" s="1237"/>
      <c r="E160" s="1237"/>
      <c r="F160" s="1237"/>
      <c r="G160" s="1237"/>
      <c r="H160" s="1237"/>
      <c r="I160" s="1237"/>
      <c r="J160" s="2945" t="s">
        <v>961</v>
      </c>
      <c r="K160" s="2945"/>
      <c r="L160" s="2945"/>
      <c r="M160" s="1237">
        <f t="shared" si="6"/>
        <v>0</v>
      </c>
      <c r="N160" s="1237" t="s">
        <v>962</v>
      </c>
      <c r="O160" s="2024">
        <v>1.71</v>
      </c>
      <c r="P160" s="2930"/>
      <c r="Q160" s="1238"/>
      <c r="R160" s="1239"/>
    </row>
    <row r="161" spans="1:18" ht="18.75" customHeight="1">
      <c r="A161" s="2927"/>
      <c r="B161" s="1237"/>
      <c r="C161" s="1237"/>
      <c r="D161" s="1237"/>
      <c r="E161" s="1237"/>
      <c r="F161" s="1237"/>
      <c r="G161" s="1237"/>
      <c r="H161" s="1237"/>
      <c r="I161" s="1237"/>
      <c r="J161" s="1237"/>
      <c r="K161" s="1237">
        <v>2</v>
      </c>
      <c r="L161" s="1237">
        <v>3</v>
      </c>
      <c r="M161" s="1237">
        <f t="shared" si="6"/>
        <v>1</v>
      </c>
      <c r="N161" s="1237" t="s">
        <v>963</v>
      </c>
      <c r="O161" s="2024">
        <v>2.99</v>
      </c>
      <c r="P161" s="2930"/>
      <c r="Q161" s="1238"/>
      <c r="R161" s="1239"/>
    </row>
    <row r="162" spans="1:18" ht="18.75" customHeight="1">
      <c r="A162" s="2927"/>
      <c r="B162" s="1237"/>
      <c r="C162" s="1237"/>
      <c r="D162" s="1237"/>
      <c r="E162" s="1237"/>
      <c r="F162" s="1237"/>
      <c r="G162" s="1237"/>
      <c r="H162" s="1237"/>
      <c r="I162" s="1237"/>
      <c r="J162" s="1237"/>
      <c r="K162" s="1237">
        <v>3</v>
      </c>
      <c r="L162" s="1237">
        <v>4</v>
      </c>
      <c r="M162" s="1237">
        <f t="shared" si="6"/>
        <v>1</v>
      </c>
      <c r="N162" s="1237" t="s">
        <v>964</v>
      </c>
      <c r="O162" s="2024">
        <v>2.0099999999999998</v>
      </c>
      <c r="P162" s="2930"/>
      <c r="Q162" s="1238"/>
      <c r="R162" s="1239"/>
    </row>
    <row r="163" spans="1:18" ht="18.75" customHeight="1">
      <c r="A163" s="2927"/>
      <c r="B163" s="1237"/>
      <c r="C163" s="1237"/>
      <c r="D163" s="1237"/>
      <c r="E163" s="1237"/>
      <c r="F163" s="1237"/>
      <c r="G163" s="1237"/>
      <c r="H163" s="1237"/>
      <c r="I163" s="1237"/>
      <c r="J163" s="1237"/>
      <c r="K163" s="1237">
        <v>4</v>
      </c>
      <c r="L163" s="1237">
        <v>5</v>
      </c>
      <c r="M163" s="1237">
        <f t="shared" si="6"/>
        <v>1</v>
      </c>
      <c r="N163" s="1237" t="s">
        <v>965</v>
      </c>
      <c r="O163" s="2024">
        <v>6.88</v>
      </c>
      <c r="P163" s="2930"/>
      <c r="Q163" s="1238"/>
      <c r="R163" s="1239"/>
    </row>
    <row r="164" spans="1:18" ht="18.75" customHeight="1">
      <c r="A164" s="2927"/>
      <c r="B164" s="1237" t="s">
        <v>466</v>
      </c>
      <c r="C164" s="1237" t="s">
        <v>824</v>
      </c>
      <c r="D164" s="1237" t="s">
        <v>825</v>
      </c>
      <c r="E164" s="1237" t="s">
        <v>481</v>
      </c>
      <c r="F164" s="1237" t="s">
        <v>966</v>
      </c>
      <c r="G164" s="1237">
        <v>3</v>
      </c>
      <c r="H164" s="1237" t="s">
        <v>808</v>
      </c>
      <c r="I164" s="1237" t="s">
        <v>826</v>
      </c>
      <c r="J164" s="1237"/>
      <c r="K164" s="1237">
        <v>0</v>
      </c>
      <c r="L164" s="1237">
        <v>0.8</v>
      </c>
      <c r="M164" s="1237">
        <f t="shared" si="6"/>
        <v>0.8</v>
      </c>
      <c r="N164" s="1237" t="s">
        <v>967</v>
      </c>
      <c r="O164" s="2024">
        <v>0.13</v>
      </c>
      <c r="P164" s="2930"/>
      <c r="Q164" s="1238"/>
      <c r="R164" s="1239"/>
    </row>
    <row r="165" spans="1:18" ht="18.75" customHeight="1">
      <c r="A165" s="2927"/>
      <c r="B165" s="1237"/>
      <c r="C165" s="1237"/>
      <c r="D165" s="1237"/>
      <c r="E165" s="1237"/>
      <c r="F165" s="1237"/>
      <c r="G165" s="1237"/>
      <c r="H165" s="1237"/>
      <c r="I165" s="1237"/>
      <c r="J165" s="1237"/>
      <c r="K165" s="1237">
        <v>0.8</v>
      </c>
      <c r="L165" s="1237">
        <v>1.6</v>
      </c>
      <c r="M165" s="1237">
        <f t="shared" si="6"/>
        <v>0.8</v>
      </c>
      <c r="N165" s="1237" t="s">
        <v>968</v>
      </c>
      <c r="O165" s="2024">
        <v>0.26</v>
      </c>
      <c r="P165" s="2930"/>
      <c r="Q165" s="1238"/>
      <c r="R165" s="1239"/>
    </row>
    <row r="166" spans="1:18" ht="18.75" customHeight="1">
      <c r="A166" s="2927"/>
      <c r="B166" s="1237"/>
      <c r="C166" s="1237"/>
      <c r="D166" s="1237"/>
      <c r="E166" s="1237"/>
      <c r="F166" s="1237"/>
      <c r="G166" s="1237"/>
      <c r="H166" s="1237"/>
      <c r="I166" s="1237"/>
      <c r="J166" s="1237"/>
      <c r="K166" s="1237">
        <v>1.6</v>
      </c>
      <c r="L166" s="1237">
        <v>2.4</v>
      </c>
      <c r="M166" s="1237">
        <f t="shared" si="6"/>
        <v>0.79999999999999982</v>
      </c>
      <c r="N166" s="1237" t="s">
        <v>969</v>
      </c>
      <c r="O166" s="2024">
        <v>3.79</v>
      </c>
      <c r="P166" s="2930"/>
      <c r="Q166" s="1238"/>
      <c r="R166" s="1239"/>
    </row>
    <row r="167" spans="1:18" ht="18.75" customHeight="1">
      <c r="A167" s="2927"/>
      <c r="B167" s="1237" t="s">
        <v>466</v>
      </c>
      <c r="C167" s="1237" t="s">
        <v>824</v>
      </c>
      <c r="D167" s="1237" t="s">
        <v>825</v>
      </c>
      <c r="E167" s="1237" t="s">
        <v>481</v>
      </c>
      <c r="F167" s="1237" t="s">
        <v>966</v>
      </c>
      <c r="G167" s="1237">
        <v>4</v>
      </c>
      <c r="H167" s="1237" t="s">
        <v>808</v>
      </c>
      <c r="I167" s="1237" t="s">
        <v>826</v>
      </c>
      <c r="J167" s="1237"/>
      <c r="K167" s="1237">
        <v>0</v>
      </c>
      <c r="L167" s="1237">
        <v>0.8</v>
      </c>
      <c r="M167" s="1237">
        <f t="shared" si="6"/>
        <v>0.8</v>
      </c>
      <c r="N167" s="1237" t="s">
        <v>970</v>
      </c>
      <c r="O167" s="2024">
        <v>0.41</v>
      </c>
      <c r="P167" s="2930"/>
      <c r="Q167" s="1238"/>
      <c r="R167" s="1239"/>
    </row>
    <row r="168" spans="1:18" ht="18.75" customHeight="1">
      <c r="A168" s="2927"/>
      <c r="B168" s="1237"/>
      <c r="C168" s="1237"/>
      <c r="D168" s="1237"/>
      <c r="E168" s="1237"/>
      <c r="F168" s="1237"/>
      <c r="G168" s="1237"/>
      <c r="H168" s="1237"/>
      <c r="I168" s="1237"/>
      <c r="J168" s="1237"/>
      <c r="K168" s="1237">
        <v>0.8</v>
      </c>
      <c r="L168" s="1237">
        <v>1.6</v>
      </c>
      <c r="M168" s="1237">
        <f t="shared" si="6"/>
        <v>0.8</v>
      </c>
      <c r="N168" s="1237" t="s">
        <v>971</v>
      </c>
      <c r="O168" s="2024">
        <v>2.85</v>
      </c>
      <c r="P168" s="2930"/>
      <c r="Q168" s="1238"/>
      <c r="R168" s="1239"/>
    </row>
    <row r="169" spans="1:18" ht="18.75" customHeight="1">
      <c r="A169" s="2927"/>
      <c r="B169" s="1237"/>
      <c r="C169" s="1237"/>
      <c r="D169" s="1237"/>
      <c r="E169" s="1237"/>
      <c r="F169" s="1237"/>
      <c r="G169" s="1237"/>
      <c r="H169" s="1237"/>
      <c r="I169" s="1237"/>
      <c r="J169" s="1237"/>
      <c r="K169" s="1237">
        <v>1.6</v>
      </c>
      <c r="L169" s="1237">
        <v>2.4</v>
      </c>
      <c r="M169" s="1237">
        <f t="shared" si="6"/>
        <v>0.79999999999999982</v>
      </c>
      <c r="N169" s="1237" t="s">
        <v>972</v>
      </c>
      <c r="O169" s="2024">
        <v>1.4</v>
      </c>
      <c r="P169" s="2930"/>
      <c r="Q169" s="1238"/>
      <c r="R169" s="1239"/>
    </row>
    <row r="170" spans="1:18" ht="18.75" customHeight="1">
      <c r="A170" s="2927"/>
      <c r="B170" s="1237"/>
      <c r="C170" s="1237"/>
      <c r="D170" s="1237"/>
      <c r="E170" s="1237"/>
      <c r="F170" s="1237"/>
      <c r="G170" s="1237"/>
      <c r="H170" s="1237"/>
      <c r="I170" s="1237"/>
      <c r="J170" s="2945" t="s">
        <v>851</v>
      </c>
      <c r="K170" s="2945"/>
      <c r="L170" s="2945"/>
      <c r="M170" s="1237">
        <f t="shared" si="6"/>
        <v>0</v>
      </c>
      <c r="N170" s="1237" t="s">
        <v>973</v>
      </c>
      <c r="O170" s="2024">
        <v>3.11</v>
      </c>
      <c r="P170" s="2930"/>
      <c r="Q170" s="1238"/>
      <c r="R170" s="1239"/>
    </row>
    <row r="171" spans="1:18" ht="18.75" customHeight="1">
      <c r="A171" s="2927"/>
      <c r="B171" s="1237" t="s">
        <v>466</v>
      </c>
      <c r="C171" s="1237" t="s">
        <v>824</v>
      </c>
      <c r="D171" s="1237" t="s">
        <v>825</v>
      </c>
      <c r="E171" s="1237" t="s">
        <v>481</v>
      </c>
      <c r="F171" s="1237" t="s">
        <v>772</v>
      </c>
      <c r="G171" s="1237">
        <v>0.4</v>
      </c>
      <c r="H171" s="1237" t="s">
        <v>808</v>
      </c>
      <c r="I171" s="1237" t="s">
        <v>826</v>
      </c>
      <c r="J171" s="1237"/>
      <c r="K171" s="1237">
        <v>0</v>
      </c>
      <c r="L171" s="1237">
        <v>0.6</v>
      </c>
      <c r="M171" s="1237">
        <f t="shared" si="6"/>
        <v>0.6</v>
      </c>
      <c r="N171" s="1237" t="s">
        <v>974</v>
      </c>
      <c r="O171" s="2024">
        <v>0.79</v>
      </c>
      <c r="P171" s="2930"/>
      <c r="Q171" s="1238"/>
      <c r="R171" s="1239"/>
    </row>
    <row r="172" spans="1:18" ht="18.75" customHeight="1">
      <c r="A172" s="2927"/>
      <c r="B172" s="1237"/>
      <c r="C172" s="1237"/>
      <c r="D172" s="1237"/>
      <c r="E172" s="1237"/>
      <c r="F172" s="1237"/>
      <c r="G172" s="1237"/>
      <c r="H172" s="1237"/>
      <c r="I172" s="1237"/>
      <c r="J172" s="1237"/>
      <c r="K172" s="1237">
        <v>0.6</v>
      </c>
      <c r="L172" s="1237">
        <v>1.2</v>
      </c>
      <c r="M172" s="1237">
        <f t="shared" si="6"/>
        <v>0.6</v>
      </c>
      <c r="N172" s="1237" t="s">
        <v>975</v>
      </c>
      <c r="O172" s="2024">
        <v>0.42</v>
      </c>
      <c r="P172" s="2930"/>
      <c r="Q172" s="1238"/>
      <c r="R172" s="1239"/>
    </row>
    <row r="173" spans="1:18" ht="18.75" customHeight="1">
      <c r="A173" s="2927"/>
      <c r="B173" s="1237"/>
      <c r="C173" s="1237"/>
      <c r="D173" s="1237"/>
      <c r="E173" s="1237"/>
      <c r="F173" s="1237"/>
      <c r="G173" s="1237"/>
      <c r="H173" s="1237"/>
      <c r="I173" s="1237"/>
      <c r="J173" s="1237"/>
      <c r="K173" s="1237">
        <v>1.2</v>
      </c>
      <c r="L173" s="1237">
        <v>1.8</v>
      </c>
      <c r="M173" s="1237">
        <f t="shared" si="6"/>
        <v>0.60000000000000009</v>
      </c>
      <c r="N173" s="1237" t="s">
        <v>976</v>
      </c>
      <c r="O173" s="2028">
        <v>0.27</v>
      </c>
      <c r="P173" s="2930"/>
      <c r="Q173" s="1238"/>
      <c r="R173" s="1239"/>
    </row>
    <row r="174" spans="1:18" ht="18.75" customHeight="1">
      <c r="A174" s="2927"/>
      <c r="B174" s="1237" t="s">
        <v>466</v>
      </c>
      <c r="C174" s="1237" t="s">
        <v>824</v>
      </c>
      <c r="D174" s="1237" t="s">
        <v>825</v>
      </c>
      <c r="E174" s="1237" t="s">
        <v>481</v>
      </c>
      <c r="F174" s="1237" t="s">
        <v>772</v>
      </c>
      <c r="G174" s="1237">
        <v>0.4</v>
      </c>
      <c r="H174" s="1237" t="s">
        <v>808</v>
      </c>
      <c r="I174" s="1237" t="s">
        <v>826</v>
      </c>
      <c r="J174" s="1237"/>
      <c r="K174" s="1237">
        <v>0</v>
      </c>
      <c r="L174" s="1237">
        <v>0.6</v>
      </c>
      <c r="M174" s="1237">
        <f t="shared" si="6"/>
        <v>0.6</v>
      </c>
      <c r="N174" s="1237" t="s">
        <v>977</v>
      </c>
      <c r="O174" s="2028">
        <v>0.38</v>
      </c>
      <c r="P174" s="2930"/>
      <c r="Q174" s="1238"/>
      <c r="R174" s="1239"/>
    </row>
    <row r="175" spans="1:18" ht="18.75" customHeight="1">
      <c r="A175" s="2927"/>
      <c r="B175" s="1237"/>
      <c r="C175" s="1237"/>
      <c r="D175" s="1237"/>
      <c r="E175" s="1237"/>
      <c r="F175" s="1237"/>
      <c r="G175" s="1237"/>
      <c r="H175" s="1237"/>
      <c r="I175" s="1237"/>
      <c r="J175" s="2945" t="s">
        <v>618</v>
      </c>
      <c r="K175" s="2945"/>
      <c r="L175" s="2945"/>
      <c r="M175" s="1237">
        <f t="shared" si="6"/>
        <v>0</v>
      </c>
      <c r="N175" s="1237" t="s">
        <v>978</v>
      </c>
      <c r="O175" s="2028">
        <v>0.46</v>
      </c>
      <c r="P175" s="2930"/>
      <c r="Q175" s="1238"/>
      <c r="R175" s="1239"/>
    </row>
    <row r="176" spans="1:18" ht="18.75" customHeight="1">
      <c r="A176" s="2927"/>
      <c r="B176" s="1237"/>
      <c r="C176" s="1237"/>
      <c r="D176" s="1237"/>
      <c r="E176" s="1237"/>
      <c r="F176" s="1237"/>
      <c r="G176" s="1237"/>
      <c r="H176" s="1237"/>
      <c r="I176" s="1237"/>
      <c r="J176" s="1237"/>
      <c r="K176" s="1237">
        <v>0.6</v>
      </c>
      <c r="L176" s="1237">
        <v>1.2</v>
      </c>
      <c r="M176" s="1237">
        <f t="shared" si="6"/>
        <v>0.6</v>
      </c>
      <c r="N176" s="1237" t="s">
        <v>979</v>
      </c>
      <c r="O176" s="2028">
        <v>0.43</v>
      </c>
      <c r="P176" s="2930"/>
      <c r="Q176" s="1238"/>
      <c r="R176" s="1239"/>
    </row>
    <row r="177" spans="1:18" ht="18.75" customHeight="1">
      <c r="A177" s="2927"/>
      <c r="B177" s="1237"/>
      <c r="C177" s="1237"/>
      <c r="D177" s="1237"/>
      <c r="E177" s="1237"/>
      <c r="F177" s="1237"/>
      <c r="G177" s="1237"/>
      <c r="H177" s="1237"/>
      <c r="I177" s="1237"/>
      <c r="J177" s="1237"/>
      <c r="K177" s="1237">
        <v>1.2</v>
      </c>
      <c r="L177" s="1237">
        <v>1.8</v>
      </c>
      <c r="M177" s="1237">
        <f t="shared" si="6"/>
        <v>0.60000000000000009</v>
      </c>
      <c r="N177" s="1237" t="s">
        <v>980</v>
      </c>
      <c r="O177" s="2028">
        <v>2.94</v>
      </c>
      <c r="P177" s="2930"/>
      <c r="Q177" s="1238"/>
      <c r="R177" s="1239"/>
    </row>
    <row r="178" spans="1:18" ht="18.75" customHeight="1">
      <c r="A178" s="2927"/>
      <c r="B178" s="1237"/>
      <c r="C178" s="1237"/>
      <c r="D178" s="1237"/>
      <c r="E178" s="1237"/>
      <c r="F178" s="1237"/>
      <c r="G178" s="1237"/>
      <c r="H178" s="1237"/>
      <c r="I178" s="1237"/>
      <c r="J178" s="1237"/>
      <c r="K178" s="1237">
        <v>1.8</v>
      </c>
      <c r="L178" s="1237">
        <v>2.4</v>
      </c>
      <c r="M178" s="1237">
        <f t="shared" si="6"/>
        <v>0.59999999999999987</v>
      </c>
      <c r="N178" s="1237" t="s">
        <v>981</v>
      </c>
      <c r="O178" s="2028">
        <v>0.7</v>
      </c>
      <c r="P178" s="2930"/>
      <c r="Q178" s="1238"/>
      <c r="R178" s="1239"/>
    </row>
    <row r="179" spans="1:18" ht="18.75" customHeight="1">
      <c r="A179" s="2927"/>
      <c r="B179" s="1237"/>
      <c r="C179" s="1237"/>
      <c r="D179" s="1237"/>
      <c r="E179" s="1237"/>
      <c r="F179" s="1237"/>
      <c r="G179" s="1237"/>
      <c r="H179" s="1237"/>
      <c r="I179" s="1237"/>
      <c r="J179" s="1237"/>
      <c r="K179" s="1237">
        <v>2.4</v>
      </c>
      <c r="L179" s="1237">
        <v>3</v>
      </c>
      <c r="M179" s="1237">
        <f t="shared" si="6"/>
        <v>0.60000000000000009</v>
      </c>
      <c r="N179" s="1237" t="s">
        <v>982</v>
      </c>
      <c r="O179" s="2028">
        <v>0.5</v>
      </c>
      <c r="P179" s="2930"/>
      <c r="Q179" s="1238"/>
      <c r="R179" s="1239"/>
    </row>
    <row r="180" spans="1:18" ht="18.75" customHeight="1">
      <c r="A180" s="2927"/>
      <c r="B180" s="1237"/>
      <c r="C180" s="1237"/>
      <c r="D180" s="1237"/>
      <c r="E180" s="1237"/>
      <c r="F180" s="1237"/>
      <c r="G180" s="1237"/>
      <c r="H180" s="1237"/>
      <c r="I180" s="1237"/>
      <c r="J180" s="2945" t="s">
        <v>983</v>
      </c>
      <c r="K180" s="2945"/>
      <c r="L180" s="2945"/>
      <c r="M180" s="1237">
        <f t="shared" si="6"/>
        <v>0</v>
      </c>
      <c r="N180" s="1237" t="s">
        <v>984</v>
      </c>
      <c r="O180" s="2028">
        <v>1.25</v>
      </c>
      <c r="P180" s="2930"/>
      <c r="Q180" s="1238"/>
      <c r="R180" s="1239"/>
    </row>
    <row r="181" spans="1:18" ht="18.75" customHeight="1">
      <c r="A181" s="2927"/>
      <c r="B181" s="1237"/>
      <c r="C181" s="1237"/>
      <c r="D181" s="1237"/>
      <c r="E181" s="1237"/>
      <c r="F181" s="1237"/>
      <c r="G181" s="1237"/>
      <c r="H181" s="1237"/>
      <c r="I181" s="1237"/>
      <c r="J181" s="1237"/>
      <c r="K181" s="1237">
        <v>3</v>
      </c>
      <c r="L181" s="1237">
        <v>3.6</v>
      </c>
      <c r="M181" s="1237">
        <f t="shared" si="6"/>
        <v>0.60000000000000009</v>
      </c>
      <c r="N181" s="1237" t="s">
        <v>985</v>
      </c>
      <c r="O181" s="2028">
        <v>0.92</v>
      </c>
      <c r="P181" s="2931"/>
      <c r="Q181" s="1238"/>
      <c r="R181" s="1239"/>
    </row>
    <row r="182" spans="1:18" ht="18.75" customHeight="1">
      <c r="A182" s="2927"/>
      <c r="B182" s="1237" t="s">
        <v>466</v>
      </c>
      <c r="C182" s="1237" t="s">
        <v>516</v>
      </c>
      <c r="D182" s="1237"/>
      <c r="E182" s="1237" t="s">
        <v>468</v>
      </c>
      <c r="F182" s="1237" t="s">
        <v>785</v>
      </c>
      <c r="G182" s="1237">
        <v>6</v>
      </c>
      <c r="H182" s="1237" t="s">
        <v>474</v>
      </c>
      <c r="I182" s="1237" t="s">
        <v>602</v>
      </c>
      <c r="J182" s="1237"/>
      <c r="K182" s="1237">
        <v>0</v>
      </c>
      <c r="L182" s="1237">
        <v>1</v>
      </c>
      <c r="M182" s="1237">
        <f t="shared" si="6"/>
        <v>1</v>
      </c>
      <c r="N182" s="1237" t="s">
        <v>986</v>
      </c>
      <c r="O182" s="2034">
        <v>1.07</v>
      </c>
      <c r="P182" s="2946">
        <f>+AVERAGE(O182:O185)</f>
        <v>1.5825</v>
      </c>
      <c r="Q182" s="1525"/>
      <c r="R182" s="1239"/>
    </row>
    <row r="183" spans="1:18" ht="18.75" customHeight="1">
      <c r="A183" s="2927"/>
      <c r="B183" s="1237"/>
      <c r="C183" s="1237"/>
      <c r="D183" s="1237"/>
      <c r="E183" s="1237"/>
      <c r="F183" s="1237"/>
      <c r="G183" s="1237"/>
      <c r="H183" s="1237"/>
      <c r="I183" s="1237"/>
      <c r="J183" s="1237"/>
      <c r="K183" s="1237">
        <v>1</v>
      </c>
      <c r="L183" s="1237">
        <v>2</v>
      </c>
      <c r="M183" s="1237">
        <f t="shared" si="6"/>
        <v>1</v>
      </c>
      <c r="N183" s="1237" t="s">
        <v>987</v>
      </c>
      <c r="O183" s="2034">
        <v>0.88</v>
      </c>
      <c r="P183" s="2947"/>
      <c r="Q183" s="1525"/>
      <c r="R183" s="1239"/>
    </row>
    <row r="184" spans="1:18" ht="18.75" customHeight="1">
      <c r="A184" s="2927"/>
      <c r="B184" s="1237"/>
      <c r="C184" s="1237"/>
      <c r="D184" s="1237"/>
      <c r="E184" s="1237"/>
      <c r="F184" s="1237"/>
      <c r="G184" s="1237"/>
      <c r="H184" s="1237"/>
      <c r="I184" s="1237"/>
      <c r="J184" s="1237"/>
      <c r="K184" s="1237">
        <v>2</v>
      </c>
      <c r="L184" s="1237">
        <v>3</v>
      </c>
      <c r="M184" s="1237">
        <f t="shared" si="6"/>
        <v>1</v>
      </c>
      <c r="N184" s="1237" t="s">
        <v>988</v>
      </c>
      <c r="O184" s="2034">
        <v>1.72</v>
      </c>
      <c r="P184" s="2947"/>
      <c r="Q184" s="1525"/>
      <c r="R184" s="1239"/>
    </row>
    <row r="185" spans="1:18" ht="18.75" customHeight="1">
      <c r="A185" s="2927"/>
      <c r="B185" s="1237"/>
      <c r="C185" s="1237"/>
      <c r="D185" s="1237"/>
      <c r="E185" s="1237"/>
      <c r="F185" s="1237"/>
      <c r="G185" s="1237"/>
      <c r="H185" s="1237"/>
      <c r="I185" s="1237"/>
      <c r="J185" s="1237"/>
      <c r="K185" s="1237">
        <v>3</v>
      </c>
      <c r="L185" s="1237">
        <v>4</v>
      </c>
      <c r="M185" s="1237">
        <f t="shared" si="6"/>
        <v>1</v>
      </c>
      <c r="N185" s="1237" t="s">
        <v>989</v>
      </c>
      <c r="O185" s="2034">
        <v>2.66</v>
      </c>
      <c r="P185" s="2948"/>
      <c r="Q185" s="1525"/>
      <c r="R185" s="1239"/>
    </row>
    <row r="186" spans="1:18" ht="18.75" customHeight="1">
      <c r="A186" s="2927"/>
      <c r="B186" s="1237" t="s">
        <v>466</v>
      </c>
      <c r="C186" s="1237" t="s">
        <v>516</v>
      </c>
      <c r="D186" s="1237"/>
      <c r="E186" s="1237" t="s">
        <v>468</v>
      </c>
      <c r="F186" s="1237" t="s">
        <v>966</v>
      </c>
      <c r="G186" s="1237">
        <v>3</v>
      </c>
      <c r="H186" s="1237" t="s">
        <v>474</v>
      </c>
      <c r="I186" s="1237" t="s">
        <v>602</v>
      </c>
      <c r="J186" s="1237"/>
      <c r="K186" s="1237">
        <v>0</v>
      </c>
      <c r="L186" s="1237">
        <v>0.9</v>
      </c>
      <c r="M186" s="1237">
        <v>0.9</v>
      </c>
      <c r="N186" s="1237" t="s">
        <v>990</v>
      </c>
      <c r="O186" s="2028">
        <v>0.06</v>
      </c>
      <c r="P186" s="2946">
        <f>AVERAGE(O186:O187)</f>
        <v>0.06</v>
      </c>
      <c r="Q186" s="1238"/>
      <c r="R186" s="1239"/>
    </row>
    <row r="187" spans="1:18" ht="18.75" customHeight="1" thickBot="1">
      <c r="A187" s="2928"/>
      <c r="B187" s="1540"/>
      <c r="C187" s="1540"/>
      <c r="D187" s="1540"/>
      <c r="E187" s="1540"/>
      <c r="F187" s="1540"/>
      <c r="G187" s="1540"/>
      <c r="H187" s="1540"/>
      <c r="I187" s="1540"/>
      <c r="J187" s="1540"/>
      <c r="K187" s="1540">
        <v>0.9</v>
      </c>
      <c r="L187" s="1540">
        <v>1.8</v>
      </c>
      <c r="M187" s="1540">
        <f t="shared" si="6"/>
        <v>0.9</v>
      </c>
      <c r="N187" s="1540" t="s">
        <v>991</v>
      </c>
      <c r="O187" s="2029">
        <v>0.06</v>
      </c>
      <c r="P187" s="2947"/>
      <c r="Q187" s="1541"/>
      <c r="R187" s="1591"/>
    </row>
    <row r="188" spans="1:18" ht="18.75" customHeight="1">
      <c r="A188" s="2991">
        <v>45873</v>
      </c>
      <c r="B188" s="2266" t="s">
        <v>479</v>
      </c>
      <c r="C188" s="1585" t="s">
        <v>480</v>
      </c>
      <c r="D188" s="1585" t="s">
        <v>840</v>
      </c>
      <c r="E188" s="1585" t="s">
        <v>481</v>
      </c>
      <c r="F188" s="1585" t="s">
        <v>772</v>
      </c>
      <c r="G188" s="1585">
        <v>4</v>
      </c>
      <c r="H188" s="1585" t="s">
        <v>786</v>
      </c>
      <c r="I188" s="1585" t="s">
        <v>871</v>
      </c>
      <c r="J188" s="1585"/>
      <c r="K188" s="1585">
        <v>0</v>
      </c>
      <c r="L188" s="1585">
        <v>0.6</v>
      </c>
      <c r="M188" s="1585">
        <f t="shared" ref="M188:M229" si="7">L188-K188</f>
        <v>0.6</v>
      </c>
      <c r="N188" s="1585" t="s">
        <v>992</v>
      </c>
      <c r="O188" s="2037">
        <v>1.22</v>
      </c>
      <c r="P188" s="2994">
        <f>+AVERAGE(O188:O199)</f>
        <v>2.9755555555555557</v>
      </c>
      <c r="Q188" s="1586"/>
      <c r="R188" s="1587"/>
    </row>
    <row r="189" spans="1:18" ht="18.75" customHeight="1">
      <c r="A189" s="2992"/>
      <c r="B189" s="2267"/>
      <c r="C189" s="1237"/>
      <c r="D189" s="1237"/>
      <c r="E189" s="1237"/>
      <c r="F189" s="1237"/>
      <c r="G189" s="1237"/>
      <c r="H189" s="1237"/>
      <c r="I189" s="1237"/>
      <c r="J189" s="1237"/>
      <c r="K189" s="1237">
        <v>0.6</v>
      </c>
      <c r="L189" s="1237">
        <v>1.2</v>
      </c>
      <c r="M189" s="1237">
        <f t="shared" si="7"/>
        <v>0.6</v>
      </c>
      <c r="N189" s="1237" t="s">
        <v>993</v>
      </c>
      <c r="O189" s="2028">
        <v>3.2</v>
      </c>
      <c r="P189" s="2995"/>
      <c r="Q189" s="1238"/>
      <c r="R189" s="1239"/>
    </row>
    <row r="190" spans="1:18" ht="18.75" customHeight="1">
      <c r="A190" s="2992"/>
      <c r="B190" s="2267"/>
      <c r="C190" s="1237"/>
      <c r="D190" s="1237"/>
      <c r="E190" s="1237"/>
      <c r="F190" s="1237"/>
      <c r="G190" s="1237"/>
      <c r="H190" s="1237"/>
      <c r="I190" s="1237"/>
      <c r="J190" s="1237"/>
      <c r="K190" s="1237">
        <v>1.2</v>
      </c>
      <c r="L190" s="1237">
        <v>1.8</v>
      </c>
      <c r="M190" s="1237">
        <f t="shared" si="7"/>
        <v>0.60000000000000009</v>
      </c>
      <c r="N190" s="1237" t="s">
        <v>994</v>
      </c>
      <c r="O190" s="2028">
        <v>0.62</v>
      </c>
      <c r="P190" s="2995"/>
      <c r="Q190" s="1238"/>
      <c r="R190" s="1239"/>
    </row>
    <row r="191" spans="1:18" ht="18.75" customHeight="1">
      <c r="A191" s="2992"/>
      <c r="B191" s="2267"/>
      <c r="C191" s="1237"/>
      <c r="D191" s="1237"/>
      <c r="E191" s="1237"/>
      <c r="F191" s="1237"/>
      <c r="G191" s="1237"/>
      <c r="H191" s="1237"/>
      <c r="I191" s="1237"/>
      <c r="J191" s="1237"/>
      <c r="K191" s="1237">
        <v>1.8</v>
      </c>
      <c r="L191" s="1237">
        <v>2.4</v>
      </c>
      <c r="M191" s="1237">
        <f t="shared" si="7"/>
        <v>0.59999999999999987</v>
      </c>
      <c r="N191" s="1237" t="s">
        <v>995</v>
      </c>
      <c r="O191" s="2028">
        <v>3.07</v>
      </c>
      <c r="P191" s="2995"/>
      <c r="Q191" s="1238"/>
      <c r="R191" s="1239"/>
    </row>
    <row r="192" spans="1:18" ht="18.75" customHeight="1">
      <c r="A192" s="2992"/>
      <c r="B192" s="2267"/>
      <c r="C192" s="1237"/>
      <c r="D192" s="1237"/>
      <c r="E192" s="1237"/>
      <c r="F192" s="1237"/>
      <c r="G192" s="1237"/>
      <c r="H192" s="1237"/>
      <c r="I192" s="1237"/>
      <c r="J192" s="1237"/>
      <c r="K192" s="1237">
        <v>2.4</v>
      </c>
      <c r="L192" s="1237">
        <v>3</v>
      </c>
      <c r="M192" s="1237">
        <f t="shared" si="7"/>
        <v>0.60000000000000009</v>
      </c>
      <c r="N192" s="1237" t="s">
        <v>996</v>
      </c>
      <c r="O192" s="2024">
        <v>4.8600000000000003</v>
      </c>
      <c r="P192" s="2995"/>
      <c r="Q192" s="1238"/>
      <c r="R192" s="1239"/>
    </row>
    <row r="193" spans="1:18" ht="18.75" customHeight="1">
      <c r="A193" s="2992"/>
      <c r="B193" s="2267"/>
      <c r="C193" s="1237"/>
      <c r="D193" s="1237"/>
      <c r="E193" s="1237"/>
      <c r="F193" s="1237"/>
      <c r="G193" s="1237"/>
      <c r="H193" s="1237"/>
      <c r="I193" s="1237"/>
      <c r="J193" s="1237"/>
      <c r="K193" s="1237">
        <v>3</v>
      </c>
      <c r="L193" s="1237">
        <v>3.6</v>
      </c>
      <c r="M193" s="1237">
        <f t="shared" si="7"/>
        <v>0.60000000000000009</v>
      </c>
      <c r="N193" s="1237" t="s">
        <v>997</v>
      </c>
      <c r="O193" s="2024">
        <v>6.73</v>
      </c>
      <c r="P193" s="2995"/>
      <c r="Q193" s="1238"/>
      <c r="R193" s="1239"/>
    </row>
    <row r="194" spans="1:18" ht="18.75" customHeight="1">
      <c r="A194" s="2992"/>
      <c r="B194" s="2267" t="s">
        <v>479</v>
      </c>
      <c r="C194" s="1237" t="s">
        <v>480</v>
      </c>
      <c r="D194" s="1237" t="s">
        <v>840</v>
      </c>
      <c r="E194" s="1237" t="s">
        <v>481</v>
      </c>
      <c r="F194" s="1237" t="s">
        <v>966</v>
      </c>
      <c r="G194" s="1237">
        <v>6</v>
      </c>
      <c r="H194" s="1237" t="s">
        <v>786</v>
      </c>
      <c r="I194" s="1237" t="s">
        <v>871</v>
      </c>
      <c r="J194" s="1237"/>
      <c r="K194" s="1237">
        <v>0</v>
      </c>
      <c r="L194" s="1237">
        <v>0.8</v>
      </c>
      <c r="M194" s="1237">
        <f t="shared" si="7"/>
        <v>0.8</v>
      </c>
      <c r="N194" s="1237" t="s">
        <v>998</v>
      </c>
      <c r="O194" s="2024">
        <v>5.52</v>
      </c>
      <c r="P194" s="2995"/>
      <c r="Q194" s="1238"/>
      <c r="R194" s="1239"/>
    </row>
    <row r="195" spans="1:18" ht="18.75" customHeight="1">
      <c r="A195" s="2992"/>
      <c r="B195" s="2267"/>
      <c r="C195" s="1237"/>
      <c r="D195" s="1237"/>
      <c r="E195" s="1237"/>
      <c r="F195" s="1237"/>
      <c r="G195" s="1237"/>
      <c r="H195" s="1237"/>
      <c r="I195" s="1237"/>
      <c r="J195" s="1237"/>
      <c r="K195" s="1237">
        <v>0.8</v>
      </c>
      <c r="L195" s="1237">
        <v>2</v>
      </c>
      <c r="M195" s="1237">
        <f t="shared" si="7"/>
        <v>1.2</v>
      </c>
      <c r="N195" s="1237" t="s">
        <v>999</v>
      </c>
      <c r="O195" s="2024">
        <v>0.26</v>
      </c>
      <c r="P195" s="2995"/>
      <c r="Q195" s="1238"/>
      <c r="R195" s="1239"/>
    </row>
    <row r="196" spans="1:18" ht="18.75" customHeight="1">
      <c r="A196" s="2992"/>
      <c r="B196" s="2267" t="s">
        <v>479</v>
      </c>
      <c r="C196" s="1237" t="s">
        <v>480</v>
      </c>
      <c r="D196" s="1237" t="s">
        <v>840</v>
      </c>
      <c r="E196" s="1237" t="s">
        <v>481</v>
      </c>
      <c r="F196" s="1237" t="s">
        <v>966</v>
      </c>
      <c r="G196" s="1237">
        <v>8</v>
      </c>
      <c r="H196" s="1237" t="s">
        <v>786</v>
      </c>
      <c r="I196" s="1237" t="s">
        <v>871</v>
      </c>
      <c r="J196" s="1237"/>
      <c r="K196" s="1237">
        <v>0</v>
      </c>
      <c r="L196" s="1237">
        <v>0.8</v>
      </c>
      <c r="M196" s="1237">
        <f t="shared" si="7"/>
        <v>0.8</v>
      </c>
      <c r="N196" s="1237" t="s">
        <v>1000</v>
      </c>
      <c r="O196" s="2024">
        <v>1.3</v>
      </c>
      <c r="P196" s="2995"/>
      <c r="Q196" s="1238"/>
      <c r="R196" s="1239"/>
    </row>
    <row r="197" spans="1:18" ht="18.75" customHeight="1">
      <c r="A197" s="2992"/>
      <c r="B197" s="2267"/>
      <c r="C197" s="1237"/>
      <c r="D197" s="1237"/>
      <c r="E197" s="1237"/>
      <c r="F197" s="1237"/>
      <c r="G197" s="1237"/>
      <c r="H197" s="1237"/>
      <c r="I197" s="1237"/>
      <c r="J197" s="1237"/>
      <c r="K197" s="1237">
        <v>0.8</v>
      </c>
      <c r="L197" s="1237">
        <v>2</v>
      </c>
      <c r="M197" s="1237">
        <f t="shared" si="7"/>
        <v>1.2</v>
      </c>
      <c r="N197" s="1237" t="s">
        <v>1001</v>
      </c>
      <c r="O197" s="2024" t="s">
        <v>1002</v>
      </c>
      <c r="P197" s="2995"/>
      <c r="Q197" s="1238"/>
      <c r="R197" s="1239"/>
    </row>
    <row r="198" spans="1:18" ht="18.75" customHeight="1">
      <c r="A198" s="2992"/>
      <c r="B198" s="2267" t="s">
        <v>479</v>
      </c>
      <c r="C198" s="1237" t="s">
        <v>480</v>
      </c>
      <c r="D198" s="1237" t="s">
        <v>840</v>
      </c>
      <c r="E198" s="1237" t="s">
        <v>481</v>
      </c>
      <c r="F198" s="1237" t="s">
        <v>966</v>
      </c>
      <c r="G198" s="1237">
        <v>10</v>
      </c>
      <c r="H198" s="1237" t="s">
        <v>786</v>
      </c>
      <c r="I198" s="1237" t="s">
        <v>871</v>
      </c>
      <c r="J198" s="1237"/>
      <c r="K198" s="1237">
        <v>0</v>
      </c>
      <c r="L198" s="1237">
        <v>0.8</v>
      </c>
      <c r="M198" s="1237">
        <f t="shared" si="7"/>
        <v>0.8</v>
      </c>
      <c r="N198" s="1237" t="s">
        <v>1003</v>
      </c>
      <c r="O198" s="2024" t="s">
        <v>1002</v>
      </c>
      <c r="P198" s="2995"/>
      <c r="Q198" s="1238"/>
      <c r="R198" s="1239"/>
    </row>
    <row r="199" spans="1:18" ht="18.75" customHeight="1">
      <c r="A199" s="2992"/>
      <c r="B199" s="2267"/>
      <c r="C199" s="1237"/>
      <c r="D199" s="1237"/>
      <c r="E199" s="1237"/>
      <c r="F199" s="1237"/>
      <c r="G199" s="1237"/>
      <c r="H199" s="1237"/>
      <c r="I199" s="1237"/>
      <c r="J199" s="1237"/>
      <c r="K199" s="1237">
        <v>0.8</v>
      </c>
      <c r="L199" s="1237">
        <v>2</v>
      </c>
      <c r="M199" s="1237">
        <f t="shared" si="7"/>
        <v>1.2</v>
      </c>
      <c r="N199" s="1237" t="s">
        <v>1004</v>
      </c>
      <c r="O199" s="2024" t="s">
        <v>1002</v>
      </c>
      <c r="P199" s="2996"/>
      <c r="Q199" s="1238"/>
      <c r="R199" s="1239"/>
    </row>
    <row r="200" spans="1:18" ht="18.75" customHeight="1">
      <c r="A200" s="2992"/>
      <c r="B200" s="2267" t="s">
        <v>687</v>
      </c>
      <c r="C200" s="1237" t="s">
        <v>450</v>
      </c>
      <c r="D200" s="1237"/>
      <c r="E200" s="1237" t="s">
        <v>468</v>
      </c>
      <c r="F200" s="1237" t="s">
        <v>772</v>
      </c>
      <c r="G200" s="1237">
        <v>2</v>
      </c>
      <c r="H200" s="1237" t="s">
        <v>470</v>
      </c>
      <c r="I200" s="1237" t="s">
        <v>773</v>
      </c>
      <c r="J200" s="1237"/>
      <c r="K200" s="1237">
        <v>0</v>
      </c>
      <c r="L200" s="1237">
        <v>1</v>
      </c>
      <c r="M200" s="1237">
        <f t="shared" si="7"/>
        <v>1</v>
      </c>
      <c r="N200" s="1237" t="s">
        <v>1005</v>
      </c>
      <c r="O200" s="2024">
        <v>1.8540000000000001</v>
      </c>
      <c r="P200" s="2994">
        <f>+AVERAGE(O200:O207)</f>
        <v>3.6116250000000001</v>
      </c>
      <c r="Q200" s="1238"/>
      <c r="R200" s="1239"/>
    </row>
    <row r="201" spans="1:18" ht="18.75" customHeight="1">
      <c r="A201" s="2992"/>
      <c r="B201" s="2267"/>
      <c r="C201" s="1237"/>
      <c r="D201" s="1237"/>
      <c r="E201" s="1237"/>
      <c r="F201" s="1237"/>
      <c r="G201" s="1237"/>
      <c r="H201" s="1237"/>
      <c r="I201" s="1237"/>
      <c r="J201" s="1237"/>
      <c r="K201" s="1237">
        <v>1</v>
      </c>
      <c r="L201" s="1237">
        <v>2</v>
      </c>
      <c r="M201" s="1237">
        <f t="shared" si="7"/>
        <v>1</v>
      </c>
      <c r="N201" s="1237" t="s">
        <v>1006</v>
      </c>
      <c r="O201" s="2024">
        <v>7.6289999999999996</v>
      </c>
      <c r="P201" s="2995"/>
      <c r="Q201" s="1238"/>
      <c r="R201" s="1239"/>
    </row>
    <row r="202" spans="1:18" ht="18.75" customHeight="1">
      <c r="A202" s="2992"/>
      <c r="B202" s="2267"/>
      <c r="C202" s="1237"/>
      <c r="D202" s="1237"/>
      <c r="E202" s="1237"/>
      <c r="F202" s="1237"/>
      <c r="G202" s="1237"/>
      <c r="H202" s="1237"/>
      <c r="I202" s="1237"/>
      <c r="J202" s="1237"/>
      <c r="K202" s="1237">
        <v>2</v>
      </c>
      <c r="L202" s="1237">
        <v>3</v>
      </c>
      <c r="M202" s="1237">
        <f t="shared" si="7"/>
        <v>1</v>
      </c>
      <c r="N202" s="1237" t="s">
        <v>1007</v>
      </c>
      <c r="O202" s="2024">
        <v>8.1509999999999998</v>
      </c>
      <c r="P202" s="2995"/>
      <c r="Q202" s="1238"/>
      <c r="R202" s="1239"/>
    </row>
    <row r="203" spans="1:18" ht="18.75" customHeight="1">
      <c r="A203" s="2992"/>
      <c r="B203" s="2267"/>
      <c r="C203" s="1237"/>
      <c r="D203" s="1237"/>
      <c r="E203" s="1237"/>
      <c r="F203" s="1237"/>
      <c r="G203" s="1237"/>
      <c r="H203" s="1237"/>
      <c r="I203" s="1237"/>
      <c r="J203" s="1237"/>
      <c r="K203" s="1237">
        <v>3</v>
      </c>
      <c r="L203" s="1237">
        <v>4</v>
      </c>
      <c r="M203" s="1237">
        <f t="shared" si="7"/>
        <v>1</v>
      </c>
      <c r="N203" s="1237" t="s">
        <v>1008</v>
      </c>
      <c r="O203" s="2024">
        <v>7.1760000000000002</v>
      </c>
      <c r="P203" s="2995"/>
      <c r="Q203" s="1238"/>
      <c r="R203" s="1239"/>
    </row>
    <row r="204" spans="1:18" ht="18.75" customHeight="1">
      <c r="A204" s="2992"/>
      <c r="B204" s="2267" t="s">
        <v>687</v>
      </c>
      <c r="C204" s="1237" t="s">
        <v>450</v>
      </c>
      <c r="D204" s="1237"/>
      <c r="E204" s="1237" t="s">
        <v>468</v>
      </c>
      <c r="F204" s="1237" t="s">
        <v>772</v>
      </c>
      <c r="G204" s="1237">
        <v>4</v>
      </c>
      <c r="H204" s="1237" t="s">
        <v>470</v>
      </c>
      <c r="I204" s="1237" t="s">
        <v>773</v>
      </c>
      <c r="J204" s="1237"/>
      <c r="K204" s="1237">
        <v>0</v>
      </c>
      <c r="L204" s="1237">
        <v>1</v>
      </c>
      <c r="M204" s="1237">
        <f t="shared" si="7"/>
        <v>1</v>
      </c>
      <c r="N204" s="1237" t="s">
        <v>1009</v>
      </c>
      <c r="O204" s="2024">
        <v>0.58199999999999996</v>
      </c>
      <c r="P204" s="2995"/>
      <c r="Q204" s="1238"/>
      <c r="R204" s="1239"/>
    </row>
    <row r="205" spans="1:18" ht="18.75" customHeight="1">
      <c r="A205" s="2992"/>
      <c r="B205" s="2267"/>
      <c r="C205" s="1237"/>
      <c r="D205" s="1237"/>
      <c r="E205" s="1237"/>
      <c r="F205" s="1237"/>
      <c r="G205" s="1237"/>
      <c r="H205" s="1237"/>
      <c r="I205" s="1237"/>
      <c r="J205" s="1237"/>
      <c r="K205" s="1237">
        <v>1</v>
      </c>
      <c r="L205" s="1237">
        <v>2</v>
      </c>
      <c r="M205" s="1237">
        <f t="shared" si="7"/>
        <v>1</v>
      </c>
      <c r="N205" s="1237" t="s">
        <v>1010</v>
      </c>
      <c r="O205" s="2024">
        <v>0.624</v>
      </c>
      <c r="P205" s="2995"/>
      <c r="Q205" s="1238"/>
      <c r="R205" s="1239"/>
    </row>
    <row r="206" spans="1:18" ht="18.75" customHeight="1">
      <c r="A206" s="2992"/>
      <c r="B206" s="2267"/>
      <c r="C206" s="1237"/>
      <c r="D206" s="1237"/>
      <c r="E206" s="1237"/>
      <c r="F206" s="1237"/>
      <c r="G206" s="1237"/>
      <c r="H206" s="1237"/>
      <c r="I206" s="1237"/>
      <c r="J206" s="1237"/>
      <c r="K206" s="1237">
        <v>2</v>
      </c>
      <c r="L206" s="1237">
        <v>3</v>
      </c>
      <c r="M206" s="1237">
        <f t="shared" si="7"/>
        <v>1</v>
      </c>
      <c r="N206" s="1237" t="s">
        <v>1011</v>
      </c>
      <c r="O206" s="2024">
        <v>1.329</v>
      </c>
      <c r="P206" s="2995"/>
      <c r="Q206" s="1238"/>
      <c r="R206" s="1239"/>
    </row>
    <row r="207" spans="1:18" ht="18.75" customHeight="1">
      <c r="A207" s="2992"/>
      <c r="B207" s="2267"/>
      <c r="C207" s="1237"/>
      <c r="D207" s="1237"/>
      <c r="E207" s="1237"/>
      <c r="F207" s="1237"/>
      <c r="G207" s="1237"/>
      <c r="H207" s="1237"/>
      <c r="I207" s="1237"/>
      <c r="J207" s="1237"/>
      <c r="K207" s="1237">
        <v>3</v>
      </c>
      <c r="L207" s="1237">
        <v>4</v>
      </c>
      <c r="M207" s="1237">
        <f t="shared" si="7"/>
        <v>1</v>
      </c>
      <c r="N207" s="1237" t="s">
        <v>1012</v>
      </c>
      <c r="O207" s="2024">
        <v>1.548</v>
      </c>
      <c r="P207" s="2996"/>
      <c r="Q207" s="1238"/>
      <c r="R207" s="1239"/>
    </row>
    <row r="208" spans="1:18" ht="18.75" customHeight="1">
      <c r="A208" s="2992"/>
      <c r="B208" s="2267" t="s">
        <v>577</v>
      </c>
      <c r="C208" s="1237" t="s">
        <v>450</v>
      </c>
      <c r="D208" s="1237"/>
      <c r="E208" s="1237" t="s">
        <v>511</v>
      </c>
      <c r="F208" s="1237" t="s">
        <v>772</v>
      </c>
      <c r="G208" s="1237">
        <v>0.5</v>
      </c>
      <c r="H208" s="1237" t="s">
        <v>786</v>
      </c>
      <c r="I208" s="1237" t="s">
        <v>773</v>
      </c>
      <c r="J208" s="1237"/>
      <c r="K208" s="1237">
        <v>0</v>
      </c>
      <c r="L208" s="1237">
        <v>1</v>
      </c>
      <c r="M208" s="1237">
        <f t="shared" si="7"/>
        <v>1</v>
      </c>
      <c r="N208" s="1237" t="s">
        <v>1013</v>
      </c>
      <c r="O208" s="2024">
        <v>0.14000000000000001</v>
      </c>
      <c r="P208" s="2994">
        <f>+AVERAGE(O208:O210,O212)</f>
        <v>1.3625</v>
      </c>
      <c r="Q208" s="1238"/>
      <c r="R208" s="1239"/>
    </row>
    <row r="209" spans="1:18" ht="18.75" customHeight="1">
      <c r="A209" s="2992"/>
      <c r="B209" s="2267"/>
      <c r="C209" s="1237"/>
      <c r="D209" s="1237"/>
      <c r="E209" s="1237"/>
      <c r="F209" s="1237"/>
      <c r="G209" s="1237"/>
      <c r="H209" s="1237"/>
      <c r="I209" s="1237"/>
      <c r="J209" s="1237"/>
      <c r="K209" s="1237">
        <v>1</v>
      </c>
      <c r="L209" s="1237">
        <v>2</v>
      </c>
      <c r="M209" s="1237">
        <f t="shared" si="7"/>
        <v>1</v>
      </c>
      <c r="N209" s="1237" t="s">
        <v>1014</v>
      </c>
      <c r="O209" s="2024">
        <v>0.32</v>
      </c>
      <c r="P209" s="2995"/>
      <c r="Q209" s="1238"/>
      <c r="R209" s="1239"/>
    </row>
    <row r="210" spans="1:18" ht="18.75" customHeight="1">
      <c r="A210" s="2992"/>
      <c r="B210" s="2267"/>
      <c r="C210" s="1237"/>
      <c r="D210" s="1237"/>
      <c r="E210" s="1237"/>
      <c r="F210" s="1237"/>
      <c r="G210" s="1237"/>
      <c r="H210" s="1237"/>
      <c r="I210" s="1237"/>
      <c r="J210" s="1237"/>
      <c r="K210" s="1237">
        <v>2</v>
      </c>
      <c r="L210" s="1237">
        <v>3</v>
      </c>
      <c r="M210" s="1237">
        <f t="shared" si="7"/>
        <v>1</v>
      </c>
      <c r="N210" s="1237" t="s">
        <v>1015</v>
      </c>
      <c r="O210" s="2024">
        <v>0.67</v>
      </c>
      <c r="P210" s="2995"/>
      <c r="Q210" s="1238"/>
      <c r="R210" s="1239"/>
    </row>
    <row r="211" spans="1:18" ht="18.75" customHeight="1">
      <c r="A211" s="2992"/>
      <c r="B211" s="2267"/>
      <c r="C211" s="1237"/>
      <c r="D211" s="1237"/>
      <c r="E211" s="1237"/>
      <c r="F211" s="1237"/>
      <c r="G211" s="1237"/>
      <c r="H211" s="1237"/>
      <c r="I211" s="1237"/>
      <c r="J211" s="2945" t="s">
        <v>529</v>
      </c>
      <c r="K211" s="2945"/>
      <c r="L211" s="2945"/>
      <c r="M211" s="1237">
        <f t="shared" si="7"/>
        <v>0</v>
      </c>
      <c r="N211" s="1237" t="s">
        <v>1016</v>
      </c>
      <c r="O211" s="2024">
        <v>0</v>
      </c>
      <c r="P211" s="2995"/>
      <c r="Q211" s="1238"/>
      <c r="R211" s="1239"/>
    </row>
    <row r="212" spans="1:18" ht="18.75" customHeight="1">
      <c r="A212" s="2992"/>
      <c r="B212" s="2267"/>
      <c r="C212" s="1237"/>
      <c r="D212" s="1237"/>
      <c r="E212" s="1237"/>
      <c r="F212" s="1237"/>
      <c r="G212" s="1237"/>
      <c r="H212" s="1237"/>
      <c r="I212" s="1237"/>
      <c r="J212" s="1237"/>
      <c r="K212" s="1237">
        <v>3</v>
      </c>
      <c r="L212" s="1237">
        <v>4</v>
      </c>
      <c r="M212" s="1237">
        <f t="shared" si="7"/>
        <v>1</v>
      </c>
      <c r="N212" s="1237" t="s">
        <v>1017</v>
      </c>
      <c r="O212" s="2024">
        <v>4.32</v>
      </c>
      <c r="P212" s="2995"/>
      <c r="Q212" s="1238"/>
      <c r="R212" s="1239"/>
    </row>
    <row r="213" spans="1:18" ht="18.75" customHeight="1">
      <c r="A213" s="2992"/>
      <c r="B213" s="2267" t="s">
        <v>806</v>
      </c>
      <c r="C213" s="1237" t="s">
        <v>807</v>
      </c>
      <c r="D213" s="1237"/>
      <c r="E213" s="1237" t="s">
        <v>468</v>
      </c>
      <c r="F213" s="1237" t="s">
        <v>772</v>
      </c>
      <c r="G213" s="1237">
        <v>0.4</v>
      </c>
      <c r="H213" s="1237" t="s">
        <v>808</v>
      </c>
      <c r="I213" s="1237" t="s">
        <v>809</v>
      </c>
      <c r="J213" s="1237"/>
      <c r="K213" s="1237">
        <v>0</v>
      </c>
      <c r="L213" s="1237">
        <v>1</v>
      </c>
      <c r="M213" s="1237">
        <f t="shared" si="7"/>
        <v>1</v>
      </c>
      <c r="N213" s="1237" t="s">
        <v>1018</v>
      </c>
      <c r="O213" s="2024">
        <v>3.37</v>
      </c>
      <c r="P213" s="2994">
        <f>+AVERAGE(O213:O215,O217)</f>
        <v>3.3833333333333333</v>
      </c>
      <c r="Q213" s="1238"/>
      <c r="R213" s="1239"/>
    </row>
    <row r="214" spans="1:18" ht="18.75" customHeight="1">
      <c r="A214" s="2992"/>
      <c r="B214" s="2267"/>
      <c r="C214" s="1237"/>
      <c r="D214" s="1237"/>
      <c r="E214" s="1237"/>
      <c r="F214" s="1237"/>
      <c r="G214" s="1237"/>
      <c r="H214" s="1237"/>
      <c r="I214" s="1237"/>
      <c r="J214" s="1237"/>
      <c r="K214" s="1237">
        <v>1</v>
      </c>
      <c r="L214" s="1237">
        <v>2</v>
      </c>
      <c r="M214" s="1237">
        <f t="shared" si="7"/>
        <v>1</v>
      </c>
      <c r="N214" s="1237" t="s">
        <v>1019</v>
      </c>
      <c r="O214" s="2024">
        <v>3.72</v>
      </c>
      <c r="P214" s="2995"/>
      <c r="Q214" s="1238"/>
      <c r="R214" s="1239"/>
    </row>
    <row r="215" spans="1:18" ht="18.75" customHeight="1">
      <c r="A215" s="2992"/>
      <c r="B215" s="2267"/>
      <c r="C215" s="1237"/>
      <c r="D215" s="1237"/>
      <c r="E215" s="1237"/>
      <c r="F215" s="1237"/>
      <c r="G215" s="1237"/>
      <c r="H215" s="1237"/>
      <c r="I215" s="1237"/>
      <c r="J215" s="1237"/>
      <c r="K215" s="1237">
        <v>2</v>
      </c>
      <c r="L215" s="1237">
        <v>3</v>
      </c>
      <c r="M215" s="1237">
        <f t="shared" si="7"/>
        <v>1</v>
      </c>
      <c r="N215" s="1237" t="s">
        <v>1020</v>
      </c>
      <c r="O215" s="2024" t="s">
        <v>1002</v>
      </c>
      <c r="P215" s="2995"/>
      <c r="Q215" s="1238"/>
      <c r="R215" s="1239"/>
    </row>
    <row r="216" spans="1:18" ht="18.75" customHeight="1">
      <c r="A216" s="2992"/>
      <c r="B216" s="2267"/>
      <c r="C216" s="1237"/>
      <c r="D216" s="1237"/>
      <c r="E216" s="1237"/>
      <c r="F216" s="1237"/>
      <c r="G216" s="1237"/>
      <c r="H216" s="1237"/>
      <c r="I216" s="1237"/>
      <c r="J216" s="2945" t="s">
        <v>618</v>
      </c>
      <c r="K216" s="2945"/>
      <c r="L216" s="2945"/>
      <c r="M216" s="1237">
        <f t="shared" si="7"/>
        <v>0</v>
      </c>
      <c r="N216" s="1237" t="s">
        <v>1021</v>
      </c>
      <c r="O216" s="2024">
        <v>1.54</v>
      </c>
      <c r="P216" s="2995"/>
      <c r="Q216" s="1238"/>
      <c r="R216" s="1239"/>
    </row>
    <row r="217" spans="1:18" ht="18.75" customHeight="1">
      <c r="A217" s="2992"/>
      <c r="B217" s="2267"/>
      <c r="C217" s="1237"/>
      <c r="D217" s="1237"/>
      <c r="E217" s="1237"/>
      <c r="F217" s="1237"/>
      <c r="G217" s="1237"/>
      <c r="H217" s="1237"/>
      <c r="I217" s="1237"/>
      <c r="J217" s="1237"/>
      <c r="K217" s="1237">
        <v>3</v>
      </c>
      <c r="L217" s="1237">
        <v>4</v>
      </c>
      <c r="M217" s="1237">
        <f t="shared" si="7"/>
        <v>1</v>
      </c>
      <c r="N217" s="1237" t="s">
        <v>1022</v>
      </c>
      <c r="O217" s="2024">
        <v>3.06</v>
      </c>
      <c r="P217" s="2996"/>
      <c r="Q217" s="1238"/>
      <c r="R217" s="1239"/>
    </row>
    <row r="218" spans="1:18" ht="18.75" customHeight="1">
      <c r="A218" s="2992"/>
      <c r="B218" s="2267" t="s">
        <v>479</v>
      </c>
      <c r="C218" s="1237" t="s">
        <v>793</v>
      </c>
      <c r="D218" s="1237"/>
      <c r="E218" s="1237" t="s">
        <v>468</v>
      </c>
      <c r="F218" s="1237" t="s">
        <v>772</v>
      </c>
      <c r="G218" s="1237">
        <v>2</v>
      </c>
      <c r="H218" s="1237" t="s">
        <v>470</v>
      </c>
      <c r="I218" s="1237" t="s">
        <v>794</v>
      </c>
      <c r="J218" s="1237"/>
      <c r="K218" s="1237">
        <v>0</v>
      </c>
      <c r="L218" s="1237">
        <v>1</v>
      </c>
      <c r="M218" s="1237">
        <f t="shared" si="7"/>
        <v>1</v>
      </c>
      <c r="N218" s="1237" t="s">
        <v>1023</v>
      </c>
      <c r="O218" s="2028">
        <v>3.1</v>
      </c>
      <c r="P218" s="2994">
        <f>+AVERAGE(O218:O225,O227)</f>
        <v>1.3855555555555557</v>
      </c>
      <c r="Q218" s="1238"/>
      <c r="R218" s="1239"/>
    </row>
    <row r="219" spans="1:18" ht="18.75" customHeight="1">
      <c r="A219" s="2992"/>
      <c r="B219" s="2267"/>
      <c r="C219" s="1237"/>
      <c r="D219" s="1237"/>
      <c r="E219" s="1237"/>
      <c r="F219" s="1237"/>
      <c r="G219" s="1237"/>
      <c r="H219" s="1237"/>
      <c r="I219" s="1237"/>
      <c r="J219" s="1237"/>
      <c r="K219" s="1237">
        <v>1</v>
      </c>
      <c r="L219" s="1237">
        <v>2</v>
      </c>
      <c r="M219" s="1237">
        <f t="shared" si="7"/>
        <v>1</v>
      </c>
      <c r="N219" s="1237" t="s">
        <v>1024</v>
      </c>
      <c r="O219" s="2028">
        <v>4.93</v>
      </c>
      <c r="P219" s="2995"/>
      <c r="Q219" s="1238"/>
      <c r="R219" s="1239"/>
    </row>
    <row r="220" spans="1:18" ht="18.75" customHeight="1">
      <c r="A220" s="2992"/>
      <c r="B220" s="2267"/>
      <c r="C220" s="1237"/>
      <c r="D220" s="1237"/>
      <c r="E220" s="1237"/>
      <c r="F220" s="1237"/>
      <c r="G220" s="1237"/>
      <c r="H220" s="1237"/>
      <c r="I220" s="1237"/>
      <c r="J220" s="1237"/>
      <c r="K220" s="1237">
        <v>2</v>
      </c>
      <c r="L220" s="1237">
        <v>3</v>
      </c>
      <c r="M220" s="1237">
        <f t="shared" si="7"/>
        <v>1</v>
      </c>
      <c r="N220" s="1237" t="s">
        <v>1025</v>
      </c>
      <c r="O220" s="2028">
        <v>0.3</v>
      </c>
      <c r="P220" s="2995"/>
      <c r="Q220" s="1238"/>
      <c r="R220" s="1239"/>
    </row>
    <row r="221" spans="1:18" ht="18.75" customHeight="1">
      <c r="A221" s="2992"/>
      <c r="B221" s="2267"/>
      <c r="C221" s="1237"/>
      <c r="D221" s="1237"/>
      <c r="E221" s="1237"/>
      <c r="F221" s="1237"/>
      <c r="G221" s="1237"/>
      <c r="H221" s="1237"/>
      <c r="I221" s="1237"/>
      <c r="J221" s="1237"/>
      <c r="K221" s="1237">
        <v>3</v>
      </c>
      <c r="L221" s="1237">
        <v>4</v>
      </c>
      <c r="M221" s="1237">
        <f t="shared" si="7"/>
        <v>1</v>
      </c>
      <c r="N221" s="1237" t="s">
        <v>1026</v>
      </c>
      <c r="O221" s="2028">
        <v>0.08</v>
      </c>
      <c r="P221" s="2995"/>
      <c r="Q221" s="1238"/>
      <c r="R221" s="1239"/>
    </row>
    <row r="222" spans="1:18" ht="18.75" customHeight="1">
      <c r="A222" s="2992"/>
      <c r="B222" s="2267" t="s">
        <v>479</v>
      </c>
      <c r="C222" s="1237" t="s">
        <v>793</v>
      </c>
      <c r="D222" s="1237"/>
      <c r="E222" s="1237" t="s">
        <v>468</v>
      </c>
      <c r="F222" s="1237" t="s">
        <v>772</v>
      </c>
      <c r="G222" s="1237">
        <v>4</v>
      </c>
      <c r="H222" s="1237" t="s">
        <v>470</v>
      </c>
      <c r="I222" s="1237" t="s">
        <v>794</v>
      </c>
      <c r="J222" s="1237"/>
      <c r="K222" s="1237">
        <v>0</v>
      </c>
      <c r="L222" s="1237">
        <v>1</v>
      </c>
      <c r="M222" s="1237">
        <f t="shared" si="7"/>
        <v>1</v>
      </c>
      <c r="N222" s="1237" t="s">
        <v>1027</v>
      </c>
      <c r="O222" s="2028">
        <v>0.67</v>
      </c>
      <c r="P222" s="2995"/>
      <c r="Q222" s="1238"/>
      <c r="R222" s="1239"/>
    </row>
    <row r="223" spans="1:18" ht="18.75" customHeight="1">
      <c r="A223" s="2992"/>
      <c r="B223" s="2267"/>
      <c r="C223" s="1237"/>
      <c r="D223" s="1237"/>
      <c r="E223" s="1237"/>
      <c r="F223" s="1237"/>
      <c r="G223" s="1237"/>
      <c r="H223" s="1237"/>
      <c r="I223" s="1237"/>
      <c r="J223" s="1237"/>
      <c r="K223" s="1237">
        <v>1</v>
      </c>
      <c r="L223" s="1237">
        <v>2</v>
      </c>
      <c r="M223" s="1237">
        <f t="shared" si="7"/>
        <v>1</v>
      </c>
      <c r="N223" s="1237" t="s">
        <v>1028</v>
      </c>
      <c r="O223" s="2028">
        <v>0.95</v>
      </c>
      <c r="P223" s="2995"/>
      <c r="Q223" s="1238"/>
      <c r="R223" s="1239"/>
    </row>
    <row r="224" spans="1:18" ht="18.75" customHeight="1">
      <c r="A224" s="2992"/>
      <c r="B224" s="2267"/>
      <c r="C224" s="1237"/>
      <c r="D224" s="1237"/>
      <c r="E224" s="1237"/>
      <c r="F224" s="1237"/>
      <c r="G224" s="1237"/>
      <c r="H224" s="1237"/>
      <c r="I224" s="1237"/>
      <c r="J224" s="1237"/>
      <c r="K224" s="1237">
        <v>2</v>
      </c>
      <c r="L224" s="1237">
        <v>3</v>
      </c>
      <c r="M224" s="1237">
        <f t="shared" si="7"/>
        <v>1</v>
      </c>
      <c r="N224" s="1237" t="s">
        <v>1029</v>
      </c>
      <c r="O224" s="2028">
        <v>0.89</v>
      </c>
      <c r="P224" s="2995"/>
      <c r="Q224" s="1238"/>
      <c r="R224" s="1239"/>
    </row>
    <row r="225" spans="1:18" ht="18.75" customHeight="1">
      <c r="A225" s="2992"/>
      <c r="B225" s="2267"/>
      <c r="C225" s="1237"/>
      <c r="D225" s="1237"/>
      <c r="E225" s="1237"/>
      <c r="F225" s="1237"/>
      <c r="G225" s="1237"/>
      <c r="H225" s="1237"/>
      <c r="I225" s="1237"/>
      <c r="J225" s="1237"/>
      <c r="K225" s="1237">
        <v>3</v>
      </c>
      <c r="L225" s="1237">
        <v>4</v>
      </c>
      <c r="M225" s="1237">
        <f t="shared" si="7"/>
        <v>1</v>
      </c>
      <c r="N225" s="1237" t="s">
        <v>1030</v>
      </c>
      <c r="O225" s="2024">
        <v>0.73</v>
      </c>
      <c r="P225" s="2995"/>
      <c r="Q225" s="1238"/>
      <c r="R225" s="1239"/>
    </row>
    <row r="226" spans="1:18" ht="18.75" customHeight="1">
      <c r="A226" s="2992"/>
      <c r="B226" s="2267"/>
      <c r="C226" s="1237"/>
      <c r="D226" s="1237"/>
      <c r="E226" s="1237"/>
      <c r="F226" s="1237"/>
      <c r="G226" s="1237"/>
      <c r="H226" s="1237"/>
      <c r="I226" s="1237"/>
      <c r="J226" s="2945" t="s">
        <v>851</v>
      </c>
      <c r="K226" s="2945"/>
      <c r="L226" s="2945"/>
      <c r="M226" s="1237">
        <f t="shared" si="7"/>
        <v>0</v>
      </c>
      <c r="N226" s="1237" t="s">
        <v>1031</v>
      </c>
      <c r="O226" s="2024">
        <v>3.22</v>
      </c>
      <c r="P226" s="2995"/>
      <c r="Q226" s="1238"/>
      <c r="R226" s="1239"/>
    </row>
    <row r="227" spans="1:18" ht="18.75" customHeight="1">
      <c r="A227" s="2992"/>
      <c r="B227" s="2267"/>
      <c r="C227" s="1237"/>
      <c r="D227" s="1237"/>
      <c r="E227" s="1237"/>
      <c r="F227" s="1237"/>
      <c r="G227" s="1237"/>
      <c r="H227" s="1237"/>
      <c r="I227" s="1237"/>
      <c r="J227" s="1237"/>
      <c r="K227" s="1237">
        <v>4</v>
      </c>
      <c r="L227" s="1237">
        <v>5</v>
      </c>
      <c r="M227" s="1237">
        <f t="shared" si="7"/>
        <v>1</v>
      </c>
      <c r="N227" s="1237" t="s">
        <v>1032</v>
      </c>
      <c r="O227" s="2024">
        <v>0.82</v>
      </c>
      <c r="P227" s="2996"/>
      <c r="Q227" s="1238"/>
      <c r="R227" s="1239"/>
    </row>
    <row r="228" spans="1:18" ht="18.75" customHeight="1">
      <c r="A228" s="2992"/>
      <c r="B228" s="2267" t="s">
        <v>466</v>
      </c>
      <c r="C228" s="1237" t="s">
        <v>793</v>
      </c>
      <c r="D228" s="1237" t="s">
        <v>840</v>
      </c>
      <c r="E228" s="1237" t="s">
        <v>511</v>
      </c>
      <c r="F228" s="1237" t="s">
        <v>772</v>
      </c>
      <c r="G228" s="1237">
        <v>5</v>
      </c>
      <c r="H228" s="1237" t="s">
        <v>470</v>
      </c>
      <c r="I228" s="1237" t="s">
        <v>841</v>
      </c>
      <c r="J228" s="1237">
        <v>0</v>
      </c>
      <c r="K228" s="1237">
        <v>0</v>
      </c>
      <c r="L228" s="1237">
        <v>1</v>
      </c>
      <c r="M228" s="1237">
        <f t="shared" si="7"/>
        <v>1</v>
      </c>
      <c r="N228" s="1237" t="s">
        <v>1033</v>
      </c>
      <c r="O228" s="2024">
        <v>0.61399999999999999</v>
      </c>
      <c r="P228" s="2994">
        <f>+AVERAGE(O228,O230:O232)</f>
        <v>1.6692499999999999</v>
      </c>
      <c r="Q228" s="1238"/>
      <c r="R228" s="1239"/>
    </row>
    <row r="229" spans="1:18" ht="18.75" customHeight="1">
      <c r="A229" s="2992"/>
      <c r="B229" s="2267"/>
      <c r="C229" s="1237"/>
      <c r="D229" s="1237"/>
      <c r="E229" s="1237"/>
      <c r="F229" s="1237"/>
      <c r="G229" s="1237"/>
      <c r="H229" s="1237"/>
      <c r="I229" s="1237"/>
      <c r="J229" s="2945" t="s">
        <v>851</v>
      </c>
      <c r="K229" s="2945"/>
      <c r="L229" s="2945"/>
      <c r="M229" s="1237">
        <f t="shared" si="7"/>
        <v>0</v>
      </c>
      <c r="N229" s="1237" t="s">
        <v>1034</v>
      </c>
      <c r="O229" s="2024">
        <v>3.15</v>
      </c>
      <c r="P229" s="2995"/>
      <c r="Q229" s="1238"/>
      <c r="R229" s="1239"/>
    </row>
    <row r="230" spans="1:18" ht="18.75" customHeight="1">
      <c r="A230" s="2992"/>
      <c r="B230" s="2267"/>
      <c r="C230" s="1237"/>
      <c r="D230" s="1237"/>
      <c r="E230" s="1237"/>
      <c r="F230" s="1237"/>
      <c r="G230" s="1237"/>
      <c r="H230" s="1237"/>
      <c r="I230" s="1237"/>
      <c r="J230" s="1237"/>
      <c r="K230" s="1237">
        <v>1</v>
      </c>
      <c r="L230" s="1237">
        <v>2</v>
      </c>
      <c r="M230" s="1237">
        <f t="shared" ref="M230:M271" si="8">L230-K230</f>
        <v>1</v>
      </c>
      <c r="N230" s="1237" t="s">
        <v>1035</v>
      </c>
      <c r="O230" s="2024">
        <v>1.9410000000000001</v>
      </c>
      <c r="P230" s="2995"/>
      <c r="Q230" s="1238"/>
      <c r="R230" s="1239"/>
    </row>
    <row r="231" spans="1:18" ht="18.75" customHeight="1">
      <c r="A231" s="2992"/>
      <c r="B231" s="2267" t="s">
        <v>466</v>
      </c>
      <c r="C231" s="1237" t="s">
        <v>793</v>
      </c>
      <c r="D231" s="1237" t="s">
        <v>840</v>
      </c>
      <c r="E231" s="1237" t="s">
        <v>511</v>
      </c>
      <c r="F231" s="1237" t="s">
        <v>772</v>
      </c>
      <c r="G231" s="1237">
        <v>7</v>
      </c>
      <c r="H231" s="1237" t="s">
        <v>470</v>
      </c>
      <c r="I231" s="1237" t="s">
        <v>841</v>
      </c>
      <c r="J231" s="1237">
        <v>0</v>
      </c>
      <c r="K231" s="1237">
        <v>0</v>
      </c>
      <c r="L231" s="1237">
        <v>1</v>
      </c>
      <c r="M231" s="1237">
        <f t="shared" si="8"/>
        <v>1</v>
      </c>
      <c r="N231" s="1237" t="s">
        <v>1036</v>
      </c>
      <c r="O231" s="2024">
        <v>2.0379999999999998</v>
      </c>
      <c r="P231" s="2995"/>
      <c r="Q231" s="1238"/>
      <c r="R231" s="1239"/>
    </row>
    <row r="232" spans="1:18" ht="18.75" customHeight="1">
      <c r="A232" s="2992"/>
      <c r="B232" s="2267"/>
      <c r="C232" s="1237"/>
      <c r="D232" s="1237"/>
      <c r="E232" s="1237"/>
      <c r="F232" s="1237"/>
      <c r="G232" s="1237"/>
      <c r="H232" s="1237"/>
      <c r="I232" s="1237"/>
      <c r="J232" s="1237"/>
      <c r="K232" s="1237">
        <v>1</v>
      </c>
      <c r="L232" s="1237">
        <v>2</v>
      </c>
      <c r="M232" s="1237">
        <f t="shared" si="8"/>
        <v>1</v>
      </c>
      <c r="N232" s="1237" t="s">
        <v>1037</v>
      </c>
      <c r="O232" s="2024">
        <v>2.0840000000000001</v>
      </c>
      <c r="P232" s="2995"/>
      <c r="Q232" s="1238"/>
      <c r="R232" s="1239"/>
    </row>
    <row r="233" spans="1:18" ht="18.75" customHeight="1">
      <c r="A233" s="2992"/>
      <c r="B233" s="2267" t="s">
        <v>466</v>
      </c>
      <c r="C233" s="1237" t="s">
        <v>467</v>
      </c>
      <c r="D233" s="1237"/>
      <c r="E233" s="1237" t="s">
        <v>511</v>
      </c>
      <c r="F233" s="1237" t="s">
        <v>772</v>
      </c>
      <c r="G233" s="1237">
        <v>3</v>
      </c>
      <c r="H233" s="1237" t="s">
        <v>474</v>
      </c>
      <c r="I233" s="1237" t="s">
        <v>859</v>
      </c>
      <c r="J233" s="1237">
        <v>16</v>
      </c>
      <c r="K233" s="1237">
        <v>0</v>
      </c>
      <c r="L233" s="1237">
        <v>1</v>
      </c>
      <c r="M233" s="1237">
        <f t="shared" si="8"/>
        <v>1</v>
      </c>
      <c r="N233" s="1237" t="s">
        <v>1038</v>
      </c>
      <c r="O233" s="2024">
        <v>0.27300000000000002</v>
      </c>
      <c r="P233" s="2994">
        <f>+AVERAGE(O233,O235:O238,O240:O246)</f>
        <v>8.7965833333333343</v>
      </c>
      <c r="Q233" s="1238"/>
      <c r="R233" s="1239"/>
    </row>
    <row r="234" spans="1:18" ht="18.75" customHeight="1">
      <c r="A234" s="2992"/>
      <c r="B234" s="2267"/>
      <c r="C234" s="1237"/>
      <c r="D234" s="1237"/>
      <c r="E234" s="1237"/>
      <c r="F234" s="1237"/>
      <c r="G234" s="1237"/>
      <c r="H234" s="1237"/>
      <c r="I234" s="1237"/>
      <c r="J234" s="2945" t="s">
        <v>618</v>
      </c>
      <c r="K234" s="2945"/>
      <c r="L234" s="2945"/>
      <c r="M234" s="1237">
        <f t="shared" si="8"/>
        <v>0</v>
      </c>
      <c r="N234" s="1237" t="s">
        <v>1039</v>
      </c>
      <c r="O234" s="2024">
        <v>0.70499999999999996</v>
      </c>
      <c r="P234" s="2995"/>
      <c r="Q234" s="1238"/>
      <c r="R234" s="1239"/>
    </row>
    <row r="235" spans="1:18" ht="18.75" customHeight="1">
      <c r="A235" s="2992"/>
      <c r="B235" s="2267"/>
      <c r="C235" s="1237"/>
      <c r="D235" s="1237"/>
      <c r="E235" s="1237"/>
      <c r="F235" s="1237"/>
      <c r="G235" s="1237"/>
      <c r="H235" s="1237"/>
      <c r="I235" s="1237"/>
      <c r="J235" s="1237"/>
      <c r="K235" s="1237">
        <v>1</v>
      </c>
      <c r="L235" s="1237">
        <v>2</v>
      </c>
      <c r="M235" s="1237">
        <f t="shared" si="8"/>
        <v>1</v>
      </c>
      <c r="N235" s="1237" t="s">
        <v>1040</v>
      </c>
      <c r="O235" s="2024">
        <v>1.5469999999999999</v>
      </c>
      <c r="P235" s="2995"/>
      <c r="Q235" s="1238"/>
      <c r="R235" s="1239"/>
    </row>
    <row r="236" spans="1:18" ht="18.75" customHeight="1">
      <c r="A236" s="2992"/>
      <c r="B236" s="2267"/>
      <c r="C236" s="1237"/>
      <c r="D236" s="1237"/>
      <c r="E236" s="1237"/>
      <c r="F236" s="1237"/>
      <c r="G236" s="1237"/>
      <c r="H236" s="1237"/>
      <c r="I236" s="1237"/>
      <c r="J236" s="1237"/>
      <c r="K236" s="1237">
        <v>2</v>
      </c>
      <c r="L236" s="1237">
        <v>3</v>
      </c>
      <c r="M236" s="1237">
        <f t="shared" si="8"/>
        <v>1</v>
      </c>
      <c r="N236" s="1237" t="s">
        <v>1041</v>
      </c>
      <c r="O236" s="2024">
        <v>28.89</v>
      </c>
      <c r="P236" s="2995"/>
      <c r="Q236" s="1238"/>
      <c r="R236" s="1239"/>
    </row>
    <row r="237" spans="1:18" ht="18.75" customHeight="1">
      <c r="A237" s="2992"/>
      <c r="B237" s="2267"/>
      <c r="C237" s="1237"/>
      <c r="D237" s="1237"/>
      <c r="E237" s="1237"/>
      <c r="F237" s="1237"/>
      <c r="G237" s="1237"/>
      <c r="H237" s="1237"/>
      <c r="I237" s="1237"/>
      <c r="J237" s="1237"/>
      <c r="K237" s="1237">
        <v>3</v>
      </c>
      <c r="L237" s="1237">
        <v>3.4</v>
      </c>
      <c r="M237" s="1237">
        <f t="shared" si="8"/>
        <v>0.39999999999999991</v>
      </c>
      <c r="N237" s="1237" t="s">
        <v>1042</v>
      </c>
      <c r="O237" s="2024">
        <v>25.92</v>
      </c>
      <c r="P237" s="2995"/>
      <c r="Q237" s="1238"/>
      <c r="R237" s="1239"/>
    </row>
    <row r="238" spans="1:18" ht="18.75" customHeight="1">
      <c r="A238" s="2992"/>
      <c r="B238" s="2267"/>
      <c r="C238" s="1237"/>
      <c r="D238" s="1237"/>
      <c r="E238" s="1237"/>
      <c r="F238" s="1237"/>
      <c r="G238" s="1237"/>
      <c r="H238" s="1237"/>
      <c r="I238" s="1237"/>
      <c r="J238" s="1237"/>
      <c r="K238" s="1237">
        <v>3.4</v>
      </c>
      <c r="L238" s="1237">
        <v>4.4000000000000004</v>
      </c>
      <c r="M238" s="1237">
        <f t="shared" si="8"/>
        <v>1.0000000000000004</v>
      </c>
      <c r="N238" s="1237" t="s">
        <v>1043</v>
      </c>
      <c r="O238" s="2024">
        <v>25.41</v>
      </c>
      <c r="P238" s="2995"/>
      <c r="Q238" s="1238"/>
      <c r="R238" s="1239"/>
    </row>
    <row r="239" spans="1:18" ht="18.75" customHeight="1">
      <c r="A239" s="2992"/>
      <c r="B239" s="2267"/>
      <c r="C239" s="1237"/>
      <c r="D239" s="1237"/>
      <c r="E239" s="1237"/>
      <c r="F239" s="1237"/>
      <c r="G239" s="1237"/>
      <c r="H239" s="1237"/>
      <c r="I239" s="1237"/>
      <c r="J239" s="2945" t="s">
        <v>529</v>
      </c>
      <c r="K239" s="2945"/>
      <c r="L239" s="2945"/>
      <c r="M239" s="1237">
        <f t="shared" si="8"/>
        <v>0</v>
      </c>
      <c r="N239" s="1237" t="s">
        <v>1044</v>
      </c>
      <c r="O239" s="2024">
        <v>0.24099999999999999</v>
      </c>
      <c r="P239" s="2995"/>
      <c r="Q239" s="1238"/>
      <c r="R239" s="1239"/>
    </row>
    <row r="240" spans="1:18" ht="18.75" customHeight="1">
      <c r="A240" s="2992"/>
      <c r="B240" s="2267"/>
      <c r="C240" s="1237"/>
      <c r="D240" s="1237"/>
      <c r="E240" s="1237"/>
      <c r="F240" s="1237"/>
      <c r="G240" s="1237"/>
      <c r="H240" s="1237"/>
      <c r="I240" s="1237"/>
      <c r="J240" s="1237"/>
      <c r="K240" s="1237">
        <v>4.4000000000000004</v>
      </c>
      <c r="L240" s="1237">
        <v>5.4</v>
      </c>
      <c r="M240" s="1237">
        <f t="shared" si="8"/>
        <v>1</v>
      </c>
      <c r="N240" s="1237" t="s">
        <v>1045</v>
      </c>
      <c r="O240" s="2024">
        <v>4.5389999999999997</v>
      </c>
      <c r="P240" s="2995"/>
      <c r="Q240" s="1238"/>
      <c r="R240" s="1239"/>
    </row>
    <row r="241" spans="1:18" ht="18.75" customHeight="1">
      <c r="A241" s="2992"/>
      <c r="B241" s="2267" t="s">
        <v>466</v>
      </c>
      <c r="C241" s="1237" t="s">
        <v>467</v>
      </c>
      <c r="D241" s="1237"/>
      <c r="E241" s="1237" t="s">
        <v>511</v>
      </c>
      <c r="F241" s="1237" t="s">
        <v>772</v>
      </c>
      <c r="G241" s="1237">
        <v>5</v>
      </c>
      <c r="H241" s="1237" t="s">
        <v>474</v>
      </c>
      <c r="I241" s="1237" t="s">
        <v>859</v>
      </c>
      <c r="J241" s="1237">
        <v>16</v>
      </c>
      <c r="K241" s="1237">
        <v>0</v>
      </c>
      <c r="L241" s="1237">
        <v>1</v>
      </c>
      <c r="M241" s="1237">
        <f t="shared" si="8"/>
        <v>1</v>
      </c>
      <c r="N241" s="1237" t="s">
        <v>1046</v>
      </c>
      <c r="O241" s="2024">
        <v>3.4780000000000002</v>
      </c>
      <c r="P241" s="2995"/>
      <c r="Q241" s="1238"/>
      <c r="R241" s="1239"/>
    </row>
    <row r="242" spans="1:18" ht="18.75" customHeight="1">
      <c r="A242" s="2992"/>
      <c r="B242" s="2267"/>
      <c r="C242" s="1237"/>
      <c r="D242" s="1237"/>
      <c r="E242" s="1237"/>
      <c r="F242" s="1237"/>
      <c r="G242" s="1237"/>
      <c r="H242" s="1237"/>
      <c r="I242" s="1237"/>
      <c r="J242" s="1237"/>
      <c r="K242" s="1237">
        <v>1</v>
      </c>
      <c r="L242" s="1237">
        <v>2</v>
      </c>
      <c r="M242" s="1237">
        <f t="shared" si="8"/>
        <v>1</v>
      </c>
      <c r="N242" s="1237" t="s">
        <v>1047</v>
      </c>
      <c r="O242" s="2024">
        <v>2.266</v>
      </c>
      <c r="P242" s="2995"/>
      <c r="Q242" s="1238"/>
      <c r="R242" s="1239"/>
    </row>
    <row r="243" spans="1:18" ht="18.75" customHeight="1">
      <c r="A243" s="2992"/>
      <c r="B243" s="2267"/>
      <c r="C243" s="1237"/>
      <c r="D243" s="1237"/>
      <c r="E243" s="1237"/>
      <c r="F243" s="1237"/>
      <c r="G243" s="1237"/>
      <c r="H243" s="1237"/>
      <c r="I243" s="1237"/>
      <c r="J243" s="1237"/>
      <c r="K243" s="1237">
        <v>2</v>
      </c>
      <c r="L243" s="1237">
        <v>3</v>
      </c>
      <c r="M243" s="1237">
        <f t="shared" si="8"/>
        <v>1</v>
      </c>
      <c r="N243" s="1237" t="s">
        <v>1048</v>
      </c>
      <c r="O243" s="2024">
        <v>0.12</v>
      </c>
      <c r="P243" s="2995"/>
      <c r="Q243" s="1238"/>
      <c r="R243" s="1239"/>
    </row>
    <row r="244" spans="1:18" ht="18.75" customHeight="1">
      <c r="A244" s="2992"/>
      <c r="B244" s="2267"/>
      <c r="C244" s="1237"/>
      <c r="D244" s="1237"/>
      <c r="E244" s="1237"/>
      <c r="F244" s="1237"/>
      <c r="G244" s="1237"/>
      <c r="H244" s="1237"/>
      <c r="I244" s="1237"/>
      <c r="J244" s="1237"/>
      <c r="K244" s="1237">
        <v>3</v>
      </c>
      <c r="L244" s="1237">
        <v>4</v>
      </c>
      <c r="M244" s="1237">
        <f t="shared" si="8"/>
        <v>1</v>
      </c>
      <c r="N244" s="1237" t="s">
        <v>1049</v>
      </c>
      <c r="O244" s="2024">
        <v>4.5810000000000004</v>
      </c>
      <c r="P244" s="2995"/>
      <c r="Q244" s="1238"/>
      <c r="R244" s="1239"/>
    </row>
    <row r="245" spans="1:18" ht="18.75" customHeight="1">
      <c r="A245" s="2992"/>
      <c r="B245" s="2267" t="s">
        <v>466</v>
      </c>
      <c r="C245" s="1237" t="s">
        <v>467</v>
      </c>
      <c r="D245" s="1237"/>
      <c r="E245" s="1237" t="s">
        <v>511</v>
      </c>
      <c r="F245" s="1237" t="s">
        <v>772</v>
      </c>
      <c r="G245" s="1237">
        <v>5</v>
      </c>
      <c r="H245" s="1237" t="s">
        <v>474</v>
      </c>
      <c r="I245" s="1237" t="s">
        <v>859</v>
      </c>
      <c r="J245" s="1237">
        <v>16</v>
      </c>
      <c r="K245" s="1237">
        <v>0</v>
      </c>
      <c r="L245" s="1237">
        <v>1</v>
      </c>
      <c r="M245" s="1237">
        <f t="shared" si="8"/>
        <v>1</v>
      </c>
      <c r="N245" s="1237" t="s">
        <v>1050</v>
      </c>
      <c r="O245" s="2024">
        <v>4.1310000000000002</v>
      </c>
      <c r="P245" s="2995"/>
      <c r="Q245" s="1238"/>
      <c r="R245" s="1239"/>
    </row>
    <row r="246" spans="1:18" ht="18.75" customHeight="1">
      <c r="A246" s="2992"/>
      <c r="B246" s="2267"/>
      <c r="C246" s="1237"/>
      <c r="D246" s="1237"/>
      <c r="E246" s="1237"/>
      <c r="F246" s="1237"/>
      <c r="G246" s="1237"/>
      <c r="H246" s="1237"/>
      <c r="I246" s="1237"/>
      <c r="J246" s="1237"/>
      <c r="K246" s="1237">
        <v>1</v>
      </c>
      <c r="L246" s="1237">
        <v>2</v>
      </c>
      <c r="M246" s="1237">
        <f t="shared" si="8"/>
        <v>1</v>
      </c>
      <c r="N246" s="1237" t="s">
        <v>1051</v>
      </c>
      <c r="O246" s="2024">
        <v>4.4039999999999999</v>
      </c>
      <c r="P246" s="2996"/>
      <c r="Q246" s="1238"/>
      <c r="R246" s="1239"/>
    </row>
    <row r="247" spans="1:18" ht="18.75" customHeight="1">
      <c r="A247" s="2992"/>
      <c r="B247" s="2267" t="s">
        <v>466</v>
      </c>
      <c r="C247" s="1237" t="s">
        <v>846</v>
      </c>
      <c r="D247" s="1237"/>
      <c r="E247" s="1237" t="s">
        <v>511</v>
      </c>
      <c r="F247" s="1237" t="s">
        <v>772</v>
      </c>
      <c r="G247" s="1237">
        <v>1</v>
      </c>
      <c r="H247" s="1237" t="s">
        <v>470</v>
      </c>
      <c r="I247" s="1237" t="s">
        <v>847</v>
      </c>
      <c r="J247" s="1237">
        <v>18</v>
      </c>
      <c r="K247" s="1237">
        <v>0</v>
      </c>
      <c r="L247" s="1237">
        <v>1</v>
      </c>
      <c r="M247" s="1237">
        <f t="shared" si="8"/>
        <v>1</v>
      </c>
      <c r="N247" s="1237" t="s">
        <v>1052</v>
      </c>
      <c r="O247" s="2024">
        <v>3.5609999999999999</v>
      </c>
      <c r="P247" s="2994">
        <f>+AVERAGE(O247:O248,O250:O251)</f>
        <v>2.0194999999999999</v>
      </c>
      <c r="Q247" s="1238"/>
      <c r="R247" s="1239"/>
    </row>
    <row r="248" spans="1:18" ht="18.75" customHeight="1">
      <c r="A248" s="2992"/>
      <c r="B248" s="2267"/>
      <c r="C248" s="1237"/>
      <c r="D248" s="1237"/>
      <c r="E248" s="1237"/>
      <c r="F248" s="1237"/>
      <c r="G248" s="1237"/>
      <c r="H248" s="1237"/>
      <c r="I248" s="1237"/>
      <c r="J248" s="1237"/>
      <c r="K248" s="1237">
        <v>1</v>
      </c>
      <c r="L248" s="1237">
        <v>2</v>
      </c>
      <c r="M248" s="1237">
        <f t="shared" si="8"/>
        <v>1</v>
      </c>
      <c r="N248" s="1237" t="s">
        <v>1053</v>
      </c>
      <c r="O248" s="2024">
        <v>1.5309999999999999</v>
      </c>
      <c r="P248" s="2995"/>
      <c r="Q248" s="1238"/>
      <c r="R248" s="1239"/>
    </row>
    <row r="249" spans="1:18" ht="18.75" customHeight="1">
      <c r="A249" s="2992"/>
      <c r="B249" s="2267"/>
      <c r="C249" s="1237"/>
      <c r="D249" s="1237"/>
      <c r="E249" s="1237"/>
      <c r="F249" s="1237"/>
      <c r="G249" s="1237"/>
      <c r="H249" s="1237"/>
      <c r="I249" s="1237"/>
      <c r="J249" s="2945" t="s">
        <v>938</v>
      </c>
      <c r="K249" s="2945"/>
      <c r="L249" s="2945"/>
      <c r="M249" s="1237">
        <f t="shared" si="8"/>
        <v>0</v>
      </c>
      <c r="N249" s="1237" t="s">
        <v>1054</v>
      </c>
      <c r="O249" s="2024">
        <v>1.03</v>
      </c>
      <c r="P249" s="2995"/>
      <c r="Q249" s="1238"/>
      <c r="R249" s="1239"/>
    </row>
    <row r="250" spans="1:18" ht="18.75" customHeight="1">
      <c r="A250" s="2992"/>
      <c r="B250" s="2267"/>
      <c r="C250" s="1237"/>
      <c r="D250" s="1237"/>
      <c r="E250" s="1237"/>
      <c r="F250" s="1237"/>
      <c r="G250" s="1237"/>
      <c r="H250" s="1237"/>
      <c r="I250" s="1237"/>
      <c r="J250" s="1237"/>
      <c r="K250" s="1237">
        <v>2</v>
      </c>
      <c r="L250" s="1237">
        <v>3</v>
      </c>
      <c r="M250" s="1237">
        <f t="shared" si="8"/>
        <v>1</v>
      </c>
      <c r="N250" s="1237" t="s">
        <v>1055</v>
      </c>
      <c r="O250" s="2024">
        <v>1.4470000000000001</v>
      </c>
      <c r="P250" s="2995"/>
      <c r="Q250" s="1238"/>
      <c r="R250" s="1239"/>
    </row>
    <row r="251" spans="1:18" ht="18.75" customHeight="1">
      <c r="A251" s="2992"/>
      <c r="B251" s="2267"/>
      <c r="C251" s="1237"/>
      <c r="D251" s="1237"/>
      <c r="E251" s="1237"/>
      <c r="F251" s="1237"/>
      <c r="G251" s="1237"/>
      <c r="H251" s="1237"/>
      <c r="I251" s="1237"/>
      <c r="J251" s="1237"/>
      <c r="K251" s="1237">
        <v>3</v>
      </c>
      <c r="L251" s="1237">
        <v>4</v>
      </c>
      <c r="M251" s="1237">
        <f t="shared" si="8"/>
        <v>1</v>
      </c>
      <c r="N251" s="1237" t="s">
        <v>1056</v>
      </c>
      <c r="O251" s="2024">
        <v>1.5389999999999999</v>
      </c>
      <c r="P251" s="2995"/>
      <c r="Q251" s="1238"/>
      <c r="R251" s="1239"/>
    </row>
    <row r="252" spans="1:18" ht="18.75" customHeight="1">
      <c r="A252" s="2992"/>
      <c r="B252" s="2267" t="s">
        <v>466</v>
      </c>
      <c r="C252" s="1237" t="s">
        <v>867</v>
      </c>
      <c r="D252" s="1237" t="s">
        <v>825</v>
      </c>
      <c r="E252" s="1237" t="s">
        <v>468</v>
      </c>
      <c r="F252" s="1237" t="s">
        <v>772</v>
      </c>
      <c r="G252" s="1237">
        <v>2</v>
      </c>
      <c r="H252" s="1237" t="s">
        <v>470</v>
      </c>
      <c r="I252" s="1237" t="s">
        <v>1057</v>
      </c>
      <c r="J252" s="1237">
        <v>11</v>
      </c>
      <c r="K252" s="1237">
        <v>0</v>
      </c>
      <c r="L252" s="1237">
        <v>1</v>
      </c>
      <c r="M252" s="1237">
        <f t="shared" si="8"/>
        <v>1</v>
      </c>
      <c r="N252" s="1237" t="s">
        <v>1058</v>
      </c>
      <c r="O252" s="2024">
        <v>13.026999999999999</v>
      </c>
      <c r="P252" s="2994">
        <f>+AVERAGE(O252:O253,O255:O257)</f>
        <v>8.8161999999999985</v>
      </c>
      <c r="Q252" s="1238"/>
      <c r="R252" s="1239"/>
    </row>
    <row r="253" spans="1:18" ht="18.75" customHeight="1">
      <c r="A253" s="2992"/>
      <c r="B253" s="2267"/>
      <c r="C253" s="1237"/>
      <c r="D253" s="1237"/>
      <c r="E253" s="1237"/>
      <c r="F253" s="1237"/>
      <c r="G253" s="1237"/>
      <c r="H253" s="1237"/>
      <c r="I253" s="1237"/>
      <c r="J253" s="1237"/>
      <c r="K253" s="1237">
        <v>1</v>
      </c>
      <c r="L253" s="1237">
        <v>2</v>
      </c>
      <c r="M253" s="1237">
        <f t="shared" si="8"/>
        <v>1</v>
      </c>
      <c r="N253" s="1237" t="s">
        <v>1059</v>
      </c>
      <c r="O253" s="2024">
        <v>11.347</v>
      </c>
      <c r="P253" s="2995"/>
      <c r="Q253" s="1238"/>
      <c r="R253" s="1239"/>
    </row>
    <row r="254" spans="1:18" ht="18.75" customHeight="1">
      <c r="A254" s="2992"/>
      <c r="B254" s="2267"/>
      <c r="C254" s="1237"/>
      <c r="D254" s="1237"/>
      <c r="E254" s="1237"/>
      <c r="F254" s="1237"/>
      <c r="G254" s="1237"/>
      <c r="H254" s="1237"/>
      <c r="I254" s="1237"/>
      <c r="J254" s="2945" t="s">
        <v>618</v>
      </c>
      <c r="K254" s="2945"/>
      <c r="L254" s="2945"/>
      <c r="M254" s="1237">
        <f t="shared" si="8"/>
        <v>0</v>
      </c>
      <c r="N254" s="1237" t="s">
        <v>1060</v>
      </c>
      <c r="O254" s="2024">
        <v>9.5540000000000003</v>
      </c>
      <c r="P254" s="2995"/>
      <c r="Q254" s="1238"/>
      <c r="R254" s="1239"/>
    </row>
    <row r="255" spans="1:18" ht="18.75" customHeight="1">
      <c r="A255" s="2992"/>
      <c r="B255" s="2267" t="s">
        <v>466</v>
      </c>
      <c r="C255" s="1237" t="s">
        <v>867</v>
      </c>
      <c r="D255" s="1237" t="s">
        <v>825</v>
      </c>
      <c r="E255" s="1237" t="s">
        <v>468</v>
      </c>
      <c r="F255" s="1237" t="s">
        <v>772</v>
      </c>
      <c r="G255" s="1237">
        <v>2</v>
      </c>
      <c r="H255" s="1237" t="s">
        <v>470</v>
      </c>
      <c r="I255" s="1237" t="s">
        <v>1057</v>
      </c>
      <c r="J255" s="1237">
        <v>11</v>
      </c>
      <c r="K255" s="1237">
        <v>0</v>
      </c>
      <c r="L255" s="1237">
        <v>1</v>
      </c>
      <c r="M255" s="1237">
        <f t="shared" si="8"/>
        <v>1</v>
      </c>
      <c r="N255" s="1237" t="s">
        <v>1061</v>
      </c>
      <c r="O255" s="2024">
        <v>8.7379999999999995</v>
      </c>
      <c r="P255" s="2995"/>
      <c r="Q255" s="1238"/>
      <c r="R255" s="1239"/>
    </row>
    <row r="256" spans="1:18" ht="18.75" customHeight="1">
      <c r="A256" s="2992"/>
      <c r="B256" s="2267"/>
      <c r="C256" s="1237"/>
      <c r="D256" s="1237"/>
      <c r="E256" s="1237"/>
      <c r="F256" s="1237"/>
      <c r="G256" s="1237"/>
      <c r="H256" s="1237"/>
      <c r="I256" s="1237"/>
      <c r="J256" s="1237"/>
      <c r="K256" s="1237">
        <v>1</v>
      </c>
      <c r="L256" s="1237">
        <v>2</v>
      </c>
      <c r="M256" s="1237">
        <f t="shared" si="8"/>
        <v>1</v>
      </c>
      <c r="N256" s="1237" t="s">
        <v>1062</v>
      </c>
      <c r="O256" s="2024">
        <v>10.44</v>
      </c>
      <c r="P256" s="2995"/>
      <c r="Q256" s="1238"/>
      <c r="R256" s="1239"/>
    </row>
    <row r="257" spans="1:18" ht="18.75" customHeight="1">
      <c r="A257" s="2992"/>
      <c r="B257" s="2267"/>
      <c r="C257" s="1237"/>
      <c r="D257" s="1237"/>
      <c r="E257" s="1237"/>
      <c r="F257" s="1237"/>
      <c r="G257" s="1237"/>
      <c r="H257" s="1237"/>
      <c r="I257" s="1237"/>
      <c r="J257" s="1237"/>
      <c r="K257" s="1237">
        <v>2</v>
      </c>
      <c r="L257" s="1237">
        <v>3</v>
      </c>
      <c r="M257" s="1237">
        <f t="shared" si="8"/>
        <v>1</v>
      </c>
      <c r="N257" s="1237" t="s">
        <v>1063</v>
      </c>
      <c r="O257" s="2024">
        <v>0.52900000000000003</v>
      </c>
      <c r="P257" s="2996"/>
      <c r="Q257" s="1238"/>
      <c r="R257" s="1239"/>
    </row>
    <row r="258" spans="1:18" ht="18.75" customHeight="1">
      <c r="A258" s="2992"/>
      <c r="B258" s="2267" t="s">
        <v>466</v>
      </c>
      <c r="C258" s="1237" t="s">
        <v>824</v>
      </c>
      <c r="D258" s="1237" t="s">
        <v>825</v>
      </c>
      <c r="E258" s="1237" t="s">
        <v>481</v>
      </c>
      <c r="F258" s="1237" t="s">
        <v>772</v>
      </c>
      <c r="G258" s="1237">
        <v>0.4</v>
      </c>
      <c r="H258" s="1237" t="s">
        <v>808</v>
      </c>
      <c r="I258" s="1237" t="s">
        <v>826</v>
      </c>
      <c r="J258" s="1237"/>
      <c r="K258" s="1237">
        <v>0</v>
      </c>
      <c r="L258" s="1237">
        <v>0.6</v>
      </c>
      <c r="M258" s="1237">
        <f t="shared" si="8"/>
        <v>0.6</v>
      </c>
      <c r="N258" s="1237" t="s">
        <v>1064</v>
      </c>
      <c r="O258" s="2024">
        <v>6.82</v>
      </c>
      <c r="P258" s="2994">
        <f>+AVERAGE(O258:O261,O263:O264)</f>
        <v>5.0466666666666669</v>
      </c>
      <c r="Q258" s="1238"/>
      <c r="R258" s="1239"/>
    </row>
    <row r="259" spans="1:18" ht="18.75" customHeight="1">
      <c r="A259" s="2992"/>
      <c r="B259" s="2267"/>
      <c r="C259" s="1237"/>
      <c r="D259" s="1237"/>
      <c r="E259" s="1237"/>
      <c r="F259" s="1237"/>
      <c r="G259" s="1237"/>
      <c r="H259" s="1237"/>
      <c r="I259" s="1237"/>
      <c r="J259" s="1237"/>
      <c r="K259" s="1237">
        <v>0.6</v>
      </c>
      <c r="L259" s="1237">
        <v>1.2</v>
      </c>
      <c r="M259" s="1237">
        <f t="shared" si="8"/>
        <v>0.6</v>
      </c>
      <c r="N259" s="1237" t="s">
        <v>1065</v>
      </c>
      <c r="O259" s="2024">
        <v>5.27</v>
      </c>
      <c r="P259" s="2995"/>
      <c r="Q259" s="1238"/>
      <c r="R259" s="1239"/>
    </row>
    <row r="260" spans="1:18" ht="18.75" customHeight="1">
      <c r="A260" s="2992"/>
      <c r="B260" s="2267"/>
      <c r="C260" s="1237"/>
      <c r="D260" s="1237"/>
      <c r="E260" s="1237"/>
      <c r="F260" s="1237"/>
      <c r="G260" s="1237"/>
      <c r="H260" s="1237"/>
      <c r="I260" s="1237"/>
      <c r="J260" s="1237"/>
      <c r="K260" s="1237">
        <v>1.2</v>
      </c>
      <c r="L260" s="1237">
        <v>1.8</v>
      </c>
      <c r="M260" s="1237">
        <f t="shared" si="8"/>
        <v>0.60000000000000009</v>
      </c>
      <c r="N260" s="1237" t="s">
        <v>1066</v>
      </c>
      <c r="O260" s="2024">
        <v>6.25</v>
      </c>
      <c r="P260" s="2995"/>
      <c r="Q260" s="1238"/>
      <c r="R260" s="1239"/>
    </row>
    <row r="261" spans="1:18" ht="18.75" customHeight="1">
      <c r="A261" s="2992"/>
      <c r="B261" s="2267" t="s">
        <v>466</v>
      </c>
      <c r="C261" s="1237" t="s">
        <v>824</v>
      </c>
      <c r="D261" s="1237" t="s">
        <v>825</v>
      </c>
      <c r="E261" s="1237" t="s">
        <v>481</v>
      </c>
      <c r="F261" s="1237" t="s">
        <v>772</v>
      </c>
      <c r="G261" s="1237">
        <v>0.4</v>
      </c>
      <c r="H261" s="1237" t="s">
        <v>474</v>
      </c>
      <c r="I261" s="1237" t="s">
        <v>826</v>
      </c>
      <c r="J261" s="1237"/>
      <c r="K261" s="1237">
        <v>0</v>
      </c>
      <c r="L261" s="1237">
        <v>0.6</v>
      </c>
      <c r="M261" s="1237">
        <v>0.6</v>
      </c>
      <c r="N261" s="1237" t="s">
        <v>1067</v>
      </c>
      <c r="O261" s="2024">
        <v>2.82</v>
      </c>
      <c r="P261" s="2995"/>
      <c r="Q261" s="1238"/>
      <c r="R261" s="1239"/>
    </row>
    <row r="262" spans="1:18" ht="18.75" customHeight="1">
      <c r="A262" s="2992"/>
      <c r="B262" s="2267"/>
      <c r="C262" s="1237"/>
      <c r="D262" s="1237"/>
      <c r="E262" s="1237"/>
      <c r="F262" s="1237"/>
      <c r="G262" s="1237"/>
      <c r="H262" s="1237"/>
      <c r="I262" s="1237"/>
      <c r="J262" s="2945" t="s">
        <v>529</v>
      </c>
      <c r="K262" s="2945"/>
      <c r="L262" s="2945"/>
      <c r="M262" s="1237">
        <f t="shared" si="8"/>
        <v>0</v>
      </c>
      <c r="N262" s="1237" t="s">
        <v>1068</v>
      </c>
      <c r="O262" s="2024">
        <v>1.95</v>
      </c>
      <c r="P262" s="2995"/>
      <c r="Q262" s="1238"/>
      <c r="R262" s="1239"/>
    </row>
    <row r="263" spans="1:18" ht="18.75" customHeight="1">
      <c r="A263" s="2992"/>
      <c r="B263" s="2267"/>
      <c r="C263" s="1237"/>
      <c r="D263" s="1237"/>
      <c r="E263" s="1237"/>
      <c r="F263" s="1237"/>
      <c r="G263" s="1237"/>
      <c r="H263" s="1237"/>
      <c r="I263" s="1237"/>
      <c r="J263" s="1237"/>
      <c r="K263" s="1237">
        <v>0.6</v>
      </c>
      <c r="L263" s="1237">
        <v>1.2</v>
      </c>
      <c r="M263" s="1237">
        <f t="shared" si="8"/>
        <v>0.6</v>
      </c>
      <c r="N263" s="1237" t="s">
        <v>1069</v>
      </c>
      <c r="O263" s="2024">
        <v>5.03</v>
      </c>
      <c r="P263" s="2995"/>
      <c r="Q263" s="1238"/>
      <c r="R263" s="1239"/>
    </row>
    <row r="264" spans="1:18" ht="18.75" customHeight="1">
      <c r="A264" s="2992"/>
      <c r="B264" s="2267"/>
      <c r="C264" s="1237"/>
      <c r="D264" s="1237"/>
      <c r="E264" s="1237"/>
      <c r="F264" s="1237"/>
      <c r="G264" s="1237"/>
      <c r="H264" s="1237"/>
      <c r="I264" s="1237"/>
      <c r="J264" s="1237"/>
      <c r="K264" s="1237">
        <v>1.2</v>
      </c>
      <c r="L264" s="1237">
        <v>1.8</v>
      </c>
      <c r="M264" s="1237">
        <f t="shared" si="8"/>
        <v>0.60000000000000009</v>
      </c>
      <c r="N264" s="1237" t="s">
        <v>1070</v>
      </c>
      <c r="O264" s="2024">
        <v>4.09</v>
      </c>
      <c r="P264" s="2996"/>
      <c r="Q264" s="1238"/>
      <c r="R264" s="1239"/>
    </row>
    <row r="265" spans="1:18" ht="18.75" customHeight="1">
      <c r="A265" s="2992"/>
      <c r="B265" s="2267" t="s">
        <v>466</v>
      </c>
      <c r="C265" s="1237" t="s">
        <v>516</v>
      </c>
      <c r="D265" s="1237" t="s">
        <v>817</v>
      </c>
      <c r="E265" s="1237" t="s">
        <v>468</v>
      </c>
      <c r="F265" s="1237" t="s">
        <v>772</v>
      </c>
      <c r="G265" s="1237">
        <v>1.5</v>
      </c>
      <c r="H265" s="1237" t="s">
        <v>474</v>
      </c>
      <c r="I265" s="1237" t="s">
        <v>830</v>
      </c>
      <c r="J265" s="1237"/>
      <c r="K265" s="1237">
        <v>0</v>
      </c>
      <c r="L265" s="1237">
        <v>1</v>
      </c>
      <c r="M265" s="1237">
        <f t="shared" si="8"/>
        <v>1</v>
      </c>
      <c r="N265" s="1237" t="s">
        <v>1071</v>
      </c>
      <c r="O265" s="2024">
        <v>5.14</v>
      </c>
      <c r="P265" s="2994">
        <f>+AVERAGE(O265:O266,O268:O271)</f>
        <v>3.1199999999999997</v>
      </c>
      <c r="Q265" s="1238"/>
      <c r="R265" s="1239"/>
    </row>
    <row r="266" spans="1:18" ht="18.75" customHeight="1">
      <c r="A266" s="2992"/>
      <c r="B266" s="2267"/>
      <c r="C266" s="1237"/>
      <c r="D266" s="1237"/>
      <c r="E266" s="1237"/>
      <c r="F266" s="1237"/>
      <c r="G266" s="1237"/>
      <c r="H266" s="1237"/>
      <c r="I266" s="1237"/>
      <c r="J266" s="1237"/>
      <c r="K266" s="1237">
        <v>1</v>
      </c>
      <c r="L266" s="1237">
        <v>2</v>
      </c>
      <c r="M266" s="1237">
        <f t="shared" si="8"/>
        <v>1</v>
      </c>
      <c r="N266" s="1237" t="s">
        <v>1072</v>
      </c>
      <c r="O266" s="2024">
        <v>2.73</v>
      </c>
      <c r="P266" s="2995"/>
      <c r="Q266" s="1238"/>
      <c r="R266" s="1239"/>
    </row>
    <row r="267" spans="1:18" ht="18.75" customHeight="1">
      <c r="A267" s="2992"/>
      <c r="B267" s="2267"/>
      <c r="C267" s="1237"/>
      <c r="D267" s="1237"/>
      <c r="E267" s="1237"/>
      <c r="F267" s="1237"/>
      <c r="G267" s="1237"/>
      <c r="H267" s="1237"/>
      <c r="I267" s="1237"/>
      <c r="J267" s="2945" t="s">
        <v>618</v>
      </c>
      <c r="K267" s="2945"/>
      <c r="L267" s="2945"/>
      <c r="M267" s="1237">
        <f t="shared" si="8"/>
        <v>0</v>
      </c>
      <c r="N267" s="1237" t="s">
        <v>1073</v>
      </c>
      <c r="O267" s="2024">
        <v>1.47</v>
      </c>
      <c r="P267" s="2995"/>
      <c r="Q267" s="1238"/>
      <c r="R267" s="1239"/>
    </row>
    <row r="268" spans="1:18" ht="18.75" customHeight="1">
      <c r="A268" s="2992"/>
      <c r="B268" s="2267"/>
      <c r="C268" s="1237"/>
      <c r="D268" s="1237"/>
      <c r="E268" s="1237"/>
      <c r="F268" s="1237"/>
      <c r="G268" s="1237"/>
      <c r="H268" s="1237"/>
      <c r="I268" s="1237"/>
      <c r="J268" s="1237"/>
      <c r="K268" s="1237">
        <v>2</v>
      </c>
      <c r="L268" s="1237">
        <v>3</v>
      </c>
      <c r="M268" s="1237">
        <f t="shared" si="8"/>
        <v>1</v>
      </c>
      <c r="N268" s="1237" t="s">
        <v>1074</v>
      </c>
      <c r="O268" s="2024">
        <v>0.84</v>
      </c>
      <c r="P268" s="2995"/>
      <c r="Q268" s="1238"/>
      <c r="R268" s="1239"/>
    </row>
    <row r="269" spans="1:18" ht="18.75" customHeight="1">
      <c r="A269" s="2992"/>
      <c r="B269" s="2267" t="s">
        <v>466</v>
      </c>
      <c r="C269" s="1237" t="s">
        <v>516</v>
      </c>
      <c r="D269" s="1237" t="s">
        <v>817</v>
      </c>
      <c r="E269" s="1237" t="s">
        <v>468</v>
      </c>
      <c r="F269" s="1237" t="s">
        <v>772</v>
      </c>
      <c r="G269" s="1237">
        <v>3.5</v>
      </c>
      <c r="H269" s="1237" t="s">
        <v>474</v>
      </c>
      <c r="I269" s="1237" t="s">
        <v>830</v>
      </c>
      <c r="J269" s="1237"/>
      <c r="K269" s="1237">
        <v>0</v>
      </c>
      <c r="L269" s="1237">
        <v>1</v>
      </c>
      <c r="M269" s="1237">
        <f t="shared" si="8"/>
        <v>1</v>
      </c>
      <c r="N269" s="1237" t="s">
        <v>1075</v>
      </c>
      <c r="O269" s="2024">
        <v>2.81</v>
      </c>
      <c r="P269" s="2995"/>
      <c r="Q269" s="1238"/>
      <c r="R269" s="1239"/>
    </row>
    <row r="270" spans="1:18" ht="18.75" customHeight="1">
      <c r="A270" s="2992"/>
      <c r="B270" s="2267"/>
      <c r="C270" s="1237"/>
      <c r="D270" s="1237"/>
      <c r="E270" s="1237"/>
      <c r="F270" s="1237"/>
      <c r="G270" s="1237"/>
      <c r="H270" s="1237"/>
      <c r="I270" s="1237"/>
      <c r="J270" s="1237"/>
      <c r="K270" s="1237">
        <v>1</v>
      </c>
      <c r="L270" s="1237">
        <v>2</v>
      </c>
      <c r="M270" s="1237">
        <f t="shared" si="8"/>
        <v>1</v>
      </c>
      <c r="N270" s="1237" t="s">
        <v>1076</v>
      </c>
      <c r="O270" s="2024">
        <v>3.08</v>
      </c>
      <c r="P270" s="2995"/>
      <c r="Q270" s="1238"/>
      <c r="R270" s="1239"/>
    </row>
    <row r="271" spans="1:18" ht="18.75" customHeight="1" thickBot="1">
      <c r="A271" s="2993"/>
      <c r="B271" s="2268"/>
      <c r="C271" s="1540"/>
      <c r="D271" s="1540"/>
      <c r="E271" s="1540"/>
      <c r="F271" s="1540"/>
      <c r="G271" s="1540"/>
      <c r="H271" s="1540"/>
      <c r="I271" s="1540"/>
      <c r="J271" s="1540"/>
      <c r="K271" s="1540">
        <v>2</v>
      </c>
      <c r="L271" s="1540">
        <v>3</v>
      </c>
      <c r="M271" s="1540">
        <f t="shared" si="8"/>
        <v>1</v>
      </c>
      <c r="N271" s="1540" t="s">
        <v>1077</v>
      </c>
      <c r="O271" s="2025">
        <v>4.12</v>
      </c>
      <c r="P271" s="2995"/>
      <c r="Q271" s="1541"/>
      <c r="R271" s="1591"/>
    </row>
    <row r="272" spans="1:18" ht="18.75" customHeight="1">
      <c r="A272" s="2997">
        <v>45874</v>
      </c>
      <c r="B272" s="2266" t="s">
        <v>479</v>
      </c>
      <c r="C272" s="1585" t="s">
        <v>480</v>
      </c>
      <c r="D272" s="1585" t="s">
        <v>840</v>
      </c>
      <c r="E272" s="1585" t="s">
        <v>481</v>
      </c>
      <c r="F272" s="1585" t="s">
        <v>772</v>
      </c>
      <c r="G272" s="1585">
        <v>1</v>
      </c>
      <c r="H272" s="1585" t="s">
        <v>786</v>
      </c>
      <c r="I272" s="1585" t="s">
        <v>871</v>
      </c>
      <c r="J272" s="1585"/>
      <c r="K272" s="1585">
        <v>0</v>
      </c>
      <c r="L272" s="1585">
        <v>0.6</v>
      </c>
      <c r="M272" s="1585">
        <f t="shared" ref="M272:M280" si="9">L272-K272</f>
        <v>0.6</v>
      </c>
      <c r="N272" s="1585" t="s">
        <v>1078</v>
      </c>
      <c r="O272" s="2026">
        <v>0.14000000000000001</v>
      </c>
      <c r="P272" s="2949">
        <f>+AVERAGE(O272:O277)</f>
        <v>0.14833333333333334</v>
      </c>
      <c r="Q272" s="1586"/>
      <c r="R272" s="1587"/>
    </row>
    <row r="273" spans="1:18" ht="18.75" customHeight="1">
      <c r="A273" s="2998"/>
      <c r="B273" s="2267"/>
      <c r="C273" s="1237"/>
      <c r="D273" s="1237"/>
      <c r="E273" s="1237"/>
      <c r="F273" s="1237"/>
      <c r="G273" s="1237"/>
      <c r="H273" s="1237"/>
      <c r="I273" s="1237"/>
      <c r="J273" s="1237"/>
      <c r="K273" s="1237">
        <v>0.6</v>
      </c>
      <c r="L273" s="1237">
        <v>1.2</v>
      </c>
      <c r="M273" s="1237">
        <f t="shared" si="9"/>
        <v>0.6</v>
      </c>
      <c r="N273" s="1237" t="s">
        <v>1079</v>
      </c>
      <c r="O273" s="2024">
        <v>0.18</v>
      </c>
      <c r="P273" s="2947"/>
      <c r="Q273" s="1238"/>
      <c r="R273" s="1239"/>
    </row>
    <row r="274" spans="1:18" ht="18.75" customHeight="1">
      <c r="A274" s="2998"/>
      <c r="B274" s="2267"/>
      <c r="C274" s="1237"/>
      <c r="D274" s="1237"/>
      <c r="E274" s="1237"/>
      <c r="F274" s="1237"/>
      <c r="G274" s="1237"/>
      <c r="H274" s="1237"/>
      <c r="I274" s="1237"/>
      <c r="J274" s="1237"/>
      <c r="K274" s="1237">
        <v>1.2</v>
      </c>
      <c r="L274" s="1237">
        <v>1.8</v>
      </c>
      <c r="M274" s="1237">
        <f t="shared" si="9"/>
        <v>0.60000000000000009</v>
      </c>
      <c r="N274" s="1237" t="s">
        <v>1080</v>
      </c>
      <c r="O274" s="2024">
        <v>0.09</v>
      </c>
      <c r="P274" s="2947"/>
      <c r="Q274" s="1238"/>
      <c r="R274" s="1239"/>
    </row>
    <row r="275" spans="1:18" ht="18.75" customHeight="1">
      <c r="A275" s="2998"/>
      <c r="B275" s="2267"/>
      <c r="C275" s="1237"/>
      <c r="D275" s="1237"/>
      <c r="E275" s="1237"/>
      <c r="F275" s="1237"/>
      <c r="G275" s="1237"/>
      <c r="H275" s="1237"/>
      <c r="I275" s="1237"/>
      <c r="J275" s="1237"/>
      <c r="K275" s="1237">
        <v>0</v>
      </c>
      <c r="L275" s="1237">
        <v>0.6</v>
      </c>
      <c r="M275" s="1237">
        <f t="shared" si="9"/>
        <v>0.6</v>
      </c>
      <c r="N275" s="1237" t="s">
        <v>1081</v>
      </c>
      <c r="O275" s="2024">
        <v>0.15</v>
      </c>
      <c r="P275" s="2947"/>
      <c r="Q275" s="1238"/>
      <c r="R275" s="1239"/>
    </row>
    <row r="276" spans="1:18" ht="18.75" customHeight="1">
      <c r="A276" s="2998"/>
      <c r="B276" s="2267"/>
      <c r="C276" s="1237"/>
      <c r="D276" s="1237"/>
      <c r="E276" s="1237"/>
      <c r="F276" s="1237"/>
      <c r="G276" s="1237"/>
      <c r="H276" s="1237"/>
      <c r="I276" s="1237"/>
      <c r="J276" s="1237"/>
      <c r="K276" s="1237">
        <v>0.6</v>
      </c>
      <c r="L276" s="1237">
        <v>1.2</v>
      </c>
      <c r="M276" s="1237">
        <f t="shared" si="9"/>
        <v>0.6</v>
      </c>
      <c r="N276" s="1237" t="s">
        <v>1082</v>
      </c>
      <c r="O276" s="2024">
        <v>0.13</v>
      </c>
      <c r="P276" s="2947"/>
      <c r="Q276" s="1238"/>
      <c r="R276" s="1239"/>
    </row>
    <row r="277" spans="1:18" ht="18.75" customHeight="1">
      <c r="A277" s="2998"/>
      <c r="B277" s="2267"/>
      <c r="C277" s="1237"/>
      <c r="D277" s="1237"/>
      <c r="E277" s="1237"/>
      <c r="F277" s="1237"/>
      <c r="G277" s="1237"/>
      <c r="H277" s="1237"/>
      <c r="I277" s="1237"/>
      <c r="J277" s="1237"/>
      <c r="K277" s="1237">
        <v>1.2</v>
      </c>
      <c r="L277" s="1237">
        <v>1.8</v>
      </c>
      <c r="M277" s="1237">
        <f t="shared" si="9"/>
        <v>0.60000000000000009</v>
      </c>
      <c r="N277" s="1237" t="s">
        <v>1083</v>
      </c>
      <c r="O277" s="2024">
        <v>0.2</v>
      </c>
      <c r="P277" s="2948"/>
      <c r="Q277" s="1238"/>
      <c r="R277" s="1239"/>
    </row>
    <row r="278" spans="1:18" ht="18.75" customHeight="1">
      <c r="A278" s="2998"/>
      <c r="B278" s="2267" t="s">
        <v>479</v>
      </c>
      <c r="C278" s="1237" t="s">
        <v>793</v>
      </c>
      <c r="D278" s="1237"/>
      <c r="E278" s="1237" t="s">
        <v>468</v>
      </c>
      <c r="F278" s="1237" t="s">
        <v>772</v>
      </c>
      <c r="G278" s="1237">
        <v>2</v>
      </c>
      <c r="H278" s="1237" t="s">
        <v>470</v>
      </c>
      <c r="I278" s="1237" t="s">
        <v>794</v>
      </c>
      <c r="J278" s="1237">
        <v>7.9</v>
      </c>
      <c r="K278" s="1237">
        <v>0</v>
      </c>
      <c r="L278" s="1237">
        <v>1</v>
      </c>
      <c r="M278" s="1237">
        <f t="shared" si="9"/>
        <v>1</v>
      </c>
      <c r="N278" s="1237" t="s">
        <v>1084</v>
      </c>
      <c r="O278" s="2024">
        <v>0.55000000000000004</v>
      </c>
      <c r="P278" s="2942">
        <f>+AVERAGE(O278:O280,O282:O283)</f>
        <v>3.1379999999999999</v>
      </c>
      <c r="Q278" s="1238"/>
      <c r="R278" s="1239"/>
    </row>
    <row r="279" spans="1:18" ht="18.75" customHeight="1">
      <c r="A279" s="2998"/>
      <c r="B279" s="2267"/>
      <c r="C279" s="1237"/>
      <c r="D279" s="1237"/>
      <c r="E279" s="1237"/>
      <c r="F279" s="1237"/>
      <c r="G279" s="1237"/>
      <c r="H279" s="1237"/>
      <c r="I279" s="1237"/>
      <c r="J279" s="1237"/>
      <c r="K279" s="1237">
        <v>1</v>
      </c>
      <c r="L279" s="1237">
        <v>2</v>
      </c>
      <c r="M279" s="1237">
        <f t="shared" si="9"/>
        <v>1</v>
      </c>
      <c r="N279" s="1237" t="s">
        <v>1085</v>
      </c>
      <c r="O279" s="2024">
        <v>1.66</v>
      </c>
      <c r="P279" s="2943"/>
      <c r="Q279" s="1238"/>
      <c r="R279" s="1239"/>
    </row>
    <row r="280" spans="1:18" ht="18.75" customHeight="1">
      <c r="A280" s="2998"/>
      <c r="B280" s="2267"/>
      <c r="C280" s="1237"/>
      <c r="D280" s="1237"/>
      <c r="E280" s="1237"/>
      <c r="F280" s="1237"/>
      <c r="G280" s="1237"/>
      <c r="H280" s="1237"/>
      <c r="I280" s="1237"/>
      <c r="J280" s="1237"/>
      <c r="K280" s="1237">
        <v>2</v>
      </c>
      <c r="L280" s="1237">
        <v>3</v>
      </c>
      <c r="M280" s="1237">
        <f t="shared" si="9"/>
        <v>1</v>
      </c>
      <c r="N280" s="1237" t="s">
        <v>1086</v>
      </c>
      <c r="O280" s="2024">
        <v>1.75</v>
      </c>
      <c r="P280" s="2943"/>
      <c r="Q280" s="1238"/>
      <c r="R280" s="1239"/>
    </row>
    <row r="281" spans="1:18" ht="18.75" customHeight="1">
      <c r="A281" s="2998"/>
      <c r="B281" s="2267"/>
      <c r="C281" s="1237"/>
      <c r="D281" s="1237"/>
      <c r="E281" s="1237"/>
      <c r="F281" s="1237"/>
      <c r="G281" s="1237"/>
      <c r="H281" s="1237"/>
      <c r="I281" s="1237"/>
      <c r="J281" s="2945" t="s">
        <v>1087</v>
      </c>
      <c r="K281" s="2945"/>
      <c r="L281" s="2945"/>
      <c r="M281" s="1237">
        <f t="shared" ref="M281:M344" si="10">L281-K281</f>
        <v>0</v>
      </c>
      <c r="N281" s="1237" t="s">
        <v>1088</v>
      </c>
      <c r="O281" s="2024">
        <v>3.15</v>
      </c>
      <c r="P281" s="2943"/>
      <c r="Q281" s="1238"/>
      <c r="R281" s="1239"/>
    </row>
    <row r="282" spans="1:18" ht="18.75" customHeight="1">
      <c r="A282" s="2998"/>
      <c r="B282" s="2267"/>
      <c r="C282" s="1237"/>
      <c r="D282" s="1237"/>
      <c r="E282" s="1237"/>
      <c r="F282" s="1237"/>
      <c r="G282" s="1237"/>
      <c r="H282" s="1237"/>
      <c r="I282" s="1237"/>
      <c r="J282" s="1237"/>
      <c r="K282" s="1237">
        <v>3</v>
      </c>
      <c r="L282" s="1237">
        <v>4</v>
      </c>
      <c r="M282" s="1237">
        <f t="shared" si="10"/>
        <v>1</v>
      </c>
      <c r="N282" s="1237" t="s">
        <v>1089</v>
      </c>
      <c r="O282" s="2024">
        <v>5.58</v>
      </c>
      <c r="P282" s="2943"/>
      <c r="Q282" s="1238"/>
      <c r="R282" s="1239"/>
    </row>
    <row r="283" spans="1:18" ht="18.75" customHeight="1">
      <c r="A283" s="2998"/>
      <c r="B283" s="2267"/>
      <c r="C283" s="1237"/>
      <c r="D283" s="1237"/>
      <c r="E283" s="1237"/>
      <c r="F283" s="1237"/>
      <c r="G283" s="1237"/>
      <c r="H283" s="1237"/>
      <c r="I283" s="1237"/>
      <c r="J283" s="1237"/>
      <c r="K283" s="1237">
        <v>4</v>
      </c>
      <c r="L283" s="1237">
        <v>5</v>
      </c>
      <c r="M283" s="1237">
        <f t="shared" si="10"/>
        <v>1</v>
      </c>
      <c r="N283" s="1237" t="s">
        <v>1090</v>
      </c>
      <c r="O283" s="2024">
        <v>6.15</v>
      </c>
      <c r="P283" s="2944"/>
      <c r="Q283" s="1238"/>
      <c r="R283" s="1239"/>
    </row>
    <row r="284" spans="1:18" ht="18.75" customHeight="1">
      <c r="A284" s="2998"/>
      <c r="B284" s="2267" t="s">
        <v>806</v>
      </c>
      <c r="C284" s="1237" t="s">
        <v>807</v>
      </c>
      <c r="D284" s="1237"/>
      <c r="E284" s="1237" t="s">
        <v>468</v>
      </c>
      <c r="F284" s="1237" t="s">
        <v>772</v>
      </c>
      <c r="G284" s="1237">
        <v>0.5</v>
      </c>
      <c r="H284" s="1237" t="s">
        <v>808</v>
      </c>
      <c r="I284" s="1237" t="s">
        <v>809</v>
      </c>
      <c r="J284" s="1237"/>
      <c r="K284" s="1237">
        <v>0</v>
      </c>
      <c r="L284" s="1237">
        <v>1</v>
      </c>
      <c r="M284" s="1237">
        <f t="shared" si="10"/>
        <v>1</v>
      </c>
      <c r="N284" s="1237" t="s">
        <v>1091</v>
      </c>
      <c r="O284" s="2024">
        <v>0.83</v>
      </c>
      <c r="P284" s="2942">
        <f>+AVERAGE(O284:O285,O287:O288)</f>
        <v>1.9425000000000001</v>
      </c>
      <c r="Q284" s="1238"/>
      <c r="R284" s="1239"/>
    </row>
    <row r="285" spans="1:18" ht="18.75" customHeight="1">
      <c r="A285" s="2998"/>
      <c r="B285" s="2267"/>
      <c r="C285" s="1237"/>
      <c r="D285" s="1237"/>
      <c r="E285" s="1237"/>
      <c r="F285" s="1237"/>
      <c r="G285" s="1237"/>
      <c r="H285" s="1237"/>
      <c r="I285" s="1237"/>
      <c r="J285" s="1237"/>
      <c r="K285" s="1237">
        <v>1</v>
      </c>
      <c r="L285" s="1237">
        <v>2</v>
      </c>
      <c r="M285" s="1237">
        <f t="shared" si="10"/>
        <v>1</v>
      </c>
      <c r="N285" s="1237" t="s">
        <v>1092</v>
      </c>
      <c r="O285" s="2024">
        <v>0.39</v>
      </c>
      <c r="P285" s="2943"/>
      <c r="Q285" s="1238"/>
      <c r="R285" s="1239"/>
    </row>
    <row r="286" spans="1:18" ht="18.75" customHeight="1">
      <c r="A286" s="2998"/>
      <c r="B286" s="2267"/>
      <c r="C286" s="1237"/>
      <c r="D286" s="1237"/>
      <c r="E286" s="1237"/>
      <c r="F286" s="1237"/>
      <c r="G286" s="1237"/>
      <c r="H286" s="1237"/>
      <c r="I286" s="1237"/>
      <c r="J286" s="2945" t="s">
        <v>529</v>
      </c>
      <c r="K286" s="2945"/>
      <c r="L286" s="2945"/>
      <c r="M286" s="1237">
        <f t="shared" si="10"/>
        <v>0</v>
      </c>
      <c r="N286" s="1237" t="s">
        <v>1093</v>
      </c>
      <c r="O286" s="2024">
        <v>0</v>
      </c>
      <c r="P286" s="2943"/>
      <c r="Q286" s="1238"/>
      <c r="R286" s="1239"/>
    </row>
    <row r="287" spans="1:18" ht="18.75" customHeight="1">
      <c r="A287" s="2998"/>
      <c r="B287" s="2267"/>
      <c r="C287" s="1237"/>
      <c r="D287" s="1237"/>
      <c r="E287" s="1237"/>
      <c r="F287" s="1237"/>
      <c r="G287" s="1237"/>
      <c r="H287" s="1237"/>
      <c r="I287" s="1237"/>
      <c r="J287" s="1237"/>
      <c r="K287" s="1237">
        <v>2</v>
      </c>
      <c r="L287" s="1237">
        <v>3</v>
      </c>
      <c r="M287" s="1237">
        <f t="shared" si="10"/>
        <v>1</v>
      </c>
      <c r="N287" s="1237" t="s">
        <v>1094</v>
      </c>
      <c r="O287" s="2024">
        <v>3.39</v>
      </c>
      <c r="P287" s="2943"/>
      <c r="Q287" s="1238"/>
      <c r="R287" s="1239"/>
    </row>
    <row r="288" spans="1:18" ht="19.5" customHeight="1">
      <c r="A288" s="2998"/>
      <c r="B288" s="2267"/>
      <c r="C288" s="1237"/>
      <c r="D288" s="1237"/>
      <c r="E288" s="1237"/>
      <c r="F288" s="1237"/>
      <c r="G288" s="1237"/>
      <c r="H288" s="1237"/>
      <c r="I288" s="1237"/>
      <c r="J288" s="1237"/>
      <c r="K288" s="1237">
        <v>3</v>
      </c>
      <c r="L288" s="1237">
        <v>4</v>
      </c>
      <c r="M288" s="1237">
        <f t="shared" si="10"/>
        <v>1</v>
      </c>
      <c r="N288" s="1237" t="s">
        <v>1095</v>
      </c>
      <c r="O288" s="2024">
        <v>3.16</v>
      </c>
      <c r="P288" s="2944"/>
      <c r="Q288" s="1238"/>
      <c r="R288" s="1239"/>
    </row>
    <row r="289" spans="1:18" ht="18.75" customHeight="1">
      <c r="A289" s="2998"/>
      <c r="B289" s="2267" t="s">
        <v>577</v>
      </c>
      <c r="C289" s="1237" t="s">
        <v>450</v>
      </c>
      <c r="D289" s="1237"/>
      <c r="E289" s="1237" t="s">
        <v>511</v>
      </c>
      <c r="F289" s="1237" t="s">
        <v>772</v>
      </c>
      <c r="G289" s="1237">
        <v>2</v>
      </c>
      <c r="H289" s="1237" t="s">
        <v>786</v>
      </c>
      <c r="I289" s="1237" t="s">
        <v>773</v>
      </c>
      <c r="J289" s="1237"/>
      <c r="K289" s="1237">
        <v>0</v>
      </c>
      <c r="L289" s="1237">
        <v>1</v>
      </c>
      <c r="M289" s="1237">
        <f t="shared" si="10"/>
        <v>1</v>
      </c>
      <c r="N289" s="1237" t="s">
        <v>1096</v>
      </c>
      <c r="O289" s="2024">
        <v>0.48</v>
      </c>
      <c r="P289" s="2946">
        <f>+AVERAGE(O289:O291,O293)</f>
        <v>0.27999999999999997</v>
      </c>
      <c r="Q289" s="1238"/>
      <c r="R289" s="1239"/>
    </row>
    <row r="290" spans="1:18" ht="18.75" customHeight="1">
      <c r="A290" s="2998"/>
      <c r="B290" s="2267"/>
      <c r="C290" s="1237"/>
      <c r="D290" s="1237"/>
      <c r="E290" s="1237"/>
      <c r="F290" s="1237"/>
      <c r="G290" s="1237"/>
      <c r="H290" s="1237"/>
      <c r="I290" s="1237"/>
      <c r="J290" s="1237"/>
      <c r="K290" s="1237">
        <v>1</v>
      </c>
      <c r="L290" s="1237">
        <v>2</v>
      </c>
      <c r="M290" s="1237">
        <f t="shared" si="10"/>
        <v>1</v>
      </c>
      <c r="N290" s="1237" t="s">
        <v>1097</v>
      </c>
      <c r="O290" s="2024">
        <v>0.21</v>
      </c>
      <c r="P290" s="2947"/>
      <c r="Q290" s="1238"/>
      <c r="R290" s="1239"/>
    </row>
    <row r="291" spans="1:18" ht="18.75" customHeight="1">
      <c r="A291" s="2998"/>
      <c r="B291" s="2267"/>
      <c r="C291" s="1237"/>
      <c r="D291" s="1237"/>
      <c r="E291" s="1237"/>
      <c r="F291" s="1237"/>
      <c r="G291" s="1237"/>
      <c r="H291" s="1237"/>
      <c r="I291" s="1237"/>
      <c r="J291" s="1237"/>
      <c r="K291" s="1237">
        <v>2</v>
      </c>
      <c r="L291" s="1237">
        <v>3</v>
      </c>
      <c r="M291" s="1237">
        <f t="shared" si="10"/>
        <v>1</v>
      </c>
      <c r="N291" s="1237" t="s">
        <v>1098</v>
      </c>
      <c r="O291" s="2024">
        <v>0.08</v>
      </c>
      <c r="P291" s="2947"/>
      <c r="Q291" s="1238"/>
      <c r="R291" s="1239"/>
    </row>
    <row r="292" spans="1:18" ht="18.75" customHeight="1">
      <c r="A292" s="2998"/>
      <c r="B292" s="2267"/>
      <c r="C292" s="1237"/>
      <c r="D292" s="1237"/>
      <c r="E292" s="1237"/>
      <c r="F292" s="1237"/>
      <c r="G292" s="1237"/>
      <c r="H292" s="1237"/>
      <c r="I292" s="1237"/>
      <c r="J292" s="2945" t="s">
        <v>1087</v>
      </c>
      <c r="K292" s="2945"/>
      <c r="L292" s="2945"/>
      <c r="M292" s="1237">
        <f t="shared" si="10"/>
        <v>0</v>
      </c>
      <c r="N292" s="1237" t="s">
        <v>1099</v>
      </c>
      <c r="O292" s="2024">
        <v>3.23</v>
      </c>
      <c r="P292" s="2947"/>
      <c r="Q292" s="1238"/>
      <c r="R292" s="1239"/>
    </row>
    <row r="293" spans="1:18" ht="18.75" customHeight="1">
      <c r="A293" s="2998"/>
      <c r="B293" s="2267"/>
      <c r="C293" s="1237"/>
      <c r="D293" s="1237"/>
      <c r="E293" s="1237"/>
      <c r="F293" s="1237"/>
      <c r="G293" s="1237"/>
      <c r="H293" s="1237"/>
      <c r="I293" s="1237"/>
      <c r="J293" s="1237"/>
      <c r="K293" s="1237">
        <v>3</v>
      </c>
      <c r="L293" s="1237">
        <v>4</v>
      </c>
      <c r="M293" s="1237">
        <f t="shared" si="10"/>
        <v>1</v>
      </c>
      <c r="N293" s="1237" t="s">
        <v>1100</v>
      </c>
      <c r="O293" s="2024">
        <v>0.35</v>
      </c>
      <c r="P293" s="2948"/>
      <c r="Q293" s="1238"/>
      <c r="R293" s="1239"/>
    </row>
    <row r="294" spans="1:18" ht="15.6">
      <c r="A294" s="2998"/>
      <c r="B294" s="2267" t="s">
        <v>687</v>
      </c>
      <c r="C294" s="1237" t="s">
        <v>450</v>
      </c>
      <c r="D294" s="1237"/>
      <c r="E294" s="1237" t="s">
        <v>468</v>
      </c>
      <c r="F294" s="1237" t="s">
        <v>772</v>
      </c>
      <c r="G294" s="1237">
        <v>2</v>
      </c>
      <c r="H294" s="1237" t="s">
        <v>470</v>
      </c>
      <c r="I294" s="1237" t="s">
        <v>773</v>
      </c>
      <c r="J294" s="1237"/>
      <c r="K294" s="1237">
        <v>0</v>
      </c>
      <c r="L294" s="1237">
        <v>1</v>
      </c>
      <c r="M294" s="1237">
        <f t="shared" si="10"/>
        <v>1</v>
      </c>
      <c r="N294" s="1237" t="s">
        <v>1101</v>
      </c>
      <c r="O294" s="2024">
        <v>0.85</v>
      </c>
      <c r="P294" s="2946">
        <f>+AVERAGE(O294:O296,O298:O299)</f>
        <v>3.62</v>
      </c>
      <c r="Q294" s="1238"/>
      <c r="R294" s="1239"/>
    </row>
    <row r="295" spans="1:18" ht="18.75" customHeight="1">
      <c r="A295" s="2998"/>
      <c r="B295" s="2267"/>
      <c r="C295" s="1237"/>
      <c r="D295" s="1237"/>
      <c r="E295" s="1237"/>
      <c r="F295" s="1237"/>
      <c r="G295" s="1237"/>
      <c r="H295" s="1237"/>
      <c r="I295" s="1237"/>
      <c r="J295" s="1237"/>
      <c r="K295" s="1237">
        <v>1</v>
      </c>
      <c r="L295" s="1237">
        <v>2</v>
      </c>
      <c r="M295" s="1237">
        <f t="shared" si="10"/>
        <v>1</v>
      </c>
      <c r="N295" s="1237" t="s">
        <v>1102</v>
      </c>
      <c r="O295" s="2024">
        <v>2.16</v>
      </c>
      <c r="P295" s="2947"/>
      <c r="Q295" s="1238"/>
      <c r="R295" s="1239"/>
    </row>
    <row r="296" spans="1:18" ht="18.75" customHeight="1">
      <c r="A296" s="2998"/>
      <c r="B296" s="2267"/>
      <c r="C296" s="1237"/>
      <c r="D296" s="1237"/>
      <c r="E296" s="1237"/>
      <c r="F296" s="1237"/>
      <c r="G296" s="1237"/>
      <c r="H296" s="1237"/>
      <c r="I296" s="1237"/>
      <c r="J296" s="1237"/>
      <c r="K296" s="1237">
        <v>2</v>
      </c>
      <c r="L296" s="1237">
        <v>3</v>
      </c>
      <c r="M296" s="1237">
        <f t="shared" si="10"/>
        <v>1</v>
      </c>
      <c r="N296" s="1237" t="s">
        <v>1103</v>
      </c>
      <c r="O296" s="2024">
        <v>5.53</v>
      </c>
      <c r="P296" s="2947"/>
      <c r="Q296" s="1238"/>
      <c r="R296" s="1239"/>
    </row>
    <row r="297" spans="1:18" ht="18.75" customHeight="1">
      <c r="A297" s="2998"/>
      <c r="B297" s="2267"/>
      <c r="C297" s="1237"/>
      <c r="D297" s="1237"/>
      <c r="E297" s="1237"/>
      <c r="F297" s="1237"/>
      <c r="G297" s="1237"/>
      <c r="H297" s="1237"/>
      <c r="I297" s="1237"/>
      <c r="J297" s="2945" t="s">
        <v>529</v>
      </c>
      <c r="K297" s="2945"/>
      <c r="L297" s="2945"/>
      <c r="M297" s="1237">
        <f t="shared" si="10"/>
        <v>0</v>
      </c>
      <c r="N297" s="1237" t="s">
        <v>1104</v>
      </c>
      <c r="O297" s="2024">
        <v>0</v>
      </c>
      <c r="P297" s="2947"/>
      <c r="Q297" s="1238"/>
      <c r="R297" s="1239"/>
    </row>
    <row r="298" spans="1:18" ht="18.75" customHeight="1">
      <c r="A298" s="2998"/>
      <c r="B298" s="2267"/>
      <c r="C298" s="1237"/>
      <c r="D298" s="1237"/>
      <c r="E298" s="1237"/>
      <c r="F298" s="1237"/>
      <c r="G298" s="1237"/>
      <c r="H298" s="1237"/>
      <c r="I298" s="1237"/>
      <c r="J298" s="1237"/>
      <c r="K298" s="1237">
        <v>3</v>
      </c>
      <c r="L298" s="1237">
        <v>4</v>
      </c>
      <c r="M298" s="1237">
        <f t="shared" si="10"/>
        <v>1</v>
      </c>
      <c r="N298" s="1237" t="s">
        <v>1105</v>
      </c>
      <c r="O298" s="2024">
        <v>3.75</v>
      </c>
      <c r="P298" s="2947"/>
      <c r="Q298" s="1238"/>
      <c r="R298" s="1239"/>
    </row>
    <row r="299" spans="1:18" ht="18.75" customHeight="1">
      <c r="A299" s="2998"/>
      <c r="B299" s="2267"/>
      <c r="C299" s="1237"/>
      <c r="D299" s="1237"/>
      <c r="E299" s="1237"/>
      <c r="F299" s="1237"/>
      <c r="G299" s="1237"/>
      <c r="H299" s="1237"/>
      <c r="I299" s="1237"/>
      <c r="J299" s="1237"/>
      <c r="K299" s="1237">
        <v>4</v>
      </c>
      <c r="L299" s="1237">
        <v>5</v>
      </c>
      <c r="M299" s="1237">
        <f t="shared" si="10"/>
        <v>1</v>
      </c>
      <c r="N299" s="1237" t="s">
        <v>1106</v>
      </c>
      <c r="O299" s="2024">
        <v>5.81</v>
      </c>
      <c r="P299" s="2948"/>
      <c r="Q299" s="1238"/>
      <c r="R299" s="1239"/>
    </row>
    <row r="300" spans="1:18" ht="18.75" customHeight="1">
      <c r="A300" s="2998"/>
      <c r="B300" s="2267" t="s">
        <v>806</v>
      </c>
      <c r="C300" s="1237" t="s">
        <v>1107</v>
      </c>
      <c r="D300" s="1237"/>
      <c r="E300" s="1237" t="s">
        <v>451</v>
      </c>
      <c r="F300" s="1237" t="s">
        <v>785</v>
      </c>
      <c r="G300" s="1237">
        <v>14.2</v>
      </c>
      <c r="H300" s="1237" t="s">
        <v>474</v>
      </c>
      <c r="I300" s="1237" t="s">
        <v>1108</v>
      </c>
      <c r="J300" s="1237"/>
      <c r="K300" s="1237">
        <v>0</v>
      </c>
      <c r="L300" s="1237">
        <v>0.6</v>
      </c>
      <c r="M300" s="1237">
        <f t="shared" si="10"/>
        <v>0.6</v>
      </c>
      <c r="N300" s="1237" t="s">
        <v>1109</v>
      </c>
      <c r="O300" s="2024">
        <v>0.9</v>
      </c>
      <c r="P300" s="2946">
        <f>+AVERAGE(O300:O302)</f>
        <v>0.60666666666666658</v>
      </c>
      <c r="Q300" s="1238"/>
      <c r="R300" s="1239"/>
    </row>
    <row r="301" spans="1:18" ht="18.75" customHeight="1">
      <c r="A301" s="2998"/>
      <c r="B301" s="2267"/>
      <c r="C301" s="1237"/>
      <c r="D301" s="1237"/>
      <c r="E301" s="1237"/>
      <c r="F301" s="1237"/>
      <c r="G301" s="1237"/>
      <c r="H301" s="1237"/>
      <c r="I301" s="1237"/>
      <c r="J301" s="1237"/>
      <c r="K301" s="1237">
        <v>0.6</v>
      </c>
      <c r="L301" s="1237">
        <v>1.2</v>
      </c>
      <c r="M301" s="1237">
        <f t="shared" si="10"/>
        <v>0.6</v>
      </c>
      <c r="N301" s="1237" t="s">
        <v>1110</v>
      </c>
      <c r="O301" s="2024">
        <v>0.34</v>
      </c>
      <c r="P301" s="2947"/>
      <c r="Q301" s="1238"/>
      <c r="R301" s="1239"/>
    </row>
    <row r="302" spans="1:18" ht="18.75" customHeight="1">
      <c r="A302" s="2998"/>
      <c r="B302" s="2267"/>
      <c r="C302" s="1237"/>
      <c r="D302" s="1237"/>
      <c r="E302" s="1237"/>
      <c r="F302" s="1237"/>
      <c r="G302" s="1237"/>
      <c r="H302" s="1237"/>
      <c r="I302" s="1237"/>
      <c r="J302" s="1237"/>
      <c r="K302" s="1237">
        <v>1.2</v>
      </c>
      <c r="L302" s="1237">
        <v>1.8</v>
      </c>
      <c r="M302" s="1237">
        <f t="shared" si="10"/>
        <v>0.60000000000000009</v>
      </c>
      <c r="N302" s="1237" t="s">
        <v>1111</v>
      </c>
      <c r="O302" s="2024">
        <v>0.57999999999999996</v>
      </c>
      <c r="P302" s="2948"/>
      <c r="Q302" s="1238"/>
      <c r="R302" s="1239"/>
    </row>
    <row r="303" spans="1:18" ht="18.75" customHeight="1">
      <c r="A303" s="2998"/>
      <c r="B303" s="2267" t="s">
        <v>466</v>
      </c>
      <c r="C303" s="1237" t="s">
        <v>500</v>
      </c>
      <c r="D303" s="1237" t="s">
        <v>817</v>
      </c>
      <c r="E303" s="1237" t="s">
        <v>468</v>
      </c>
      <c r="F303" s="1237" t="s">
        <v>785</v>
      </c>
      <c r="G303" s="1237">
        <v>1.5</v>
      </c>
      <c r="H303" s="1237" t="s">
        <v>470</v>
      </c>
      <c r="I303" s="1237" t="s">
        <v>1112</v>
      </c>
      <c r="J303" s="1237"/>
      <c r="K303" s="1237">
        <v>0</v>
      </c>
      <c r="L303" s="1237">
        <v>1</v>
      </c>
      <c r="M303" s="1237">
        <f t="shared" si="10"/>
        <v>1</v>
      </c>
      <c r="N303" s="1237" t="s">
        <v>1113</v>
      </c>
      <c r="O303" s="2024">
        <v>0.54</v>
      </c>
      <c r="P303" s="2946">
        <f>+AVERAGE(O303,O305:O307)</f>
        <v>0.54749999999999999</v>
      </c>
      <c r="Q303" s="1238"/>
      <c r="R303" s="1239"/>
    </row>
    <row r="304" spans="1:18" ht="18.75" customHeight="1">
      <c r="A304" s="2998"/>
      <c r="B304" s="2267"/>
      <c r="C304" s="1237"/>
      <c r="D304" s="1237"/>
      <c r="E304" s="1237"/>
      <c r="F304" s="1237"/>
      <c r="G304" s="1237"/>
      <c r="H304" s="1237"/>
      <c r="I304" s="1237"/>
      <c r="J304" s="2945" t="s">
        <v>529</v>
      </c>
      <c r="K304" s="2945"/>
      <c r="L304" s="2945"/>
      <c r="M304" s="1237">
        <f t="shared" si="10"/>
        <v>0</v>
      </c>
      <c r="N304" s="1237" t="s">
        <v>1114</v>
      </c>
      <c r="O304" s="2024">
        <v>0</v>
      </c>
      <c r="P304" s="2947"/>
      <c r="Q304" s="1238"/>
      <c r="R304" s="1239"/>
    </row>
    <row r="305" spans="1:18" ht="18.75" customHeight="1">
      <c r="A305" s="2998"/>
      <c r="B305" s="2267"/>
      <c r="C305" s="1237"/>
      <c r="D305" s="1237"/>
      <c r="E305" s="1237"/>
      <c r="F305" s="1237"/>
      <c r="G305" s="1237"/>
      <c r="H305" s="1237"/>
      <c r="I305" s="1237"/>
      <c r="J305" s="1237"/>
      <c r="K305" s="1237">
        <v>1</v>
      </c>
      <c r="L305" s="1237">
        <v>2</v>
      </c>
      <c r="M305" s="1237">
        <f t="shared" si="10"/>
        <v>1</v>
      </c>
      <c r="N305" s="1237" t="s">
        <v>1115</v>
      </c>
      <c r="O305" s="2024">
        <v>1.27</v>
      </c>
      <c r="P305" s="2947"/>
      <c r="Q305" s="1238"/>
      <c r="R305" s="1239"/>
    </row>
    <row r="306" spans="1:18" ht="18.75" customHeight="1">
      <c r="A306" s="2998"/>
      <c r="B306" s="2267" t="s">
        <v>466</v>
      </c>
      <c r="C306" s="1237" t="s">
        <v>500</v>
      </c>
      <c r="D306" s="1237" t="s">
        <v>817</v>
      </c>
      <c r="E306" s="1237" t="s">
        <v>468</v>
      </c>
      <c r="F306" s="1237" t="s">
        <v>785</v>
      </c>
      <c r="G306" s="1237">
        <v>3.5</v>
      </c>
      <c r="H306" s="1237" t="s">
        <v>470</v>
      </c>
      <c r="I306" s="1237" t="s">
        <v>1116</v>
      </c>
      <c r="J306" s="1237">
        <v>1</v>
      </c>
      <c r="K306" s="1237">
        <v>0</v>
      </c>
      <c r="L306" s="1237">
        <v>1</v>
      </c>
      <c r="M306" s="1237">
        <f t="shared" si="10"/>
        <v>1</v>
      </c>
      <c r="N306" s="1237" t="s">
        <v>1117</v>
      </c>
      <c r="O306" s="2024">
        <v>0.31</v>
      </c>
      <c r="P306" s="2947"/>
      <c r="Q306" s="1238"/>
      <c r="R306" s="1239"/>
    </row>
    <row r="307" spans="1:18" ht="18.75" customHeight="1">
      <c r="A307" s="2998"/>
      <c r="B307" s="2267"/>
      <c r="C307" s="1237"/>
      <c r="D307" s="1237"/>
      <c r="E307" s="1237"/>
      <c r="F307" s="1237"/>
      <c r="G307" s="1237"/>
      <c r="H307" s="1237"/>
      <c r="I307" s="1237"/>
      <c r="J307" s="1237"/>
      <c r="K307" s="1237">
        <v>1</v>
      </c>
      <c r="L307" s="1237">
        <v>2</v>
      </c>
      <c r="M307" s="1237">
        <f t="shared" si="10"/>
        <v>1</v>
      </c>
      <c r="N307" s="1237" t="s">
        <v>1118</v>
      </c>
      <c r="O307" s="2024">
        <v>7.0000000000000007E-2</v>
      </c>
      <c r="P307" s="2948"/>
      <c r="Q307" s="1238"/>
      <c r="R307" s="1239"/>
    </row>
    <row r="308" spans="1:18" ht="18.75" customHeight="1">
      <c r="A308" s="2998"/>
      <c r="B308" s="2267" t="s">
        <v>466</v>
      </c>
      <c r="C308" s="1237" t="s">
        <v>516</v>
      </c>
      <c r="D308" s="1237" t="s">
        <v>817</v>
      </c>
      <c r="E308" s="1237" t="s">
        <v>468</v>
      </c>
      <c r="F308" s="1237" t="s">
        <v>785</v>
      </c>
      <c r="G308" s="1237">
        <v>2</v>
      </c>
      <c r="H308" s="1237" t="s">
        <v>474</v>
      </c>
      <c r="I308" s="1237" t="s">
        <v>830</v>
      </c>
      <c r="J308" s="1237">
        <v>1</v>
      </c>
      <c r="K308" s="1237">
        <v>0</v>
      </c>
      <c r="L308" s="1237">
        <v>1</v>
      </c>
      <c r="M308" s="1237">
        <f t="shared" si="10"/>
        <v>1</v>
      </c>
      <c r="N308" s="1237" t="s">
        <v>1119</v>
      </c>
      <c r="O308" s="2024">
        <v>0.13</v>
      </c>
      <c r="P308" s="2946">
        <f>+AVERAGE(O308:O311)</f>
        <v>0.22999999999999998</v>
      </c>
      <c r="Q308" s="1238"/>
      <c r="R308" s="1239"/>
    </row>
    <row r="309" spans="1:18" ht="18.75" customHeight="1">
      <c r="A309" s="2998"/>
      <c r="B309" s="2267"/>
      <c r="C309" s="1237"/>
      <c r="D309" s="1237"/>
      <c r="E309" s="1237"/>
      <c r="F309" s="1237"/>
      <c r="G309" s="1237"/>
      <c r="H309" s="1237"/>
      <c r="I309" s="1237"/>
      <c r="J309" s="1237"/>
      <c r="K309" s="1237">
        <v>1</v>
      </c>
      <c r="L309" s="1237">
        <v>2</v>
      </c>
      <c r="M309" s="1237">
        <f t="shared" si="10"/>
        <v>1</v>
      </c>
      <c r="N309" s="1237" t="s">
        <v>1120</v>
      </c>
      <c r="O309" s="2024">
        <v>0.33</v>
      </c>
      <c r="P309" s="2947"/>
      <c r="Q309" s="1238"/>
      <c r="R309" s="1239"/>
    </row>
    <row r="310" spans="1:18" ht="18.75" customHeight="1">
      <c r="A310" s="2998"/>
      <c r="B310" s="2267"/>
      <c r="C310" s="1237"/>
      <c r="D310" s="1237"/>
      <c r="E310" s="1237"/>
      <c r="F310" s="1237"/>
      <c r="G310" s="1237"/>
      <c r="H310" s="1237"/>
      <c r="I310" s="1237"/>
      <c r="J310" s="1237"/>
      <c r="K310" s="1237">
        <v>2</v>
      </c>
      <c r="L310" s="1237">
        <v>3</v>
      </c>
      <c r="M310" s="1237">
        <f t="shared" si="10"/>
        <v>1</v>
      </c>
      <c r="N310" s="1237" t="s">
        <v>1121</v>
      </c>
      <c r="O310" s="2024">
        <v>0.24</v>
      </c>
      <c r="P310" s="2947"/>
      <c r="Q310" s="1238"/>
      <c r="R310" s="1239"/>
    </row>
    <row r="311" spans="1:18" ht="18.75" customHeight="1">
      <c r="A311" s="2998"/>
      <c r="B311" s="2267"/>
      <c r="C311" s="1237"/>
      <c r="D311" s="1237"/>
      <c r="E311" s="1237"/>
      <c r="F311" s="1237"/>
      <c r="G311" s="1237"/>
      <c r="H311" s="1237"/>
      <c r="I311" s="1237"/>
      <c r="J311" s="1237"/>
      <c r="K311" s="1237">
        <v>3</v>
      </c>
      <c r="L311" s="1237">
        <v>4</v>
      </c>
      <c r="M311" s="1237">
        <f t="shared" si="10"/>
        <v>1</v>
      </c>
      <c r="N311" s="1237" t="s">
        <v>1122</v>
      </c>
      <c r="O311" s="2024">
        <v>0.22</v>
      </c>
      <c r="P311" s="2948"/>
      <c r="Q311" s="1238"/>
      <c r="R311" s="1239"/>
    </row>
    <row r="312" spans="1:18" ht="18.75" customHeight="1">
      <c r="A312" s="2998"/>
      <c r="B312" s="2267" t="s">
        <v>466</v>
      </c>
      <c r="C312" s="1237" t="s">
        <v>793</v>
      </c>
      <c r="D312" s="1237" t="s">
        <v>840</v>
      </c>
      <c r="E312" s="1237" t="s">
        <v>511</v>
      </c>
      <c r="F312" s="1237" t="s">
        <v>772</v>
      </c>
      <c r="G312" s="1237">
        <v>2</v>
      </c>
      <c r="H312" s="1237" t="s">
        <v>470</v>
      </c>
      <c r="I312" s="1237" t="s">
        <v>841</v>
      </c>
      <c r="J312" s="1237">
        <v>1</v>
      </c>
      <c r="K312" s="1237">
        <v>0</v>
      </c>
      <c r="L312" s="1237">
        <v>1</v>
      </c>
      <c r="M312" s="1237">
        <f t="shared" si="10"/>
        <v>1</v>
      </c>
      <c r="N312" s="1237" t="s">
        <v>1123</v>
      </c>
      <c r="O312" s="2024">
        <v>0.36</v>
      </c>
      <c r="P312" s="2946">
        <f>+AVERAGE(O312:O313,O315:O316)</f>
        <v>0.86</v>
      </c>
      <c r="Q312" s="1238"/>
      <c r="R312" s="1239"/>
    </row>
    <row r="313" spans="1:18" ht="18.75" customHeight="1">
      <c r="A313" s="2998"/>
      <c r="B313" s="2267"/>
      <c r="C313" s="1237"/>
      <c r="D313" s="1237"/>
      <c r="E313" s="1237"/>
      <c r="F313" s="1237"/>
      <c r="G313" s="1237"/>
      <c r="H313" s="1237"/>
      <c r="I313" s="1237"/>
      <c r="J313" s="1237"/>
      <c r="K313" s="1237">
        <v>1</v>
      </c>
      <c r="L313" s="1237">
        <v>2</v>
      </c>
      <c r="M313" s="1237">
        <f t="shared" si="10"/>
        <v>1</v>
      </c>
      <c r="N313" s="1237" t="s">
        <v>1124</v>
      </c>
      <c r="O313" s="2024">
        <v>0.98</v>
      </c>
      <c r="P313" s="2947"/>
      <c r="Q313" s="1238"/>
      <c r="R313" s="1239"/>
    </row>
    <row r="314" spans="1:18" ht="18.75" customHeight="1">
      <c r="A314" s="2998"/>
      <c r="B314" s="2267"/>
      <c r="C314" s="1237"/>
      <c r="D314" s="1237"/>
      <c r="E314" s="1237"/>
      <c r="F314" s="1237"/>
      <c r="G314" s="1237"/>
      <c r="H314" s="1237"/>
      <c r="I314" s="1237"/>
      <c r="J314" s="2945" t="s">
        <v>851</v>
      </c>
      <c r="K314" s="2945"/>
      <c r="L314" s="2945"/>
      <c r="M314" s="1237">
        <f t="shared" si="10"/>
        <v>0</v>
      </c>
      <c r="N314" s="1237" t="s">
        <v>1125</v>
      </c>
      <c r="O314" s="2024">
        <v>3.08</v>
      </c>
      <c r="P314" s="2947"/>
      <c r="Q314" s="1238"/>
      <c r="R314" s="1239"/>
    </row>
    <row r="315" spans="1:18" ht="18.75" customHeight="1">
      <c r="A315" s="2998"/>
      <c r="B315" s="2267"/>
      <c r="C315" s="1237"/>
      <c r="D315" s="1237"/>
      <c r="E315" s="1237"/>
      <c r="F315" s="1237"/>
      <c r="G315" s="1237"/>
      <c r="H315" s="1237"/>
      <c r="I315" s="1237"/>
      <c r="J315" s="1237"/>
      <c r="K315" s="1237">
        <v>2</v>
      </c>
      <c r="L315" s="1237">
        <v>3</v>
      </c>
      <c r="M315" s="1237">
        <f t="shared" si="10"/>
        <v>1</v>
      </c>
      <c r="N315" s="1237" t="s">
        <v>1126</v>
      </c>
      <c r="O315" s="2024">
        <v>1.56</v>
      </c>
      <c r="P315" s="2947"/>
      <c r="Q315" s="1238"/>
      <c r="R315" s="1239"/>
    </row>
    <row r="316" spans="1:18" ht="18.75" customHeight="1">
      <c r="A316" s="2998"/>
      <c r="B316" s="2267"/>
      <c r="C316" s="1237"/>
      <c r="D316" s="1237"/>
      <c r="E316" s="1237"/>
      <c r="F316" s="1237"/>
      <c r="G316" s="1237"/>
      <c r="H316" s="1237"/>
      <c r="I316" s="1237"/>
      <c r="J316" s="1237"/>
      <c r="K316" s="1237">
        <v>3</v>
      </c>
      <c r="L316" s="1237">
        <v>4</v>
      </c>
      <c r="M316" s="1237">
        <f t="shared" si="10"/>
        <v>1</v>
      </c>
      <c r="N316" s="1237" t="s">
        <v>1127</v>
      </c>
      <c r="O316" s="2024">
        <v>0.54</v>
      </c>
      <c r="P316" s="2947"/>
      <c r="Q316" s="1238"/>
      <c r="R316" s="1239"/>
    </row>
    <row r="317" spans="1:18" ht="18.75" hidden="1" customHeight="1">
      <c r="A317" s="2998"/>
      <c r="B317" s="2267" t="s">
        <v>466</v>
      </c>
      <c r="C317" s="1237" t="s">
        <v>793</v>
      </c>
      <c r="D317" s="1237" t="s">
        <v>840</v>
      </c>
      <c r="E317" s="1237" t="s">
        <v>511</v>
      </c>
      <c r="F317" s="1237" t="s">
        <v>772</v>
      </c>
      <c r="G317" s="1237">
        <v>3</v>
      </c>
      <c r="H317" s="1237" t="s">
        <v>470</v>
      </c>
      <c r="I317" s="1237" t="s">
        <v>841</v>
      </c>
      <c r="J317" s="1237">
        <v>1</v>
      </c>
      <c r="K317" s="1237">
        <v>0</v>
      </c>
      <c r="L317" s="1237">
        <v>1</v>
      </c>
      <c r="M317" s="1237">
        <f t="shared" si="10"/>
        <v>1</v>
      </c>
      <c r="N317" s="1237" t="s">
        <v>1128</v>
      </c>
      <c r="O317" s="2024">
        <v>0.28000000000000003</v>
      </c>
      <c r="P317" s="2954"/>
      <c r="Q317" s="1238"/>
      <c r="R317" s="1239"/>
    </row>
    <row r="318" spans="1:18" ht="18.75" hidden="1" customHeight="1">
      <c r="A318" s="2998"/>
      <c r="B318" s="2267"/>
      <c r="C318" s="1237"/>
      <c r="D318" s="1237"/>
      <c r="E318" s="1237"/>
      <c r="F318" s="1237"/>
      <c r="G318" s="1237"/>
      <c r="H318" s="1237"/>
      <c r="I318" s="1237"/>
      <c r="J318" s="1237"/>
      <c r="K318" s="1237">
        <v>1</v>
      </c>
      <c r="L318" s="1237">
        <v>2</v>
      </c>
      <c r="M318" s="1237">
        <f t="shared" si="10"/>
        <v>1</v>
      </c>
      <c r="N318" s="1237" t="s">
        <v>1129</v>
      </c>
      <c r="O318" s="2024">
        <v>0.69</v>
      </c>
      <c r="P318" s="2954"/>
      <c r="Q318" s="1238"/>
      <c r="R318" s="1239"/>
    </row>
    <row r="319" spans="1:18" ht="18.75" hidden="1" customHeight="1">
      <c r="A319" s="2998"/>
      <c r="B319" s="2267"/>
      <c r="C319" s="1237"/>
      <c r="D319" s="1237"/>
      <c r="E319" s="1237"/>
      <c r="F319" s="1237"/>
      <c r="G319" s="1237"/>
      <c r="H319" s="1237"/>
      <c r="I319" s="1237"/>
      <c r="J319" s="2945" t="s">
        <v>618</v>
      </c>
      <c r="K319" s="2945"/>
      <c r="L319" s="2945"/>
      <c r="M319" s="1237">
        <f t="shared" si="10"/>
        <v>0</v>
      </c>
      <c r="N319" s="1237" t="s">
        <v>1130</v>
      </c>
      <c r="O319" s="2024">
        <v>0.48</v>
      </c>
      <c r="P319" s="2954"/>
      <c r="Q319" s="1238"/>
      <c r="R319" s="1239"/>
    </row>
    <row r="320" spans="1:18" ht="18.75" hidden="1" customHeight="1">
      <c r="A320" s="2998"/>
      <c r="B320" s="2267"/>
      <c r="C320" s="1237"/>
      <c r="D320" s="1237"/>
      <c r="E320" s="1237"/>
      <c r="F320" s="1237"/>
      <c r="G320" s="1237"/>
      <c r="H320" s="1237"/>
      <c r="I320" s="1237"/>
      <c r="J320" s="1237"/>
      <c r="K320" s="1237">
        <v>2</v>
      </c>
      <c r="L320" s="1237">
        <v>3</v>
      </c>
      <c r="M320" s="1237">
        <f t="shared" si="10"/>
        <v>1</v>
      </c>
      <c r="N320" s="1237" t="s">
        <v>1131</v>
      </c>
      <c r="O320" s="2024">
        <v>0.27</v>
      </c>
      <c r="P320" s="2954"/>
      <c r="Q320" s="1238"/>
      <c r="R320" s="1239"/>
    </row>
    <row r="321" spans="1:18" ht="18.75" hidden="1" customHeight="1">
      <c r="A321" s="2998"/>
      <c r="B321" s="2267"/>
      <c r="C321" s="1237"/>
      <c r="D321" s="1237"/>
      <c r="E321" s="1237"/>
      <c r="F321" s="1237"/>
      <c r="G321" s="1237"/>
      <c r="H321" s="1237"/>
      <c r="I321" s="1237"/>
      <c r="J321" s="1237"/>
      <c r="K321" s="1237">
        <v>3</v>
      </c>
      <c r="L321" s="1237">
        <v>4</v>
      </c>
      <c r="M321" s="1237">
        <f t="shared" si="10"/>
        <v>1</v>
      </c>
      <c r="N321" s="1237" t="s">
        <v>1132</v>
      </c>
      <c r="O321" s="2024">
        <v>0.19</v>
      </c>
      <c r="P321" s="2954"/>
      <c r="Q321" s="1238"/>
      <c r="R321" s="1239"/>
    </row>
    <row r="322" spans="1:18" ht="18.75" customHeight="1">
      <c r="A322" s="2998"/>
      <c r="B322" s="2267" t="s">
        <v>466</v>
      </c>
      <c r="C322" s="1237" t="s">
        <v>824</v>
      </c>
      <c r="D322" s="1237"/>
      <c r="E322" s="1237" t="s">
        <v>481</v>
      </c>
      <c r="F322" s="1237" t="s">
        <v>966</v>
      </c>
      <c r="G322" s="1237">
        <v>1</v>
      </c>
      <c r="H322" s="1237" t="s">
        <v>474</v>
      </c>
      <c r="I322" s="1237" t="s">
        <v>1133</v>
      </c>
      <c r="J322" s="1237"/>
      <c r="K322" s="1237">
        <v>0</v>
      </c>
      <c r="L322" s="1237">
        <v>1</v>
      </c>
      <c r="M322" s="1237">
        <f t="shared" si="10"/>
        <v>1</v>
      </c>
      <c r="N322" s="1237" t="s">
        <v>1134</v>
      </c>
      <c r="O322" s="2024">
        <v>0.17</v>
      </c>
      <c r="P322" s="2946">
        <f>+AVERAGE(O322:O323,O325:O326)</f>
        <v>0.44</v>
      </c>
      <c r="Q322" s="1238"/>
      <c r="R322" s="1239"/>
    </row>
    <row r="323" spans="1:18" ht="18.75" customHeight="1">
      <c r="A323" s="2998"/>
      <c r="B323" s="2267"/>
      <c r="C323" s="1237"/>
      <c r="D323" s="1237"/>
      <c r="E323" s="1237"/>
      <c r="F323" s="1237"/>
      <c r="G323" s="1237"/>
      <c r="H323" s="1237"/>
      <c r="I323" s="1237"/>
      <c r="J323" s="1237"/>
      <c r="K323" s="1237">
        <v>1</v>
      </c>
      <c r="L323" s="1237">
        <v>2</v>
      </c>
      <c r="M323" s="1237">
        <f t="shared" si="10"/>
        <v>1</v>
      </c>
      <c r="N323" s="1237" t="s">
        <v>1135</v>
      </c>
      <c r="O323" s="2024" t="s">
        <v>1002</v>
      </c>
      <c r="P323" s="2947"/>
      <c r="Q323" s="1238"/>
      <c r="R323" s="1239"/>
    </row>
    <row r="324" spans="1:18" ht="18.75" customHeight="1">
      <c r="A324" s="2998"/>
      <c r="B324" s="2267"/>
      <c r="C324" s="1237"/>
      <c r="D324" s="1237"/>
      <c r="E324" s="1237"/>
      <c r="F324" s="1237"/>
      <c r="G324" s="1237"/>
      <c r="H324" s="1237"/>
      <c r="I324" s="1237"/>
      <c r="J324" s="2945" t="s">
        <v>529</v>
      </c>
      <c r="K324" s="2945"/>
      <c r="L324" s="2945"/>
      <c r="M324" s="1237">
        <f t="shared" si="10"/>
        <v>0</v>
      </c>
      <c r="N324" s="1237" t="s">
        <v>1136</v>
      </c>
      <c r="O324" s="2024">
        <v>0.01</v>
      </c>
      <c r="P324" s="2947"/>
      <c r="Q324" s="1238"/>
      <c r="R324" s="1239"/>
    </row>
    <row r="325" spans="1:18" ht="18.75" customHeight="1">
      <c r="A325" s="2998"/>
      <c r="B325" s="2267" t="s">
        <v>466</v>
      </c>
      <c r="C325" s="1237" t="s">
        <v>824</v>
      </c>
      <c r="D325" s="1237"/>
      <c r="E325" s="1237" t="s">
        <v>481</v>
      </c>
      <c r="F325" s="1237" t="s">
        <v>966</v>
      </c>
      <c r="G325" s="1237">
        <v>3</v>
      </c>
      <c r="H325" s="1237" t="s">
        <v>474</v>
      </c>
      <c r="I325" s="1237" t="s">
        <v>1133</v>
      </c>
      <c r="J325" s="1237"/>
      <c r="K325" s="1237">
        <v>0</v>
      </c>
      <c r="L325" s="1237">
        <v>1</v>
      </c>
      <c r="M325" s="1237">
        <f t="shared" si="10"/>
        <v>1</v>
      </c>
      <c r="N325" s="1237" t="s">
        <v>1137</v>
      </c>
      <c r="O325" s="2024" t="s">
        <v>1002</v>
      </c>
      <c r="P325" s="2947"/>
      <c r="Q325" s="1238"/>
      <c r="R325" s="1239"/>
    </row>
    <row r="326" spans="1:18" ht="18.75" customHeight="1">
      <c r="A326" s="2998"/>
      <c r="B326" s="2267"/>
      <c r="C326" s="1237"/>
      <c r="D326" s="1237"/>
      <c r="E326" s="1237"/>
      <c r="F326" s="1237"/>
      <c r="G326" s="1237"/>
      <c r="H326" s="1237"/>
      <c r="I326" s="1237"/>
      <c r="J326" s="1237"/>
      <c r="K326" s="1237">
        <v>1</v>
      </c>
      <c r="L326" s="1237">
        <v>2</v>
      </c>
      <c r="M326" s="1237">
        <f t="shared" si="10"/>
        <v>1</v>
      </c>
      <c r="N326" s="1237" t="s">
        <v>1138</v>
      </c>
      <c r="O326" s="2024">
        <v>0.71</v>
      </c>
      <c r="P326" s="2948"/>
      <c r="Q326" s="1238"/>
      <c r="R326" s="1239"/>
    </row>
    <row r="327" spans="1:18" ht="18.75" customHeight="1">
      <c r="A327" s="2998"/>
      <c r="B327" s="2267" t="s">
        <v>466</v>
      </c>
      <c r="C327" s="1237" t="s">
        <v>846</v>
      </c>
      <c r="D327" s="1237" t="s">
        <v>817</v>
      </c>
      <c r="E327" s="1237" t="s">
        <v>511</v>
      </c>
      <c r="F327" s="1237" t="s">
        <v>772</v>
      </c>
      <c r="G327" s="1237">
        <v>1.5</v>
      </c>
      <c r="H327" s="1237" t="s">
        <v>474</v>
      </c>
      <c r="I327" s="1237" t="s">
        <v>1139</v>
      </c>
      <c r="J327" s="1237">
        <v>22</v>
      </c>
      <c r="K327" s="1237">
        <v>0</v>
      </c>
      <c r="L327" s="1237">
        <v>1</v>
      </c>
      <c r="M327" s="1237">
        <f t="shared" si="10"/>
        <v>1</v>
      </c>
      <c r="N327" s="1237" t="s">
        <v>1140</v>
      </c>
      <c r="O327" s="2024">
        <v>0.8</v>
      </c>
      <c r="P327" s="2954">
        <f>+AVERAGE(O327:O329)</f>
        <v>1.2733333333333334</v>
      </c>
      <c r="Q327" s="1238"/>
      <c r="R327" s="1239"/>
    </row>
    <row r="328" spans="1:18" ht="18.75" customHeight="1">
      <c r="A328" s="2998"/>
      <c r="B328" s="2267"/>
      <c r="C328" s="1237"/>
      <c r="D328" s="1237"/>
      <c r="E328" s="1237"/>
      <c r="F328" s="1237"/>
      <c r="G328" s="1237"/>
      <c r="H328" s="1237"/>
      <c r="I328" s="1237"/>
      <c r="J328" s="1237"/>
      <c r="K328" s="1237">
        <v>1</v>
      </c>
      <c r="L328" s="1237">
        <v>2</v>
      </c>
      <c r="M328" s="1237">
        <f t="shared" si="10"/>
        <v>1</v>
      </c>
      <c r="N328" s="1237" t="s">
        <v>1141</v>
      </c>
      <c r="O328" s="2024">
        <v>1.65</v>
      </c>
      <c r="P328" s="2954"/>
      <c r="Q328" s="1238"/>
      <c r="R328" s="1239"/>
    </row>
    <row r="329" spans="1:18" ht="18.75" customHeight="1">
      <c r="A329" s="2998"/>
      <c r="B329" s="2267"/>
      <c r="C329" s="1237"/>
      <c r="D329" s="1237"/>
      <c r="E329" s="1237"/>
      <c r="F329" s="1237"/>
      <c r="G329" s="1237"/>
      <c r="H329" s="1237"/>
      <c r="I329" s="1237"/>
      <c r="J329" s="1237"/>
      <c r="K329" s="1237">
        <v>2</v>
      </c>
      <c r="L329" s="1237">
        <v>3</v>
      </c>
      <c r="M329" s="1237">
        <f t="shared" si="10"/>
        <v>1</v>
      </c>
      <c r="N329" s="1237" t="s">
        <v>1142</v>
      </c>
      <c r="O329" s="2024">
        <v>1.37</v>
      </c>
      <c r="P329" s="2954"/>
      <c r="Q329" s="1238"/>
      <c r="R329" s="1239"/>
    </row>
    <row r="330" spans="1:18" ht="18.75" customHeight="1">
      <c r="A330" s="2998"/>
      <c r="B330" s="2267" t="s">
        <v>466</v>
      </c>
      <c r="C330" s="1237" t="s">
        <v>1143</v>
      </c>
      <c r="D330" s="1237" t="s">
        <v>817</v>
      </c>
      <c r="E330" s="1237" t="s">
        <v>511</v>
      </c>
      <c r="F330" s="1237" t="s">
        <v>772</v>
      </c>
      <c r="G330" s="1237">
        <v>3.5</v>
      </c>
      <c r="H330" s="1237" t="s">
        <v>470</v>
      </c>
      <c r="I330" s="1237" t="s">
        <v>1139</v>
      </c>
      <c r="J330" s="1237">
        <v>20</v>
      </c>
      <c r="K330" s="1237">
        <v>0</v>
      </c>
      <c r="L330" s="1237">
        <v>1</v>
      </c>
      <c r="M330" s="1237">
        <f t="shared" si="10"/>
        <v>1</v>
      </c>
      <c r="N330" s="1237" t="s">
        <v>1144</v>
      </c>
      <c r="O330" s="2024" t="s">
        <v>1002</v>
      </c>
      <c r="P330" s="2946">
        <f>+AVERAGE(O330:O333)</f>
        <v>2.3233333333333337</v>
      </c>
      <c r="Q330" s="1238"/>
      <c r="R330" s="1239"/>
    </row>
    <row r="331" spans="1:18" ht="18.75" customHeight="1">
      <c r="A331" s="2998"/>
      <c r="B331" s="2267"/>
      <c r="C331" s="1237"/>
      <c r="D331" s="1237"/>
      <c r="E331" s="1237"/>
      <c r="F331" s="1237"/>
      <c r="G331" s="1237"/>
      <c r="H331" s="1237"/>
      <c r="I331" s="1237"/>
      <c r="J331" s="1237"/>
      <c r="K331" s="1237">
        <v>1</v>
      </c>
      <c r="L331" s="1237">
        <v>2</v>
      </c>
      <c r="M331" s="1237">
        <f t="shared" si="10"/>
        <v>1</v>
      </c>
      <c r="N331" s="1237" t="s">
        <v>1145</v>
      </c>
      <c r="O331" s="2024">
        <v>2.74</v>
      </c>
      <c r="P331" s="2947"/>
      <c r="Q331" s="1238"/>
      <c r="R331" s="1239"/>
    </row>
    <row r="332" spans="1:18" ht="18.75" customHeight="1">
      <c r="A332" s="2998"/>
      <c r="B332" s="2267"/>
      <c r="C332" s="1237"/>
      <c r="D332" s="1237"/>
      <c r="E332" s="1237"/>
      <c r="F332" s="1237"/>
      <c r="G332" s="1237"/>
      <c r="H332" s="1237"/>
      <c r="I332" s="1237"/>
      <c r="J332" s="1237"/>
      <c r="K332" s="1237">
        <v>2</v>
      </c>
      <c r="L332" s="1237">
        <v>3</v>
      </c>
      <c r="M332" s="1237">
        <f t="shared" si="10"/>
        <v>1</v>
      </c>
      <c r="N332" s="1237" t="s">
        <v>1146</v>
      </c>
      <c r="O332" s="2024">
        <v>2.63</v>
      </c>
      <c r="P332" s="2947"/>
      <c r="Q332" s="1238"/>
      <c r="R332" s="1239"/>
    </row>
    <row r="333" spans="1:18" ht="18.75" customHeight="1">
      <c r="A333" s="2998"/>
      <c r="B333" s="2267"/>
      <c r="C333" s="1237"/>
      <c r="D333" s="1237"/>
      <c r="E333" s="1237"/>
      <c r="F333" s="1237"/>
      <c r="G333" s="1237"/>
      <c r="H333" s="1237"/>
      <c r="I333" s="1237"/>
      <c r="J333" s="1237"/>
      <c r="K333" s="1237">
        <v>3</v>
      </c>
      <c r="L333" s="1237">
        <v>4</v>
      </c>
      <c r="M333" s="1237">
        <f t="shared" si="10"/>
        <v>1</v>
      </c>
      <c r="N333" s="1237" t="s">
        <v>1147</v>
      </c>
      <c r="O333" s="2024">
        <v>1.6</v>
      </c>
      <c r="P333" s="2947"/>
      <c r="Q333" s="1238"/>
      <c r="R333" s="1239"/>
    </row>
    <row r="334" spans="1:18" ht="18.75" customHeight="1">
      <c r="A334" s="2998"/>
      <c r="B334" s="2267"/>
      <c r="C334" s="1237"/>
      <c r="D334" s="1237"/>
      <c r="E334" s="1237"/>
      <c r="F334" s="1237"/>
      <c r="G334" s="1237"/>
      <c r="H334" s="1237"/>
      <c r="I334" s="1237"/>
      <c r="J334" s="2945" t="s">
        <v>851</v>
      </c>
      <c r="K334" s="2945"/>
      <c r="L334" s="2945"/>
      <c r="M334" s="1237">
        <f t="shared" si="10"/>
        <v>0</v>
      </c>
      <c r="N334" s="1237" t="s">
        <v>1148</v>
      </c>
      <c r="O334" s="2024">
        <v>3.12</v>
      </c>
      <c r="P334" s="2948"/>
      <c r="Q334" s="1238"/>
      <c r="R334" s="1239"/>
    </row>
    <row r="335" spans="1:18" ht="18.75" customHeight="1">
      <c r="A335" s="2998"/>
      <c r="B335" s="2267" t="s">
        <v>466</v>
      </c>
      <c r="C335" s="1237" t="s">
        <v>467</v>
      </c>
      <c r="D335" s="1237"/>
      <c r="E335" s="1237" t="s">
        <v>511</v>
      </c>
      <c r="F335" s="1237" t="s">
        <v>772</v>
      </c>
      <c r="G335" s="1237">
        <v>3</v>
      </c>
      <c r="H335" s="1237" t="s">
        <v>474</v>
      </c>
      <c r="I335" s="1237" t="s">
        <v>859</v>
      </c>
      <c r="J335" s="1237">
        <v>18</v>
      </c>
      <c r="K335" s="1237">
        <v>0</v>
      </c>
      <c r="L335" s="1237">
        <v>1</v>
      </c>
      <c r="M335" s="1237">
        <f t="shared" si="10"/>
        <v>1</v>
      </c>
      <c r="N335" s="1237" t="s">
        <v>1149</v>
      </c>
      <c r="O335" s="2024">
        <v>0.7</v>
      </c>
      <c r="P335" s="2946">
        <f>+AVERAGE(O335:O337)</f>
        <v>1.3366666666666667</v>
      </c>
      <c r="Q335" s="1238"/>
      <c r="R335" s="1239"/>
    </row>
    <row r="336" spans="1:18" ht="18.75" customHeight="1">
      <c r="A336" s="2998"/>
      <c r="B336" s="2267"/>
      <c r="C336" s="1237"/>
      <c r="D336" s="1237"/>
      <c r="E336" s="1237"/>
      <c r="F336" s="1237"/>
      <c r="G336" s="1237"/>
      <c r="H336" s="1237"/>
      <c r="I336" s="1237"/>
      <c r="J336" s="1237"/>
      <c r="K336" s="1237">
        <v>1</v>
      </c>
      <c r="L336" s="1237">
        <v>2</v>
      </c>
      <c r="M336" s="1237">
        <f t="shared" si="10"/>
        <v>1</v>
      </c>
      <c r="N336" s="1237" t="s">
        <v>1150</v>
      </c>
      <c r="O336" s="2024">
        <v>0.98</v>
      </c>
      <c r="P336" s="2947"/>
      <c r="Q336" s="1238"/>
      <c r="R336" s="1239"/>
    </row>
    <row r="337" spans="1:18" ht="18.75" customHeight="1">
      <c r="A337" s="2998"/>
      <c r="B337" s="2267"/>
      <c r="C337" s="1237"/>
      <c r="D337" s="1237"/>
      <c r="E337" s="1237"/>
      <c r="F337" s="1237"/>
      <c r="G337" s="1237"/>
      <c r="H337" s="1237"/>
      <c r="I337" s="1237"/>
      <c r="J337" s="1237"/>
      <c r="K337" s="1237">
        <v>2</v>
      </c>
      <c r="L337" s="1237">
        <v>3</v>
      </c>
      <c r="M337" s="1237">
        <f t="shared" si="10"/>
        <v>1</v>
      </c>
      <c r="N337" s="1237" t="s">
        <v>1151</v>
      </c>
      <c r="O337" s="2024">
        <v>2.33</v>
      </c>
      <c r="P337" s="2947"/>
      <c r="Q337" s="1238"/>
      <c r="R337" s="1239"/>
    </row>
    <row r="338" spans="1:18" ht="18.75" customHeight="1">
      <c r="A338" s="2998"/>
      <c r="B338" s="2267" t="s">
        <v>466</v>
      </c>
      <c r="C338" s="1237" t="s">
        <v>467</v>
      </c>
      <c r="D338" s="1237"/>
      <c r="E338" s="1237" t="s">
        <v>511</v>
      </c>
      <c r="F338" s="1237" t="s">
        <v>772</v>
      </c>
      <c r="G338" s="1237">
        <v>5</v>
      </c>
      <c r="H338" s="1237" t="s">
        <v>474</v>
      </c>
      <c r="I338" s="1237" t="s">
        <v>859</v>
      </c>
      <c r="J338" s="1237">
        <v>18</v>
      </c>
      <c r="K338" s="1237">
        <v>0</v>
      </c>
      <c r="L338" s="1237">
        <v>1</v>
      </c>
      <c r="M338" s="1237">
        <f t="shared" si="10"/>
        <v>1</v>
      </c>
      <c r="N338" s="1237" t="s">
        <v>1152</v>
      </c>
      <c r="O338" s="2024">
        <v>1.67</v>
      </c>
      <c r="P338" s="2954">
        <f>+AVERAGE(O338,O340:O341)</f>
        <v>0.90333333333333332</v>
      </c>
      <c r="Q338" s="1238"/>
      <c r="R338" s="1239"/>
    </row>
    <row r="339" spans="1:18" ht="18.75" customHeight="1">
      <c r="A339" s="2998"/>
      <c r="B339" s="2267"/>
      <c r="C339" s="1237"/>
      <c r="D339" s="1237"/>
      <c r="E339" s="1237"/>
      <c r="F339" s="1237"/>
      <c r="G339" s="1237"/>
      <c r="H339" s="1237"/>
      <c r="I339" s="1237"/>
      <c r="J339" s="2945" t="s">
        <v>618</v>
      </c>
      <c r="K339" s="2945"/>
      <c r="L339" s="2945"/>
      <c r="M339" s="1237">
        <f t="shared" si="10"/>
        <v>0</v>
      </c>
      <c r="N339" s="1237" t="s">
        <v>1153</v>
      </c>
      <c r="O339" s="2024">
        <v>3.54</v>
      </c>
      <c r="P339" s="2954"/>
      <c r="Q339" s="1238"/>
      <c r="R339" s="1239"/>
    </row>
    <row r="340" spans="1:18" ht="18.75" customHeight="1">
      <c r="A340" s="2998"/>
      <c r="B340" s="2267"/>
      <c r="C340" s="1237"/>
      <c r="D340" s="1237"/>
      <c r="E340" s="1237"/>
      <c r="F340" s="1237"/>
      <c r="G340" s="1237"/>
      <c r="H340" s="1237"/>
      <c r="I340" s="1237"/>
      <c r="J340" s="1237"/>
      <c r="K340" s="1237">
        <v>1</v>
      </c>
      <c r="L340" s="1237">
        <v>2</v>
      </c>
      <c r="M340" s="1237">
        <f t="shared" si="10"/>
        <v>1</v>
      </c>
      <c r="N340" s="1237" t="s">
        <v>1154</v>
      </c>
      <c r="O340" s="2024">
        <v>0.21</v>
      </c>
      <c r="P340" s="2954"/>
      <c r="Q340" s="1238"/>
      <c r="R340" s="1239"/>
    </row>
    <row r="341" spans="1:18" ht="18.75" customHeight="1">
      <c r="A341" s="2998"/>
      <c r="B341" s="2267"/>
      <c r="C341" s="1237"/>
      <c r="D341" s="1237"/>
      <c r="E341" s="1237"/>
      <c r="F341" s="1237"/>
      <c r="G341" s="1237"/>
      <c r="H341" s="1237"/>
      <c r="I341" s="1237"/>
      <c r="J341" s="1237"/>
      <c r="K341" s="1237">
        <v>2</v>
      </c>
      <c r="L341" s="1237">
        <v>3</v>
      </c>
      <c r="M341" s="1237">
        <f t="shared" si="10"/>
        <v>1</v>
      </c>
      <c r="N341" s="1237" t="s">
        <v>1155</v>
      </c>
      <c r="O341" s="2024">
        <v>0.83</v>
      </c>
      <c r="P341" s="2954"/>
      <c r="Q341" s="1238"/>
      <c r="R341" s="1239"/>
    </row>
    <row r="342" spans="1:18" ht="18.75" customHeight="1">
      <c r="A342" s="2998"/>
      <c r="B342" s="2267" t="s">
        <v>466</v>
      </c>
      <c r="C342" s="1237" t="s">
        <v>467</v>
      </c>
      <c r="D342" s="1237"/>
      <c r="E342" s="1237" t="s">
        <v>511</v>
      </c>
      <c r="F342" s="1237" t="s">
        <v>772</v>
      </c>
      <c r="G342" s="1237">
        <v>7</v>
      </c>
      <c r="H342" s="1237" t="s">
        <v>474</v>
      </c>
      <c r="I342" s="1237" t="s">
        <v>859</v>
      </c>
      <c r="J342" s="1237">
        <v>18</v>
      </c>
      <c r="K342" s="1237">
        <v>0</v>
      </c>
      <c r="L342" s="1237">
        <v>1</v>
      </c>
      <c r="M342" s="1237">
        <f t="shared" si="10"/>
        <v>1</v>
      </c>
      <c r="N342" s="1237" t="s">
        <v>1156</v>
      </c>
      <c r="O342" s="2024">
        <v>0.36</v>
      </c>
      <c r="P342" s="2954">
        <f>+AVERAGE(O342:O343)</f>
        <v>0.93500000000000005</v>
      </c>
      <c r="Q342" s="1238"/>
      <c r="R342" s="1239"/>
    </row>
    <row r="343" spans="1:18" ht="18.75" customHeight="1">
      <c r="A343" s="2998"/>
      <c r="B343" s="2267"/>
      <c r="C343" s="1237"/>
      <c r="D343" s="1237"/>
      <c r="E343" s="1237"/>
      <c r="F343" s="1237"/>
      <c r="G343" s="1237"/>
      <c r="H343" s="1237"/>
      <c r="I343" s="1237"/>
      <c r="J343" s="1237"/>
      <c r="K343" s="1237">
        <v>1</v>
      </c>
      <c r="L343" s="1237">
        <v>2</v>
      </c>
      <c r="M343" s="1237">
        <f t="shared" si="10"/>
        <v>1</v>
      </c>
      <c r="N343" s="1237" t="s">
        <v>1157</v>
      </c>
      <c r="O343" s="2024">
        <v>1.51</v>
      </c>
      <c r="P343" s="2954"/>
      <c r="Q343" s="1238"/>
      <c r="R343" s="1239"/>
    </row>
    <row r="344" spans="1:18" ht="18.75" customHeight="1">
      <c r="A344" s="2998"/>
      <c r="B344" s="2267"/>
      <c r="C344" s="1237"/>
      <c r="D344" s="1237"/>
      <c r="E344" s="1237"/>
      <c r="F344" s="1237"/>
      <c r="G344" s="1237"/>
      <c r="H344" s="1237"/>
      <c r="I344" s="1237"/>
      <c r="J344" s="2945" t="s">
        <v>529</v>
      </c>
      <c r="K344" s="2945"/>
      <c r="L344" s="2945"/>
      <c r="M344" s="1237">
        <f t="shared" si="10"/>
        <v>0</v>
      </c>
      <c r="N344" s="1237" t="s">
        <v>1158</v>
      </c>
      <c r="O344" s="2024">
        <v>0</v>
      </c>
      <c r="P344" s="2946"/>
      <c r="Q344" s="1238"/>
      <c r="R344" s="1239"/>
    </row>
    <row r="345" spans="1:18" ht="18.75" customHeight="1">
      <c r="A345" s="2998"/>
      <c r="B345" s="2267" t="s">
        <v>466</v>
      </c>
      <c r="C345" s="1237" t="s">
        <v>867</v>
      </c>
      <c r="D345" s="1237" t="s">
        <v>825</v>
      </c>
      <c r="E345" s="1237" t="s">
        <v>511</v>
      </c>
      <c r="F345" s="1237" t="s">
        <v>772</v>
      </c>
      <c r="G345" s="1237">
        <v>2.4</v>
      </c>
      <c r="H345" s="1237" t="s">
        <v>470</v>
      </c>
      <c r="I345" s="1237" t="s">
        <v>1057</v>
      </c>
      <c r="J345" s="1237">
        <v>13.2</v>
      </c>
      <c r="K345" s="1237">
        <v>0</v>
      </c>
      <c r="L345" s="1237">
        <v>1</v>
      </c>
      <c r="M345" s="1237">
        <f t="shared" ref="M345:M349" si="11">L345-K345</f>
        <v>1</v>
      </c>
      <c r="N345" s="1237" t="s">
        <v>1159</v>
      </c>
      <c r="O345" s="2057">
        <v>1.27</v>
      </c>
      <c r="P345" s="2946">
        <f>+AVERAGE(O345:O349)</f>
        <v>0.95250000000000001</v>
      </c>
      <c r="Q345" s="1525"/>
      <c r="R345" s="1239"/>
    </row>
    <row r="346" spans="1:18" ht="18.75" customHeight="1">
      <c r="A346" s="2998"/>
      <c r="B346" s="2267"/>
      <c r="C346" s="1237"/>
      <c r="D346" s="1237"/>
      <c r="E346" s="1237"/>
      <c r="F346" s="1237"/>
      <c r="G346" s="1237"/>
      <c r="H346" s="1237"/>
      <c r="I346" s="1237"/>
      <c r="J346" s="1237"/>
      <c r="K346" s="1237">
        <v>1</v>
      </c>
      <c r="L346" s="1237">
        <v>2</v>
      </c>
      <c r="M346" s="1237">
        <f t="shared" si="11"/>
        <v>1</v>
      </c>
      <c r="N346" s="1237" t="s">
        <v>1160</v>
      </c>
      <c r="O346" s="2057">
        <v>1.02</v>
      </c>
      <c r="P346" s="2947"/>
      <c r="Q346" s="1525"/>
      <c r="R346" s="1239"/>
    </row>
    <row r="347" spans="1:18" ht="18.75" customHeight="1">
      <c r="A347" s="2998"/>
      <c r="B347" s="2267"/>
      <c r="C347" s="1237"/>
      <c r="D347" s="1237"/>
      <c r="E347" s="1237"/>
      <c r="F347" s="1237"/>
      <c r="G347" s="1237"/>
      <c r="H347" s="1237"/>
      <c r="I347" s="1237"/>
      <c r="J347" s="1237"/>
      <c r="K347" s="1237">
        <v>2</v>
      </c>
      <c r="L347" s="1237">
        <v>3</v>
      </c>
      <c r="M347" s="1237">
        <f t="shared" si="11"/>
        <v>1</v>
      </c>
      <c r="N347" s="1237" t="s">
        <v>1161</v>
      </c>
      <c r="O347" s="2057">
        <v>1.21</v>
      </c>
      <c r="P347" s="2947"/>
      <c r="Q347" s="1525"/>
      <c r="R347" s="1239"/>
    </row>
    <row r="348" spans="1:18" ht="18.75" customHeight="1">
      <c r="A348" s="2998"/>
      <c r="B348" s="2267"/>
      <c r="C348" s="1237"/>
      <c r="D348" s="1237"/>
      <c r="E348" s="1237"/>
      <c r="F348" s="1237"/>
      <c r="G348" s="1237"/>
      <c r="H348" s="1237"/>
      <c r="I348" s="1237"/>
      <c r="J348" s="1237"/>
      <c r="K348" s="1237">
        <v>3</v>
      </c>
      <c r="L348" s="1237">
        <v>4</v>
      </c>
      <c r="M348" s="1237">
        <f t="shared" si="11"/>
        <v>1</v>
      </c>
      <c r="N348" s="1237" t="s">
        <v>1162</v>
      </c>
      <c r="O348" s="2057">
        <v>0.31</v>
      </c>
      <c r="P348" s="2947"/>
      <c r="Q348" s="1525"/>
      <c r="R348" s="1239"/>
    </row>
    <row r="349" spans="1:18" ht="18.75" customHeight="1">
      <c r="A349" s="2998"/>
      <c r="B349" s="2268"/>
      <c r="C349" s="1540"/>
      <c r="D349" s="1540"/>
      <c r="E349" s="1540"/>
      <c r="F349" s="1540"/>
      <c r="G349" s="1540"/>
      <c r="H349" s="1540"/>
      <c r="I349" s="1540"/>
      <c r="J349" s="1540"/>
      <c r="K349" s="1540">
        <v>4</v>
      </c>
      <c r="L349" s="1540">
        <v>5</v>
      </c>
      <c r="M349" s="1540">
        <f t="shared" si="11"/>
        <v>1</v>
      </c>
      <c r="N349" s="1540" t="s">
        <v>1163</v>
      </c>
      <c r="O349" s="2058" t="s">
        <v>1164</v>
      </c>
      <c r="P349" s="2947"/>
      <c r="Q349" s="2059"/>
      <c r="R349" s="1591"/>
    </row>
    <row r="350" spans="1:18" ht="18.75" customHeight="1">
      <c r="A350" s="3000">
        <v>45875</v>
      </c>
      <c r="B350" s="2645" t="s">
        <v>687</v>
      </c>
      <c r="C350" s="1548" t="s">
        <v>450</v>
      </c>
      <c r="D350" s="1548"/>
      <c r="E350" s="1548" t="s">
        <v>468</v>
      </c>
      <c r="F350" s="1548" t="s">
        <v>772</v>
      </c>
      <c r="G350" s="1548">
        <v>2</v>
      </c>
      <c r="H350" s="1548" t="s">
        <v>470</v>
      </c>
      <c r="I350" s="1548" t="s">
        <v>773</v>
      </c>
      <c r="J350" s="1548">
        <v>0</v>
      </c>
      <c r="K350" s="1548">
        <v>0</v>
      </c>
      <c r="L350" s="1548">
        <v>1</v>
      </c>
      <c r="M350" s="1548">
        <f t="shared" ref="M350:M381" si="12">L350-K350</f>
        <v>1</v>
      </c>
      <c r="N350" s="1548" t="s">
        <v>1165</v>
      </c>
      <c r="O350" s="2030">
        <v>2.39</v>
      </c>
      <c r="P350" s="2974">
        <f>+AVERAGE(O350:O353,O355:O357)</f>
        <v>3.4685714285714284</v>
      </c>
      <c r="Q350" s="1570"/>
      <c r="R350" s="1571"/>
    </row>
    <row r="351" spans="1:18" ht="18.75" customHeight="1">
      <c r="A351" s="3001"/>
      <c r="B351" s="2267"/>
      <c r="C351" s="1237"/>
      <c r="D351" s="1237"/>
      <c r="E351" s="1237"/>
      <c r="F351" s="1237"/>
      <c r="G351" s="1237"/>
      <c r="H351" s="1237"/>
      <c r="I351" s="1237"/>
      <c r="J351" s="1237"/>
      <c r="K351" s="1237">
        <v>1</v>
      </c>
      <c r="L351" s="1237">
        <v>2</v>
      </c>
      <c r="M351" s="1237">
        <f t="shared" si="12"/>
        <v>1</v>
      </c>
      <c r="N351" s="1237" t="s">
        <v>1166</v>
      </c>
      <c r="O351" s="2024">
        <v>3.68</v>
      </c>
      <c r="P351" s="2947"/>
      <c r="Q351" s="1238"/>
      <c r="R351" s="1549"/>
    </row>
    <row r="352" spans="1:18" ht="18.75" customHeight="1">
      <c r="A352" s="3001"/>
      <c r="B352" s="2267"/>
      <c r="C352" s="1237"/>
      <c r="D352" s="1237"/>
      <c r="E352" s="1237"/>
      <c r="F352" s="1237"/>
      <c r="G352" s="1237"/>
      <c r="H352" s="1237"/>
      <c r="I352" s="1237"/>
      <c r="J352" s="1237"/>
      <c r="K352" s="1237">
        <v>2</v>
      </c>
      <c r="L352" s="1237">
        <v>3</v>
      </c>
      <c r="M352" s="1237">
        <f t="shared" si="12"/>
        <v>1</v>
      </c>
      <c r="N352" s="1237" t="s">
        <v>1167</v>
      </c>
      <c r="O352" s="2024">
        <v>1.45</v>
      </c>
      <c r="P352" s="2947"/>
      <c r="Q352" s="1238"/>
      <c r="R352" s="1549"/>
    </row>
    <row r="353" spans="1:18" ht="18.75" customHeight="1">
      <c r="A353" s="3001"/>
      <c r="B353" s="2267"/>
      <c r="C353" s="1237"/>
      <c r="D353" s="1237"/>
      <c r="E353" s="1237"/>
      <c r="F353" s="1237"/>
      <c r="G353" s="1237"/>
      <c r="H353" s="1237"/>
      <c r="I353" s="1237"/>
      <c r="J353" s="1237"/>
      <c r="K353" s="1237">
        <v>3</v>
      </c>
      <c r="L353" s="1237">
        <v>4</v>
      </c>
      <c r="M353" s="1237">
        <f t="shared" si="12"/>
        <v>1</v>
      </c>
      <c r="N353" s="1237" t="s">
        <v>1168</v>
      </c>
      <c r="O353" s="2024">
        <v>3.53</v>
      </c>
      <c r="P353" s="2947"/>
      <c r="Q353" s="1238"/>
      <c r="R353" s="1549"/>
    </row>
    <row r="354" spans="1:18" ht="18.75" customHeight="1">
      <c r="A354" s="3001"/>
      <c r="B354" s="2267"/>
      <c r="C354" s="1237"/>
      <c r="D354" s="1237"/>
      <c r="E354" s="1237"/>
      <c r="F354" s="1237"/>
      <c r="G354" s="1237"/>
      <c r="H354" s="1237"/>
      <c r="I354" s="1237"/>
      <c r="J354" s="2945" t="s">
        <v>851</v>
      </c>
      <c r="K354" s="2945"/>
      <c r="L354" s="2945"/>
      <c r="M354" s="1237">
        <f t="shared" si="12"/>
        <v>0</v>
      </c>
      <c r="N354" s="1237" t="s">
        <v>1169</v>
      </c>
      <c r="O354" s="2024">
        <v>3.23</v>
      </c>
      <c r="P354" s="2947"/>
      <c r="Q354" s="1238"/>
      <c r="R354" s="1549"/>
    </row>
    <row r="355" spans="1:18" ht="18.75" customHeight="1">
      <c r="A355" s="3001"/>
      <c r="B355" s="2267"/>
      <c r="C355" s="1237"/>
      <c r="D355" s="1237"/>
      <c r="E355" s="1237"/>
      <c r="F355" s="1237"/>
      <c r="G355" s="1237"/>
      <c r="H355" s="1237"/>
      <c r="I355" s="1237"/>
      <c r="J355" s="1237"/>
      <c r="K355" s="1237">
        <v>4</v>
      </c>
      <c r="L355" s="1237">
        <v>5</v>
      </c>
      <c r="M355" s="1237">
        <f t="shared" si="12"/>
        <v>1</v>
      </c>
      <c r="N355" s="1237" t="s">
        <v>1170</v>
      </c>
      <c r="O355" s="2024">
        <v>5.24</v>
      </c>
      <c r="P355" s="2947"/>
      <c r="Q355" s="1238"/>
      <c r="R355" s="1549"/>
    </row>
    <row r="356" spans="1:18" ht="18.75" customHeight="1">
      <c r="A356" s="3001"/>
      <c r="B356" s="2267"/>
      <c r="C356" s="1237"/>
      <c r="D356" s="1237"/>
      <c r="E356" s="1237"/>
      <c r="F356" s="1237"/>
      <c r="G356" s="1237"/>
      <c r="H356" s="1237"/>
      <c r="I356" s="1237"/>
      <c r="J356" s="1237"/>
      <c r="K356" s="1237">
        <v>5</v>
      </c>
      <c r="L356" s="1237">
        <v>6</v>
      </c>
      <c r="M356" s="1237">
        <f t="shared" si="12"/>
        <v>1</v>
      </c>
      <c r="N356" s="1237" t="s">
        <v>1171</v>
      </c>
      <c r="O356" s="2024">
        <v>3.95</v>
      </c>
      <c r="P356" s="2947"/>
      <c r="Q356" s="1238"/>
      <c r="R356" s="1549"/>
    </row>
    <row r="357" spans="1:18" ht="18.75" customHeight="1">
      <c r="A357" s="3001"/>
      <c r="B357" s="2267"/>
      <c r="C357" s="1237"/>
      <c r="D357" s="1237"/>
      <c r="E357" s="1237"/>
      <c r="F357" s="1237"/>
      <c r="G357" s="1237"/>
      <c r="H357" s="1237"/>
      <c r="I357" s="1237"/>
      <c r="J357" s="1237"/>
      <c r="K357" s="1237">
        <v>6</v>
      </c>
      <c r="L357" s="1237">
        <v>7</v>
      </c>
      <c r="M357" s="1237">
        <f t="shared" si="12"/>
        <v>1</v>
      </c>
      <c r="N357" s="1237" t="s">
        <v>1172</v>
      </c>
      <c r="O357" s="2024">
        <v>4.04</v>
      </c>
      <c r="P357" s="2948"/>
      <c r="Q357" s="1238"/>
      <c r="R357" s="1549"/>
    </row>
    <row r="358" spans="1:18" ht="18.75" customHeight="1">
      <c r="A358" s="3001"/>
      <c r="B358" s="2267" t="s">
        <v>806</v>
      </c>
      <c r="C358" s="1237" t="s">
        <v>807</v>
      </c>
      <c r="D358" s="1237"/>
      <c r="E358" s="1237" t="s">
        <v>468</v>
      </c>
      <c r="F358" s="1237" t="s">
        <v>772</v>
      </c>
      <c r="G358" s="1237">
        <v>0.5</v>
      </c>
      <c r="H358" s="1237" t="s">
        <v>808</v>
      </c>
      <c r="I358" s="1237" t="s">
        <v>809</v>
      </c>
      <c r="J358" s="1237">
        <v>3</v>
      </c>
      <c r="K358" s="1237">
        <v>0</v>
      </c>
      <c r="L358" s="1237">
        <v>1</v>
      </c>
      <c r="M358" s="1237">
        <f t="shared" si="12"/>
        <v>1</v>
      </c>
      <c r="N358" s="1237" t="s">
        <v>1173</v>
      </c>
      <c r="O358" s="2024">
        <v>2.2000000000000002</v>
      </c>
      <c r="P358" s="2946">
        <f>+AVERAGE(O358,O360:O363,O365:O366)</f>
        <v>4.1428571428571432</v>
      </c>
      <c r="Q358" s="1238"/>
      <c r="R358" s="1549"/>
    </row>
    <row r="359" spans="1:18" ht="18.75" customHeight="1">
      <c r="A359" s="3001"/>
      <c r="B359" s="2267"/>
      <c r="C359" s="1237"/>
      <c r="D359" s="1237"/>
      <c r="E359" s="1237"/>
      <c r="F359" s="1237"/>
      <c r="G359" s="1237"/>
      <c r="H359" s="1237"/>
      <c r="I359" s="1237"/>
      <c r="J359" s="2945" t="s">
        <v>618</v>
      </c>
      <c r="K359" s="2945"/>
      <c r="L359" s="2945"/>
      <c r="M359" s="1237">
        <f t="shared" si="12"/>
        <v>0</v>
      </c>
      <c r="N359" s="1237" t="s">
        <v>1174</v>
      </c>
      <c r="O359" s="2024">
        <v>3.04</v>
      </c>
      <c r="P359" s="2947"/>
      <c r="Q359" s="1238"/>
      <c r="R359" s="1549"/>
    </row>
    <row r="360" spans="1:18" ht="18.75" customHeight="1">
      <c r="A360" s="3001"/>
      <c r="B360" s="2267"/>
      <c r="C360" s="1237"/>
      <c r="D360" s="1237"/>
      <c r="E360" s="1237"/>
      <c r="F360" s="1237"/>
      <c r="G360" s="1237"/>
      <c r="H360" s="1237"/>
      <c r="I360" s="1237"/>
      <c r="J360" s="1237"/>
      <c r="K360" s="1237">
        <v>1</v>
      </c>
      <c r="L360" s="1237">
        <v>2</v>
      </c>
      <c r="M360" s="1237">
        <f t="shared" si="12"/>
        <v>1</v>
      </c>
      <c r="N360" s="1237" t="s">
        <v>1175</v>
      </c>
      <c r="O360" s="2024">
        <v>0.1</v>
      </c>
      <c r="P360" s="2947"/>
      <c r="Q360" s="1238"/>
      <c r="R360" s="1549"/>
    </row>
    <row r="361" spans="1:18" ht="18.75" customHeight="1">
      <c r="A361" s="3001"/>
      <c r="B361" s="2267"/>
      <c r="C361" s="1237"/>
      <c r="D361" s="1237"/>
      <c r="E361" s="1237"/>
      <c r="F361" s="1237"/>
      <c r="G361" s="1237"/>
      <c r="H361" s="1237"/>
      <c r="I361" s="1237"/>
      <c r="J361" s="1237"/>
      <c r="K361" s="1237">
        <v>2</v>
      </c>
      <c r="L361" s="1237">
        <v>3</v>
      </c>
      <c r="M361" s="1237">
        <f t="shared" si="12"/>
        <v>1</v>
      </c>
      <c r="N361" s="1237" t="s">
        <v>1176</v>
      </c>
      <c r="O361" s="2024">
        <v>1.72</v>
      </c>
      <c r="P361" s="2947"/>
      <c r="Q361" s="1238"/>
      <c r="R361" s="1549"/>
    </row>
    <row r="362" spans="1:18" ht="18.75" customHeight="1">
      <c r="A362" s="3001"/>
      <c r="B362" s="2267" t="s">
        <v>806</v>
      </c>
      <c r="C362" s="1237" t="s">
        <v>807</v>
      </c>
      <c r="D362" s="1237"/>
      <c r="E362" s="1237" t="s">
        <v>468</v>
      </c>
      <c r="F362" s="1237" t="s">
        <v>772</v>
      </c>
      <c r="G362" s="1237">
        <v>0.5</v>
      </c>
      <c r="H362" s="1237" t="s">
        <v>808</v>
      </c>
      <c r="I362" s="1237" t="s">
        <v>1177</v>
      </c>
      <c r="J362" s="1237">
        <v>3</v>
      </c>
      <c r="K362" s="1237">
        <v>0</v>
      </c>
      <c r="L362" s="1237">
        <v>1</v>
      </c>
      <c r="M362" s="1237">
        <f t="shared" si="12"/>
        <v>1</v>
      </c>
      <c r="N362" s="1237" t="s">
        <v>1178</v>
      </c>
      <c r="O362" s="2024">
        <v>4.8099999999999996</v>
      </c>
      <c r="P362" s="2947"/>
      <c r="Q362" s="1238"/>
      <c r="R362" s="1549"/>
    </row>
    <row r="363" spans="1:18" ht="18.75" customHeight="1">
      <c r="A363" s="3001"/>
      <c r="B363" s="2267"/>
      <c r="C363" s="1237"/>
      <c r="D363" s="1237"/>
      <c r="E363" s="1237"/>
      <c r="F363" s="1237"/>
      <c r="G363" s="1237"/>
      <c r="H363" s="1237"/>
      <c r="I363" s="1237"/>
      <c r="J363" s="1237"/>
      <c r="K363" s="1237">
        <v>1</v>
      </c>
      <c r="L363" s="1237">
        <v>2</v>
      </c>
      <c r="M363" s="1237">
        <f t="shared" si="12"/>
        <v>1</v>
      </c>
      <c r="N363" s="1237" t="s">
        <v>1179</v>
      </c>
      <c r="O363" s="2024">
        <v>3.94</v>
      </c>
      <c r="P363" s="2947"/>
      <c r="Q363" s="1238"/>
      <c r="R363" s="1549"/>
    </row>
    <row r="364" spans="1:18" ht="18.75" customHeight="1">
      <c r="A364" s="3001"/>
      <c r="B364" s="2267"/>
      <c r="C364" s="1237"/>
      <c r="D364" s="1237"/>
      <c r="E364" s="1237"/>
      <c r="F364" s="1237"/>
      <c r="G364" s="1237"/>
      <c r="H364" s="1237"/>
      <c r="I364" s="1237"/>
      <c r="J364" s="2945" t="s">
        <v>529</v>
      </c>
      <c r="K364" s="2945"/>
      <c r="L364" s="2945"/>
      <c r="M364" s="1237">
        <f t="shared" si="12"/>
        <v>0</v>
      </c>
      <c r="N364" s="1237" t="s">
        <v>1180</v>
      </c>
      <c r="O364" s="2024">
        <v>0</v>
      </c>
      <c r="P364" s="2947"/>
      <c r="Q364" s="1238"/>
      <c r="R364" s="1549"/>
    </row>
    <row r="365" spans="1:18" ht="18.75" customHeight="1">
      <c r="A365" s="3001"/>
      <c r="B365" s="2267"/>
      <c r="C365" s="1237"/>
      <c r="D365" s="1237"/>
      <c r="E365" s="1237"/>
      <c r="F365" s="1237"/>
      <c r="G365" s="1237"/>
      <c r="H365" s="1237"/>
      <c r="I365" s="1237"/>
      <c r="J365" s="1237"/>
      <c r="K365" s="1237">
        <v>2</v>
      </c>
      <c r="L365" s="1237">
        <v>3</v>
      </c>
      <c r="M365" s="1237">
        <f t="shared" si="12"/>
        <v>1</v>
      </c>
      <c r="N365" s="1237" t="s">
        <v>1181</v>
      </c>
      <c r="O365" s="2024">
        <v>8.84</v>
      </c>
      <c r="P365" s="2947"/>
      <c r="Q365" s="1238"/>
      <c r="R365" s="1549"/>
    </row>
    <row r="366" spans="1:18" ht="18.75" customHeight="1">
      <c r="A366" s="3001"/>
      <c r="B366" s="2267"/>
      <c r="C366" s="1237"/>
      <c r="D366" s="1237"/>
      <c r="E366" s="1237"/>
      <c r="F366" s="1237"/>
      <c r="G366" s="1237"/>
      <c r="H366" s="1237"/>
      <c r="I366" s="1237"/>
      <c r="J366" s="1237"/>
      <c r="K366" s="1237">
        <v>3</v>
      </c>
      <c r="L366" s="1237">
        <v>4</v>
      </c>
      <c r="M366" s="1237">
        <f t="shared" si="12"/>
        <v>1</v>
      </c>
      <c r="N366" s="1237" t="s">
        <v>1182</v>
      </c>
      <c r="O366" s="2024">
        <v>7.39</v>
      </c>
      <c r="P366" s="2948"/>
      <c r="Q366" s="1238"/>
      <c r="R366" s="1549"/>
    </row>
    <row r="367" spans="1:18" ht="18.75" customHeight="1">
      <c r="A367" s="3001"/>
      <c r="B367" s="2267" t="s">
        <v>479</v>
      </c>
      <c r="C367" s="1237" t="s">
        <v>793</v>
      </c>
      <c r="D367" s="1237"/>
      <c r="E367" s="1237" t="s">
        <v>468</v>
      </c>
      <c r="F367" s="1237" t="s">
        <v>772</v>
      </c>
      <c r="G367" s="1237">
        <v>2</v>
      </c>
      <c r="H367" s="1237" t="s">
        <v>470</v>
      </c>
      <c r="I367" s="1237" t="s">
        <v>794</v>
      </c>
      <c r="J367" s="1237">
        <v>10.4</v>
      </c>
      <c r="K367" s="1237">
        <v>0</v>
      </c>
      <c r="L367" s="1237">
        <v>1</v>
      </c>
      <c r="M367" s="1237">
        <f t="shared" si="12"/>
        <v>1</v>
      </c>
      <c r="N367" s="1237" t="s">
        <v>1183</v>
      </c>
      <c r="O367" s="2024">
        <v>2.12</v>
      </c>
      <c r="P367" s="2946">
        <f>+AVERAGE(O367:O371)</f>
        <v>1.3720000000000001</v>
      </c>
      <c r="Q367" s="1238"/>
      <c r="R367" s="1549"/>
    </row>
    <row r="368" spans="1:18" ht="18.75" customHeight="1">
      <c r="A368" s="3001"/>
      <c r="B368" s="2267"/>
      <c r="C368" s="1237"/>
      <c r="D368" s="1237"/>
      <c r="E368" s="1237"/>
      <c r="F368" s="1237"/>
      <c r="G368" s="1237"/>
      <c r="H368" s="1237"/>
      <c r="I368" s="1237"/>
      <c r="J368" s="1237"/>
      <c r="K368" s="1237">
        <v>1</v>
      </c>
      <c r="L368" s="1237">
        <v>2</v>
      </c>
      <c r="M368" s="1237">
        <f t="shared" si="12"/>
        <v>1</v>
      </c>
      <c r="N368" s="1237" t="s">
        <v>1184</v>
      </c>
      <c r="O368" s="2024">
        <v>2.2999999999999998</v>
      </c>
      <c r="P368" s="2947"/>
      <c r="Q368" s="1238"/>
      <c r="R368" s="1549"/>
    </row>
    <row r="369" spans="1:18" ht="18.75" customHeight="1">
      <c r="A369" s="3001"/>
      <c r="B369" s="2267"/>
      <c r="C369" s="1237"/>
      <c r="D369" s="1237"/>
      <c r="E369" s="1237"/>
      <c r="F369" s="1237"/>
      <c r="G369" s="1237"/>
      <c r="H369" s="1237"/>
      <c r="I369" s="1237"/>
      <c r="J369" s="1237"/>
      <c r="K369" s="1237">
        <v>2</v>
      </c>
      <c r="L369" s="1237">
        <v>3</v>
      </c>
      <c r="M369" s="1237">
        <f t="shared" si="12"/>
        <v>1</v>
      </c>
      <c r="N369" s="1237" t="s">
        <v>1185</v>
      </c>
      <c r="O369" s="2024">
        <v>0.25</v>
      </c>
      <c r="P369" s="2947"/>
      <c r="Q369" s="1238"/>
      <c r="R369" s="1549"/>
    </row>
    <row r="370" spans="1:18" ht="18.75" customHeight="1">
      <c r="A370" s="3001"/>
      <c r="B370" s="2267"/>
      <c r="C370" s="1237"/>
      <c r="D370" s="1237"/>
      <c r="E370" s="1237"/>
      <c r="F370" s="1237"/>
      <c r="G370" s="1237"/>
      <c r="H370" s="1237"/>
      <c r="I370" s="1237"/>
      <c r="J370" s="1237"/>
      <c r="K370" s="1237">
        <v>3</v>
      </c>
      <c r="L370" s="1237">
        <v>4</v>
      </c>
      <c r="M370" s="1237">
        <f t="shared" si="12"/>
        <v>1</v>
      </c>
      <c r="N370" s="1237" t="s">
        <v>1186</v>
      </c>
      <c r="O370" s="2024">
        <v>0.24</v>
      </c>
      <c r="P370" s="2947"/>
      <c r="Q370" s="1238"/>
      <c r="R370" s="1549"/>
    </row>
    <row r="371" spans="1:18" ht="18.75" customHeight="1">
      <c r="A371" s="3001"/>
      <c r="B371" s="2267"/>
      <c r="C371" s="1237"/>
      <c r="D371" s="1237"/>
      <c r="E371" s="1237"/>
      <c r="F371" s="1237"/>
      <c r="G371" s="1237"/>
      <c r="H371" s="1237"/>
      <c r="I371" s="1237"/>
      <c r="J371" s="1237"/>
      <c r="K371" s="1237">
        <v>4</v>
      </c>
      <c r="L371" s="1237">
        <v>5</v>
      </c>
      <c r="M371" s="1237">
        <f t="shared" si="12"/>
        <v>1</v>
      </c>
      <c r="N371" s="1237" t="s">
        <v>1187</v>
      </c>
      <c r="O371" s="2024">
        <v>1.95</v>
      </c>
      <c r="P371" s="2948"/>
      <c r="Q371" s="1238"/>
      <c r="R371" s="1549"/>
    </row>
    <row r="372" spans="1:18" ht="18.75" customHeight="1">
      <c r="A372" s="3001"/>
      <c r="B372" s="2267" t="s">
        <v>479</v>
      </c>
      <c r="C372" s="1237" t="s">
        <v>480</v>
      </c>
      <c r="D372" s="1237" t="s">
        <v>825</v>
      </c>
      <c r="E372" s="1237" t="s">
        <v>481</v>
      </c>
      <c r="F372" s="1237" t="s">
        <v>966</v>
      </c>
      <c r="G372" s="1237">
        <v>4</v>
      </c>
      <c r="H372" s="1237" t="s">
        <v>786</v>
      </c>
      <c r="I372" s="1237" t="s">
        <v>1188</v>
      </c>
      <c r="J372" s="1237"/>
      <c r="K372" s="1237">
        <v>0</v>
      </c>
      <c r="L372" s="1237">
        <v>0.8</v>
      </c>
      <c r="M372" s="1237">
        <f t="shared" si="12"/>
        <v>0.8</v>
      </c>
      <c r="N372" s="1237" t="s">
        <v>1189</v>
      </c>
      <c r="O372" s="2028">
        <v>0.1</v>
      </c>
      <c r="P372" s="2946">
        <f>+AVERAGE(O372:O381)</f>
        <v>0.09</v>
      </c>
      <c r="Q372" s="1238"/>
      <c r="R372" s="1549"/>
    </row>
    <row r="373" spans="1:18" ht="18.75" customHeight="1">
      <c r="A373" s="3001"/>
      <c r="B373" s="2267"/>
      <c r="C373" s="1237"/>
      <c r="D373" s="1237"/>
      <c r="E373" s="1237"/>
      <c r="F373" s="1237"/>
      <c r="G373" s="1237"/>
      <c r="H373" s="1237"/>
      <c r="I373" s="1237"/>
      <c r="J373" s="1237"/>
      <c r="K373" s="1237">
        <v>0.8</v>
      </c>
      <c r="L373" s="1237">
        <v>1.5</v>
      </c>
      <c r="M373" s="1237">
        <f t="shared" si="12"/>
        <v>0.7</v>
      </c>
      <c r="N373" s="1237" t="s">
        <v>1190</v>
      </c>
      <c r="O373" s="2028">
        <v>0.08</v>
      </c>
      <c r="P373" s="2947"/>
      <c r="Q373" s="1238"/>
      <c r="R373" s="1549"/>
    </row>
    <row r="374" spans="1:18" ht="18.75" customHeight="1">
      <c r="A374" s="3001"/>
      <c r="B374" s="2267" t="s">
        <v>479</v>
      </c>
      <c r="C374" s="1237" t="s">
        <v>480</v>
      </c>
      <c r="D374" s="1237" t="s">
        <v>825</v>
      </c>
      <c r="E374" s="1237" t="s">
        <v>481</v>
      </c>
      <c r="F374" s="1237" t="s">
        <v>966</v>
      </c>
      <c r="G374" s="1237">
        <v>4</v>
      </c>
      <c r="H374" s="1237" t="s">
        <v>786</v>
      </c>
      <c r="I374" s="1237" t="s">
        <v>1188</v>
      </c>
      <c r="J374" s="1237"/>
      <c r="K374" s="1237">
        <v>0</v>
      </c>
      <c r="L374" s="1237">
        <v>0.8</v>
      </c>
      <c r="M374" s="1237">
        <f t="shared" si="12"/>
        <v>0.8</v>
      </c>
      <c r="N374" s="1237" t="s">
        <v>1191</v>
      </c>
      <c r="O374" s="2028"/>
      <c r="P374" s="2947"/>
      <c r="Q374" s="1238"/>
      <c r="R374" s="1549"/>
    </row>
    <row r="375" spans="1:18" ht="18.75" customHeight="1">
      <c r="A375" s="3001"/>
      <c r="B375" s="2267"/>
      <c r="C375" s="1237"/>
      <c r="D375" s="1237"/>
      <c r="E375" s="1237"/>
      <c r="F375" s="1237"/>
      <c r="G375" s="1237"/>
      <c r="H375" s="1237"/>
      <c r="I375" s="1237"/>
      <c r="J375" s="1237"/>
      <c r="K375" s="1237">
        <v>0.8</v>
      </c>
      <c r="L375" s="1237">
        <v>1.5</v>
      </c>
      <c r="M375" s="1237">
        <f t="shared" si="12"/>
        <v>0.7</v>
      </c>
      <c r="N375" s="1237" t="s">
        <v>1192</v>
      </c>
      <c r="O375" s="2028"/>
      <c r="P375" s="2947"/>
      <c r="Q375" s="1238"/>
      <c r="R375" s="1549"/>
    </row>
    <row r="376" spans="1:18" ht="18.75" customHeight="1">
      <c r="A376" s="3001"/>
      <c r="B376" s="2267" t="s">
        <v>479</v>
      </c>
      <c r="C376" s="1237" t="s">
        <v>480</v>
      </c>
      <c r="D376" s="1237" t="s">
        <v>825</v>
      </c>
      <c r="E376" s="1237" t="s">
        <v>481</v>
      </c>
      <c r="F376" s="1237" t="s">
        <v>966</v>
      </c>
      <c r="G376" s="1237">
        <v>4</v>
      </c>
      <c r="H376" s="1237" t="s">
        <v>786</v>
      </c>
      <c r="I376" s="1237" t="s">
        <v>1188</v>
      </c>
      <c r="J376" s="1237"/>
      <c r="K376" s="1237">
        <v>0</v>
      </c>
      <c r="L376" s="1237">
        <v>0.8</v>
      </c>
      <c r="M376" s="1237">
        <f t="shared" si="12"/>
        <v>0.8</v>
      </c>
      <c r="N376" s="1237" t="s">
        <v>1193</v>
      </c>
      <c r="O376" s="2028"/>
      <c r="P376" s="2947"/>
      <c r="Q376" s="1238"/>
      <c r="R376" s="1549"/>
    </row>
    <row r="377" spans="1:18" ht="18.75" customHeight="1">
      <c r="A377" s="3001"/>
      <c r="B377" s="2267"/>
      <c r="C377" s="1237"/>
      <c r="D377" s="1237"/>
      <c r="E377" s="1237"/>
      <c r="F377" s="1237"/>
      <c r="G377" s="1237"/>
      <c r="H377" s="1237"/>
      <c r="I377" s="1237"/>
      <c r="J377" s="1237"/>
      <c r="K377" s="1237">
        <v>0.8</v>
      </c>
      <c r="L377" s="1237">
        <v>1.5</v>
      </c>
      <c r="M377" s="1237">
        <f t="shared" si="12"/>
        <v>0.7</v>
      </c>
      <c r="N377" s="1237" t="s">
        <v>1194</v>
      </c>
      <c r="O377" s="2028"/>
      <c r="P377" s="2947"/>
      <c r="Q377" s="1238"/>
      <c r="R377" s="1549"/>
    </row>
    <row r="378" spans="1:18" ht="18.75" customHeight="1">
      <c r="A378" s="3001"/>
      <c r="B378" s="2267" t="s">
        <v>479</v>
      </c>
      <c r="C378" s="1237" t="s">
        <v>480</v>
      </c>
      <c r="D378" s="1237" t="s">
        <v>825</v>
      </c>
      <c r="E378" s="1237" t="s">
        <v>481</v>
      </c>
      <c r="F378" s="1237" t="s">
        <v>966</v>
      </c>
      <c r="G378" s="1237">
        <v>4</v>
      </c>
      <c r="H378" s="1237" t="s">
        <v>786</v>
      </c>
      <c r="I378" s="1237" t="s">
        <v>1188</v>
      </c>
      <c r="J378" s="1237"/>
      <c r="K378" s="1237">
        <v>0</v>
      </c>
      <c r="L378" s="1237">
        <v>0.8</v>
      </c>
      <c r="M378" s="1237">
        <f t="shared" si="12"/>
        <v>0.8</v>
      </c>
      <c r="N378" s="1237" t="s">
        <v>1195</v>
      </c>
      <c r="O378" s="2028"/>
      <c r="P378" s="2947"/>
      <c r="Q378" s="1238"/>
      <c r="R378" s="1549"/>
    </row>
    <row r="379" spans="1:18" ht="18.75" customHeight="1">
      <c r="A379" s="3001"/>
      <c r="B379" s="2267"/>
      <c r="C379" s="1237"/>
      <c r="D379" s="1237"/>
      <c r="E379" s="1237"/>
      <c r="F379" s="1237"/>
      <c r="G379" s="1237"/>
      <c r="H379" s="1237"/>
      <c r="I379" s="1237"/>
      <c r="J379" s="1237"/>
      <c r="K379" s="1237">
        <v>0.8</v>
      </c>
      <c r="L379" s="1237">
        <v>1.5</v>
      </c>
      <c r="M379" s="1237">
        <f t="shared" si="12"/>
        <v>0.7</v>
      </c>
      <c r="N379" s="1237" t="s">
        <v>1196</v>
      </c>
      <c r="O379" s="2028"/>
      <c r="P379" s="2947"/>
      <c r="Q379" s="1238"/>
      <c r="R379" s="1549"/>
    </row>
    <row r="380" spans="1:18" ht="18.75" customHeight="1">
      <c r="A380" s="3001"/>
      <c r="B380" s="2267" t="s">
        <v>479</v>
      </c>
      <c r="C380" s="1237" t="s">
        <v>480</v>
      </c>
      <c r="D380" s="1237" t="s">
        <v>825</v>
      </c>
      <c r="E380" s="1237" t="s">
        <v>481</v>
      </c>
      <c r="F380" s="1237" t="s">
        <v>966</v>
      </c>
      <c r="G380" s="1237">
        <v>4</v>
      </c>
      <c r="H380" s="1237" t="s">
        <v>786</v>
      </c>
      <c r="I380" s="1237" t="s">
        <v>1188</v>
      </c>
      <c r="J380" s="1237"/>
      <c r="K380" s="1237">
        <v>0</v>
      </c>
      <c r="L380" s="1237">
        <v>0.8</v>
      </c>
      <c r="M380" s="1237">
        <f t="shared" si="12"/>
        <v>0.8</v>
      </c>
      <c r="N380" s="1237" t="s">
        <v>1197</v>
      </c>
      <c r="O380" s="2028"/>
      <c r="P380" s="2947"/>
      <c r="Q380" s="1238"/>
      <c r="R380" s="1549"/>
    </row>
    <row r="381" spans="1:18" ht="18.75" customHeight="1">
      <c r="A381" s="3001"/>
      <c r="B381" s="2267"/>
      <c r="C381" s="1237"/>
      <c r="D381" s="1237"/>
      <c r="E381" s="1237"/>
      <c r="F381" s="1237"/>
      <c r="G381" s="1237"/>
      <c r="H381" s="1237"/>
      <c r="I381" s="1237"/>
      <c r="J381" s="1237"/>
      <c r="K381" s="1237">
        <v>0.8</v>
      </c>
      <c r="L381" s="1237">
        <v>1.5</v>
      </c>
      <c r="M381" s="1237">
        <f t="shared" si="12"/>
        <v>0.7</v>
      </c>
      <c r="N381" s="1237" t="s">
        <v>1198</v>
      </c>
      <c r="O381" s="2028"/>
      <c r="P381" s="2948"/>
      <c r="Q381" s="1238"/>
      <c r="R381" s="1549"/>
    </row>
    <row r="382" spans="1:18" ht="18.75" customHeight="1">
      <c r="A382" s="3001"/>
      <c r="B382" s="2267" t="s">
        <v>466</v>
      </c>
      <c r="C382" s="1237" t="s">
        <v>824</v>
      </c>
      <c r="D382" s="1237"/>
      <c r="E382" s="1237" t="s">
        <v>481</v>
      </c>
      <c r="F382" s="1237" t="s">
        <v>966</v>
      </c>
      <c r="G382" s="1237">
        <v>1.2</v>
      </c>
      <c r="H382" s="1237" t="s">
        <v>474</v>
      </c>
      <c r="I382" s="1237" t="s">
        <v>1133</v>
      </c>
      <c r="J382" s="1237"/>
      <c r="K382" s="1237">
        <v>0</v>
      </c>
      <c r="L382" s="1237">
        <v>1</v>
      </c>
      <c r="M382" s="1237">
        <f t="shared" ref="M382:M414" si="13">L382-K382</f>
        <v>1</v>
      </c>
      <c r="N382" s="1237" t="s">
        <v>1199</v>
      </c>
      <c r="O382" s="2028">
        <v>0.54</v>
      </c>
      <c r="P382" s="2946">
        <f>AVERAGE(O382:O385,O387)</f>
        <v>1.746</v>
      </c>
      <c r="Q382" s="1238"/>
      <c r="R382" s="1549"/>
    </row>
    <row r="383" spans="1:18" ht="18.75" customHeight="1">
      <c r="A383" s="3001"/>
      <c r="B383" s="2267"/>
      <c r="C383" s="1237"/>
      <c r="D383" s="1237"/>
      <c r="E383" s="1237"/>
      <c r="F383" s="1237"/>
      <c r="G383" s="1237"/>
      <c r="H383" s="1237"/>
      <c r="I383" s="1237"/>
      <c r="J383" s="1237"/>
      <c r="K383" s="1237">
        <v>1</v>
      </c>
      <c r="L383" s="1237">
        <v>2</v>
      </c>
      <c r="M383" s="1237">
        <f t="shared" si="13"/>
        <v>1</v>
      </c>
      <c r="N383" s="1237" t="s">
        <v>1200</v>
      </c>
      <c r="O383" s="2028">
        <v>1.44</v>
      </c>
      <c r="P383" s="2947"/>
      <c r="Q383" s="1238"/>
      <c r="R383" s="1549"/>
    </row>
    <row r="384" spans="1:18" ht="18.75" customHeight="1">
      <c r="A384" s="3001"/>
      <c r="B384" s="2267" t="s">
        <v>466</v>
      </c>
      <c r="C384" s="1237" t="s">
        <v>824</v>
      </c>
      <c r="D384" s="1237"/>
      <c r="E384" s="1237" t="s">
        <v>481</v>
      </c>
      <c r="F384" s="1237" t="s">
        <v>966</v>
      </c>
      <c r="G384" s="1237">
        <v>1.2</v>
      </c>
      <c r="H384" s="1237" t="s">
        <v>474</v>
      </c>
      <c r="I384" s="1237" t="s">
        <v>1133</v>
      </c>
      <c r="J384" s="1237"/>
      <c r="K384" s="1237">
        <v>0</v>
      </c>
      <c r="L384" s="1237">
        <v>1</v>
      </c>
      <c r="M384" s="1237">
        <f t="shared" si="13"/>
        <v>1</v>
      </c>
      <c r="N384" s="1237" t="s">
        <v>1201</v>
      </c>
      <c r="O384" s="2028">
        <v>0.36</v>
      </c>
      <c r="P384" s="2947"/>
      <c r="Q384" s="1238"/>
      <c r="R384" s="1549"/>
    </row>
    <row r="385" spans="1:18" ht="18.75" customHeight="1">
      <c r="A385" s="3001"/>
      <c r="B385" s="2267"/>
      <c r="C385" s="1237"/>
      <c r="D385" s="1237"/>
      <c r="E385" s="1237"/>
      <c r="F385" s="1237"/>
      <c r="G385" s="1237"/>
      <c r="H385" s="1237"/>
      <c r="I385" s="1237"/>
      <c r="J385" s="1237"/>
      <c r="K385" s="1237">
        <v>1</v>
      </c>
      <c r="L385" s="1237">
        <v>2</v>
      </c>
      <c r="M385" s="1237">
        <f t="shared" si="13"/>
        <v>1</v>
      </c>
      <c r="N385" s="1237" t="s">
        <v>1202</v>
      </c>
      <c r="O385" s="2028">
        <v>0.11</v>
      </c>
      <c r="P385" s="2947"/>
      <c r="Q385" s="1238"/>
      <c r="R385" s="1549"/>
    </row>
    <row r="386" spans="1:18" ht="18.75" customHeight="1">
      <c r="A386" s="3001"/>
      <c r="B386" s="2267"/>
      <c r="C386" s="1237"/>
      <c r="D386" s="1237"/>
      <c r="E386" s="1237"/>
      <c r="F386" s="1237"/>
      <c r="G386" s="1237"/>
      <c r="H386" s="1237"/>
      <c r="I386" s="1237"/>
      <c r="J386" s="2945" t="s">
        <v>851</v>
      </c>
      <c r="K386" s="2945"/>
      <c r="L386" s="2945"/>
      <c r="M386" s="1237">
        <f t="shared" si="13"/>
        <v>0</v>
      </c>
      <c r="N386" s="1237" t="s">
        <v>1203</v>
      </c>
      <c r="O386" s="2028">
        <v>2.36</v>
      </c>
      <c r="P386" s="2947"/>
      <c r="Q386" s="1238"/>
      <c r="R386" s="1549"/>
    </row>
    <row r="387" spans="1:18" ht="18.75" customHeight="1">
      <c r="A387" s="3001"/>
      <c r="B387" s="2268" t="s">
        <v>466</v>
      </c>
      <c r="C387" s="1540" t="s">
        <v>824</v>
      </c>
      <c r="D387" s="1540"/>
      <c r="E387" s="1540" t="s">
        <v>481</v>
      </c>
      <c r="F387" s="1540" t="s">
        <v>785</v>
      </c>
      <c r="G387" s="1540"/>
      <c r="H387" s="1540"/>
      <c r="I387" s="1540"/>
      <c r="J387" s="1540"/>
      <c r="K387" s="1540">
        <v>0</v>
      </c>
      <c r="L387" s="1540">
        <v>1</v>
      </c>
      <c r="M387" s="1540">
        <f>L387-K387</f>
        <v>1</v>
      </c>
      <c r="N387" s="1540" t="s">
        <v>1204</v>
      </c>
      <c r="O387" s="2029">
        <v>6.28</v>
      </c>
      <c r="P387" s="2948"/>
      <c r="Q387" s="1238"/>
      <c r="R387" s="1549"/>
    </row>
    <row r="388" spans="1:18" ht="18.75" customHeight="1">
      <c r="A388" s="3002"/>
      <c r="B388" s="1869" t="s">
        <v>466</v>
      </c>
      <c r="C388" s="1869" t="s">
        <v>516</v>
      </c>
      <c r="D388" s="1869" t="s">
        <v>817</v>
      </c>
      <c r="E388" s="1869" t="s">
        <v>468</v>
      </c>
      <c r="F388" s="1869" t="s">
        <v>772</v>
      </c>
      <c r="G388" s="1869">
        <v>1</v>
      </c>
      <c r="H388" s="1869" t="s">
        <v>474</v>
      </c>
      <c r="I388" s="1869" t="s">
        <v>830</v>
      </c>
      <c r="J388" s="1869">
        <v>3.2</v>
      </c>
      <c r="K388" s="1869">
        <v>0</v>
      </c>
      <c r="L388" s="1869">
        <v>1</v>
      </c>
      <c r="M388" s="1869">
        <f t="shared" si="13"/>
        <v>1</v>
      </c>
      <c r="N388" s="1869" t="s">
        <v>1205</v>
      </c>
      <c r="O388" s="2637">
        <v>0.89</v>
      </c>
      <c r="P388" s="3004">
        <f>+AVERAGE(O388:O391)</f>
        <v>2.3724999999999996</v>
      </c>
      <c r="Q388" s="1238"/>
      <c r="R388" s="1549"/>
    </row>
    <row r="389" spans="1:18" ht="18.75" customHeight="1">
      <c r="A389" s="3002"/>
      <c r="B389" s="1869"/>
      <c r="C389" s="1869"/>
      <c r="D389" s="1869"/>
      <c r="E389" s="1869"/>
      <c r="F389" s="1869"/>
      <c r="G389" s="1869"/>
      <c r="H389" s="1869"/>
      <c r="I389" s="1869"/>
      <c r="J389" s="1869"/>
      <c r="K389" s="1869">
        <v>1</v>
      </c>
      <c r="L389" s="1869">
        <v>2</v>
      </c>
      <c r="M389" s="1869">
        <f t="shared" si="13"/>
        <v>1</v>
      </c>
      <c r="N389" s="1869" t="s">
        <v>1206</v>
      </c>
      <c r="O389" s="2637">
        <v>4.5999999999999996</v>
      </c>
      <c r="P389" s="3005"/>
      <c r="Q389" s="1238"/>
      <c r="R389" s="1549"/>
    </row>
    <row r="390" spans="1:18" ht="18.75" customHeight="1">
      <c r="A390" s="3002"/>
      <c r="B390" s="1869" t="s">
        <v>466</v>
      </c>
      <c r="C390" s="1869" t="s">
        <v>516</v>
      </c>
      <c r="D390" s="1869" t="s">
        <v>817</v>
      </c>
      <c r="E390" s="1869" t="s">
        <v>468</v>
      </c>
      <c r="F390" s="1869" t="s">
        <v>772</v>
      </c>
      <c r="G390" s="1869">
        <v>3</v>
      </c>
      <c r="H390" s="1869" t="s">
        <v>474</v>
      </c>
      <c r="I390" s="1869" t="s">
        <v>830</v>
      </c>
      <c r="J390" s="1869">
        <v>3.2</v>
      </c>
      <c r="K390" s="1869">
        <v>0</v>
      </c>
      <c r="L390" s="1869">
        <v>1</v>
      </c>
      <c r="M390" s="1869">
        <f t="shared" si="13"/>
        <v>1</v>
      </c>
      <c r="N390" s="1869" t="s">
        <v>1207</v>
      </c>
      <c r="O390" s="2637">
        <v>3.75</v>
      </c>
      <c r="P390" s="3005"/>
      <c r="Q390" s="1238"/>
      <c r="R390" s="1549"/>
    </row>
    <row r="391" spans="1:18" ht="18.75" customHeight="1">
      <c r="A391" s="3002"/>
      <c r="B391" s="1869"/>
      <c r="C391" s="1869"/>
      <c r="D391" s="1869"/>
      <c r="E391" s="1869"/>
      <c r="F391" s="1869"/>
      <c r="G391" s="1869"/>
      <c r="H391" s="1869"/>
      <c r="I391" s="1869"/>
      <c r="J391" s="1869"/>
      <c r="K391" s="1869">
        <v>1</v>
      </c>
      <c r="L391" s="1869">
        <v>2</v>
      </c>
      <c r="M391" s="1869">
        <f t="shared" si="13"/>
        <v>1</v>
      </c>
      <c r="N391" s="1869" t="s">
        <v>1208</v>
      </c>
      <c r="O391" s="2643">
        <v>0.25</v>
      </c>
      <c r="P391" s="3005"/>
      <c r="Q391" s="1238"/>
      <c r="R391" s="1549"/>
    </row>
    <row r="392" spans="1:18" ht="18.75" customHeight="1">
      <c r="A392" s="3002"/>
      <c r="B392" s="1869"/>
      <c r="C392" s="1869"/>
      <c r="D392" s="1869"/>
      <c r="E392" s="1869"/>
      <c r="F392" s="1869"/>
      <c r="G392" s="1869"/>
      <c r="H392" s="1869"/>
      <c r="I392" s="1869"/>
      <c r="J392" s="2999" t="s">
        <v>618</v>
      </c>
      <c r="K392" s="2999"/>
      <c r="L392" s="2999"/>
      <c r="M392" s="1869">
        <f t="shared" si="13"/>
        <v>0</v>
      </c>
      <c r="N392" s="1869" t="s">
        <v>1209</v>
      </c>
      <c r="O392" s="2637">
        <v>1.83</v>
      </c>
      <c r="P392" s="3006"/>
      <c r="Q392" s="1238"/>
      <c r="R392" s="1549"/>
    </row>
    <row r="393" spans="1:18" ht="18.75" customHeight="1">
      <c r="A393" s="3002"/>
      <c r="B393" s="1869" t="s">
        <v>466</v>
      </c>
      <c r="C393" s="1869" t="s">
        <v>793</v>
      </c>
      <c r="D393" s="1869" t="s">
        <v>840</v>
      </c>
      <c r="E393" s="1869" t="s">
        <v>511</v>
      </c>
      <c r="F393" s="1869" t="s">
        <v>772</v>
      </c>
      <c r="G393" s="1869">
        <v>1</v>
      </c>
      <c r="H393" s="1869" t="s">
        <v>470</v>
      </c>
      <c r="I393" s="1869" t="s">
        <v>841</v>
      </c>
      <c r="J393" s="1869">
        <v>3.6</v>
      </c>
      <c r="K393" s="1869">
        <v>0</v>
      </c>
      <c r="L393" s="1869">
        <v>1</v>
      </c>
      <c r="M393" s="1869">
        <f t="shared" si="13"/>
        <v>1</v>
      </c>
      <c r="N393" s="1869" t="s">
        <v>1210</v>
      </c>
      <c r="O393" s="2644">
        <v>0.74</v>
      </c>
      <c r="P393" s="3004">
        <f>+AVERAGE(O393:O396,O398:O399)</f>
        <v>2.1283333333333334</v>
      </c>
      <c r="Q393" s="1238"/>
      <c r="R393" s="1549"/>
    </row>
    <row r="394" spans="1:18" ht="18.75" customHeight="1">
      <c r="A394" s="3002"/>
      <c r="B394" s="1869"/>
      <c r="C394" s="1869"/>
      <c r="D394" s="1869"/>
      <c r="E394" s="1869"/>
      <c r="F394" s="1869"/>
      <c r="G394" s="1869"/>
      <c r="H394" s="1869"/>
      <c r="I394" s="1869"/>
      <c r="J394" s="1869"/>
      <c r="K394" s="1869">
        <v>1</v>
      </c>
      <c r="L394" s="1869">
        <v>2</v>
      </c>
      <c r="M394" s="1869">
        <f t="shared" si="13"/>
        <v>1</v>
      </c>
      <c r="N394" s="1869" t="s">
        <v>1211</v>
      </c>
      <c r="O394" s="2644">
        <v>0.45</v>
      </c>
      <c r="P394" s="3005"/>
      <c r="Q394" s="1238"/>
      <c r="R394" s="1549"/>
    </row>
    <row r="395" spans="1:18" ht="18.75" customHeight="1">
      <c r="A395" s="3002"/>
      <c r="B395" s="1869"/>
      <c r="C395" s="1869"/>
      <c r="D395" s="1869"/>
      <c r="E395" s="1869"/>
      <c r="F395" s="1869"/>
      <c r="G395" s="1869"/>
      <c r="H395" s="1869"/>
      <c r="I395" s="1869"/>
      <c r="J395" s="1869"/>
      <c r="K395" s="1869">
        <v>2</v>
      </c>
      <c r="L395" s="1869">
        <v>2.7</v>
      </c>
      <c r="M395" s="1869">
        <f t="shared" si="13"/>
        <v>0.70000000000000018</v>
      </c>
      <c r="N395" s="1869" t="s">
        <v>1212</v>
      </c>
      <c r="O395" s="2644">
        <v>0.12</v>
      </c>
      <c r="P395" s="3005"/>
      <c r="Q395" s="1238"/>
      <c r="R395" s="1549"/>
    </row>
    <row r="396" spans="1:18" ht="18.75" customHeight="1">
      <c r="A396" s="3002"/>
      <c r="B396" s="1869" t="s">
        <v>466</v>
      </c>
      <c r="C396" s="1869" t="s">
        <v>793</v>
      </c>
      <c r="D396" s="1869" t="s">
        <v>840</v>
      </c>
      <c r="E396" s="1869" t="s">
        <v>511</v>
      </c>
      <c r="F396" s="1869" t="s">
        <v>772</v>
      </c>
      <c r="G396" s="1869">
        <v>4</v>
      </c>
      <c r="H396" s="1869" t="s">
        <v>470</v>
      </c>
      <c r="I396" s="1869" t="s">
        <v>841</v>
      </c>
      <c r="J396" s="1869">
        <v>2.2999999999999998</v>
      </c>
      <c r="K396" s="1869">
        <v>0</v>
      </c>
      <c r="L396" s="1869">
        <v>1</v>
      </c>
      <c r="M396" s="1869">
        <f t="shared" si="13"/>
        <v>1</v>
      </c>
      <c r="N396" s="1869" t="s">
        <v>1213</v>
      </c>
      <c r="O396" s="2637">
        <v>0.21</v>
      </c>
      <c r="P396" s="3005"/>
      <c r="Q396" s="1238"/>
      <c r="R396" s="1549"/>
    </row>
    <row r="397" spans="1:18" ht="18.75" customHeight="1">
      <c r="A397" s="3002"/>
      <c r="B397" s="1869"/>
      <c r="C397" s="1869"/>
      <c r="D397" s="1869"/>
      <c r="E397" s="1869"/>
      <c r="F397" s="1869"/>
      <c r="G397" s="1869"/>
      <c r="H397" s="1869"/>
      <c r="I397" s="1869"/>
      <c r="J397" s="2999" t="s">
        <v>529</v>
      </c>
      <c r="K397" s="2999"/>
      <c r="L397" s="2999"/>
      <c r="M397" s="1869">
        <f t="shared" si="13"/>
        <v>0</v>
      </c>
      <c r="N397" s="1869" t="s">
        <v>1214</v>
      </c>
      <c r="O397" s="2637">
        <v>0</v>
      </c>
      <c r="P397" s="3005"/>
      <c r="Q397" s="1238"/>
      <c r="R397" s="1549"/>
    </row>
    <row r="398" spans="1:18" ht="18.75" customHeight="1">
      <c r="A398" s="3002"/>
      <c r="B398" s="1869"/>
      <c r="C398" s="1869"/>
      <c r="D398" s="1869"/>
      <c r="E398" s="1869"/>
      <c r="F398" s="1869"/>
      <c r="G398" s="1869"/>
      <c r="H398" s="1869"/>
      <c r="I398" s="1869"/>
      <c r="J398" s="1869"/>
      <c r="K398" s="1869">
        <v>1</v>
      </c>
      <c r="L398" s="1869">
        <v>2</v>
      </c>
      <c r="M398" s="1869">
        <f t="shared" si="13"/>
        <v>1</v>
      </c>
      <c r="N398" s="1869" t="s">
        <v>1215</v>
      </c>
      <c r="O398" s="2637">
        <v>5.77</v>
      </c>
      <c r="P398" s="3005"/>
      <c r="Q398" s="1238"/>
      <c r="R398" s="1549"/>
    </row>
    <row r="399" spans="1:18" ht="18.75" customHeight="1">
      <c r="A399" s="3002"/>
      <c r="B399" s="1869"/>
      <c r="C399" s="1869"/>
      <c r="D399" s="1869"/>
      <c r="E399" s="1869"/>
      <c r="F399" s="1869"/>
      <c r="G399" s="1869"/>
      <c r="H399" s="1869"/>
      <c r="I399" s="1869"/>
      <c r="J399" s="1869"/>
      <c r="K399" s="1869">
        <v>2</v>
      </c>
      <c r="L399" s="1869">
        <v>3</v>
      </c>
      <c r="M399" s="1869">
        <f t="shared" si="13"/>
        <v>1</v>
      </c>
      <c r="N399" s="1869" t="s">
        <v>1216</v>
      </c>
      <c r="O399" s="2637">
        <v>5.48</v>
      </c>
      <c r="P399" s="3006"/>
      <c r="Q399" s="1238"/>
      <c r="R399" s="1549"/>
    </row>
    <row r="400" spans="1:18" ht="18.75" customHeight="1">
      <c r="A400" s="3002"/>
      <c r="B400" s="1869" t="s">
        <v>466</v>
      </c>
      <c r="C400" s="1869" t="s">
        <v>846</v>
      </c>
      <c r="D400" s="1869"/>
      <c r="E400" s="1869" t="s">
        <v>511</v>
      </c>
      <c r="F400" s="1869" t="s">
        <v>772</v>
      </c>
      <c r="G400" s="1869">
        <v>2</v>
      </c>
      <c r="H400" s="1869" t="s">
        <v>470</v>
      </c>
      <c r="I400" s="1869" t="s">
        <v>847</v>
      </c>
      <c r="J400" s="1869">
        <v>22</v>
      </c>
      <c r="K400" s="1869">
        <v>0</v>
      </c>
      <c r="L400" s="1869">
        <v>1</v>
      </c>
      <c r="M400" s="1869">
        <f t="shared" si="13"/>
        <v>1</v>
      </c>
      <c r="N400" s="1869" t="s">
        <v>1217</v>
      </c>
      <c r="O400" s="2637">
        <v>4.9800000000000004</v>
      </c>
      <c r="P400" s="3004">
        <f>+AVERAGE(O408,O400:O406)</f>
        <v>4.9700000000000006</v>
      </c>
      <c r="Q400" s="1238"/>
      <c r="R400" s="1549"/>
    </row>
    <row r="401" spans="1:18" ht="18.75" customHeight="1">
      <c r="A401" s="3002"/>
      <c r="B401" s="1869"/>
      <c r="C401" s="1869"/>
      <c r="D401" s="1869"/>
      <c r="E401" s="1869"/>
      <c r="F401" s="1869"/>
      <c r="G401" s="1869"/>
      <c r="H401" s="1869"/>
      <c r="I401" s="1869"/>
      <c r="J401" s="1869"/>
      <c r="K401" s="1869">
        <v>1</v>
      </c>
      <c r="L401" s="1869">
        <v>2</v>
      </c>
      <c r="M401" s="1869">
        <f t="shared" si="13"/>
        <v>1</v>
      </c>
      <c r="N401" s="1869" t="s">
        <v>1218</v>
      </c>
      <c r="O401" s="2637">
        <v>6.02</v>
      </c>
      <c r="P401" s="3005"/>
      <c r="Q401" s="1238"/>
      <c r="R401" s="1549"/>
    </row>
    <row r="402" spans="1:18" ht="18.75" customHeight="1">
      <c r="A402" s="3002"/>
      <c r="B402" s="1869"/>
      <c r="C402" s="1869"/>
      <c r="D402" s="1869"/>
      <c r="E402" s="1869"/>
      <c r="F402" s="1869"/>
      <c r="G402" s="1869"/>
      <c r="H402" s="1869"/>
      <c r="I402" s="1869"/>
      <c r="J402" s="1869"/>
      <c r="K402" s="1869">
        <v>2</v>
      </c>
      <c r="L402" s="1869">
        <v>3</v>
      </c>
      <c r="M402" s="1869">
        <f t="shared" si="13"/>
        <v>1</v>
      </c>
      <c r="N402" s="1869" t="s">
        <v>1219</v>
      </c>
      <c r="O402" s="2637">
        <v>5.08</v>
      </c>
      <c r="P402" s="3005"/>
      <c r="Q402" s="1238"/>
      <c r="R402" s="1549"/>
    </row>
    <row r="403" spans="1:18" ht="18.75" customHeight="1">
      <c r="A403" s="3002"/>
      <c r="B403" s="1869"/>
      <c r="C403" s="1869"/>
      <c r="D403" s="1869"/>
      <c r="E403" s="1869"/>
      <c r="F403" s="1869"/>
      <c r="G403" s="1869"/>
      <c r="H403" s="1869"/>
      <c r="I403" s="1869"/>
      <c r="J403" s="1869"/>
      <c r="K403" s="1869">
        <v>3</v>
      </c>
      <c r="L403" s="1869">
        <v>4</v>
      </c>
      <c r="M403" s="1869">
        <f t="shared" si="13"/>
        <v>1</v>
      </c>
      <c r="N403" s="1869" t="s">
        <v>1220</v>
      </c>
      <c r="O403" s="2637">
        <v>6.81</v>
      </c>
      <c r="P403" s="3005"/>
      <c r="Q403" s="1238"/>
      <c r="R403" s="1549"/>
    </row>
    <row r="404" spans="1:18" ht="18.75" customHeight="1">
      <c r="A404" s="3002"/>
      <c r="B404" s="1869" t="s">
        <v>466</v>
      </c>
      <c r="C404" s="1869" t="s">
        <v>846</v>
      </c>
      <c r="D404" s="1869"/>
      <c r="E404" s="1869" t="s">
        <v>511</v>
      </c>
      <c r="F404" s="1869" t="s">
        <v>772</v>
      </c>
      <c r="G404" s="1869">
        <v>4</v>
      </c>
      <c r="H404" s="1869" t="s">
        <v>470</v>
      </c>
      <c r="I404" s="1869" t="s">
        <v>847</v>
      </c>
      <c r="J404" s="1869">
        <v>22</v>
      </c>
      <c r="K404" s="1869">
        <v>0</v>
      </c>
      <c r="L404" s="1869">
        <v>1</v>
      </c>
      <c r="M404" s="1869">
        <f t="shared" si="13"/>
        <v>1</v>
      </c>
      <c r="N404" s="1869" t="s">
        <v>1221</v>
      </c>
      <c r="O404" s="2637">
        <v>7.62</v>
      </c>
      <c r="P404" s="3005"/>
      <c r="Q404" s="1238"/>
      <c r="R404" s="1549"/>
    </row>
    <row r="405" spans="1:18" ht="18.75" customHeight="1">
      <c r="A405" s="3002"/>
      <c r="B405" s="1869"/>
      <c r="C405" s="1869"/>
      <c r="D405" s="1869"/>
      <c r="E405" s="1869"/>
      <c r="F405" s="1869"/>
      <c r="G405" s="1869"/>
      <c r="H405" s="1869"/>
      <c r="I405" s="1869"/>
      <c r="J405" s="1869"/>
      <c r="K405" s="1869">
        <v>1</v>
      </c>
      <c r="L405" s="1869">
        <v>2</v>
      </c>
      <c r="M405" s="1869">
        <f t="shared" si="13"/>
        <v>1</v>
      </c>
      <c r="N405" s="1869" t="s">
        <v>1222</v>
      </c>
      <c r="O405" s="2637">
        <v>2</v>
      </c>
      <c r="P405" s="3005"/>
      <c r="Q405" s="1238"/>
      <c r="R405" s="1549"/>
    </row>
    <row r="406" spans="1:18" ht="18.75" customHeight="1">
      <c r="A406" s="3002"/>
      <c r="B406" s="1869"/>
      <c r="C406" s="1869"/>
      <c r="D406" s="1869"/>
      <c r="E406" s="1869"/>
      <c r="F406" s="1869"/>
      <c r="G406" s="1869"/>
      <c r="H406" s="1869"/>
      <c r="I406" s="1869"/>
      <c r="J406" s="1869"/>
      <c r="K406" s="1869">
        <v>2</v>
      </c>
      <c r="L406" s="1869">
        <v>3</v>
      </c>
      <c r="M406" s="1869">
        <f t="shared" si="13"/>
        <v>1</v>
      </c>
      <c r="N406" s="1869" t="s">
        <v>1223</v>
      </c>
      <c r="O406" s="2637">
        <v>3.95</v>
      </c>
      <c r="P406" s="3005"/>
      <c r="Q406" s="1238"/>
      <c r="R406" s="1549"/>
    </row>
    <row r="407" spans="1:18" ht="18.75" customHeight="1">
      <c r="A407" s="3002"/>
      <c r="B407" s="1869"/>
      <c r="C407" s="1869"/>
      <c r="D407" s="1869"/>
      <c r="E407" s="1869"/>
      <c r="F407" s="1869"/>
      <c r="G407" s="1869"/>
      <c r="H407" s="1869"/>
      <c r="I407" s="1869"/>
      <c r="J407" s="2999" t="s">
        <v>851</v>
      </c>
      <c r="K407" s="2999"/>
      <c r="L407" s="2999"/>
      <c r="M407" s="1869">
        <f t="shared" si="13"/>
        <v>0</v>
      </c>
      <c r="N407" s="1869" t="s">
        <v>1224</v>
      </c>
      <c r="O407" s="2637">
        <v>3.17</v>
      </c>
      <c r="P407" s="3005"/>
      <c r="Q407" s="1238"/>
      <c r="R407" s="1549"/>
    </row>
    <row r="408" spans="1:18" ht="18.75" customHeight="1">
      <c r="A408" s="3002"/>
      <c r="B408" s="1869"/>
      <c r="C408" s="1869"/>
      <c r="D408" s="1869"/>
      <c r="E408" s="1869"/>
      <c r="F408" s="1869"/>
      <c r="G408" s="1869"/>
      <c r="H408" s="1869"/>
      <c r="I408" s="1869"/>
      <c r="J408" s="1869"/>
      <c r="K408" s="1869">
        <v>3</v>
      </c>
      <c r="L408" s="1869">
        <v>4</v>
      </c>
      <c r="M408" s="1869">
        <f t="shared" si="13"/>
        <v>1</v>
      </c>
      <c r="N408" s="1869" t="s">
        <v>1225</v>
      </c>
      <c r="O408" s="2637">
        <v>3.3</v>
      </c>
      <c r="P408" s="3006"/>
      <c r="Q408" s="1238"/>
      <c r="R408" s="1549"/>
    </row>
    <row r="409" spans="1:18" ht="18.75" customHeight="1">
      <c r="A409" s="3002"/>
      <c r="B409" s="1869" t="s">
        <v>466</v>
      </c>
      <c r="C409" s="1869" t="s">
        <v>467</v>
      </c>
      <c r="D409" s="1869"/>
      <c r="E409" s="1869" t="s">
        <v>511</v>
      </c>
      <c r="F409" s="1869" t="s">
        <v>772</v>
      </c>
      <c r="G409" s="1869">
        <v>3</v>
      </c>
      <c r="H409" s="1869" t="s">
        <v>474</v>
      </c>
      <c r="I409" s="1869" t="s">
        <v>859</v>
      </c>
      <c r="J409" s="1869">
        <v>18</v>
      </c>
      <c r="K409" s="1869">
        <v>0</v>
      </c>
      <c r="L409" s="1869">
        <v>1</v>
      </c>
      <c r="M409" s="1869">
        <f t="shared" si="13"/>
        <v>1</v>
      </c>
      <c r="N409" s="1869" t="s">
        <v>1226</v>
      </c>
      <c r="O409" s="2637">
        <v>1.86</v>
      </c>
      <c r="P409" s="3004">
        <f>+AVERAGE(O409:O411,O413:O416,O418)</f>
        <v>3.4249999999999998</v>
      </c>
      <c r="Q409" s="1238"/>
      <c r="R409" s="1549"/>
    </row>
    <row r="410" spans="1:18" ht="18.75" customHeight="1">
      <c r="A410" s="3002"/>
      <c r="B410" s="1869"/>
      <c r="C410" s="1869"/>
      <c r="D410" s="1869"/>
      <c r="E410" s="1869"/>
      <c r="F410" s="1869"/>
      <c r="G410" s="1869"/>
      <c r="H410" s="1869"/>
      <c r="I410" s="1869"/>
      <c r="J410" s="1869"/>
      <c r="K410" s="1869">
        <v>1</v>
      </c>
      <c r="L410" s="1869">
        <v>2</v>
      </c>
      <c r="M410" s="1869">
        <f t="shared" si="13"/>
        <v>1</v>
      </c>
      <c r="N410" s="1869" t="s">
        <v>1227</v>
      </c>
      <c r="O410" s="2637">
        <v>4.57</v>
      </c>
      <c r="P410" s="3005"/>
      <c r="Q410" s="1238"/>
      <c r="R410" s="1549"/>
    </row>
    <row r="411" spans="1:18" ht="18.75" customHeight="1">
      <c r="A411" s="3002"/>
      <c r="B411" s="1869"/>
      <c r="C411" s="1869"/>
      <c r="D411" s="1869"/>
      <c r="E411" s="1869"/>
      <c r="F411" s="1869"/>
      <c r="G411" s="1869"/>
      <c r="H411" s="1869"/>
      <c r="I411" s="1869"/>
      <c r="J411" s="1869"/>
      <c r="K411" s="1869">
        <v>2</v>
      </c>
      <c r="L411" s="1869">
        <v>3</v>
      </c>
      <c r="M411" s="1869">
        <f t="shared" si="13"/>
        <v>1</v>
      </c>
      <c r="N411" s="1869" t="s">
        <v>1228</v>
      </c>
      <c r="O411" s="2637">
        <v>3.79</v>
      </c>
      <c r="P411" s="3005"/>
      <c r="Q411" s="1238"/>
      <c r="R411" s="1549"/>
    </row>
    <row r="412" spans="1:18" ht="18.75" customHeight="1">
      <c r="A412" s="3002"/>
      <c r="B412" s="1869"/>
      <c r="C412" s="1869"/>
      <c r="D412" s="1869"/>
      <c r="E412" s="1869"/>
      <c r="F412" s="1869"/>
      <c r="G412" s="1869"/>
      <c r="H412" s="1869"/>
      <c r="I412" s="1869"/>
      <c r="J412" s="2999" t="s">
        <v>618</v>
      </c>
      <c r="K412" s="2999"/>
      <c r="L412" s="2999"/>
      <c r="M412" s="1869">
        <f t="shared" si="13"/>
        <v>0</v>
      </c>
      <c r="N412" s="1869" t="s">
        <v>1229</v>
      </c>
      <c r="O412" s="2637">
        <v>3.18</v>
      </c>
      <c r="P412" s="3005"/>
      <c r="Q412" s="1238"/>
      <c r="R412" s="1549"/>
    </row>
    <row r="413" spans="1:18" ht="18.75" customHeight="1">
      <c r="A413" s="3002"/>
      <c r="B413" s="1869" t="s">
        <v>466</v>
      </c>
      <c r="C413" s="1869" t="s">
        <v>467</v>
      </c>
      <c r="D413" s="1869"/>
      <c r="E413" s="1869" t="s">
        <v>511</v>
      </c>
      <c r="F413" s="1869" t="s">
        <v>772</v>
      </c>
      <c r="G413" s="1869">
        <v>5</v>
      </c>
      <c r="H413" s="1869" t="s">
        <v>474</v>
      </c>
      <c r="I413" s="1869" t="s">
        <v>859</v>
      </c>
      <c r="J413" s="1869"/>
      <c r="K413" s="1869">
        <v>0</v>
      </c>
      <c r="L413" s="1869">
        <v>1</v>
      </c>
      <c r="M413" s="1869">
        <f t="shared" si="13"/>
        <v>1</v>
      </c>
      <c r="N413" s="1869" t="s">
        <v>1230</v>
      </c>
      <c r="O413" s="2637">
        <v>2.27</v>
      </c>
      <c r="P413" s="3005"/>
      <c r="Q413" s="1238"/>
      <c r="R413" s="1549"/>
    </row>
    <row r="414" spans="1:18" ht="18.75" customHeight="1">
      <c r="A414" s="3002"/>
      <c r="B414" s="1869"/>
      <c r="C414" s="1869"/>
      <c r="D414" s="1869"/>
      <c r="E414" s="1869"/>
      <c r="F414" s="1869"/>
      <c r="G414" s="1869"/>
      <c r="H414" s="1869"/>
      <c r="I414" s="1869"/>
      <c r="J414" s="1869"/>
      <c r="K414" s="1869">
        <v>1</v>
      </c>
      <c r="L414" s="1869">
        <v>2</v>
      </c>
      <c r="M414" s="1869">
        <f t="shared" si="13"/>
        <v>1</v>
      </c>
      <c r="N414" s="1869" t="s">
        <v>1231</v>
      </c>
      <c r="O414" s="2643">
        <v>2.27</v>
      </c>
      <c r="P414" s="3005"/>
      <c r="Q414" s="1238"/>
      <c r="R414" s="1549"/>
    </row>
    <row r="415" spans="1:18" ht="18.75" customHeight="1">
      <c r="A415" s="3002"/>
      <c r="B415" s="1869"/>
      <c r="C415" s="1869"/>
      <c r="D415" s="1869"/>
      <c r="E415" s="1869"/>
      <c r="F415" s="1869"/>
      <c r="G415" s="1869"/>
      <c r="H415" s="1869"/>
      <c r="I415" s="1869"/>
      <c r="J415" s="1869"/>
      <c r="K415" s="1869">
        <v>2</v>
      </c>
      <c r="L415" s="1869">
        <v>3</v>
      </c>
      <c r="M415" s="1869">
        <f t="shared" ref="M415:M424" si="14">L415-K415</f>
        <v>1</v>
      </c>
      <c r="N415" s="1869" t="s">
        <v>1232</v>
      </c>
      <c r="O415" s="2637">
        <v>4.51</v>
      </c>
      <c r="P415" s="3005"/>
      <c r="Q415" s="1238"/>
      <c r="R415" s="1549"/>
    </row>
    <row r="416" spans="1:18" ht="18.75" customHeight="1">
      <c r="A416" s="3002"/>
      <c r="B416" s="1869" t="s">
        <v>466</v>
      </c>
      <c r="C416" s="1869" t="s">
        <v>467</v>
      </c>
      <c r="D416" s="1869"/>
      <c r="E416" s="1869" t="s">
        <v>511</v>
      </c>
      <c r="F416" s="1869" t="s">
        <v>772</v>
      </c>
      <c r="G416" s="1869">
        <v>7</v>
      </c>
      <c r="H416" s="1869" t="s">
        <v>474</v>
      </c>
      <c r="I416" s="1869" t="s">
        <v>859</v>
      </c>
      <c r="J416" s="1869"/>
      <c r="K416" s="1869">
        <v>0</v>
      </c>
      <c r="L416" s="1869">
        <v>1</v>
      </c>
      <c r="M416" s="1869">
        <f t="shared" si="14"/>
        <v>1</v>
      </c>
      <c r="N416" s="1869" t="s">
        <v>1233</v>
      </c>
      <c r="O416" s="2644">
        <v>3.74</v>
      </c>
      <c r="P416" s="3005"/>
      <c r="Q416" s="1238"/>
      <c r="R416" s="1549"/>
    </row>
    <row r="417" spans="1:18" ht="18.75" customHeight="1">
      <c r="A417" s="3002"/>
      <c r="B417" s="1869"/>
      <c r="C417" s="1869"/>
      <c r="D417" s="1869"/>
      <c r="E417" s="1869"/>
      <c r="F417" s="1869"/>
      <c r="G417" s="1869"/>
      <c r="H417" s="1869"/>
      <c r="I417" s="1869"/>
      <c r="J417" s="2999" t="s">
        <v>529</v>
      </c>
      <c r="K417" s="2999"/>
      <c r="L417" s="2999"/>
      <c r="M417" s="1869">
        <f t="shared" si="14"/>
        <v>0</v>
      </c>
      <c r="N417" s="1869" t="s">
        <v>1234</v>
      </c>
      <c r="O417" s="2637">
        <v>0</v>
      </c>
      <c r="P417" s="3005"/>
      <c r="Q417" s="1238"/>
      <c r="R417" s="1549"/>
    </row>
    <row r="418" spans="1:18" ht="18.75" customHeight="1">
      <c r="A418" s="3002"/>
      <c r="B418" s="1869"/>
      <c r="C418" s="1869"/>
      <c r="D418" s="1869"/>
      <c r="E418" s="1869"/>
      <c r="F418" s="1869"/>
      <c r="G418" s="1869"/>
      <c r="H418" s="1869"/>
      <c r="I418" s="1869"/>
      <c r="J418" s="1869"/>
      <c r="K418" s="1869">
        <v>1</v>
      </c>
      <c r="L418" s="1869">
        <v>2</v>
      </c>
      <c r="M418" s="1869">
        <f t="shared" si="14"/>
        <v>1</v>
      </c>
      <c r="N418" s="1869" t="s">
        <v>1235</v>
      </c>
      <c r="O418" s="2637">
        <v>4.3899999999999997</v>
      </c>
      <c r="P418" s="3006"/>
      <c r="Q418" s="1238"/>
      <c r="R418" s="1549"/>
    </row>
    <row r="419" spans="1:18" ht="18.75" customHeight="1">
      <c r="A419" s="3002"/>
      <c r="B419" s="1869" t="s">
        <v>466</v>
      </c>
      <c r="C419" s="1869" t="s">
        <v>867</v>
      </c>
      <c r="D419" s="1869" t="s">
        <v>825</v>
      </c>
      <c r="E419" s="1869" t="s">
        <v>468</v>
      </c>
      <c r="F419" s="1869" t="s">
        <v>772</v>
      </c>
      <c r="G419" s="1869">
        <v>1</v>
      </c>
      <c r="H419" s="1869" t="s">
        <v>470</v>
      </c>
      <c r="I419" s="1869" t="s">
        <v>1057</v>
      </c>
      <c r="J419" s="1869">
        <v>15</v>
      </c>
      <c r="K419" s="1869">
        <v>0</v>
      </c>
      <c r="L419" s="1869">
        <v>1</v>
      </c>
      <c r="M419" s="1869">
        <f t="shared" si="14"/>
        <v>1</v>
      </c>
      <c r="N419" s="1869" t="s">
        <v>1236</v>
      </c>
      <c r="O419" s="2637">
        <v>4.13</v>
      </c>
      <c r="P419" s="3004">
        <f>+AVERAGE(O419:O422)</f>
        <v>4.5150000000000006</v>
      </c>
      <c r="Q419" s="1238"/>
      <c r="R419" s="1549"/>
    </row>
    <row r="420" spans="1:18" ht="18.75" customHeight="1">
      <c r="A420" s="3002"/>
      <c r="B420" s="1869"/>
      <c r="C420" s="1869"/>
      <c r="D420" s="1869"/>
      <c r="E420" s="1869"/>
      <c r="F420" s="1869"/>
      <c r="G420" s="1869"/>
      <c r="H420" s="1869"/>
      <c r="I420" s="1869"/>
      <c r="J420" s="1869"/>
      <c r="K420" s="1869">
        <v>1</v>
      </c>
      <c r="L420" s="1869">
        <v>2</v>
      </c>
      <c r="M420" s="1869">
        <f t="shared" si="14"/>
        <v>1</v>
      </c>
      <c r="N420" s="1869" t="s">
        <v>1237</v>
      </c>
      <c r="O420" s="2637">
        <v>2.09</v>
      </c>
      <c r="P420" s="3005"/>
      <c r="Q420" s="1238"/>
      <c r="R420" s="1549"/>
    </row>
    <row r="421" spans="1:18" ht="18.75" customHeight="1">
      <c r="A421" s="3002"/>
      <c r="B421" s="1869" t="s">
        <v>466</v>
      </c>
      <c r="C421" s="1869" t="s">
        <v>867</v>
      </c>
      <c r="D421" s="1869" t="s">
        <v>825</v>
      </c>
      <c r="E421" s="1869" t="s">
        <v>468</v>
      </c>
      <c r="F421" s="1869" t="s">
        <v>772</v>
      </c>
      <c r="G421" s="1869">
        <v>3</v>
      </c>
      <c r="H421" s="1869" t="s">
        <v>470</v>
      </c>
      <c r="I421" s="1869" t="s">
        <v>1057</v>
      </c>
      <c r="J421" s="1869"/>
      <c r="K421" s="1869">
        <v>0</v>
      </c>
      <c r="L421" s="1869">
        <v>1</v>
      </c>
      <c r="M421" s="1869">
        <f t="shared" si="14"/>
        <v>1</v>
      </c>
      <c r="N421" s="1869" t="s">
        <v>1238</v>
      </c>
      <c r="O421" s="2637">
        <v>5.92</v>
      </c>
      <c r="P421" s="3005"/>
      <c r="Q421" s="1238"/>
      <c r="R421" s="1549"/>
    </row>
    <row r="422" spans="1:18" ht="18.75" customHeight="1">
      <c r="A422" s="3002"/>
      <c r="B422" s="1869"/>
      <c r="C422" s="1869"/>
      <c r="D422" s="1869"/>
      <c r="E422" s="1869"/>
      <c r="F422" s="1869"/>
      <c r="G422" s="1869"/>
      <c r="H422" s="1869"/>
      <c r="I422" s="1869"/>
      <c r="J422" s="1869"/>
      <c r="K422" s="1869">
        <v>1</v>
      </c>
      <c r="L422" s="1869">
        <v>2</v>
      </c>
      <c r="M422" s="1869">
        <f t="shared" si="14"/>
        <v>1</v>
      </c>
      <c r="N422" s="1869" t="s">
        <v>1239</v>
      </c>
      <c r="O422" s="2637">
        <v>5.92</v>
      </c>
      <c r="P422" s="3005"/>
      <c r="Q422" s="1238"/>
      <c r="R422" s="1549"/>
    </row>
    <row r="423" spans="1:18" ht="18.75" customHeight="1">
      <c r="A423" s="3002"/>
      <c r="B423" s="1869"/>
      <c r="C423" s="1869"/>
      <c r="D423" s="1869"/>
      <c r="E423" s="1869"/>
      <c r="F423" s="1869"/>
      <c r="G423" s="1869"/>
      <c r="H423" s="1869"/>
      <c r="I423" s="1869"/>
      <c r="J423" s="1869"/>
      <c r="K423" s="1869">
        <v>0</v>
      </c>
      <c r="L423" s="1869">
        <v>1</v>
      </c>
      <c r="M423" s="1869">
        <f t="shared" si="14"/>
        <v>1</v>
      </c>
      <c r="N423" s="1869" t="s">
        <v>1240</v>
      </c>
      <c r="O423" s="2637">
        <v>5.13</v>
      </c>
      <c r="P423" s="3006"/>
      <c r="Q423" s="1238"/>
      <c r="R423" s="1549"/>
    </row>
    <row r="424" spans="1:18" ht="18.75" customHeight="1">
      <c r="A424" s="3003"/>
      <c r="B424" s="2646" t="s">
        <v>466</v>
      </c>
      <c r="C424" s="2646" t="s">
        <v>824</v>
      </c>
      <c r="D424" s="2646"/>
      <c r="E424" s="2646" t="s">
        <v>481</v>
      </c>
      <c r="F424" s="2646" t="s">
        <v>785</v>
      </c>
      <c r="G424" s="2646"/>
      <c r="H424" s="2646"/>
      <c r="I424" s="2646"/>
      <c r="J424" s="2646"/>
      <c r="K424" s="2646">
        <v>0</v>
      </c>
      <c r="L424" s="2646">
        <v>1</v>
      </c>
      <c r="M424" s="2646">
        <f t="shared" si="14"/>
        <v>1</v>
      </c>
      <c r="N424" s="2646" t="s">
        <v>1204</v>
      </c>
      <c r="O424" s="2647">
        <v>6.28</v>
      </c>
      <c r="P424" s="2648"/>
      <c r="Q424" s="1551"/>
      <c r="R424" s="2649"/>
    </row>
    <row r="425" spans="1:18" ht="18.75" customHeight="1">
      <c r="A425" s="2641"/>
      <c r="B425" s="2650"/>
      <c r="C425" s="2650"/>
      <c r="D425" s="2650"/>
      <c r="E425" s="2650"/>
      <c r="F425" s="2650"/>
      <c r="G425" s="2650"/>
      <c r="H425" s="2650"/>
      <c r="I425" s="2650"/>
      <c r="J425" s="2650"/>
      <c r="K425" s="2650"/>
      <c r="L425" s="2650"/>
      <c r="M425" s="2650"/>
      <c r="N425" s="2650"/>
      <c r="O425" s="2651"/>
      <c r="P425" s="2642"/>
      <c r="Q425" s="1575"/>
      <c r="R425" s="466"/>
    </row>
    <row r="426" spans="1:18" ht="18.75" customHeight="1">
      <c r="A426" s="2339"/>
      <c r="B426" s="1590"/>
      <c r="C426" s="1574"/>
      <c r="D426" s="1574"/>
      <c r="E426" s="1574"/>
      <c r="F426" s="1574"/>
      <c r="G426" s="1574"/>
      <c r="H426" s="1574"/>
      <c r="I426" s="1574"/>
      <c r="J426" s="1574"/>
      <c r="K426" s="1574"/>
      <c r="L426" s="1574"/>
      <c r="M426" s="1574"/>
      <c r="N426" s="1574"/>
      <c r="O426" s="2246"/>
      <c r="P426" s="2024"/>
      <c r="Q426" s="1238"/>
      <c r="R426" s="1239"/>
    </row>
    <row r="427" spans="1:18" ht="18.75" customHeight="1">
      <c r="A427" s="2339"/>
      <c r="B427" s="2267"/>
      <c r="C427" s="1237"/>
      <c r="D427" s="1237"/>
      <c r="E427" s="1237"/>
      <c r="F427" s="1237"/>
      <c r="G427" s="1237"/>
      <c r="H427" s="1237"/>
      <c r="I427" s="1237"/>
      <c r="J427" s="1237"/>
      <c r="K427" s="1237"/>
      <c r="L427" s="1237"/>
      <c r="M427" s="1237"/>
      <c r="N427" s="1237"/>
      <c r="O427" s="2028"/>
      <c r="P427" s="2024"/>
      <c r="Q427" s="1238"/>
      <c r="R427" s="1239"/>
    </row>
    <row r="428" spans="1:18" ht="18.75" customHeight="1">
      <c r="A428" s="2339"/>
      <c r="B428" s="2267"/>
      <c r="C428" s="1237"/>
      <c r="D428" s="1237"/>
      <c r="E428" s="1237"/>
      <c r="F428" s="1237"/>
      <c r="G428" s="1237"/>
      <c r="H428" s="1237"/>
      <c r="I428" s="1237"/>
      <c r="J428" s="1237"/>
      <c r="K428" s="1237"/>
      <c r="L428" s="1237"/>
      <c r="M428" s="1237"/>
      <c r="N428" s="1237"/>
      <c r="O428" s="2028"/>
      <c r="P428" s="2024"/>
      <c r="Q428" s="1238"/>
      <c r="R428" s="1239"/>
    </row>
    <row r="429" spans="1:18" ht="18.75" customHeight="1">
      <c r="A429" s="2339"/>
      <c r="B429" s="2267"/>
      <c r="C429" s="1237"/>
      <c r="D429" s="1237"/>
      <c r="E429" s="1237"/>
      <c r="F429" s="1237"/>
      <c r="G429" s="1237"/>
      <c r="H429" s="1237"/>
      <c r="I429" s="1237"/>
      <c r="J429" s="1237"/>
      <c r="K429" s="1237"/>
      <c r="L429" s="1237"/>
      <c r="M429" s="1237"/>
      <c r="N429" s="1237"/>
      <c r="O429" s="2028"/>
      <c r="P429" s="2024"/>
      <c r="Q429" s="1238"/>
      <c r="R429" s="1239"/>
    </row>
    <row r="430" spans="1:18" ht="18.75" customHeight="1">
      <c r="A430" s="2339"/>
      <c r="B430" s="2267"/>
      <c r="C430" s="1237"/>
      <c r="D430" s="1237"/>
      <c r="E430" s="1237"/>
      <c r="F430" s="1237"/>
      <c r="G430" s="1237"/>
      <c r="H430" s="1237"/>
      <c r="I430" s="1237"/>
      <c r="J430" s="1237"/>
      <c r="K430" s="1237"/>
      <c r="L430" s="1237"/>
      <c r="M430" s="1237"/>
      <c r="N430" s="1237"/>
      <c r="O430" s="2028"/>
      <c r="P430" s="2024"/>
      <c r="Q430" s="1238"/>
      <c r="R430" s="1239"/>
    </row>
    <row r="431" spans="1:18" ht="18.75" customHeight="1">
      <c r="A431" s="2339"/>
      <c r="B431" s="2267"/>
      <c r="C431" s="1237"/>
      <c r="D431" s="1237"/>
      <c r="E431" s="1237"/>
      <c r="F431" s="1237"/>
      <c r="G431" s="1237"/>
      <c r="H431" s="1237"/>
      <c r="I431" s="1237"/>
      <c r="J431" s="1237"/>
      <c r="K431" s="1237"/>
      <c r="L431" s="1237"/>
      <c r="M431" s="1237"/>
      <c r="N431" s="1237"/>
      <c r="O431" s="2028"/>
      <c r="P431" s="2024"/>
      <c r="Q431" s="1238"/>
      <c r="R431" s="1239"/>
    </row>
    <row r="432" spans="1:18" ht="18.75" customHeight="1">
      <c r="A432" s="2339"/>
      <c r="B432" s="2267"/>
      <c r="C432" s="1237"/>
      <c r="D432" s="1237"/>
      <c r="E432" s="1237"/>
      <c r="F432" s="1237"/>
      <c r="G432" s="1237"/>
      <c r="H432" s="1237"/>
      <c r="I432" s="1237"/>
      <c r="J432" s="1237"/>
      <c r="K432" s="1237"/>
      <c r="L432" s="1237"/>
      <c r="M432" s="1237"/>
      <c r="N432" s="1237"/>
      <c r="O432" s="2028"/>
      <c r="P432" s="2024"/>
      <c r="Q432" s="1238"/>
      <c r="R432" s="1239"/>
    </row>
    <row r="433" spans="1:18" ht="18.75" customHeight="1">
      <c r="A433" s="2339"/>
      <c r="B433" s="2267"/>
      <c r="C433" s="1237"/>
      <c r="D433" s="1237"/>
      <c r="E433" s="1237"/>
      <c r="F433" s="1237"/>
      <c r="G433" s="1237"/>
      <c r="H433" s="1237"/>
      <c r="I433" s="1237"/>
      <c r="J433" s="1237"/>
      <c r="K433" s="1237"/>
      <c r="L433" s="1237"/>
      <c r="M433" s="1237"/>
      <c r="N433" s="1237"/>
      <c r="O433" s="2028"/>
      <c r="P433" s="2024"/>
      <c r="Q433" s="1238"/>
      <c r="R433" s="1239"/>
    </row>
    <row r="434" spans="1:18" ht="18.75" customHeight="1">
      <c r="A434" s="2339"/>
      <c r="B434" s="2267"/>
      <c r="C434" s="1237"/>
      <c r="D434" s="1237"/>
      <c r="E434" s="1237"/>
      <c r="F434" s="1237"/>
      <c r="G434" s="1237"/>
      <c r="H434" s="1237"/>
      <c r="I434" s="1237"/>
      <c r="J434" s="1237"/>
      <c r="K434" s="1237"/>
      <c r="L434" s="1237"/>
      <c r="M434" s="1237"/>
      <c r="N434" s="1237"/>
      <c r="O434" s="2028"/>
      <c r="P434" s="2024"/>
      <c r="Q434" s="1238"/>
      <c r="R434" s="1239"/>
    </row>
    <row r="435" spans="1:18" ht="18.75" customHeight="1">
      <c r="A435" s="2339"/>
      <c r="B435" s="2267"/>
      <c r="C435" s="1237"/>
      <c r="D435" s="1237"/>
      <c r="E435" s="1237"/>
      <c r="F435" s="1237"/>
      <c r="G435" s="1237"/>
      <c r="H435" s="1237"/>
      <c r="I435" s="1237"/>
      <c r="J435" s="1237"/>
      <c r="K435" s="1237"/>
      <c r="L435" s="1237"/>
      <c r="M435" s="1237"/>
      <c r="N435" s="1237"/>
      <c r="O435" s="2028"/>
      <c r="P435" s="2024"/>
      <c r="Q435" s="1238"/>
      <c r="R435" s="1239"/>
    </row>
    <row r="436" spans="1:18" ht="18.75" customHeight="1">
      <c r="A436" s="2339"/>
      <c r="B436" s="2267"/>
      <c r="C436" s="1237"/>
      <c r="D436" s="1237"/>
      <c r="E436" s="1237"/>
      <c r="F436" s="1237"/>
      <c r="G436" s="1237"/>
      <c r="H436" s="1237"/>
      <c r="I436" s="1237"/>
      <c r="J436" s="1237"/>
      <c r="K436" s="1237"/>
      <c r="L436" s="1237"/>
      <c r="M436" s="1237"/>
      <c r="N436" s="1237"/>
      <c r="O436" s="2028"/>
      <c r="P436" s="2024"/>
      <c r="Q436" s="1238"/>
      <c r="R436" s="1239"/>
    </row>
    <row r="437" spans="1:18" ht="18.75" customHeight="1">
      <c r="A437" s="2339"/>
      <c r="B437" s="2267"/>
      <c r="C437" s="1237"/>
      <c r="D437" s="1237"/>
      <c r="E437" s="1237"/>
      <c r="F437" s="1237"/>
      <c r="G437" s="1237"/>
      <c r="H437" s="1237"/>
      <c r="I437" s="1237"/>
      <c r="J437" s="2258"/>
      <c r="K437" s="2258"/>
      <c r="L437" s="2258"/>
      <c r="M437" s="1237"/>
      <c r="N437" s="1237"/>
      <c r="O437" s="2028"/>
      <c r="P437" s="2024"/>
      <c r="Q437" s="1238"/>
      <c r="R437" s="1239"/>
    </row>
    <row r="438" spans="1:18" ht="18.75" customHeight="1" thickBot="1">
      <c r="A438" s="2339"/>
      <c r="B438" s="2267"/>
      <c r="C438" s="1237"/>
      <c r="D438" s="1237"/>
      <c r="E438" s="1237"/>
      <c r="F438" s="1237"/>
      <c r="G438" s="1237"/>
      <c r="H438" s="1237"/>
      <c r="I438" s="1237"/>
      <c r="J438" s="1237"/>
      <c r="K438" s="1237"/>
      <c r="L438" s="1237"/>
      <c r="M438" s="1237"/>
      <c r="N438" s="1237"/>
      <c r="O438" s="2028"/>
      <c r="P438" s="2024"/>
      <c r="Q438" s="1238"/>
      <c r="R438" s="1239"/>
    </row>
    <row r="439" spans="1:18" ht="18.75" customHeight="1">
      <c r="A439" s="2339"/>
      <c r="B439" s="2266"/>
      <c r="C439" s="1585"/>
      <c r="D439" s="1585"/>
      <c r="E439" s="1585"/>
      <c r="F439" s="1585"/>
      <c r="G439" s="1585"/>
      <c r="H439" s="1585"/>
      <c r="I439" s="1585"/>
      <c r="J439" s="1585"/>
      <c r="K439" s="1585"/>
      <c r="L439" s="1585"/>
      <c r="M439" s="1585"/>
      <c r="N439" s="1585"/>
      <c r="O439" s="2026"/>
      <c r="P439" s="2024"/>
      <c r="Q439" s="1586"/>
      <c r="R439" s="1587"/>
    </row>
    <row r="440" spans="1:18" ht="18.75" customHeight="1">
      <c r="A440" s="2339"/>
      <c r="B440" s="2267"/>
      <c r="C440" s="1237"/>
      <c r="D440" s="1237"/>
      <c r="E440" s="1237"/>
      <c r="F440" s="1237"/>
      <c r="G440" s="1237"/>
      <c r="H440" s="1237"/>
      <c r="I440" s="1237"/>
      <c r="J440" s="1237"/>
      <c r="K440" s="1237"/>
      <c r="L440" s="1237"/>
      <c r="M440" s="1237"/>
      <c r="N440" s="1237"/>
      <c r="O440" s="2024"/>
      <c r="P440" s="2024"/>
      <c r="Q440" s="1238"/>
      <c r="R440" s="1239"/>
    </row>
    <row r="441" spans="1:18" ht="18.75" customHeight="1">
      <c r="A441" s="2339"/>
      <c r="B441" s="2267"/>
      <c r="C441" s="1237"/>
      <c r="D441" s="1237"/>
      <c r="E441" s="1237"/>
      <c r="F441" s="1237"/>
      <c r="G441" s="1237"/>
      <c r="H441" s="1237"/>
      <c r="I441" s="1237"/>
      <c r="J441" s="1237"/>
      <c r="K441" s="1237"/>
      <c r="L441" s="1237"/>
      <c r="M441" s="1237"/>
      <c r="N441" s="1237"/>
      <c r="O441" s="2024"/>
      <c r="P441" s="2024"/>
      <c r="Q441" s="1238"/>
      <c r="R441" s="1239"/>
    </row>
    <row r="442" spans="1:18" ht="18.75" customHeight="1">
      <c r="A442" s="2339"/>
      <c r="B442" s="2267"/>
      <c r="C442" s="1237"/>
      <c r="D442" s="1237"/>
      <c r="E442" s="1237"/>
      <c r="F442" s="1237"/>
      <c r="G442" s="1237"/>
      <c r="H442" s="1237"/>
      <c r="I442" s="1237"/>
      <c r="J442" s="1237"/>
      <c r="K442" s="1237"/>
      <c r="L442" s="1237"/>
      <c r="M442" s="1237"/>
      <c r="N442" s="1237"/>
      <c r="O442" s="2024"/>
      <c r="P442" s="2024"/>
      <c r="Q442" s="1238"/>
      <c r="R442" s="1239"/>
    </row>
    <row r="443" spans="1:18" ht="18.75" customHeight="1">
      <c r="A443" s="2339"/>
      <c r="B443" s="2267"/>
      <c r="C443" s="1237"/>
      <c r="D443" s="1237"/>
      <c r="E443" s="1237"/>
      <c r="F443" s="1237"/>
      <c r="G443" s="1237"/>
      <c r="H443" s="1237"/>
      <c r="I443" s="1237"/>
      <c r="J443" s="1237"/>
      <c r="K443" s="1237"/>
      <c r="L443" s="1237"/>
      <c r="M443" s="1237"/>
      <c r="N443" s="1237"/>
      <c r="O443" s="2024"/>
      <c r="P443" s="2024"/>
      <c r="Q443" s="1238"/>
      <c r="R443" s="1239"/>
    </row>
    <row r="444" spans="1:18" ht="18.75" customHeight="1">
      <c r="A444" s="2339"/>
      <c r="B444" s="2267"/>
      <c r="C444" s="1237"/>
      <c r="D444" s="1237"/>
      <c r="E444" s="1237"/>
      <c r="F444" s="1237"/>
      <c r="G444" s="1237"/>
      <c r="H444" s="1237"/>
      <c r="I444" s="1237"/>
      <c r="J444" s="1237"/>
      <c r="K444" s="1237"/>
      <c r="L444" s="1237"/>
      <c r="M444" s="1237"/>
      <c r="N444" s="1237"/>
      <c r="O444" s="2024"/>
      <c r="P444" s="2024"/>
      <c r="Q444" s="1238"/>
      <c r="R444" s="1239"/>
    </row>
    <row r="445" spans="1:18" ht="18.75" customHeight="1">
      <c r="A445" s="2339"/>
      <c r="B445" s="2267"/>
      <c r="C445" s="1237"/>
      <c r="D445" s="1237"/>
      <c r="E445" s="1237"/>
      <c r="F445" s="1237"/>
      <c r="G445" s="1237"/>
      <c r="H445" s="1237"/>
      <c r="I445" s="1237"/>
      <c r="J445" s="1237"/>
      <c r="K445" s="1237"/>
      <c r="L445" s="1237"/>
      <c r="M445" s="1237"/>
      <c r="N445" s="1237"/>
      <c r="O445" s="2024"/>
      <c r="P445" s="2024"/>
      <c r="Q445" s="1238"/>
      <c r="R445" s="1239"/>
    </row>
    <row r="446" spans="1:18" ht="18.75" customHeight="1">
      <c r="A446" s="2339"/>
      <c r="B446" s="2267"/>
      <c r="C446" s="1237"/>
      <c r="D446" s="1237"/>
      <c r="E446" s="1237"/>
      <c r="F446" s="1237"/>
      <c r="G446" s="1237"/>
      <c r="H446" s="1237"/>
      <c r="I446" s="1237"/>
      <c r="J446" s="1237"/>
      <c r="K446" s="1237"/>
      <c r="L446" s="1237"/>
      <c r="M446" s="1237"/>
      <c r="N446" s="1237"/>
      <c r="O446" s="2024"/>
      <c r="P446" s="2024"/>
      <c r="Q446" s="1238"/>
      <c r="R446" s="1239"/>
    </row>
    <row r="447" spans="1:18" ht="18.75" customHeight="1">
      <c r="A447" s="2339"/>
      <c r="B447" s="2267"/>
      <c r="C447" s="1237"/>
      <c r="D447" s="1237"/>
      <c r="E447" s="1237"/>
      <c r="F447" s="1237"/>
      <c r="G447" s="1237"/>
      <c r="H447" s="1237"/>
      <c r="I447" s="1237"/>
      <c r="J447" s="1237"/>
      <c r="K447" s="1237"/>
      <c r="L447" s="1237"/>
      <c r="M447" s="1237"/>
      <c r="N447" s="1237"/>
      <c r="O447" s="2024"/>
      <c r="P447" s="2024"/>
      <c r="Q447" s="1238"/>
      <c r="R447" s="1239"/>
    </row>
    <row r="448" spans="1:18" ht="18.75" customHeight="1">
      <c r="A448" s="2339"/>
      <c r="B448" s="2267"/>
      <c r="C448" s="1237"/>
      <c r="D448" s="1237"/>
      <c r="E448" s="1237"/>
      <c r="F448" s="1237"/>
      <c r="G448" s="1237"/>
      <c r="H448" s="1237"/>
      <c r="I448" s="1237"/>
      <c r="J448" s="1237"/>
      <c r="K448" s="1237"/>
      <c r="L448" s="1237"/>
      <c r="M448" s="1237"/>
      <c r="N448" s="1237"/>
      <c r="O448" s="2024"/>
      <c r="P448" s="2024"/>
      <c r="Q448" s="1238"/>
      <c r="R448" s="1239"/>
    </row>
    <row r="449" spans="1:18" ht="18.75" customHeight="1">
      <c r="A449" s="2339"/>
      <c r="B449" s="2267"/>
      <c r="C449" s="1237"/>
      <c r="D449" s="1237"/>
      <c r="E449" s="1237"/>
      <c r="F449" s="1237"/>
      <c r="G449" s="1237"/>
      <c r="H449" s="1237"/>
      <c r="I449" s="1237"/>
      <c r="J449" s="1237"/>
      <c r="K449" s="1237"/>
      <c r="L449" s="1237"/>
      <c r="M449" s="1237"/>
      <c r="N449" s="1237"/>
      <c r="O449" s="2024"/>
      <c r="P449" s="2024"/>
      <c r="Q449" s="1238"/>
      <c r="R449" s="1239"/>
    </row>
    <row r="450" spans="1:18" ht="18.75" customHeight="1">
      <c r="A450" s="2339"/>
      <c r="B450" s="2267"/>
      <c r="C450" s="1237"/>
      <c r="D450" s="1237"/>
      <c r="E450" s="1237"/>
      <c r="F450" s="1237"/>
      <c r="G450" s="1237"/>
      <c r="H450" s="1237"/>
      <c r="I450" s="1237"/>
      <c r="J450" s="1237"/>
      <c r="K450" s="1237"/>
      <c r="L450" s="1237"/>
      <c r="M450" s="1237"/>
      <c r="N450" s="1237"/>
      <c r="O450" s="2024"/>
      <c r="P450" s="2024"/>
      <c r="Q450" s="1238"/>
      <c r="R450" s="1239"/>
    </row>
    <row r="451" spans="1:18" ht="18.75" customHeight="1">
      <c r="A451" s="2339"/>
      <c r="B451" s="2267"/>
      <c r="C451" s="1237"/>
      <c r="D451" s="1237"/>
      <c r="E451" s="1237"/>
      <c r="F451" s="1237"/>
      <c r="G451" s="1237"/>
      <c r="H451" s="1237"/>
      <c r="I451" s="1237"/>
      <c r="J451" s="1237"/>
      <c r="K451" s="1237"/>
      <c r="L451" s="1237"/>
      <c r="M451" s="1237"/>
      <c r="N451" s="1237"/>
      <c r="O451" s="2024"/>
      <c r="P451" s="2024"/>
      <c r="Q451" s="1238"/>
      <c r="R451" s="1239"/>
    </row>
    <row r="452" spans="1:18" ht="18.75" customHeight="1">
      <c r="A452" s="2339"/>
      <c r="B452" s="2267"/>
      <c r="C452" s="1237"/>
      <c r="D452" s="1237"/>
      <c r="E452" s="1237"/>
      <c r="F452" s="1237"/>
      <c r="G452" s="1237"/>
      <c r="H452" s="1237"/>
      <c r="I452" s="1237"/>
      <c r="J452" s="1237"/>
      <c r="K452" s="1237"/>
      <c r="L452" s="1237"/>
      <c r="M452" s="1237"/>
      <c r="N452" s="1237"/>
      <c r="O452" s="2024"/>
      <c r="P452" s="2024"/>
      <c r="Q452" s="1238"/>
      <c r="R452" s="1239"/>
    </row>
    <row r="453" spans="1:18" ht="18.75" customHeight="1">
      <c r="A453" s="2339"/>
      <c r="B453" s="2267"/>
      <c r="C453" s="1237"/>
      <c r="D453" s="1237"/>
      <c r="E453" s="1237"/>
      <c r="F453" s="1237"/>
      <c r="G453" s="1237"/>
      <c r="H453" s="1237"/>
      <c r="I453" s="1237"/>
      <c r="J453" s="1237"/>
      <c r="K453" s="1237"/>
      <c r="L453" s="1237"/>
      <c r="M453" s="1237"/>
      <c r="N453" s="1237"/>
      <c r="O453" s="2024"/>
      <c r="P453" s="2024"/>
      <c r="Q453" s="1238"/>
      <c r="R453" s="1239"/>
    </row>
    <row r="454" spans="1:18" ht="18.75" customHeight="1">
      <c r="A454" s="2339"/>
      <c r="B454" s="2267"/>
      <c r="C454" s="1237"/>
      <c r="D454" s="1237"/>
      <c r="E454" s="1237"/>
      <c r="F454" s="1237"/>
      <c r="G454" s="1237"/>
      <c r="H454" s="1237"/>
      <c r="I454" s="1237"/>
      <c r="J454" s="1237"/>
      <c r="K454" s="1237"/>
      <c r="L454" s="1237"/>
      <c r="M454" s="1237"/>
      <c r="N454" s="1237"/>
      <c r="O454" s="2024"/>
      <c r="P454" s="2024"/>
      <c r="Q454" s="1238"/>
      <c r="R454" s="1239"/>
    </row>
    <row r="455" spans="1:18" ht="18.75" customHeight="1">
      <c r="A455" s="2339"/>
      <c r="B455" s="2267"/>
      <c r="C455" s="1237"/>
      <c r="D455" s="1237"/>
      <c r="E455" s="1237"/>
      <c r="F455" s="1237"/>
      <c r="G455" s="1237"/>
      <c r="H455" s="1237"/>
      <c r="I455" s="1237"/>
      <c r="J455" s="1237"/>
      <c r="K455" s="1237"/>
      <c r="L455" s="1237"/>
      <c r="M455" s="1237"/>
      <c r="N455" s="1237"/>
      <c r="O455" s="2024"/>
      <c r="P455" s="2024"/>
      <c r="Q455" s="1238"/>
      <c r="R455" s="1239"/>
    </row>
    <row r="456" spans="1:18" ht="18.75" customHeight="1">
      <c r="A456" s="2339"/>
      <c r="B456" s="2267"/>
      <c r="C456" s="1237"/>
      <c r="D456" s="1237"/>
      <c r="E456" s="1237"/>
      <c r="F456" s="1237"/>
      <c r="G456" s="1237"/>
      <c r="H456" s="1237"/>
      <c r="I456" s="1237"/>
      <c r="J456" s="1237"/>
      <c r="K456" s="1237"/>
      <c r="L456" s="1237"/>
      <c r="M456" s="1237"/>
      <c r="N456" s="1237"/>
      <c r="O456" s="2024"/>
      <c r="P456" s="2024"/>
      <c r="Q456" s="1238"/>
      <c r="R456" s="1239"/>
    </row>
    <row r="457" spans="1:18" ht="18.75" customHeight="1">
      <c r="A457" s="2339"/>
      <c r="B457" s="2267"/>
      <c r="C457" s="1237"/>
      <c r="D457" s="1237"/>
      <c r="E457" s="1237"/>
      <c r="F457" s="1237"/>
      <c r="G457" s="1237"/>
      <c r="H457" s="1237"/>
      <c r="I457" s="1237"/>
      <c r="J457" s="1237"/>
      <c r="K457" s="1237"/>
      <c r="L457" s="1237"/>
      <c r="M457" s="1237"/>
      <c r="N457" s="1237"/>
      <c r="O457" s="2024"/>
      <c r="P457" s="2024"/>
      <c r="Q457" s="1238"/>
      <c r="R457" s="1239"/>
    </row>
    <row r="458" spans="1:18" ht="18.75" customHeight="1">
      <c r="A458" s="2339"/>
      <c r="B458" s="2267"/>
      <c r="C458" s="1237"/>
      <c r="D458" s="1237"/>
      <c r="E458" s="1237"/>
      <c r="F458" s="1237"/>
      <c r="G458" s="1237"/>
      <c r="H458" s="1237"/>
      <c r="I458" s="1237"/>
      <c r="J458" s="1237"/>
      <c r="K458" s="1237"/>
      <c r="L458" s="1237"/>
      <c r="M458" s="1237"/>
      <c r="N458" s="1237"/>
      <c r="O458" s="2024"/>
      <c r="P458" s="2024"/>
      <c r="Q458" s="1238"/>
      <c r="R458" s="1239"/>
    </row>
    <row r="459" spans="1:18" ht="18.75" customHeight="1">
      <c r="A459" s="2339"/>
      <c r="B459" s="2267"/>
      <c r="C459" s="1237"/>
      <c r="D459" s="1237"/>
      <c r="E459" s="1237"/>
      <c r="F459" s="1237"/>
      <c r="G459" s="1237"/>
      <c r="H459" s="1237"/>
      <c r="I459" s="1237"/>
      <c r="J459" s="1237"/>
      <c r="K459" s="1237"/>
      <c r="L459" s="1237"/>
      <c r="M459" s="1237"/>
      <c r="N459" s="1237"/>
      <c r="O459" s="2024"/>
      <c r="P459" s="2024"/>
      <c r="Q459" s="1238"/>
      <c r="R459" s="1239"/>
    </row>
    <row r="460" spans="1:18" ht="18.75" customHeight="1">
      <c r="A460" s="2339"/>
      <c r="B460" s="2267"/>
      <c r="C460" s="1237"/>
      <c r="D460" s="1237"/>
      <c r="E460" s="1237"/>
      <c r="F460" s="1237"/>
      <c r="G460" s="1237"/>
      <c r="H460" s="1237"/>
      <c r="I460" s="1237"/>
      <c r="J460" s="1237"/>
      <c r="K460" s="1237"/>
      <c r="L460" s="1237"/>
      <c r="M460" s="1237"/>
      <c r="N460" s="1237"/>
      <c r="O460" s="2024"/>
      <c r="P460" s="2024"/>
      <c r="Q460" s="1238"/>
      <c r="R460" s="1239"/>
    </row>
    <row r="461" spans="1:18" ht="18.75" customHeight="1">
      <c r="A461" s="2339"/>
      <c r="B461" s="2267"/>
      <c r="C461" s="1237"/>
      <c r="D461" s="1237"/>
      <c r="E461" s="1237"/>
      <c r="F461" s="1237"/>
      <c r="G461" s="1237"/>
      <c r="H461" s="1237"/>
      <c r="I461" s="1237"/>
      <c r="J461" s="1237"/>
      <c r="K461" s="1237"/>
      <c r="L461" s="1237"/>
      <c r="M461" s="1237"/>
      <c r="N461" s="1237"/>
      <c r="O461" s="2024"/>
      <c r="P461" s="2024"/>
      <c r="Q461" s="1238"/>
      <c r="R461" s="1239"/>
    </row>
    <row r="462" spans="1:18" ht="18.75" customHeight="1">
      <c r="A462" s="2339"/>
      <c r="B462" s="2267"/>
      <c r="C462" s="1237"/>
      <c r="D462" s="1237"/>
      <c r="E462" s="1237"/>
      <c r="F462" s="1237"/>
      <c r="G462" s="1237"/>
      <c r="H462" s="1237"/>
      <c r="I462" s="1237"/>
      <c r="J462" s="1237"/>
      <c r="K462" s="1237"/>
      <c r="L462" s="1237"/>
      <c r="M462" s="1237"/>
      <c r="N462" s="1237"/>
      <c r="O462" s="2024"/>
      <c r="P462" s="2024"/>
      <c r="Q462" s="1238"/>
      <c r="R462" s="1239"/>
    </row>
    <row r="463" spans="1:18" ht="18.75" customHeight="1">
      <c r="A463" s="2339"/>
      <c r="B463" s="2267"/>
      <c r="C463" s="1237"/>
      <c r="D463" s="1237"/>
      <c r="E463" s="1237"/>
      <c r="F463" s="1237"/>
      <c r="G463" s="1237"/>
      <c r="H463" s="1237"/>
      <c r="I463" s="1237"/>
      <c r="J463" s="1237"/>
      <c r="K463" s="1237"/>
      <c r="L463" s="1237"/>
      <c r="M463" s="1237"/>
      <c r="N463" s="1237"/>
      <c r="O463" s="2024"/>
      <c r="P463" s="2024"/>
      <c r="Q463" s="1238"/>
      <c r="R463" s="1239"/>
    </row>
    <row r="464" spans="1:18" ht="18.75" customHeight="1">
      <c r="A464" s="2339"/>
      <c r="B464" s="2267"/>
      <c r="C464" s="1237"/>
      <c r="D464" s="1237"/>
      <c r="E464" s="1237"/>
      <c r="F464" s="1237"/>
      <c r="G464" s="1237"/>
      <c r="H464" s="1237"/>
      <c r="I464" s="1237"/>
      <c r="J464" s="1237"/>
      <c r="K464" s="1237"/>
      <c r="L464" s="1237"/>
      <c r="M464" s="1237"/>
      <c r="N464" s="1237"/>
      <c r="O464" s="2024"/>
      <c r="P464" s="2024"/>
      <c r="Q464" s="1238"/>
      <c r="R464" s="1239"/>
    </row>
    <row r="465" spans="1:18" ht="18.75" customHeight="1">
      <c r="A465" s="2339"/>
      <c r="B465" s="2267"/>
      <c r="C465" s="1237"/>
      <c r="D465" s="1237"/>
      <c r="E465" s="1237"/>
      <c r="F465" s="1237"/>
      <c r="G465" s="1237"/>
      <c r="H465" s="1237"/>
      <c r="I465" s="1237"/>
      <c r="J465" s="1237"/>
      <c r="K465" s="1237"/>
      <c r="L465" s="1237"/>
      <c r="M465" s="1237"/>
      <c r="N465" s="1237"/>
      <c r="O465" s="2024"/>
      <c r="P465" s="2024"/>
      <c r="Q465" s="1238"/>
      <c r="R465" s="1239"/>
    </row>
    <row r="466" spans="1:18" ht="18.75" customHeight="1">
      <c r="A466" s="2339"/>
      <c r="B466" s="2267"/>
      <c r="C466" s="1237"/>
      <c r="D466" s="1237"/>
      <c r="E466" s="1237"/>
      <c r="F466" s="1237"/>
      <c r="G466" s="1237"/>
      <c r="H466" s="1237"/>
      <c r="I466" s="1237"/>
      <c r="J466" s="1237"/>
      <c r="K466" s="1237"/>
      <c r="L466" s="1237"/>
      <c r="M466" s="1237"/>
      <c r="N466" s="1237"/>
      <c r="O466" s="2024"/>
      <c r="P466" s="2024"/>
      <c r="Q466" s="1238"/>
      <c r="R466" s="1239"/>
    </row>
    <row r="467" spans="1:18" ht="18.75" customHeight="1">
      <c r="A467" s="2339"/>
      <c r="B467" s="2267"/>
      <c r="C467" s="1237"/>
      <c r="D467" s="1237"/>
      <c r="E467" s="1237"/>
      <c r="F467" s="1237"/>
      <c r="G467" s="1237"/>
      <c r="H467" s="1237"/>
      <c r="I467" s="1237"/>
      <c r="J467" s="1237"/>
      <c r="K467" s="1237"/>
      <c r="L467" s="1237"/>
      <c r="M467" s="1237"/>
      <c r="N467" s="1237"/>
      <c r="O467" s="2024"/>
      <c r="P467" s="2024"/>
      <c r="Q467" s="1238"/>
      <c r="R467" s="1239"/>
    </row>
    <row r="468" spans="1:18" ht="18.75" customHeight="1">
      <c r="A468" s="2339"/>
      <c r="B468" s="2267"/>
      <c r="C468" s="1237"/>
      <c r="D468" s="1237"/>
      <c r="E468" s="1237"/>
      <c r="F468" s="1237"/>
      <c r="G468" s="1237"/>
      <c r="H468" s="1237"/>
      <c r="I468" s="1237"/>
      <c r="J468" s="1237"/>
      <c r="K468" s="1237"/>
      <c r="L468" s="1237"/>
      <c r="M468" s="1237"/>
      <c r="N468" s="1237"/>
      <c r="O468" s="2024"/>
      <c r="P468" s="2024"/>
      <c r="Q468" s="1238"/>
      <c r="R468" s="1239"/>
    </row>
    <row r="469" spans="1:18" ht="18.75" customHeight="1">
      <c r="A469" s="2339"/>
      <c r="B469" s="2267"/>
      <c r="C469" s="1237"/>
      <c r="D469" s="1237"/>
      <c r="E469" s="1237"/>
      <c r="F469" s="1237"/>
      <c r="G469" s="1237"/>
      <c r="H469" s="1237"/>
      <c r="I469" s="1237"/>
      <c r="J469" s="1237"/>
      <c r="K469" s="1237"/>
      <c r="L469" s="1237"/>
      <c r="M469" s="1237"/>
      <c r="N469" s="1237"/>
      <c r="O469" s="2024"/>
      <c r="P469" s="2024"/>
      <c r="Q469" s="1238"/>
      <c r="R469" s="1239"/>
    </row>
    <row r="470" spans="1:18" ht="18.75" customHeight="1">
      <c r="A470" s="2339"/>
      <c r="B470" s="2267"/>
      <c r="C470" s="1237"/>
      <c r="D470" s="1237"/>
      <c r="E470" s="1237"/>
      <c r="F470" s="1237"/>
      <c r="G470" s="1237"/>
      <c r="H470" s="1237"/>
      <c r="I470" s="1237"/>
      <c r="J470" s="1237"/>
      <c r="K470" s="1237"/>
      <c r="L470" s="1237"/>
      <c r="M470" s="1237"/>
      <c r="N470" s="1237"/>
      <c r="O470" s="2024"/>
      <c r="P470" s="2024"/>
      <c r="Q470" s="1238"/>
      <c r="R470" s="1239"/>
    </row>
    <row r="471" spans="1:18" ht="18.75" customHeight="1">
      <c r="A471" s="2339"/>
      <c r="B471" s="2267"/>
      <c r="C471" s="1237"/>
      <c r="D471" s="1237"/>
      <c r="E471" s="1237"/>
      <c r="F471" s="1237"/>
      <c r="G471" s="1237"/>
      <c r="H471" s="1237"/>
      <c r="I471" s="1237"/>
      <c r="J471" s="1237"/>
      <c r="K471" s="1237"/>
      <c r="L471" s="1237"/>
      <c r="M471" s="1237"/>
      <c r="N471" s="1237"/>
      <c r="O471" s="2024"/>
      <c r="P471" s="2024"/>
      <c r="Q471" s="1238"/>
      <c r="R471" s="1239"/>
    </row>
    <row r="472" spans="1:18" ht="18.75" customHeight="1">
      <c r="A472" s="2339"/>
      <c r="B472" s="2267"/>
      <c r="C472" s="1237"/>
      <c r="D472" s="1237"/>
      <c r="E472" s="1237"/>
      <c r="F472" s="1237"/>
      <c r="G472" s="1237"/>
      <c r="H472" s="1237"/>
      <c r="I472" s="1237"/>
      <c r="J472" s="1237"/>
      <c r="K472" s="1237"/>
      <c r="L472" s="1237"/>
      <c r="M472" s="1237"/>
      <c r="N472" s="1237"/>
      <c r="O472" s="2024"/>
      <c r="P472" s="2024"/>
      <c r="Q472" s="1238"/>
      <c r="R472" s="1239"/>
    </row>
    <row r="473" spans="1:18" ht="18.75" customHeight="1">
      <c r="A473" s="2339"/>
      <c r="B473" s="2267"/>
      <c r="C473" s="1237"/>
      <c r="D473" s="1237"/>
      <c r="E473" s="1237"/>
      <c r="F473" s="1237"/>
      <c r="G473" s="1237"/>
      <c r="H473" s="1237"/>
      <c r="I473" s="1237"/>
      <c r="J473" s="1237"/>
      <c r="K473" s="1237"/>
      <c r="L473" s="1237"/>
      <c r="M473" s="1237"/>
      <c r="N473" s="1237"/>
      <c r="O473" s="2024"/>
      <c r="P473" s="2024"/>
      <c r="Q473" s="1238"/>
      <c r="R473" s="1239"/>
    </row>
    <row r="474" spans="1:18" ht="18.75" customHeight="1">
      <c r="A474" s="2339"/>
      <c r="B474" s="2267"/>
      <c r="C474" s="1237"/>
      <c r="D474" s="1237"/>
      <c r="E474" s="1237"/>
      <c r="F474" s="1237"/>
      <c r="G474" s="1237"/>
      <c r="H474" s="1237"/>
      <c r="I474" s="1237"/>
      <c r="J474" s="1237"/>
      <c r="K474" s="1237"/>
      <c r="L474" s="1237"/>
      <c r="M474" s="1237"/>
      <c r="N474" s="1237"/>
      <c r="O474" s="2024"/>
      <c r="P474" s="2024"/>
      <c r="Q474" s="1238"/>
      <c r="R474" s="1239"/>
    </row>
    <row r="475" spans="1:18" ht="18.75" customHeight="1">
      <c r="A475" s="2339"/>
      <c r="B475" s="2267"/>
      <c r="C475" s="1237"/>
      <c r="D475" s="1237"/>
      <c r="E475" s="1237"/>
      <c r="F475" s="1237"/>
      <c r="G475" s="1237"/>
      <c r="H475" s="1237"/>
      <c r="I475" s="1237"/>
      <c r="J475" s="1237"/>
      <c r="K475" s="1237"/>
      <c r="L475" s="1237"/>
      <c r="M475" s="1237"/>
      <c r="N475" s="1237"/>
      <c r="O475" s="2024"/>
      <c r="P475" s="2024"/>
      <c r="Q475" s="1238"/>
      <c r="R475" s="1239"/>
    </row>
    <row r="476" spans="1:18" ht="18.75" customHeight="1">
      <c r="A476" s="2339"/>
      <c r="B476" s="2267"/>
      <c r="C476" s="1237"/>
      <c r="D476" s="1237"/>
      <c r="E476" s="1237"/>
      <c r="F476" s="1237"/>
      <c r="G476" s="1237"/>
      <c r="H476" s="1237"/>
      <c r="I476" s="1237"/>
      <c r="J476" s="1237"/>
      <c r="K476" s="1237"/>
      <c r="L476" s="1237"/>
      <c r="M476" s="1237"/>
      <c r="N476" s="1237"/>
      <c r="O476" s="2024"/>
      <c r="P476" s="2024"/>
      <c r="Q476" s="1238"/>
      <c r="R476" s="1239"/>
    </row>
    <row r="477" spans="1:18" ht="18.75" customHeight="1">
      <c r="A477" s="2339"/>
      <c r="B477" s="2267"/>
      <c r="C477" s="1237"/>
      <c r="D477" s="1237"/>
      <c r="E477" s="1237"/>
      <c r="F477" s="1237"/>
      <c r="G477" s="1237"/>
      <c r="H477" s="1237"/>
      <c r="I477" s="1237"/>
      <c r="J477" s="1237"/>
      <c r="K477" s="1237"/>
      <c r="L477" s="1237"/>
      <c r="M477" s="1237"/>
      <c r="N477" s="1237"/>
      <c r="O477" s="2024"/>
      <c r="P477" s="2024"/>
      <c r="Q477" s="1238"/>
      <c r="R477" s="1239"/>
    </row>
    <row r="478" spans="1:18" ht="18.75" customHeight="1">
      <c r="A478" s="2339"/>
      <c r="B478" s="2267"/>
      <c r="C478" s="1237"/>
      <c r="D478" s="1237"/>
      <c r="E478" s="1237"/>
      <c r="F478" s="1237"/>
      <c r="G478" s="1237"/>
      <c r="H478" s="1237"/>
      <c r="I478" s="1237"/>
      <c r="J478" s="1237"/>
      <c r="K478" s="1237"/>
      <c r="L478" s="1237"/>
      <c r="M478" s="1237"/>
      <c r="N478" s="1237"/>
      <c r="O478" s="2024"/>
      <c r="P478" s="2024"/>
      <c r="Q478" s="1238"/>
      <c r="R478" s="1239"/>
    </row>
    <row r="479" spans="1:18" ht="18.75" customHeight="1">
      <c r="A479" s="2339"/>
      <c r="B479" s="2267"/>
      <c r="C479" s="1237"/>
      <c r="D479" s="1237"/>
      <c r="E479" s="1237"/>
      <c r="F479" s="1237"/>
      <c r="G479" s="1237"/>
      <c r="H479" s="1237"/>
      <c r="I479" s="1237"/>
      <c r="J479" s="1237"/>
      <c r="K479" s="1237"/>
      <c r="L479" s="1237"/>
      <c r="M479" s="1237"/>
      <c r="N479" s="1237"/>
      <c r="O479" s="2024"/>
      <c r="P479" s="2024"/>
      <c r="Q479" s="1238"/>
      <c r="R479" s="1239"/>
    </row>
    <row r="480" spans="1:18" ht="18.75" customHeight="1">
      <c r="A480" s="2339"/>
      <c r="B480" s="2267"/>
      <c r="C480" s="1237"/>
      <c r="D480" s="1237"/>
      <c r="E480" s="1237"/>
      <c r="F480" s="1237"/>
      <c r="G480" s="1237"/>
      <c r="H480" s="1237"/>
      <c r="I480" s="1237"/>
      <c r="J480" s="1237"/>
      <c r="K480" s="1237"/>
      <c r="L480" s="1237"/>
      <c r="M480" s="1237"/>
      <c r="N480" s="1237"/>
      <c r="O480" s="2024"/>
      <c r="P480" s="2024"/>
      <c r="Q480" s="1238"/>
      <c r="R480" s="1239"/>
    </row>
    <row r="481" spans="1:18" ht="18.75" customHeight="1">
      <c r="A481" s="2339"/>
      <c r="B481" s="2267"/>
      <c r="C481" s="1237"/>
      <c r="D481" s="1237"/>
      <c r="E481" s="1237"/>
      <c r="F481" s="1237"/>
      <c r="G481" s="1237"/>
      <c r="H481" s="1237"/>
      <c r="I481" s="1237"/>
      <c r="J481" s="1237"/>
      <c r="K481" s="1237"/>
      <c r="L481" s="1237"/>
      <c r="M481" s="1237"/>
      <c r="N481" s="1237"/>
      <c r="O481" s="2024"/>
      <c r="P481" s="2024"/>
      <c r="Q481" s="1238"/>
      <c r="R481" s="1239"/>
    </row>
    <row r="482" spans="1:18" ht="18.75" customHeight="1">
      <c r="A482" s="2339"/>
      <c r="B482" s="2267"/>
      <c r="C482" s="1237"/>
      <c r="D482" s="1237"/>
      <c r="E482" s="1237"/>
      <c r="F482" s="1237"/>
      <c r="G482" s="1237"/>
      <c r="H482" s="1237"/>
      <c r="I482" s="1237"/>
      <c r="J482" s="1237"/>
      <c r="K482" s="1237"/>
      <c r="L482" s="1237"/>
      <c r="M482" s="1237"/>
      <c r="N482" s="1237"/>
      <c r="O482" s="2024"/>
      <c r="P482" s="2024"/>
      <c r="Q482" s="1238"/>
      <c r="R482" s="1239"/>
    </row>
    <row r="483" spans="1:18" ht="18.75" customHeight="1">
      <c r="A483" s="2339"/>
      <c r="B483" s="2267"/>
      <c r="C483" s="1237"/>
      <c r="D483" s="1237"/>
      <c r="E483" s="1237"/>
      <c r="F483" s="1237"/>
      <c r="G483" s="1237"/>
      <c r="H483" s="1237"/>
      <c r="I483" s="1237"/>
      <c r="J483" s="1237"/>
      <c r="K483" s="1237"/>
      <c r="L483" s="1237"/>
      <c r="M483" s="1237"/>
      <c r="N483" s="1237"/>
      <c r="O483" s="2024"/>
      <c r="P483" s="2024"/>
      <c r="Q483" s="1238"/>
      <c r="R483" s="1239"/>
    </row>
    <row r="484" spans="1:18" ht="18.75" customHeight="1">
      <c r="A484" s="2339"/>
      <c r="B484" s="2267"/>
      <c r="C484" s="1237"/>
      <c r="D484" s="1237"/>
      <c r="E484" s="1237"/>
      <c r="F484" s="1237"/>
      <c r="G484" s="1237"/>
      <c r="H484" s="1237"/>
      <c r="I484" s="1237"/>
      <c r="J484" s="1237"/>
      <c r="K484" s="1237"/>
      <c r="L484" s="1237"/>
      <c r="M484" s="1237"/>
      <c r="N484" s="1237"/>
      <c r="O484" s="2024"/>
      <c r="P484" s="2024"/>
      <c r="Q484" s="1238"/>
      <c r="R484" s="1239"/>
    </row>
    <row r="485" spans="1:18" ht="18.75" customHeight="1">
      <c r="A485" s="2339"/>
      <c r="B485" s="2267"/>
      <c r="C485" s="1237"/>
      <c r="D485" s="1237"/>
      <c r="E485" s="1237"/>
      <c r="F485" s="1237"/>
      <c r="G485" s="1237"/>
      <c r="H485" s="1237"/>
      <c r="I485" s="1237"/>
      <c r="J485" s="1237"/>
      <c r="K485" s="1237"/>
      <c r="L485" s="1237"/>
      <c r="M485" s="1237"/>
      <c r="N485" s="1237"/>
      <c r="O485" s="2024"/>
      <c r="P485" s="2024"/>
      <c r="Q485" s="1238"/>
      <c r="R485" s="1239"/>
    </row>
    <row r="486" spans="1:18" ht="18.75" customHeight="1">
      <c r="A486" s="2339"/>
      <c r="B486" s="2267"/>
      <c r="C486" s="1237"/>
      <c r="D486" s="1237"/>
      <c r="E486" s="1237"/>
      <c r="F486" s="1237"/>
      <c r="G486" s="1237"/>
      <c r="H486" s="1237"/>
      <c r="I486" s="1237"/>
      <c r="J486" s="1237"/>
      <c r="K486" s="1237"/>
      <c r="L486" s="1237"/>
      <c r="M486" s="1237"/>
      <c r="N486" s="1237"/>
      <c r="O486" s="2024"/>
      <c r="P486" s="2024"/>
      <c r="Q486" s="1238"/>
      <c r="R486" s="1239"/>
    </row>
    <row r="487" spans="1:18" ht="18.75" customHeight="1">
      <c r="A487" s="2339"/>
      <c r="B487" s="2267"/>
      <c r="C487" s="1237"/>
      <c r="D487" s="1237"/>
      <c r="E487" s="1237"/>
      <c r="F487" s="1237"/>
      <c r="G487" s="1237"/>
      <c r="H487" s="1237"/>
      <c r="I487" s="1237"/>
      <c r="J487" s="1237"/>
      <c r="K487" s="1237"/>
      <c r="L487" s="1237"/>
      <c r="M487" s="1237"/>
      <c r="N487" s="1237"/>
      <c r="O487" s="2024"/>
      <c r="P487" s="2024"/>
      <c r="Q487" s="1238"/>
      <c r="R487" s="1239"/>
    </row>
    <row r="488" spans="1:18" ht="18.75" customHeight="1">
      <c r="A488" s="2339"/>
      <c r="B488" s="2267"/>
      <c r="C488" s="1237"/>
      <c r="D488" s="1237"/>
      <c r="E488" s="1237"/>
      <c r="F488" s="1237"/>
      <c r="G488" s="1237"/>
      <c r="H488" s="1237"/>
      <c r="I488" s="1237"/>
      <c r="J488" s="1237"/>
      <c r="K488" s="1237"/>
      <c r="L488" s="1237"/>
      <c r="M488" s="1237"/>
      <c r="N488" s="1237"/>
      <c r="O488" s="2024"/>
      <c r="P488" s="2024"/>
      <c r="Q488" s="1238"/>
      <c r="R488" s="1239"/>
    </row>
    <row r="489" spans="1:18" ht="18.75" customHeight="1">
      <c r="A489" s="2339"/>
      <c r="B489" s="2267"/>
      <c r="C489" s="1237"/>
      <c r="D489" s="1237"/>
      <c r="E489" s="1237"/>
      <c r="F489" s="1237"/>
      <c r="G489" s="1237"/>
      <c r="H489" s="1237"/>
      <c r="I489" s="1237"/>
      <c r="J489" s="1237"/>
      <c r="K489" s="1237"/>
      <c r="L489" s="1237"/>
      <c r="M489" s="1237"/>
      <c r="N489" s="1237"/>
      <c r="O489" s="2024"/>
      <c r="P489" s="2024"/>
      <c r="Q489" s="1238"/>
      <c r="R489" s="1239"/>
    </row>
    <row r="490" spans="1:18" ht="18.75" customHeight="1">
      <c r="A490" s="2339"/>
      <c r="B490" s="2267"/>
      <c r="C490" s="1237"/>
      <c r="D490" s="1237"/>
      <c r="E490" s="1237"/>
      <c r="F490" s="1237"/>
      <c r="G490" s="1237"/>
      <c r="H490" s="1237"/>
      <c r="I490" s="1237"/>
      <c r="J490" s="1237"/>
      <c r="K490" s="1237"/>
      <c r="L490" s="1237"/>
      <c r="M490" s="1237"/>
      <c r="N490" s="1237"/>
      <c r="O490" s="2024"/>
      <c r="P490" s="2024"/>
      <c r="Q490" s="1238"/>
      <c r="R490" s="1239"/>
    </row>
    <row r="491" spans="1:18" ht="18.75" customHeight="1">
      <c r="A491" s="2339"/>
      <c r="B491" s="2267"/>
      <c r="C491" s="1237"/>
      <c r="D491" s="1237"/>
      <c r="E491" s="1237"/>
      <c r="F491" s="1237"/>
      <c r="G491" s="1237"/>
      <c r="H491" s="1237"/>
      <c r="I491" s="1237"/>
      <c r="J491" s="1237"/>
      <c r="K491" s="1237"/>
      <c r="L491" s="1237"/>
      <c r="M491" s="1237"/>
      <c r="N491" s="1237"/>
      <c r="O491" s="2024"/>
      <c r="P491" s="2024"/>
      <c r="Q491" s="1238"/>
      <c r="R491" s="1239"/>
    </row>
    <row r="492" spans="1:18" ht="18.75" customHeight="1">
      <c r="A492" s="2339"/>
      <c r="B492" s="2267"/>
      <c r="C492" s="1237"/>
      <c r="D492" s="1237"/>
      <c r="E492" s="1237"/>
      <c r="F492" s="1237"/>
      <c r="G492" s="1237"/>
      <c r="H492" s="1237"/>
      <c r="I492" s="1237"/>
      <c r="J492" s="1237"/>
      <c r="K492" s="1237"/>
      <c r="L492" s="1237"/>
      <c r="M492" s="1237"/>
      <c r="N492" s="1237"/>
      <c r="O492" s="2024"/>
      <c r="P492" s="2024"/>
      <c r="Q492" s="1238"/>
      <c r="R492" s="1239"/>
    </row>
    <row r="493" spans="1:18" ht="18.75" customHeight="1">
      <c r="A493" s="2339"/>
      <c r="B493" s="2267"/>
      <c r="C493" s="1237"/>
      <c r="D493" s="1237"/>
      <c r="E493" s="1237"/>
      <c r="F493" s="1237"/>
      <c r="G493" s="1237"/>
      <c r="H493" s="1237"/>
      <c r="I493" s="1237"/>
      <c r="J493" s="1237"/>
      <c r="K493" s="1237"/>
      <c r="L493" s="1237"/>
      <c r="M493" s="1237"/>
      <c r="N493" s="1237"/>
      <c r="O493" s="2024"/>
      <c r="P493" s="2024"/>
      <c r="Q493" s="1238"/>
      <c r="R493" s="1239"/>
    </row>
    <row r="494" spans="1:18" ht="18.75" customHeight="1">
      <c r="A494" s="2339"/>
      <c r="B494" s="2267"/>
      <c r="C494" s="1237"/>
      <c r="D494" s="1237"/>
      <c r="E494" s="1237"/>
      <c r="F494" s="1237"/>
      <c r="G494" s="1237"/>
      <c r="H494" s="1237"/>
      <c r="I494" s="1237"/>
      <c r="J494" s="1237"/>
      <c r="K494" s="1237"/>
      <c r="L494" s="1237"/>
      <c r="M494" s="1237"/>
      <c r="N494" s="1237"/>
      <c r="O494" s="2024"/>
      <c r="P494" s="2024"/>
      <c r="Q494" s="1238"/>
      <c r="R494" s="1239"/>
    </row>
    <row r="495" spans="1:18" ht="18.75" customHeight="1">
      <c r="A495" s="2339"/>
      <c r="B495" s="2267"/>
      <c r="C495" s="1237"/>
      <c r="D495" s="1237"/>
      <c r="E495" s="1237"/>
      <c r="F495" s="1237"/>
      <c r="G495" s="1237"/>
      <c r="H495" s="1237"/>
      <c r="I495" s="1237"/>
      <c r="J495" s="1237"/>
      <c r="K495" s="1237"/>
      <c r="L495" s="1237"/>
      <c r="M495" s="1237"/>
      <c r="N495" s="1237"/>
      <c r="O495" s="2024"/>
      <c r="P495" s="2024"/>
      <c r="Q495" s="1238"/>
      <c r="R495" s="1239"/>
    </row>
    <row r="496" spans="1:18" ht="18.75" customHeight="1">
      <c r="A496" s="2339"/>
      <c r="B496" s="2267"/>
      <c r="C496" s="1237"/>
      <c r="D496" s="1237"/>
      <c r="E496" s="1237"/>
      <c r="F496" s="1237"/>
      <c r="G496" s="1237"/>
      <c r="H496" s="1237"/>
      <c r="I496" s="1237"/>
      <c r="J496" s="1237"/>
      <c r="K496" s="1237"/>
      <c r="L496" s="1237"/>
      <c r="M496" s="1237"/>
      <c r="N496" s="1237"/>
      <c r="O496" s="2024"/>
      <c r="P496" s="2024"/>
      <c r="Q496" s="1238"/>
      <c r="R496" s="1239"/>
    </row>
    <row r="497" spans="1:22" ht="18.75" customHeight="1">
      <c r="A497" s="2339"/>
      <c r="B497" s="2267"/>
      <c r="C497" s="1237"/>
      <c r="D497" s="1237"/>
      <c r="E497" s="1237"/>
      <c r="F497" s="1237"/>
      <c r="G497" s="1237"/>
      <c r="H497" s="1237"/>
      <c r="I497" s="1237"/>
      <c r="J497" s="1237"/>
      <c r="K497" s="1237"/>
      <c r="L497" s="1237"/>
      <c r="M497" s="1237"/>
      <c r="N497" s="1237"/>
      <c r="O497" s="2024"/>
      <c r="P497" s="2024"/>
      <c r="Q497" s="1238"/>
      <c r="R497" s="1239"/>
    </row>
    <row r="498" spans="1:22" ht="18.75" customHeight="1">
      <c r="A498" s="2339"/>
      <c r="B498" s="2267"/>
      <c r="C498" s="1237"/>
      <c r="D498" s="1237"/>
      <c r="E498" s="1237"/>
      <c r="F498" s="1237"/>
      <c r="G498" s="1237"/>
      <c r="H498" s="1237"/>
      <c r="I498" s="1237"/>
      <c r="J498" s="1237"/>
      <c r="K498" s="1237"/>
      <c r="L498" s="1237"/>
      <c r="M498" s="1237"/>
      <c r="N498" s="1237"/>
      <c r="O498" s="2024"/>
      <c r="P498" s="2024"/>
      <c r="Q498" s="1238"/>
      <c r="R498" s="1239"/>
    </row>
    <row r="499" spans="1:22" ht="18.75" customHeight="1" thickBot="1">
      <c r="A499" s="2339"/>
      <c r="B499" s="2267"/>
      <c r="C499" s="1237"/>
      <c r="D499" s="1237"/>
      <c r="E499" s="1237"/>
      <c r="F499" s="1237"/>
      <c r="G499" s="1237"/>
      <c r="H499" s="1237"/>
      <c r="I499" s="1237"/>
      <c r="J499" s="1237"/>
      <c r="K499" s="1237"/>
      <c r="L499" s="1237"/>
      <c r="M499" s="1237"/>
      <c r="N499" s="1237"/>
      <c r="O499" s="2024"/>
      <c r="P499" s="2024"/>
      <c r="Q499" s="1238"/>
      <c r="R499" s="1239"/>
    </row>
    <row r="500" spans="1:22" ht="18.75" customHeight="1" thickBot="1">
      <c r="A500" s="2339"/>
      <c r="B500" s="2338"/>
      <c r="C500" s="1610"/>
      <c r="D500" s="1610"/>
      <c r="E500" s="1610"/>
      <c r="F500" s="1610"/>
      <c r="G500" s="1610"/>
      <c r="H500" s="1610"/>
      <c r="I500" s="1610"/>
      <c r="J500" s="1610"/>
      <c r="K500" s="1610"/>
      <c r="L500" s="1610"/>
      <c r="M500" s="1610"/>
      <c r="N500" s="1610"/>
      <c r="O500" s="2036"/>
      <c r="P500" s="2024"/>
      <c r="Q500" s="1611"/>
      <c r="R500" s="1982"/>
      <c r="S500" s="2960"/>
      <c r="T500" s="2960"/>
    </row>
    <row r="501" spans="1:22" ht="18.75" customHeight="1">
      <c r="A501" s="2339"/>
      <c r="B501" s="2266"/>
      <c r="C501" s="1585"/>
      <c r="D501" s="1585"/>
      <c r="E501" s="1585"/>
      <c r="F501" s="1585"/>
      <c r="G501" s="1585"/>
      <c r="H501" s="1585"/>
      <c r="I501" s="1585"/>
      <c r="J501" s="1585"/>
      <c r="K501" s="1585"/>
      <c r="L501" s="1585"/>
      <c r="M501" s="1585"/>
      <c r="N501" s="1585"/>
      <c r="O501" s="2026"/>
      <c r="P501" s="2024"/>
      <c r="Q501" s="1586"/>
      <c r="R501" s="1587"/>
      <c r="S501" s="1981"/>
      <c r="T501" s="2958"/>
    </row>
    <row r="502" spans="1:22" ht="18.75" customHeight="1">
      <c r="A502" s="2339"/>
      <c r="B502" s="2267"/>
      <c r="C502" s="1237"/>
      <c r="D502" s="1237"/>
      <c r="E502" s="1237"/>
      <c r="F502" s="1237"/>
      <c r="G502" s="1237"/>
      <c r="H502" s="1237"/>
      <c r="I502" s="1237"/>
      <c r="J502" s="1237"/>
      <c r="K502" s="1237"/>
      <c r="L502" s="1237"/>
      <c r="M502" s="1574"/>
      <c r="N502" s="1574"/>
      <c r="O502" s="2024"/>
      <c r="P502" s="2024"/>
      <c r="Q502" s="1238"/>
      <c r="R502" s="1239"/>
      <c r="S502" s="1981"/>
      <c r="T502" s="2958"/>
    </row>
    <row r="503" spans="1:22" ht="18.75" customHeight="1">
      <c r="A503" s="2339"/>
      <c r="B503" s="2267"/>
      <c r="C503" s="1237"/>
      <c r="D503" s="1237"/>
      <c r="E503" s="1237"/>
      <c r="F503" s="1237"/>
      <c r="G503" s="1237"/>
      <c r="H503" s="1237"/>
      <c r="I503" s="1237"/>
      <c r="J503" s="1237"/>
      <c r="K503" s="1237"/>
      <c r="L503" s="1237"/>
      <c r="M503" s="1574"/>
      <c r="N503" s="1574"/>
      <c r="O503" s="2024"/>
      <c r="P503" s="2024"/>
      <c r="Q503" s="1238"/>
      <c r="R503" s="1239"/>
      <c r="S503" s="1981"/>
      <c r="T503" s="2958"/>
    </row>
    <row r="504" spans="1:22" ht="18.75" customHeight="1">
      <c r="A504" s="2339"/>
      <c r="B504" s="2267"/>
      <c r="C504" s="1237"/>
      <c r="D504" s="1237"/>
      <c r="E504" s="1237"/>
      <c r="F504" s="1237"/>
      <c r="G504" s="1237"/>
      <c r="H504" s="1237"/>
      <c r="I504" s="1237"/>
      <c r="J504" s="2258"/>
      <c r="K504" s="2258"/>
      <c r="L504" s="2258"/>
      <c r="M504" s="1574"/>
      <c r="N504" s="1574"/>
      <c r="O504" s="2024"/>
      <c r="P504" s="2024"/>
      <c r="Q504" s="1238"/>
      <c r="R504" s="1239"/>
      <c r="S504" s="1981"/>
      <c r="T504" s="2958"/>
    </row>
    <row r="505" spans="1:22" ht="18.75" customHeight="1">
      <c r="A505" s="2339"/>
      <c r="B505" s="2267"/>
      <c r="C505" s="1237"/>
      <c r="D505" s="1237"/>
      <c r="E505" s="1237"/>
      <c r="F505" s="1237"/>
      <c r="G505" s="1237"/>
      <c r="H505" s="1237"/>
      <c r="I505" s="1237"/>
      <c r="J505" s="1237"/>
      <c r="K505" s="1237"/>
      <c r="L505" s="1237"/>
      <c r="M505" s="1574"/>
      <c r="N505" s="1574"/>
      <c r="O505" s="2024"/>
      <c r="P505" s="2024"/>
      <c r="Q505" s="1238"/>
      <c r="R505" s="1239"/>
      <c r="S505" s="1981"/>
      <c r="T505" s="2958"/>
    </row>
    <row r="506" spans="1:22" ht="18.75" customHeight="1">
      <c r="A506" s="2339"/>
      <c r="B506" s="2267"/>
      <c r="C506" s="1237"/>
      <c r="D506" s="1237"/>
      <c r="E506" s="1237"/>
      <c r="F506" s="1237"/>
      <c r="G506" s="1237"/>
      <c r="H506" s="1237"/>
      <c r="I506" s="1237"/>
      <c r="J506" s="1237"/>
      <c r="K506" s="1237"/>
      <c r="L506" s="1237"/>
      <c r="M506" s="1574"/>
      <c r="N506" s="1574"/>
      <c r="O506" s="2024"/>
      <c r="P506" s="2024"/>
      <c r="Q506" s="1238"/>
      <c r="R506" s="1239"/>
      <c r="S506" s="1981"/>
      <c r="T506" s="2958"/>
    </row>
    <row r="507" spans="1:22" ht="18.75" customHeight="1">
      <c r="A507" s="2339"/>
      <c r="B507" s="2268"/>
      <c r="C507" s="1540"/>
      <c r="D507" s="1540"/>
      <c r="E507" s="1540"/>
      <c r="F507" s="1540"/>
      <c r="G507" s="1540"/>
      <c r="H507" s="1540"/>
      <c r="I507" s="1540"/>
      <c r="J507" s="1540"/>
      <c r="K507" s="1540"/>
      <c r="L507" s="1540"/>
      <c r="M507" s="1574"/>
      <c r="N507" s="1574"/>
      <c r="O507" s="2024"/>
      <c r="P507" s="2024"/>
      <c r="Q507" s="1541"/>
      <c r="R507" s="1239"/>
      <c r="S507" s="1981"/>
      <c r="T507" s="2959"/>
    </row>
    <row r="508" spans="1:22" ht="18.75" customHeight="1">
      <c r="A508" s="2339"/>
      <c r="B508" s="2267"/>
      <c r="C508" s="1237"/>
      <c r="D508" s="1237"/>
      <c r="E508" s="1237"/>
      <c r="F508" s="1237"/>
      <c r="G508" s="1237"/>
      <c r="H508" s="1237"/>
      <c r="I508" s="1237"/>
      <c r="J508" s="1237"/>
      <c r="K508" s="1237"/>
      <c r="L508" s="1237"/>
      <c r="M508" s="1574"/>
      <c r="N508" s="1574"/>
      <c r="O508" s="2024"/>
      <c r="P508" s="2024"/>
      <c r="Q508" s="1238"/>
      <c r="R508" s="1605"/>
      <c r="S508" s="1981"/>
      <c r="T508" s="2959"/>
    </row>
    <row r="509" spans="1:22" ht="18.75" customHeight="1">
      <c r="A509" s="2339"/>
      <c r="B509" s="2268"/>
      <c r="C509" s="1540"/>
      <c r="D509" s="1540"/>
      <c r="E509" s="1540"/>
      <c r="F509" s="1540"/>
      <c r="G509" s="1540"/>
      <c r="H509" s="1540"/>
      <c r="I509" s="1540"/>
      <c r="J509" s="2258"/>
      <c r="K509" s="2258"/>
      <c r="L509" s="2258"/>
      <c r="M509" s="1574"/>
      <c r="N509" s="1574"/>
      <c r="O509" s="2024"/>
      <c r="P509" s="2024"/>
      <c r="Q509" s="1541"/>
      <c r="R509" s="1606"/>
      <c r="S509" s="1981"/>
      <c r="T509" s="2959"/>
      <c r="V509" s="31" t="s">
        <v>1241</v>
      </c>
    </row>
    <row r="510" spans="1:22" ht="18.75" customHeight="1">
      <c r="A510" s="2339"/>
      <c r="B510" s="2267"/>
      <c r="C510" s="1237"/>
      <c r="D510" s="1237"/>
      <c r="E510" s="1237"/>
      <c r="F510" s="1237"/>
      <c r="G510" s="1237"/>
      <c r="H510" s="1237"/>
      <c r="I510" s="1237"/>
      <c r="J510" s="1237"/>
      <c r="K510" s="1237"/>
      <c r="L510" s="1237"/>
      <c r="M510" s="1574"/>
      <c r="N510" s="1574"/>
      <c r="O510" s="2024"/>
      <c r="P510" s="2024"/>
      <c r="Q510" s="1238"/>
      <c r="R510" s="1239"/>
      <c r="S510" s="1981"/>
      <c r="T510" s="2959"/>
    </row>
    <row r="511" spans="1:22" ht="18.75" customHeight="1">
      <c r="A511" s="2339"/>
      <c r="B511" s="1590"/>
      <c r="C511" s="1574"/>
      <c r="D511" s="1574"/>
      <c r="E511" s="1574"/>
      <c r="F511" s="1574"/>
      <c r="G511" s="1574"/>
      <c r="H511" s="1574"/>
      <c r="I511" s="1574"/>
      <c r="J511" s="1574"/>
      <c r="K511" s="1574"/>
      <c r="L511" s="1574"/>
      <c r="M511" s="1574"/>
      <c r="N511" s="1574"/>
      <c r="O511" s="2024"/>
      <c r="P511" s="2024"/>
      <c r="Q511" s="1575"/>
      <c r="R511" s="466"/>
      <c r="S511" s="1981"/>
      <c r="T511" s="2959"/>
    </row>
    <row r="512" spans="1:22" ht="18.75" customHeight="1">
      <c r="A512" s="2339"/>
      <c r="B512" s="2268"/>
      <c r="C512" s="1540"/>
      <c r="D512" s="1540"/>
      <c r="E512" s="1540"/>
      <c r="F512" s="1540"/>
      <c r="G512" s="1540"/>
      <c r="H512" s="1540"/>
      <c r="I512" s="1540"/>
      <c r="J512" s="1540"/>
      <c r="K512" s="1540"/>
      <c r="L512" s="1540"/>
      <c r="M512" s="1935"/>
      <c r="N512" s="1574"/>
      <c r="O512" s="2024"/>
      <c r="P512" s="2024"/>
      <c r="Q512" s="1238"/>
      <c r="R512" s="1239"/>
      <c r="S512" s="1981"/>
      <c r="T512" s="2959"/>
    </row>
    <row r="513" spans="1:22" ht="18.75" customHeight="1">
      <c r="A513" s="2339"/>
      <c r="B513" s="2267"/>
      <c r="C513" s="1237"/>
      <c r="D513" s="1237"/>
      <c r="E513" s="1237"/>
      <c r="F513" s="1237"/>
      <c r="G513" s="1237"/>
      <c r="H513" s="1237"/>
      <c r="I513" s="1237"/>
      <c r="J513" s="1237"/>
      <c r="K513" s="1237"/>
      <c r="L513" s="1237"/>
      <c r="M513" s="1237"/>
      <c r="N513" s="1590"/>
      <c r="O513" s="2024"/>
      <c r="P513" s="2024"/>
      <c r="Q513" s="1541"/>
      <c r="R513" s="1591"/>
      <c r="S513" s="1981"/>
      <c r="T513" s="2959"/>
    </row>
    <row r="514" spans="1:22" ht="18.75" customHeight="1">
      <c r="A514" s="2339"/>
      <c r="B514" s="2267"/>
      <c r="C514" s="1237"/>
      <c r="D514" s="1237"/>
      <c r="E514" s="1237"/>
      <c r="F514" s="1237"/>
      <c r="G514" s="1237"/>
      <c r="H514" s="1237"/>
      <c r="I514" s="1237"/>
      <c r="J514" s="1237"/>
      <c r="K514" s="1237"/>
      <c r="L514" s="1237"/>
      <c r="M514" s="1237"/>
      <c r="N514" s="1590"/>
      <c r="O514" s="2024"/>
      <c r="P514" s="2024"/>
      <c r="Q514" s="1940"/>
      <c r="R514" s="1943"/>
      <c r="S514" s="1981"/>
      <c r="T514" s="2959"/>
    </row>
    <row r="515" spans="1:22" ht="18.75" customHeight="1">
      <c r="A515" s="2339"/>
      <c r="B515" s="2267"/>
      <c r="C515" s="1237"/>
      <c r="D515" s="1237"/>
      <c r="E515" s="1237"/>
      <c r="F515" s="1237"/>
      <c r="G515" s="1237"/>
      <c r="H515" s="1237"/>
      <c r="I515" s="1237"/>
      <c r="J515" s="1237"/>
      <c r="K515" s="1237"/>
      <c r="L515" s="1237"/>
      <c r="M515" s="1237"/>
      <c r="N515" s="1590"/>
      <c r="O515" s="2024"/>
      <c r="P515" s="2024"/>
      <c r="Q515" s="1575"/>
      <c r="R515" s="466"/>
      <c r="S515" s="1981"/>
      <c r="T515" s="2959"/>
    </row>
    <row r="516" spans="1:22" ht="18.75" customHeight="1">
      <c r="A516" s="2339"/>
      <c r="B516" s="2267"/>
      <c r="C516" s="1237"/>
      <c r="D516" s="1237"/>
      <c r="E516" s="1237"/>
      <c r="F516" s="1237"/>
      <c r="G516" s="1237"/>
      <c r="H516" s="1237"/>
      <c r="I516" s="1237"/>
      <c r="J516" s="1237"/>
      <c r="K516" s="1237"/>
      <c r="L516" s="1237"/>
      <c r="M516" s="1237"/>
      <c r="N516" s="1590"/>
      <c r="O516" s="2024"/>
      <c r="P516" s="2024"/>
      <c r="Q516" s="1238"/>
      <c r="R516" s="1239"/>
      <c r="S516" s="1981"/>
      <c r="T516" s="2959"/>
    </row>
    <row r="517" spans="1:22" ht="18.75" customHeight="1">
      <c r="A517" s="2339"/>
      <c r="B517" s="1590"/>
      <c r="C517" s="1574"/>
      <c r="D517" s="1574"/>
      <c r="E517" s="1574"/>
      <c r="F517" s="1574"/>
      <c r="G517" s="1574"/>
      <c r="H517" s="1574"/>
      <c r="I517" s="1574"/>
      <c r="J517" s="1574"/>
      <c r="K517" s="1574"/>
      <c r="L517" s="1574"/>
      <c r="M517" s="1574"/>
      <c r="N517" s="1574"/>
      <c r="O517" s="2024"/>
      <c r="P517" s="2024"/>
      <c r="Q517" s="1238"/>
      <c r="R517" s="1239"/>
      <c r="S517" s="1981"/>
      <c r="T517" s="2959"/>
    </row>
    <row r="518" spans="1:22" ht="18.75" customHeight="1">
      <c r="A518" s="2339"/>
      <c r="B518" s="2267"/>
      <c r="C518" s="1237"/>
      <c r="D518" s="1237"/>
      <c r="E518" s="1237"/>
      <c r="F518" s="1237"/>
      <c r="G518" s="1237"/>
      <c r="H518" s="1237"/>
      <c r="I518" s="1237"/>
      <c r="J518" s="1237"/>
      <c r="K518" s="1237"/>
      <c r="L518" s="1237"/>
      <c r="M518" s="1574"/>
      <c r="N518" s="1574"/>
      <c r="O518" s="2024"/>
      <c r="P518" s="2024"/>
      <c r="Q518" s="1238"/>
      <c r="R518" s="1239"/>
      <c r="S518" s="1981"/>
      <c r="T518" s="2959"/>
    </row>
    <row r="519" spans="1:22" ht="18.75" customHeight="1">
      <c r="A519" s="2339"/>
      <c r="B519" s="2267"/>
      <c r="C519" s="1237"/>
      <c r="D519" s="1237"/>
      <c r="E519" s="1237"/>
      <c r="F519" s="1237"/>
      <c r="G519" s="1237"/>
      <c r="H519" s="1237"/>
      <c r="I519" s="1237"/>
      <c r="J519" s="2258"/>
      <c r="K519" s="2258"/>
      <c r="L519" s="2258"/>
      <c r="M519" s="1574"/>
      <c r="N519" s="1574"/>
      <c r="O519" s="2024"/>
      <c r="P519" s="2024"/>
      <c r="Q519" s="1238"/>
      <c r="R519" s="1239"/>
      <c r="S519" s="1981"/>
      <c r="T519" s="2959"/>
      <c r="V519" s="31" t="s">
        <v>1241</v>
      </c>
    </row>
    <row r="520" spans="1:22" ht="18.75" customHeight="1">
      <c r="A520" s="2339"/>
      <c r="B520" s="2267"/>
      <c r="C520" s="1237"/>
      <c r="D520" s="1237"/>
      <c r="E520" s="1237"/>
      <c r="F520" s="1237"/>
      <c r="G520" s="1237"/>
      <c r="H520" s="1237"/>
      <c r="I520" s="1237"/>
      <c r="J520" s="1237"/>
      <c r="K520" s="1604"/>
      <c r="L520" s="1237"/>
      <c r="M520" s="1574"/>
      <c r="N520" s="1574"/>
      <c r="O520" s="2024"/>
      <c r="P520" s="2024"/>
      <c r="Q520" s="1238"/>
      <c r="R520" s="1239"/>
      <c r="S520" s="1981"/>
      <c r="T520" s="2959"/>
    </row>
    <row r="521" spans="1:22" ht="18.75" customHeight="1">
      <c r="A521" s="2339"/>
      <c r="B521" s="2267"/>
      <c r="C521" s="1237"/>
      <c r="D521" s="1237"/>
      <c r="E521" s="1237"/>
      <c r="F521" s="1237"/>
      <c r="G521" s="1237"/>
      <c r="H521" s="1237"/>
      <c r="I521" s="1237"/>
      <c r="J521" s="1237"/>
      <c r="K521" s="1604"/>
      <c r="L521" s="1237"/>
      <c r="M521" s="1574"/>
      <c r="N521" s="1574"/>
      <c r="O521" s="2024"/>
      <c r="P521" s="2024"/>
      <c r="Q521" s="1238"/>
      <c r="R521" s="1239"/>
      <c r="S521" s="1981"/>
      <c r="T521" s="2959"/>
    </row>
    <row r="522" spans="1:22" ht="18.75" customHeight="1">
      <c r="A522" s="2339"/>
      <c r="B522" s="2267"/>
      <c r="C522" s="1237"/>
      <c r="D522" s="1237"/>
      <c r="E522" s="1237"/>
      <c r="F522" s="1237"/>
      <c r="G522" s="1237"/>
      <c r="H522" s="1237"/>
      <c r="I522" s="1237"/>
      <c r="J522" s="1237"/>
      <c r="K522" s="1237"/>
      <c r="L522" s="1237"/>
      <c r="M522" s="1574"/>
      <c r="N522" s="1574"/>
      <c r="O522" s="2024"/>
      <c r="P522" s="2024"/>
      <c r="Q522" s="1238"/>
      <c r="R522" s="1239"/>
      <c r="S522" s="1981"/>
      <c r="T522" s="2959"/>
    </row>
    <row r="523" spans="1:22" ht="18.75" customHeight="1">
      <c r="A523" s="2339"/>
      <c r="B523" s="2267"/>
      <c r="C523" s="1237"/>
      <c r="D523" s="1237"/>
      <c r="E523" s="1237"/>
      <c r="F523" s="1237"/>
      <c r="G523" s="1237"/>
      <c r="H523" s="1237"/>
      <c r="I523" s="1237"/>
      <c r="J523" s="1237"/>
      <c r="K523" s="1237"/>
      <c r="L523" s="1237"/>
      <c r="M523" s="1574"/>
      <c r="N523" s="1574"/>
      <c r="O523" s="2024"/>
      <c r="P523" s="2024"/>
      <c r="Q523" s="1238"/>
      <c r="R523" s="1239"/>
      <c r="S523" s="1981"/>
      <c r="T523" s="2959"/>
    </row>
    <row r="524" spans="1:22" ht="18.75" customHeight="1">
      <c r="A524" s="2339"/>
      <c r="B524" s="2267"/>
      <c r="C524" s="1237"/>
      <c r="D524" s="1237"/>
      <c r="E524" s="1237"/>
      <c r="F524" s="1237"/>
      <c r="G524" s="1237"/>
      <c r="H524" s="1237"/>
      <c r="I524" s="1237"/>
      <c r="J524" s="2258"/>
      <c r="K524" s="2258"/>
      <c r="L524" s="2258"/>
      <c r="M524" s="1574"/>
      <c r="N524" s="1574"/>
      <c r="O524" s="2024"/>
      <c r="P524" s="2024"/>
      <c r="Q524" s="1238"/>
      <c r="R524" s="1239"/>
      <c r="S524" s="1981"/>
      <c r="T524" s="2959"/>
    </row>
    <row r="525" spans="1:22" ht="18.75" customHeight="1">
      <c r="A525" s="2339"/>
      <c r="B525" s="2267"/>
      <c r="C525" s="1237"/>
      <c r="D525" s="1237"/>
      <c r="E525" s="1237"/>
      <c r="F525" s="1237"/>
      <c r="G525" s="1237"/>
      <c r="H525" s="1237"/>
      <c r="I525" s="1237"/>
      <c r="J525" s="1237"/>
      <c r="K525" s="1237"/>
      <c r="L525" s="1237"/>
      <c r="M525" s="1574"/>
      <c r="N525" s="1574"/>
      <c r="O525" s="2024"/>
      <c r="P525" s="2024"/>
      <c r="Q525" s="1238"/>
      <c r="R525" s="1239"/>
      <c r="S525" s="1981"/>
      <c r="T525" s="2959"/>
    </row>
    <row r="526" spans="1:22" ht="18.75" customHeight="1">
      <c r="A526" s="2339"/>
      <c r="B526" s="2267"/>
      <c r="C526" s="1237"/>
      <c r="D526" s="1237"/>
      <c r="E526" s="1237"/>
      <c r="F526" s="1237"/>
      <c r="G526" s="1237"/>
      <c r="H526" s="1237"/>
      <c r="I526" s="1237"/>
      <c r="J526" s="1237"/>
      <c r="K526" s="1237"/>
      <c r="L526" s="1237"/>
      <c r="M526" s="1574"/>
      <c r="N526" s="1574"/>
      <c r="O526" s="2024"/>
      <c r="P526" s="2024"/>
      <c r="Q526" s="1238"/>
      <c r="R526" s="1239"/>
      <c r="S526" s="1981"/>
      <c r="T526" s="2959"/>
    </row>
    <row r="527" spans="1:22" ht="18.75" customHeight="1">
      <c r="A527" s="2339"/>
      <c r="B527" s="2267"/>
      <c r="C527" s="1237"/>
      <c r="D527" s="1237"/>
      <c r="E527" s="1237"/>
      <c r="F527" s="1237"/>
      <c r="G527" s="1237"/>
      <c r="H527" s="1237"/>
      <c r="I527" s="1237"/>
      <c r="J527" s="1237"/>
      <c r="K527" s="1237"/>
      <c r="L527" s="1237"/>
      <c r="M527" s="1574"/>
      <c r="N527" s="1574"/>
      <c r="O527" s="2024"/>
      <c r="P527" s="2024"/>
      <c r="Q527" s="1238"/>
      <c r="R527" s="1239"/>
      <c r="S527" s="1981"/>
      <c r="T527" s="2959"/>
    </row>
    <row r="528" spans="1:22" ht="18.75" customHeight="1">
      <c r="A528" s="2339"/>
      <c r="B528" s="2267"/>
      <c r="C528" s="1237"/>
      <c r="D528" s="1237"/>
      <c r="E528" s="1237"/>
      <c r="F528" s="1237"/>
      <c r="G528" s="1237"/>
      <c r="H528" s="1237"/>
      <c r="I528" s="1237"/>
      <c r="J528" s="1237"/>
      <c r="K528" s="1237"/>
      <c r="L528" s="1237"/>
      <c r="M528" s="1574"/>
      <c r="N528" s="1237"/>
      <c r="O528" s="2024"/>
      <c r="P528" s="2024"/>
      <c r="Q528" s="1238"/>
      <c r="R528" s="1239"/>
      <c r="T528" s="2959"/>
    </row>
    <row r="529" spans="1:22" ht="18.75" customHeight="1">
      <c r="A529" s="2339"/>
      <c r="B529" s="2267"/>
      <c r="C529" s="1237"/>
      <c r="D529" s="1237"/>
      <c r="E529" s="1237"/>
      <c r="F529" s="1237"/>
      <c r="G529" s="1237"/>
      <c r="H529" s="1237"/>
      <c r="I529" s="1237"/>
      <c r="J529" s="1237"/>
      <c r="K529" s="1237"/>
      <c r="L529" s="1237"/>
      <c r="M529" s="1574"/>
      <c r="N529" s="1237"/>
      <c r="O529" s="2024"/>
      <c r="P529" s="2024"/>
      <c r="Q529" s="1238"/>
      <c r="R529" s="1239"/>
      <c r="T529" s="2959"/>
    </row>
    <row r="530" spans="1:22" ht="18.75" customHeight="1">
      <c r="A530" s="2339"/>
      <c r="B530" s="2267"/>
      <c r="C530" s="1237"/>
      <c r="D530" s="1237"/>
      <c r="E530" s="1237"/>
      <c r="F530" s="1237"/>
      <c r="G530" s="1237"/>
      <c r="H530" s="1237"/>
      <c r="I530" s="1237"/>
      <c r="J530" s="1237"/>
      <c r="K530" s="1237"/>
      <c r="L530" s="1237"/>
      <c r="M530" s="1574"/>
      <c r="N530" s="1237"/>
      <c r="O530" s="2024"/>
      <c r="P530" s="2024"/>
      <c r="Q530" s="1238"/>
      <c r="R530" s="1239"/>
      <c r="T530" s="2959"/>
    </row>
    <row r="531" spans="1:22" ht="18.75" customHeight="1">
      <c r="A531" s="2339"/>
      <c r="B531" s="2267"/>
      <c r="C531" s="1237"/>
      <c r="D531" s="1237"/>
      <c r="E531" s="1237"/>
      <c r="F531" s="1237"/>
      <c r="G531" s="1237"/>
      <c r="H531" s="1237"/>
      <c r="I531" s="1237"/>
      <c r="J531" s="1237"/>
      <c r="K531" s="1237"/>
      <c r="L531" s="1237"/>
      <c r="M531" s="1574"/>
      <c r="N531" s="1237"/>
      <c r="O531" s="2024"/>
      <c r="P531" s="2024"/>
      <c r="Q531" s="1238"/>
      <c r="R531" s="1239"/>
      <c r="T531" s="2959"/>
    </row>
    <row r="532" spans="1:22" ht="18.75" customHeight="1">
      <c r="A532" s="2339"/>
      <c r="B532" s="2267"/>
      <c r="C532" s="1237"/>
      <c r="D532" s="1237"/>
      <c r="E532" s="1237"/>
      <c r="F532" s="1237"/>
      <c r="G532" s="1237"/>
      <c r="H532" s="1237"/>
      <c r="I532" s="1237"/>
      <c r="J532" s="1237"/>
      <c r="K532" s="1237"/>
      <c r="L532" s="1237"/>
      <c r="M532" s="1574"/>
      <c r="N532" s="1237"/>
      <c r="O532" s="2024"/>
      <c r="P532" s="2024"/>
      <c r="Q532" s="1238"/>
      <c r="R532" s="1239"/>
      <c r="T532" s="2959"/>
    </row>
    <row r="533" spans="1:22" ht="18.75" customHeight="1">
      <c r="A533" s="2339"/>
      <c r="B533" s="2267"/>
      <c r="C533" s="1237"/>
      <c r="D533" s="1237"/>
      <c r="E533" s="1237"/>
      <c r="F533" s="1237"/>
      <c r="G533" s="1237"/>
      <c r="H533" s="1237"/>
      <c r="I533" s="1237"/>
      <c r="J533" s="1237"/>
      <c r="K533" s="1237"/>
      <c r="L533" s="1237"/>
      <c r="M533" s="1574"/>
      <c r="N533" s="1237"/>
      <c r="O533" s="2024"/>
      <c r="P533" s="2024"/>
      <c r="Q533" s="1238"/>
      <c r="R533" s="1239"/>
      <c r="T533" s="2959"/>
    </row>
    <row r="534" spans="1:22" ht="18.75" customHeight="1">
      <c r="A534" s="2339"/>
      <c r="B534" s="2267"/>
      <c r="C534" s="1237"/>
      <c r="D534" s="1237"/>
      <c r="E534" s="1237"/>
      <c r="F534" s="1237"/>
      <c r="G534" s="1237"/>
      <c r="H534" s="1237"/>
      <c r="I534" s="1237"/>
      <c r="J534" s="1237"/>
      <c r="K534" s="1237"/>
      <c r="L534" s="1237"/>
      <c r="M534" s="1237"/>
      <c r="N534" s="1237"/>
      <c r="O534" s="2024"/>
      <c r="P534" s="2024"/>
      <c r="Q534" s="1238"/>
      <c r="R534" s="1239"/>
      <c r="S534" s="1981"/>
      <c r="T534" s="2959"/>
    </row>
    <row r="535" spans="1:22" ht="18.75" customHeight="1">
      <c r="A535" s="2339"/>
      <c r="B535" s="2267"/>
      <c r="C535" s="1237"/>
      <c r="D535" s="1237"/>
      <c r="E535" s="1237"/>
      <c r="F535" s="1237"/>
      <c r="G535" s="1237"/>
      <c r="H535" s="1237"/>
      <c r="I535" s="1237"/>
      <c r="J535" s="2258"/>
      <c r="K535" s="2258"/>
      <c r="L535" s="2258"/>
      <c r="M535" s="1237"/>
      <c r="N535" s="1237"/>
      <c r="O535" s="2024"/>
      <c r="P535" s="2024"/>
      <c r="Q535" s="1238"/>
      <c r="R535" s="1239"/>
      <c r="S535" s="1981"/>
      <c r="T535" s="2959"/>
      <c r="V535" s="31" t="s">
        <v>1241</v>
      </c>
    </row>
    <row r="536" spans="1:22" ht="18.75" customHeight="1">
      <c r="A536" s="2339"/>
      <c r="B536" s="2267"/>
      <c r="C536" s="1237"/>
      <c r="D536" s="1237"/>
      <c r="E536" s="1237"/>
      <c r="F536" s="1237"/>
      <c r="G536" s="1237"/>
      <c r="H536" s="1237"/>
      <c r="I536" s="1237"/>
      <c r="J536" s="1237"/>
      <c r="K536" s="1237"/>
      <c r="L536" s="1237"/>
      <c r="M536" s="1237"/>
      <c r="N536" s="1237"/>
      <c r="O536" s="2024"/>
      <c r="P536" s="2024"/>
      <c r="Q536" s="1238"/>
      <c r="R536" s="1239"/>
      <c r="S536" s="1981"/>
      <c r="T536" s="2959"/>
    </row>
    <row r="537" spans="1:22" ht="18.75" customHeight="1">
      <c r="A537" s="2339"/>
      <c r="B537" s="2267"/>
      <c r="C537" s="1237"/>
      <c r="D537" s="1237"/>
      <c r="E537" s="1237"/>
      <c r="F537" s="1237"/>
      <c r="G537" s="1237"/>
      <c r="H537" s="1237"/>
      <c r="I537" s="1237"/>
      <c r="J537" s="1237"/>
      <c r="K537" s="1237"/>
      <c r="L537" s="1237"/>
      <c r="M537" s="1237"/>
      <c r="N537" s="1237"/>
      <c r="O537" s="2024"/>
      <c r="P537" s="2024"/>
      <c r="Q537" s="1238"/>
      <c r="R537" s="1239"/>
      <c r="S537" s="1981"/>
      <c r="T537" s="2959"/>
    </row>
    <row r="538" spans="1:22" ht="18.75" customHeight="1">
      <c r="A538" s="2339"/>
      <c r="B538" s="2267"/>
      <c r="C538" s="1237"/>
      <c r="D538" s="1237"/>
      <c r="E538" s="1237"/>
      <c r="F538" s="1237"/>
      <c r="G538" s="1237"/>
      <c r="H538" s="1237"/>
      <c r="I538" s="1237"/>
      <c r="J538" s="1237"/>
      <c r="K538" s="1237"/>
      <c r="L538" s="1237"/>
      <c r="M538" s="1237"/>
      <c r="N538" s="1237"/>
      <c r="O538" s="2024"/>
      <c r="P538" s="2024"/>
      <c r="Q538" s="1238"/>
      <c r="R538" s="1239"/>
      <c r="S538" s="1981"/>
      <c r="T538" s="2959"/>
    </row>
    <row r="539" spans="1:22" ht="18.75" customHeight="1">
      <c r="A539" s="2339"/>
      <c r="B539" s="2267"/>
      <c r="C539" s="1237"/>
      <c r="D539" s="1237"/>
      <c r="E539" s="1237"/>
      <c r="F539" s="1237"/>
      <c r="G539" s="1237"/>
      <c r="H539" s="1237"/>
      <c r="I539" s="1237"/>
      <c r="J539" s="1237"/>
      <c r="K539" s="1237"/>
      <c r="L539" s="1237"/>
      <c r="M539" s="1237"/>
      <c r="N539" s="1237"/>
      <c r="O539" s="2024"/>
      <c r="P539" s="2024"/>
      <c r="Q539" s="1238"/>
      <c r="R539" s="1239"/>
      <c r="S539" s="1981"/>
      <c r="T539" s="2959"/>
    </row>
    <row r="540" spans="1:22" ht="18.75" customHeight="1">
      <c r="A540" s="2339"/>
      <c r="B540" s="2267"/>
      <c r="C540" s="1237"/>
      <c r="D540" s="1237"/>
      <c r="E540" s="1237"/>
      <c r="F540" s="1237"/>
      <c r="G540" s="1237"/>
      <c r="H540" s="1237"/>
      <c r="I540" s="1237"/>
      <c r="J540" s="1237"/>
      <c r="K540" s="1237"/>
      <c r="L540" s="1237"/>
      <c r="M540" s="1237"/>
      <c r="N540" s="1237"/>
      <c r="O540" s="2024"/>
      <c r="P540" s="2024"/>
      <c r="Q540" s="1238"/>
      <c r="R540" s="1239"/>
      <c r="S540" s="1981"/>
      <c r="T540" s="2959"/>
    </row>
    <row r="541" spans="1:22" ht="18.75" customHeight="1">
      <c r="A541" s="2339"/>
      <c r="B541" s="2267"/>
      <c r="C541" s="1237"/>
      <c r="D541" s="1237"/>
      <c r="E541" s="1237"/>
      <c r="F541" s="1237"/>
      <c r="G541" s="1237"/>
      <c r="H541" s="1237"/>
      <c r="I541" s="1237"/>
      <c r="J541" s="1237"/>
      <c r="K541" s="1237"/>
      <c r="L541" s="1237"/>
      <c r="M541" s="1237"/>
      <c r="N541" s="1237"/>
      <c r="O541" s="2024"/>
      <c r="P541" s="2024"/>
      <c r="Q541" s="1238"/>
      <c r="R541" s="1239"/>
      <c r="S541" s="1981"/>
      <c r="T541" s="2959"/>
    </row>
    <row r="542" spans="1:22" ht="18.75" customHeight="1">
      <c r="A542" s="2339"/>
      <c r="B542" s="2267"/>
      <c r="C542" s="1237"/>
      <c r="D542" s="1237"/>
      <c r="E542" s="1237"/>
      <c r="F542" s="1237"/>
      <c r="G542" s="1237"/>
      <c r="H542" s="1237"/>
      <c r="I542" s="1237"/>
      <c r="J542" s="1237"/>
      <c r="K542" s="1237"/>
      <c r="L542" s="1237"/>
      <c r="M542" s="1237"/>
      <c r="N542" s="1237"/>
      <c r="O542" s="2024"/>
      <c r="P542" s="2024"/>
      <c r="Q542" s="1238"/>
      <c r="R542" s="1239"/>
      <c r="S542" s="1981"/>
      <c r="T542" s="2959"/>
    </row>
    <row r="543" spans="1:22" ht="18.75" customHeight="1">
      <c r="A543" s="2339"/>
      <c r="B543" s="2267"/>
      <c r="C543" s="1237"/>
      <c r="D543" s="1237"/>
      <c r="E543" s="1237"/>
      <c r="F543" s="1237"/>
      <c r="G543" s="1237"/>
      <c r="H543" s="1237"/>
      <c r="I543" s="1237"/>
      <c r="J543" s="1237"/>
      <c r="K543" s="1237"/>
      <c r="L543" s="1237"/>
      <c r="M543" s="1237"/>
      <c r="N543" s="1237"/>
      <c r="O543" s="2024"/>
      <c r="P543" s="2024"/>
      <c r="Q543" s="1238"/>
      <c r="R543" s="1239"/>
      <c r="S543" s="1981"/>
      <c r="T543" s="2959"/>
    </row>
    <row r="544" spans="1:22" ht="18.75" customHeight="1">
      <c r="A544" s="2339"/>
      <c r="B544" s="2267"/>
      <c r="C544" s="1237"/>
      <c r="D544" s="1237"/>
      <c r="E544" s="1237"/>
      <c r="F544" s="1237"/>
      <c r="G544" s="1237"/>
      <c r="H544" s="1237"/>
      <c r="I544" s="1237"/>
      <c r="J544" s="1237"/>
      <c r="K544" s="1237"/>
      <c r="L544" s="1237"/>
      <c r="M544" s="1237"/>
      <c r="N544" s="1237"/>
      <c r="O544" s="2024"/>
      <c r="P544" s="2024"/>
      <c r="Q544" s="1238"/>
      <c r="R544" s="1239"/>
      <c r="S544" s="1981"/>
      <c r="T544" s="2959"/>
    </row>
    <row r="545" spans="1:22" ht="18.75" customHeight="1">
      <c r="A545" s="2339"/>
      <c r="B545" s="2267"/>
      <c r="C545" s="1237"/>
      <c r="D545" s="1237"/>
      <c r="E545" s="1237"/>
      <c r="F545" s="1237"/>
      <c r="G545" s="1237"/>
      <c r="H545" s="1237"/>
      <c r="I545" s="1237"/>
      <c r="J545" s="2258"/>
      <c r="K545" s="2258"/>
      <c r="L545" s="2258"/>
      <c r="M545" s="1237"/>
      <c r="N545" s="1237"/>
      <c r="O545" s="2024"/>
      <c r="P545" s="2024"/>
      <c r="Q545" s="1238"/>
      <c r="R545" s="1239"/>
      <c r="S545" s="1981"/>
      <c r="T545" s="2959"/>
      <c r="V545" s="31" t="s">
        <v>1241</v>
      </c>
    </row>
    <row r="546" spans="1:22" ht="18.75" customHeight="1">
      <c r="A546" s="2339"/>
      <c r="B546" s="2267"/>
      <c r="C546" s="1237"/>
      <c r="D546" s="1237"/>
      <c r="E546" s="1237"/>
      <c r="F546" s="1237"/>
      <c r="G546" s="1237"/>
      <c r="H546" s="1237"/>
      <c r="I546" s="1237"/>
      <c r="J546" s="1237"/>
      <c r="K546" s="1237"/>
      <c r="L546" s="1237"/>
      <c r="M546" s="1237"/>
      <c r="N546" s="1237"/>
      <c r="O546" s="2024"/>
      <c r="P546" s="2024"/>
      <c r="Q546" s="1238"/>
      <c r="R546" s="1239"/>
      <c r="S546" s="1981"/>
      <c r="T546" s="2959"/>
    </row>
    <row r="547" spans="1:22" ht="18.75" customHeight="1">
      <c r="A547" s="2339"/>
      <c r="B547" s="2267"/>
      <c r="C547" s="1237"/>
      <c r="D547" s="1237"/>
      <c r="E547" s="1237"/>
      <c r="F547" s="1237"/>
      <c r="G547" s="1237"/>
      <c r="H547" s="1237"/>
      <c r="I547" s="1237"/>
      <c r="J547" s="1237"/>
      <c r="K547" s="1237"/>
      <c r="L547" s="1237"/>
      <c r="M547" s="1237"/>
      <c r="N547" s="1237"/>
      <c r="O547" s="2024"/>
      <c r="P547" s="2024"/>
      <c r="Q547" s="1238"/>
      <c r="R547" s="1239"/>
      <c r="S547" s="1981"/>
      <c r="T547" s="2959"/>
    </row>
    <row r="548" spans="1:22" ht="18.75" customHeight="1">
      <c r="A548" s="2339"/>
      <c r="B548" s="2267"/>
      <c r="C548" s="1237"/>
      <c r="D548" s="1237"/>
      <c r="E548" s="1237"/>
      <c r="F548" s="1237"/>
      <c r="G548" s="1237"/>
      <c r="H548" s="1237"/>
      <c r="I548" s="1237"/>
      <c r="J548" s="1237"/>
      <c r="K548" s="1237"/>
      <c r="L548" s="1237"/>
      <c r="M548" s="1237"/>
      <c r="N548" s="1237"/>
      <c r="O548" s="2024"/>
      <c r="P548" s="2024"/>
      <c r="Q548" s="1238"/>
      <c r="R548" s="1239"/>
      <c r="S548" s="1981"/>
      <c r="T548" s="2959"/>
    </row>
    <row r="549" spans="1:22" ht="18.75" customHeight="1">
      <c r="A549" s="2339"/>
      <c r="B549" s="2267"/>
      <c r="C549" s="1237"/>
      <c r="D549" s="1237"/>
      <c r="E549" s="1237"/>
      <c r="F549" s="1237"/>
      <c r="G549" s="1237"/>
      <c r="H549" s="1237"/>
      <c r="I549" s="1237"/>
      <c r="J549" s="1237"/>
      <c r="K549" s="1237"/>
      <c r="L549" s="1237"/>
      <c r="M549" s="1237"/>
      <c r="N549" s="1237"/>
      <c r="O549" s="2024"/>
      <c r="P549" s="2024"/>
      <c r="Q549" s="1238"/>
      <c r="R549" s="1239"/>
      <c r="S549" s="1981"/>
      <c r="T549" s="2959"/>
    </row>
    <row r="550" spans="1:22" ht="18.75" customHeight="1">
      <c r="A550" s="2339"/>
      <c r="B550" s="2267"/>
      <c r="C550" s="1237"/>
      <c r="D550" s="1237"/>
      <c r="E550" s="1237"/>
      <c r="F550" s="1237"/>
      <c r="G550" s="1237"/>
      <c r="H550" s="1237"/>
      <c r="I550" s="1237"/>
      <c r="J550" s="2258"/>
      <c r="K550" s="2258"/>
      <c r="L550" s="2258"/>
      <c r="M550" s="1237"/>
      <c r="N550" s="1237"/>
      <c r="O550" s="2024"/>
      <c r="P550" s="2024"/>
      <c r="Q550" s="1238"/>
      <c r="R550" s="1239"/>
      <c r="S550" s="1981"/>
      <c r="T550" s="2959"/>
    </row>
    <row r="551" spans="1:22" ht="18.75" customHeight="1">
      <c r="A551" s="2339"/>
      <c r="B551" s="2267"/>
      <c r="C551" s="1237"/>
      <c r="D551" s="1237"/>
      <c r="E551" s="1237"/>
      <c r="F551" s="1237"/>
      <c r="G551" s="1237"/>
      <c r="H551" s="1237"/>
      <c r="I551" s="1237"/>
      <c r="J551" s="1237"/>
      <c r="K551" s="1237"/>
      <c r="L551" s="1237"/>
      <c r="M551" s="1237"/>
      <c r="N551" s="1237"/>
      <c r="O551" s="2024"/>
      <c r="P551" s="2024"/>
      <c r="Q551" s="1238"/>
      <c r="R551" s="1239"/>
      <c r="S551" s="1981"/>
      <c r="T551" s="2959"/>
    </row>
    <row r="552" spans="1:22" ht="18.75" customHeight="1">
      <c r="A552" s="2339"/>
      <c r="B552" s="2267"/>
      <c r="C552" s="1237"/>
      <c r="D552" s="1237"/>
      <c r="E552" s="1237"/>
      <c r="F552" s="1237"/>
      <c r="G552" s="1237"/>
      <c r="H552" s="1237"/>
      <c r="I552" s="1237"/>
      <c r="J552" s="1237"/>
      <c r="K552" s="1237"/>
      <c r="L552" s="1237"/>
      <c r="M552" s="1237"/>
      <c r="N552" s="1237"/>
      <c r="O552" s="2024"/>
      <c r="P552" s="2024"/>
      <c r="Q552" s="1238"/>
      <c r="R552" s="1239"/>
      <c r="S552" s="1981"/>
      <c r="T552" s="2959"/>
    </row>
    <row r="553" spans="1:22" ht="18.75" customHeight="1">
      <c r="A553" s="2339"/>
      <c r="B553" s="2267"/>
      <c r="C553" s="1237"/>
      <c r="D553" s="1237"/>
      <c r="E553" s="1237"/>
      <c r="F553" s="1237"/>
      <c r="G553" s="1237"/>
      <c r="H553" s="1237"/>
      <c r="I553" s="1237"/>
      <c r="J553" s="1237"/>
      <c r="K553" s="1237"/>
      <c r="L553" s="1237"/>
      <c r="M553" s="1237"/>
      <c r="N553" s="1237"/>
      <c r="O553" s="2024"/>
      <c r="P553" s="2024"/>
      <c r="Q553" s="1238"/>
      <c r="R553" s="1239"/>
      <c r="S553" s="1981"/>
      <c r="T553" s="2959"/>
    </row>
    <row r="554" spans="1:22" ht="18.75" customHeight="1">
      <c r="A554" s="2339"/>
      <c r="B554" s="2267"/>
      <c r="C554" s="1237"/>
      <c r="D554" s="1237"/>
      <c r="E554" s="1237"/>
      <c r="F554" s="1237"/>
      <c r="G554" s="1237"/>
      <c r="H554" s="1237"/>
      <c r="I554" s="1237"/>
      <c r="J554" s="1237"/>
      <c r="K554" s="1237"/>
      <c r="L554" s="1237"/>
      <c r="M554" s="1237"/>
      <c r="N554" s="1237"/>
      <c r="O554" s="2024"/>
      <c r="P554" s="2024"/>
      <c r="Q554" s="1238"/>
      <c r="R554" s="1239"/>
      <c r="S554" s="1981"/>
      <c r="T554" s="2959"/>
    </row>
    <row r="555" spans="1:22" ht="18.75" customHeight="1">
      <c r="A555" s="2339"/>
      <c r="B555" s="2267"/>
      <c r="C555" s="1237"/>
      <c r="D555" s="1237"/>
      <c r="E555" s="1237"/>
      <c r="F555" s="1237"/>
      <c r="G555" s="1237"/>
      <c r="H555" s="1237"/>
      <c r="I555" s="1237"/>
      <c r="J555" s="2258"/>
      <c r="K555" s="2258"/>
      <c r="L555" s="2258"/>
      <c r="M555" s="1237"/>
      <c r="N555" s="1237"/>
      <c r="O555" s="2024"/>
      <c r="P555" s="2024"/>
      <c r="Q555" s="1238"/>
      <c r="R555" s="1239"/>
      <c r="S555" s="1981"/>
      <c r="T555" s="2959"/>
      <c r="V555" s="31" t="s">
        <v>1241</v>
      </c>
    </row>
    <row r="556" spans="1:22" ht="18.75" customHeight="1">
      <c r="A556" s="2339"/>
      <c r="B556" s="2267"/>
      <c r="C556" s="1237"/>
      <c r="D556" s="1237"/>
      <c r="E556" s="1237"/>
      <c r="F556" s="1237"/>
      <c r="G556" s="1237"/>
      <c r="H556" s="1237"/>
      <c r="I556" s="1237"/>
      <c r="J556" s="1237"/>
      <c r="K556" s="1237"/>
      <c r="L556" s="1237"/>
      <c r="M556" s="1237"/>
      <c r="N556" s="1237"/>
      <c r="O556" s="2024"/>
      <c r="P556" s="2024"/>
      <c r="Q556" s="1238"/>
      <c r="R556" s="1239"/>
      <c r="S556" s="1981"/>
      <c r="T556" s="2959"/>
    </row>
    <row r="557" spans="1:22" ht="18.75" customHeight="1">
      <c r="A557" s="2339"/>
      <c r="B557" s="2267"/>
      <c r="C557" s="1237"/>
      <c r="D557" s="1237"/>
      <c r="E557" s="1237"/>
      <c r="F557" s="1237"/>
      <c r="G557" s="1237"/>
      <c r="H557" s="1237"/>
      <c r="I557" s="1237"/>
      <c r="J557" s="1237"/>
      <c r="K557" s="1237"/>
      <c r="L557" s="1237"/>
      <c r="M557" s="1237"/>
      <c r="N557" s="1237"/>
      <c r="O557" s="2024"/>
      <c r="P557" s="2024"/>
      <c r="Q557" s="1238"/>
      <c r="R557" s="1239"/>
      <c r="S557" s="1981"/>
      <c r="T557" s="2959"/>
    </row>
    <row r="558" spans="1:22" ht="18.75" customHeight="1">
      <c r="A558" s="2339"/>
      <c r="B558" s="2267"/>
      <c r="C558" s="1237"/>
      <c r="D558" s="1237"/>
      <c r="E558" s="1237"/>
      <c r="F558" s="1237"/>
      <c r="G558" s="1237"/>
      <c r="H558" s="1237"/>
      <c r="I558" s="1237"/>
      <c r="J558" s="1237"/>
      <c r="K558" s="1237"/>
      <c r="L558" s="1237"/>
      <c r="M558" s="1237"/>
      <c r="N558" s="1237"/>
      <c r="O558" s="2024"/>
      <c r="P558" s="2024"/>
      <c r="Q558" s="1238"/>
      <c r="R558" s="1239"/>
      <c r="S558" s="1981"/>
      <c r="T558" s="2959"/>
    </row>
    <row r="559" spans="1:22" ht="18.75" customHeight="1">
      <c r="A559" s="2339"/>
      <c r="B559" s="2267"/>
      <c r="C559" s="1237"/>
      <c r="D559" s="1237"/>
      <c r="E559" s="1237"/>
      <c r="F559" s="1237"/>
      <c r="G559" s="1237"/>
      <c r="H559" s="1237"/>
      <c r="I559" s="1237"/>
      <c r="J559" s="1237"/>
      <c r="K559" s="1237"/>
      <c r="L559" s="1237"/>
      <c r="M559" s="1237"/>
      <c r="N559" s="1237"/>
      <c r="O559" s="2024"/>
      <c r="P559" s="2024"/>
      <c r="Q559" s="1238"/>
      <c r="R559" s="1239"/>
      <c r="S559" s="1981"/>
      <c r="T559" s="2959"/>
    </row>
    <row r="560" spans="1:22" ht="18.75" customHeight="1">
      <c r="A560" s="2339"/>
      <c r="B560" s="2267"/>
      <c r="C560" s="1237"/>
      <c r="D560" s="1237"/>
      <c r="E560" s="1237"/>
      <c r="F560" s="1237"/>
      <c r="G560" s="1237"/>
      <c r="H560" s="1237"/>
      <c r="I560" s="1237"/>
      <c r="J560" s="1237"/>
      <c r="K560" s="1237"/>
      <c r="L560" s="1237"/>
      <c r="M560" s="1237"/>
      <c r="N560" s="1237"/>
      <c r="O560" s="2024"/>
      <c r="P560" s="2024"/>
      <c r="Q560" s="1238"/>
      <c r="R560" s="1239"/>
      <c r="S560" s="1981"/>
      <c r="T560" s="2959"/>
    </row>
    <row r="561" spans="1:20" ht="18.75" customHeight="1">
      <c r="A561" s="2339"/>
      <c r="B561" s="2267"/>
      <c r="C561" s="1237"/>
      <c r="D561" s="1237"/>
      <c r="E561" s="1237"/>
      <c r="F561" s="1237"/>
      <c r="G561" s="1237"/>
      <c r="H561" s="1237"/>
      <c r="I561" s="1237"/>
      <c r="J561" s="1237"/>
      <c r="K561" s="1237"/>
      <c r="L561" s="1237"/>
      <c r="M561" s="1237"/>
      <c r="N561" s="1237"/>
      <c r="O561" s="2024"/>
      <c r="P561" s="2024"/>
      <c r="Q561" s="1238"/>
      <c r="R561" s="1239"/>
      <c r="S561" s="1981"/>
      <c r="T561" s="2959"/>
    </row>
    <row r="562" spans="1:20" ht="18.75" customHeight="1">
      <c r="A562" s="2339"/>
      <c r="B562" s="2267"/>
      <c r="C562" s="1237"/>
      <c r="D562" s="1237"/>
      <c r="E562" s="1237"/>
      <c r="F562" s="1237"/>
      <c r="G562" s="1237"/>
      <c r="H562" s="1237"/>
      <c r="I562" s="1237"/>
      <c r="J562" s="1237"/>
      <c r="K562" s="1237"/>
      <c r="L562" s="1237"/>
      <c r="M562" s="1237"/>
      <c r="N562" s="1237"/>
      <c r="O562" s="2024"/>
      <c r="P562" s="2024"/>
      <c r="Q562" s="1238"/>
      <c r="R562" s="1239"/>
      <c r="S562" s="1981"/>
      <c r="T562" s="2959"/>
    </row>
    <row r="563" spans="1:20" ht="18.75" customHeight="1">
      <c r="A563" s="2339"/>
      <c r="B563" s="2267"/>
      <c r="C563" s="1237"/>
      <c r="D563" s="1237"/>
      <c r="E563" s="1237"/>
      <c r="F563" s="1237"/>
      <c r="G563" s="1237"/>
      <c r="H563" s="1237"/>
      <c r="I563" s="1237"/>
      <c r="J563" s="1237"/>
      <c r="K563" s="1237"/>
      <c r="L563" s="1237"/>
      <c r="M563" s="1237"/>
      <c r="N563" s="1237"/>
      <c r="O563" s="2024"/>
      <c r="P563" s="2024"/>
      <c r="Q563" s="1238"/>
      <c r="R563" s="1239"/>
      <c r="S563" s="1981"/>
      <c r="T563" s="2959"/>
    </row>
    <row r="564" spans="1:20" ht="18.75" customHeight="1">
      <c r="A564" s="2339"/>
      <c r="B564" s="2267"/>
      <c r="C564" s="1237"/>
      <c r="D564" s="1237"/>
      <c r="E564" s="1237"/>
      <c r="F564" s="1237"/>
      <c r="G564" s="1237"/>
      <c r="H564" s="1237"/>
      <c r="I564" s="1237"/>
      <c r="J564" s="1237"/>
      <c r="K564" s="1237"/>
      <c r="L564" s="1237"/>
      <c r="M564" s="1237"/>
      <c r="N564" s="1237"/>
      <c r="O564" s="2024"/>
      <c r="P564" s="2024"/>
      <c r="Q564" s="1238"/>
      <c r="R564" s="1239"/>
      <c r="S564" s="1981"/>
      <c r="T564" s="2959"/>
    </row>
    <row r="565" spans="1:20" ht="18.75" customHeight="1">
      <c r="A565" s="2339"/>
      <c r="B565" s="2267"/>
      <c r="C565" s="1237"/>
      <c r="D565" s="1237"/>
      <c r="E565" s="1237"/>
      <c r="F565" s="1237"/>
      <c r="G565" s="1237"/>
      <c r="H565" s="1237"/>
      <c r="I565" s="1237"/>
      <c r="J565" s="2258"/>
      <c r="K565" s="2258"/>
      <c r="L565" s="2258"/>
      <c r="M565" s="1237"/>
      <c r="N565" s="1237"/>
      <c r="O565" s="2024"/>
      <c r="P565" s="2024"/>
      <c r="Q565" s="1238"/>
      <c r="R565" s="1239"/>
      <c r="S565" s="1981"/>
      <c r="T565" s="2959"/>
    </row>
    <row r="566" spans="1:20" ht="18.75" customHeight="1" thickBot="1">
      <c r="A566" s="2339"/>
      <c r="B566" s="2268"/>
      <c r="C566" s="1540"/>
      <c r="D566" s="1540"/>
      <c r="E566" s="1540"/>
      <c r="F566" s="1540"/>
      <c r="G566" s="1540"/>
      <c r="H566" s="1540"/>
      <c r="I566" s="1540"/>
      <c r="J566" s="1540"/>
      <c r="K566" s="1540"/>
      <c r="L566" s="1540"/>
      <c r="M566" s="1540"/>
      <c r="N566" s="1540"/>
      <c r="O566" s="2025"/>
      <c r="P566" s="2024"/>
      <c r="Q566" s="1541"/>
      <c r="R566" s="1591"/>
      <c r="S566" s="1981"/>
      <c r="T566" s="2959"/>
    </row>
    <row r="567" spans="1:20" ht="18.75" customHeight="1">
      <c r="A567" s="2339"/>
      <c r="B567" s="2266"/>
      <c r="C567" s="1585"/>
      <c r="D567" s="1585"/>
      <c r="E567" s="1585"/>
      <c r="F567" s="1585"/>
      <c r="G567" s="1585"/>
      <c r="H567" s="1585"/>
      <c r="I567" s="1585"/>
      <c r="J567" s="1585"/>
      <c r="K567" s="1585"/>
      <c r="L567" s="1585"/>
      <c r="M567" s="1585"/>
      <c r="N567" s="1585"/>
      <c r="O567" s="2026"/>
      <c r="P567" s="2024"/>
      <c r="Q567" s="1586"/>
      <c r="R567" s="1587"/>
    </row>
    <row r="568" spans="1:20" ht="18.75" customHeight="1">
      <c r="A568" s="2339"/>
      <c r="B568" s="2267"/>
      <c r="C568" s="1237"/>
      <c r="D568" s="1237"/>
      <c r="E568" s="1237"/>
      <c r="F568" s="1237"/>
      <c r="G568" s="1237"/>
      <c r="H568" s="1237"/>
      <c r="I568" s="1237"/>
      <c r="J568" s="1237"/>
      <c r="K568" s="1237"/>
      <c r="L568" s="1237"/>
      <c r="M568" s="1237"/>
      <c r="N568" s="1237"/>
      <c r="O568" s="2024"/>
      <c r="P568" s="2024"/>
      <c r="Q568" s="1238"/>
      <c r="R568" s="1239"/>
    </row>
    <row r="569" spans="1:20" ht="18.75" customHeight="1">
      <c r="A569" s="2339"/>
      <c r="B569" s="2267"/>
      <c r="C569" s="1237"/>
      <c r="D569" s="1237"/>
      <c r="E569" s="1237"/>
      <c r="F569" s="1237"/>
      <c r="G569" s="1237"/>
      <c r="H569" s="1237"/>
      <c r="I569" s="1237"/>
      <c r="J569" s="1237"/>
      <c r="K569" s="1237"/>
      <c r="L569" s="1237"/>
      <c r="M569" s="1237"/>
      <c r="N569" s="1237"/>
      <c r="O569" s="2024"/>
      <c r="P569" s="2024"/>
      <c r="Q569" s="1238"/>
      <c r="R569" s="1239"/>
    </row>
    <row r="570" spans="1:20" ht="18.75" customHeight="1">
      <c r="A570" s="2339"/>
      <c r="B570" s="2267"/>
      <c r="C570" s="1237"/>
      <c r="D570" s="1237"/>
      <c r="E570" s="1237"/>
      <c r="F570" s="1237"/>
      <c r="G570" s="1237"/>
      <c r="H570" s="1237"/>
      <c r="I570" s="1237"/>
      <c r="J570" s="1237"/>
      <c r="K570" s="1237"/>
      <c r="L570" s="1237"/>
      <c r="M570" s="1237"/>
      <c r="N570" s="1237"/>
      <c r="O570" s="2024"/>
      <c r="P570" s="2024"/>
      <c r="Q570" s="1238"/>
      <c r="R570" s="1239"/>
    </row>
    <row r="571" spans="1:20" ht="18.75" customHeight="1">
      <c r="A571" s="2339"/>
      <c r="B571" s="2267"/>
      <c r="C571" s="1237"/>
      <c r="D571" s="1237"/>
      <c r="E571" s="1237"/>
      <c r="F571" s="1237"/>
      <c r="G571" s="1237"/>
      <c r="H571" s="1237"/>
      <c r="I571" s="1237"/>
      <c r="J571" s="1237"/>
      <c r="K571" s="1237"/>
      <c r="L571" s="1237"/>
      <c r="M571" s="1237"/>
      <c r="N571" s="1237"/>
      <c r="O571" s="2024"/>
      <c r="P571" s="2024"/>
      <c r="Q571" s="1238"/>
      <c r="R571" s="1239"/>
    </row>
    <row r="572" spans="1:20" ht="18.75" customHeight="1">
      <c r="A572" s="2339"/>
      <c r="B572" s="2267"/>
      <c r="C572" s="1237"/>
      <c r="D572" s="1237"/>
      <c r="E572" s="1237"/>
      <c r="F572" s="1237"/>
      <c r="G572" s="1237"/>
      <c r="H572" s="1237"/>
      <c r="I572" s="1237"/>
      <c r="J572" s="1237"/>
      <c r="K572" s="1237"/>
      <c r="L572" s="1237"/>
      <c r="M572" s="1237"/>
      <c r="N572" s="1237"/>
      <c r="O572" s="2024"/>
      <c r="P572" s="2024"/>
      <c r="Q572" s="1238"/>
      <c r="R572" s="1239"/>
    </row>
    <row r="573" spans="1:20" ht="18.75" customHeight="1">
      <c r="A573" s="2339"/>
      <c r="B573" s="2267"/>
      <c r="C573" s="1237"/>
      <c r="D573" s="1237"/>
      <c r="E573" s="1237"/>
      <c r="F573" s="1237"/>
      <c r="G573" s="1237"/>
      <c r="H573" s="1237"/>
      <c r="I573" s="1237"/>
      <c r="J573" s="1237"/>
      <c r="K573" s="1237"/>
      <c r="L573" s="1237"/>
      <c r="M573" s="1237"/>
      <c r="N573" s="1237"/>
      <c r="O573" s="2024"/>
      <c r="P573" s="2024"/>
      <c r="Q573" s="1238"/>
      <c r="R573" s="1239"/>
    </row>
    <row r="574" spans="1:20" ht="18.75" customHeight="1">
      <c r="A574" s="2339"/>
      <c r="B574" s="2267"/>
      <c r="C574" s="1237"/>
      <c r="D574" s="1237"/>
      <c r="E574" s="1237"/>
      <c r="F574" s="1237"/>
      <c r="G574" s="1237"/>
      <c r="H574" s="1237"/>
      <c r="I574" s="1237"/>
      <c r="J574" s="1237"/>
      <c r="K574" s="1237"/>
      <c r="L574" s="1237"/>
      <c r="M574" s="1237"/>
      <c r="N574" s="1237"/>
      <c r="O574" s="2024"/>
      <c r="P574" s="2024"/>
      <c r="Q574" s="1238"/>
      <c r="R574" s="1239"/>
    </row>
    <row r="575" spans="1:20" ht="18.75" customHeight="1">
      <c r="A575" s="2339"/>
      <c r="B575" s="2267"/>
      <c r="C575" s="1237"/>
      <c r="D575" s="1237"/>
      <c r="E575" s="1237"/>
      <c r="F575" s="1237"/>
      <c r="G575" s="1237"/>
      <c r="H575" s="1237"/>
      <c r="I575" s="1237"/>
      <c r="J575" s="1237"/>
      <c r="K575" s="1237"/>
      <c r="L575" s="1237"/>
      <c r="M575" s="1237"/>
      <c r="N575" s="1237"/>
      <c r="O575" s="2024"/>
      <c r="P575" s="2024"/>
      <c r="Q575" s="1238"/>
      <c r="R575" s="1239"/>
    </row>
    <row r="576" spans="1:20" ht="18.75" customHeight="1">
      <c r="A576" s="2339"/>
      <c r="B576" s="2267"/>
      <c r="C576" s="1237"/>
      <c r="D576" s="1237"/>
      <c r="E576" s="1237"/>
      <c r="F576" s="1237"/>
      <c r="G576" s="1237"/>
      <c r="H576" s="1237"/>
      <c r="I576" s="1237"/>
      <c r="J576" s="1237"/>
      <c r="K576" s="1237"/>
      <c r="L576" s="1237"/>
      <c r="M576" s="1237"/>
      <c r="N576" s="1237"/>
      <c r="O576" s="2024"/>
      <c r="P576" s="2024"/>
      <c r="Q576" s="1238"/>
      <c r="R576" s="1239"/>
    </row>
    <row r="577" spans="1:18" ht="18.75" customHeight="1">
      <c r="A577" s="2339"/>
      <c r="B577" s="2267"/>
      <c r="C577" s="1237"/>
      <c r="D577" s="1237"/>
      <c r="E577" s="1237"/>
      <c r="F577" s="1237"/>
      <c r="G577" s="1237"/>
      <c r="H577" s="1237"/>
      <c r="I577" s="1237"/>
      <c r="J577" s="1237"/>
      <c r="K577" s="1237"/>
      <c r="L577" s="1237"/>
      <c r="M577" s="1237"/>
      <c r="N577" s="1237"/>
      <c r="O577" s="2024"/>
      <c r="P577" s="2024"/>
      <c r="Q577" s="1238"/>
      <c r="R577" s="1239"/>
    </row>
    <row r="578" spans="1:18" ht="18.75" customHeight="1">
      <c r="A578" s="2339"/>
      <c r="B578" s="2267"/>
      <c r="C578" s="1237"/>
      <c r="D578" s="1237"/>
      <c r="E578" s="1237"/>
      <c r="F578" s="1237"/>
      <c r="G578" s="1237"/>
      <c r="H578" s="1237"/>
      <c r="I578" s="1237"/>
      <c r="J578" s="1237"/>
      <c r="K578" s="1237"/>
      <c r="L578" s="1237"/>
      <c r="M578" s="1237"/>
      <c r="N578" s="1237"/>
      <c r="O578" s="2024"/>
      <c r="P578" s="2024"/>
      <c r="Q578" s="1238"/>
      <c r="R578" s="1239"/>
    </row>
    <row r="579" spans="1:18" ht="18.75" customHeight="1">
      <c r="A579" s="2339"/>
      <c r="B579" s="2267"/>
      <c r="C579" s="1237"/>
      <c r="D579" s="1237"/>
      <c r="E579" s="1237"/>
      <c r="F579" s="1237"/>
      <c r="G579" s="1237"/>
      <c r="H579" s="1237"/>
      <c r="I579" s="1237"/>
      <c r="J579" s="1237"/>
      <c r="K579" s="1237"/>
      <c r="L579" s="1237"/>
      <c r="M579" s="1237"/>
      <c r="N579" s="1237"/>
      <c r="O579" s="2024"/>
      <c r="P579" s="2024"/>
      <c r="Q579" s="1238"/>
      <c r="R579" s="1239"/>
    </row>
    <row r="580" spans="1:18" ht="18.75" customHeight="1">
      <c r="A580" s="2339"/>
      <c r="B580" s="2267"/>
      <c r="C580" s="1237"/>
      <c r="D580" s="1237"/>
      <c r="E580" s="1237"/>
      <c r="F580" s="1237"/>
      <c r="G580" s="1237"/>
      <c r="H580" s="1237"/>
      <c r="I580" s="1237"/>
      <c r="J580" s="1237"/>
      <c r="K580" s="1237"/>
      <c r="L580" s="1237"/>
      <c r="M580" s="1237"/>
      <c r="N580" s="1237"/>
      <c r="O580" s="2024"/>
      <c r="P580" s="2024"/>
      <c r="Q580" s="1238"/>
      <c r="R580" s="1239"/>
    </row>
    <row r="581" spans="1:18" ht="18.75" customHeight="1">
      <c r="A581" s="2339"/>
      <c r="B581" s="2267"/>
      <c r="C581" s="1237"/>
      <c r="D581" s="1237"/>
      <c r="E581" s="1237"/>
      <c r="F581" s="1237"/>
      <c r="G581" s="1237"/>
      <c r="H581" s="1237"/>
      <c r="I581" s="1237"/>
      <c r="J581" s="1237"/>
      <c r="K581" s="1237"/>
      <c r="L581" s="1237"/>
      <c r="M581" s="1237"/>
      <c r="N581" s="1237"/>
      <c r="O581" s="2024"/>
      <c r="P581" s="2024"/>
      <c r="Q581" s="1238"/>
      <c r="R581" s="1239"/>
    </row>
    <row r="582" spans="1:18" ht="18.75" customHeight="1">
      <c r="A582" s="2339"/>
      <c r="B582" s="2267"/>
      <c r="C582" s="1237"/>
      <c r="D582" s="1237"/>
      <c r="E582" s="1237"/>
      <c r="F582" s="1237"/>
      <c r="G582" s="1237"/>
      <c r="H582" s="1237"/>
      <c r="I582" s="1237"/>
      <c r="J582" s="1237"/>
      <c r="K582" s="1237"/>
      <c r="L582" s="1237"/>
      <c r="M582" s="1237"/>
      <c r="N582" s="1237"/>
      <c r="O582" s="2024"/>
      <c r="P582" s="2024"/>
      <c r="Q582" s="1238"/>
      <c r="R582" s="1239"/>
    </row>
    <row r="583" spans="1:18" ht="18.75" customHeight="1">
      <c r="A583" s="2339"/>
      <c r="B583" s="2267"/>
      <c r="C583" s="1237"/>
      <c r="D583" s="1237"/>
      <c r="E583" s="1237"/>
      <c r="F583" s="1237"/>
      <c r="G583" s="1237"/>
      <c r="H583" s="1237"/>
      <c r="I583" s="1237"/>
      <c r="J583" s="1237"/>
      <c r="K583" s="1237"/>
      <c r="L583" s="1237"/>
      <c r="M583" s="1237"/>
      <c r="N583" s="1237"/>
      <c r="O583" s="2024"/>
      <c r="P583" s="2024"/>
      <c r="Q583" s="1238"/>
      <c r="R583" s="1239"/>
    </row>
    <row r="584" spans="1:18" ht="18.75" customHeight="1">
      <c r="A584" s="2339"/>
      <c r="B584" s="2267"/>
      <c r="C584" s="1237"/>
      <c r="D584" s="1237"/>
      <c r="E584" s="1237"/>
      <c r="F584" s="1237"/>
      <c r="G584" s="1237"/>
      <c r="H584" s="1237"/>
      <c r="I584" s="1237"/>
      <c r="J584" s="1237"/>
      <c r="K584" s="1237"/>
      <c r="L584" s="1237"/>
      <c r="M584" s="1237"/>
      <c r="N584" s="1237"/>
      <c r="O584" s="2024"/>
      <c r="P584" s="2024"/>
      <c r="Q584" s="1238"/>
      <c r="R584" s="1239"/>
    </row>
    <row r="585" spans="1:18" ht="18.75" customHeight="1">
      <c r="A585" s="2339"/>
      <c r="B585" s="2267"/>
      <c r="C585" s="1237"/>
      <c r="D585" s="1237"/>
      <c r="E585" s="1237"/>
      <c r="F585" s="1237"/>
      <c r="G585" s="1237"/>
      <c r="H585" s="1237"/>
      <c r="I585" s="1237"/>
      <c r="J585" s="1237"/>
      <c r="K585" s="1237"/>
      <c r="L585" s="1237"/>
      <c r="M585" s="1237"/>
      <c r="N585" s="1237"/>
      <c r="O585" s="2024"/>
      <c r="P585" s="2024"/>
      <c r="Q585" s="1238"/>
      <c r="R585" s="1239"/>
    </row>
    <row r="586" spans="1:18" ht="18.75" customHeight="1">
      <c r="A586" s="2339"/>
      <c r="B586" s="2267"/>
      <c r="C586" s="1237"/>
      <c r="D586" s="1237"/>
      <c r="E586" s="1237"/>
      <c r="F586" s="1237"/>
      <c r="G586" s="1237"/>
      <c r="H586" s="1237"/>
      <c r="I586" s="1237"/>
      <c r="J586" s="1237"/>
      <c r="K586" s="1237"/>
      <c r="L586" s="1237"/>
      <c r="M586" s="1237"/>
      <c r="N586" s="1237"/>
      <c r="O586" s="2024"/>
      <c r="P586" s="2024"/>
      <c r="Q586" s="1238"/>
      <c r="R586" s="1239"/>
    </row>
    <row r="587" spans="1:18" ht="18.75" customHeight="1">
      <c r="A587" s="2339"/>
      <c r="B587" s="2267"/>
      <c r="C587" s="1237"/>
      <c r="D587" s="1237"/>
      <c r="E587" s="1237"/>
      <c r="F587" s="1237"/>
      <c r="G587" s="1237"/>
      <c r="H587" s="1237"/>
      <c r="I587" s="1237"/>
      <c r="J587" s="1237"/>
      <c r="K587" s="1237"/>
      <c r="L587" s="1237"/>
      <c r="M587" s="1237"/>
      <c r="N587" s="1237"/>
      <c r="O587" s="2024"/>
      <c r="P587" s="2024"/>
      <c r="Q587" s="1238"/>
      <c r="R587" s="1239"/>
    </row>
    <row r="588" spans="1:18" ht="18.75" customHeight="1">
      <c r="A588" s="2339"/>
      <c r="B588" s="2267"/>
      <c r="C588" s="1237"/>
      <c r="D588" s="1237"/>
      <c r="E588" s="1237"/>
      <c r="F588" s="1237"/>
      <c r="G588" s="1237"/>
      <c r="H588" s="1237"/>
      <c r="I588" s="1237"/>
      <c r="J588" s="2945"/>
      <c r="K588" s="2945"/>
      <c r="L588" s="2945"/>
      <c r="M588" s="1237"/>
      <c r="N588" s="1237"/>
      <c r="O588" s="2024"/>
      <c r="P588" s="2024"/>
      <c r="Q588" s="1238"/>
      <c r="R588" s="1239"/>
    </row>
    <row r="589" spans="1:18" ht="18.75" customHeight="1">
      <c r="A589" s="2339"/>
      <c r="B589" s="2267"/>
      <c r="C589" s="1237"/>
      <c r="D589" s="1237"/>
      <c r="E589" s="1237"/>
      <c r="F589" s="1237"/>
      <c r="G589" s="1237"/>
      <c r="H589" s="1237"/>
      <c r="I589" s="1237"/>
      <c r="J589" s="1237"/>
      <c r="K589" s="1237"/>
      <c r="L589" s="1237"/>
      <c r="M589" s="1237"/>
      <c r="N589" s="1237"/>
      <c r="O589" s="2024"/>
      <c r="P589" s="2024"/>
      <c r="Q589" s="1238"/>
      <c r="R589" s="1239"/>
    </row>
    <row r="590" spans="1:18" ht="18.75" customHeight="1">
      <c r="A590" s="2339"/>
      <c r="B590" s="2267"/>
      <c r="C590" s="1237"/>
      <c r="D590" s="1237"/>
      <c r="E590" s="1237"/>
      <c r="F590" s="1237"/>
      <c r="G590" s="1237"/>
      <c r="H590" s="1237"/>
      <c r="I590" s="1237"/>
      <c r="J590" s="1237"/>
      <c r="K590" s="1237"/>
      <c r="L590" s="1237"/>
      <c r="M590" s="1237"/>
      <c r="N590" s="1237"/>
      <c r="O590" s="2024"/>
      <c r="P590" s="2024"/>
      <c r="Q590" s="1238"/>
      <c r="R590" s="1239"/>
    </row>
    <row r="591" spans="1:18" ht="18.75" customHeight="1">
      <c r="A591" s="2339"/>
      <c r="B591" s="2267"/>
      <c r="C591" s="1237"/>
      <c r="D591" s="1237"/>
      <c r="E591" s="1237"/>
      <c r="F591" s="1237"/>
      <c r="G591" s="1237"/>
      <c r="H591" s="1237"/>
      <c r="I591" s="1237"/>
      <c r="J591" s="1237"/>
      <c r="K591" s="1237"/>
      <c r="L591" s="1237"/>
      <c r="M591" s="1237"/>
      <c r="N591" s="1237"/>
      <c r="O591" s="2024"/>
      <c r="P591" s="2024"/>
      <c r="Q591" s="1238"/>
      <c r="R591" s="1239"/>
    </row>
    <row r="592" spans="1:18" ht="18.75" customHeight="1">
      <c r="A592" s="2339"/>
      <c r="B592" s="2267"/>
      <c r="C592" s="1237"/>
      <c r="D592" s="1237"/>
      <c r="E592" s="1237"/>
      <c r="F592" s="1237"/>
      <c r="G592" s="1237"/>
      <c r="H592" s="1237"/>
      <c r="I592" s="1237"/>
      <c r="J592" s="1237"/>
      <c r="K592" s="1237"/>
      <c r="L592" s="1237"/>
      <c r="M592" s="1237"/>
      <c r="N592" s="1237"/>
      <c r="O592" s="2024"/>
      <c r="P592" s="2024"/>
      <c r="Q592" s="1238"/>
      <c r="R592" s="1239"/>
    </row>
    <row r="593" spans="1:18" ht="18.75" customHeight="1">
      <c r="A593" s="2339"/>
      <c r="B593" s="2267"/>
      <c r="C593" s="1237"/>
      <c r="D593" s="1237"/>
      <c r="E593" s="1237"/>
      <c r="F593" s="1237"/>
      <c r="G593" s="1237"/>
      <c r="H593" s="1237"/>
      <c r="I593" s="1237"/>
      <c r="J593" s="1237"/>
      <c r="K593" s="1241"/>
      <c r="L593" s="1241"/>
      <c r="M593" s="1237"/>
      <c r="N593" s="1237"/>
      <c r="O593" s="2024"/>
      <c r="P593" s="2024"/>
      <c r="Q593" s="1238"/>
      <c r="R593" s="1239"/>
    </row>
    <row r="594" spans="1:18" ht="18.75" customHeight="1">
      <c r="A594" s="2339"/>
      <c r="B594" s="2267"/>
      <c r="C594" s="1237"/>
      <c r="D594" s="1237"/>
      <c r="E594" s="1237"/>
      <c r="F594" s="1237"/>
      <c r="G594" s="1237"/>
      <c r="H594" s="1237"/>
      <c r="I594" s="1237"/>
      <c r="J594" s="1237"/>
      <c r="K594" s="1237"/>
      <c r="L594" s="1237"/>
      <c r="M594" s="1237"/>
      <c r="N594" s="1237"/>
      <c r="O594" s="2024"/>
      <c r="P594" s="2024"/>
      <c r="Q594" s="1238"/>
      <c r="R594" s="1239"/>
    </row>
    <row r="595" spans="1:18" ht="18.75" customHeight="1">
      <c r="A595" s="2339"/>
      <c r="B595" s="2267"/>
      <c r="C595" s="1237"/>
      <c r="D595" s="1237"/>
      <c r="E595" s="1237"/>
      <c r="F595" s="1237"/>
      <c r="G595" s="1237"/>
      <c r="H595" s="1237"/>
      <c r="I595" s="1237"/>
      <c r="J595" s="1237"/>
      <c r="K595" s="1237"/>
      <c r="L595" s="1237"/>
      <c r="M595" s="1237"/>
      <c r="N595" s="1237"/>
      <c r="O595" s="2024"/>
      <c r="P595" s="2024"/>
      <c r="Q595" s="1238"/>
      <c r="R595" s="1239"/>
    </row>
    <row r="596" spans="1:18" ht="18.75" customHeight="1">
      <c r="A596" s="2339"/>
      <c r="B596" s="2267"/>
      <c r="C596" s="1237"/>
      <c r="D596" s="1237"/>
      <c r="E596" s="1237"/>
      <c r="F596" s="1237"/>
      <c r="G596" s="1237"/>
      <c r="H596" s="1237"/>
      <c r="I596" s="1237"/>
      <c r="J596" s="1237"/>
      <c r="K596" s="1237"/>
      <c r="L596" s="1237"/>
      <c r="M596" s="1237"/>
      <c r="N596" s="1237"/>
      <c r="O596" s="2024"/>
      <c r="P596" s="2024"/>
      <c r="Q596" s="1238"/>
      <c r="R596" s="1239"/>
    </row>
    <row r="597" spans="1:18" ht="18.75" customHeight="1">
      <c r="A597" s="2339"/>
      <c r="B597" s="2267"/>
      <c r="C597" s="1237"/>
      <c r="D597" s="1237"/>
      <c r="E597" s="1237"/>
      <c r="F597" s="1237"/>
      <c r="G597" s="1237"/>
      <c r="H597" s="1237"/>
      <c r="I597" s="1237"/>
      <c r="J597" s="1237"/>
      <c r="K597" s="1237"/>
      <c r="L597" s="1237"/>
      <c r="M597" s="1237"/>
      <c r="N597" s="1237"/>
      <c r="O597" s="2024"/>
      <c r="P597" s="2024"/>
      <c r="Q597" s="1238"/>
      <c r="R597" s="1239"/>
    </row>
    <row r="598" spans="1:18" ht="18.75" customHeight="1">
      <c r="A598" s="2339"/>
      <c r="B598" s="2267"/>
      <c r="C598" s="1237"/>
      <c r="D598" s="1237"/>
      <c r="E598" s="1237"/>
      <c r="F598" s="1237"/>
      <c r="G598" s="1237"/>
      <c r="H598" s="1237"/>
      <c r="I598" s="1237"/>
      <c r="J598" s="1237"/>
      <c r="K598" s="1237"/>
      <c r="L598" s="1237"/>
      <c r="M598" s="1237"/>
      <c r="N598" s="1237"/>
      <c r="O598" s="2024"/>
      <c r="P598" s="2024"/>
      <c r="Q598" s="1238"/>
      <c r="R598" s="1239"/>
    </row>
    <row r="599" spans="1:18" ht="18.75" customHeight="1">
      <c r="A599" s="2339"/>
      <c r="B599" s="2267"/>
      <c r="C599" s="1237"/>
      <c r="D599" s="1237"/>
      <c r="E599" s="1237"/>
      <c r="F599" s="1237"/>
      <c r="G599" s="1237"/>
      <c r="H599" s="1237"/>
      <c r="I599" s="1237"/>
      <c r="J599" s="1237"/>
      <c r="K599" s="1237"/>
      <c r="L599" s="1237"/>
      <c r="M599" s="1237"/>
      <c r="N599" s="1237"/>
      <c r="O599" s="2024"/>
      <c r="P599" s="2024"/>
      <c r="Q599" s="1238"/>
      <c r="R599" s="1239"/>
    </row>
    <row r="600" spans="1:18" ht="18.75" customHeight="1">
      <c r="A600" s="2339"/>
      <c r="B600" s="2267"/>
      <c r="C600" s="1237"/>
      <c r="D600" s="1237"/>
      <c r="E600" s="1237"/>
      <c r="F600" s="1237"/>
      <c r="G600" s="1237"/>
      <c r="H600" s="1237"/>
      <c r="I600" s="1237"/>
      <c r="J600" s="1237"/>
      <c r="K600" s="1237"/>
      <c r="L600" s="1237"/>
      <c r="M600" s="1237"/>
      <c r="N600" s="1237"/>
      <c r="O600" s="2024"/>
      <c r="P600" s="2024"/>
      <c r="Q600" s="1238"/>
      <c r="R600" s="1239"/>
    </row>
    <row r="601" spans="1:18" ht="18.75" customHeight="1">
      <c r="A601" s="2339"/>
      <c r="B601" s="2267"/>
      <c r="C601" s="1237"/>
      <c r="D601" s="1237"/>
      <c r="E601" s="1237"/>
      <c r="F601" s="1237"/>
      <c r="G601" s="1237"/>
      <c r="H601" s="1237"/>
      <c r="I601" s="1237"/>
      <c r="J601" s="1237"/>
      <c r="K601" s="1237"/>
      <c r="L601" s="1237"/>
      <c r="M601" s="1237"/>
      <c r="N601" s="1237"/>
      <c r="O601" s="2024"/>
      <c r="P601" s="2024"/>
      <c r="Q601" s="1238"/>
      <c r="R601" s="1239"/>
    </row>
    <row r="602" spans="1:18" ht="18.75" customHeight="1">
      <c r="A602" s="2339"/>
      <c r="B602" s="2267"/>
      <c r="C602" s="1237"/>
      <c r="D602" s="1237"/>
      <c r="E602" s="1237"/>
      <c r="F602" s="1237"/>
      <c r="G602" s="1237"/>
      <c r="H602" s="1237"/>
      <c r="I602" s="1237"/>
      <c r="J602" s="1237"/>
      <c r="K602" s="1237"/>
      <c r="L602" s="1237"/>
      <c r="M602" s="1237"/>
      <c r="N602" s="1237"/>
      <c r="O602" s="2024"/>
      <c r="P602" s="2024"/>
      <c r="Q602" s="1238"/>
      <c r="R602" s="1239"/>
    </row>
    <row r="603" spans="1:18" ht="18.75" customHeight="1">
      <c r="A603" s="2339"/>
      <c r="B603" s="2267"/>
      <c r="C603" s="1237"/>
      <c r="D603" s="1237"/>
      <c r="E603" s="1237"/>
      <c r="F603" s="1237"/>
      <c r="G603" s="1237"/>
      <c r="H603" s="1237"/>
      <c r="I603" s="1237"/>
      <c r="J603" s="1237"/>
      <c r="K603" s="1237"/>
      <c r="L603" s="1237"/>
      <c r="M603" s="1237"/>
      <c r="N603" s="1237"/>
      <c r="O603" s="2024"/>
      <c r="P603" s="2024"/>
      <c r="Q603" s="1238"/>
      <c r="R603" s="1239"/>
    </row>
    <row r="604" spans="1:18" ht="18.75" customHeight="1">
      <c r="A604" s="2339"/>
      <c r="B604" s="2267"/>
      <c r="C604" s="1237"/>
      <c r="D604" s="1237"/>
      <c r="E604" s="1237"/>
      <c r="F604" s="1237"/>
      <c r="G604" s="1237"/>
      <c r="H604" s="1237"/>
      <c r="I604" s="1237"/>
      <c r="J604" s="1237"/>
      <c r="K604" s="1237"/>
      <c r="L604" s="1237"/>
      <c r="M604" s="1237"/>
      <c r="N604" s="1237"/>
      <c r="O604" s="2024"/>
      <c r="P604" s="2024"/>
      <c r="Q604" s="1238"/>
      <c r="R604" s="1239"/>
    </row>
    <row r="605" spans="1:18" ht="18.75" customHeight="1">
      <c r="A605" s="2339"/>
      <c r="B605" s="2267"/>
      <c r="C605" s="1237"/>
      <c r="D605" s="1237"/>
      <c r="E605" s="1237"/>
      <c r="F605" s="1237"/>
      <c r="G605" s="1237"/>
      <c r="H605" s="1237"/>
      <c r="I605" s="1237"/>
      <c r="J605" s="2945"/>
      <c r="K605" s="2945"/>
      <c r="L605" s="2945"/>
      <c r="M605" s="1237"/>
      <c r="N605" s="1237"/>
      <c r="O605" s="2024"/>
      <c r="P605" s="2024"/>
      <c r="Q605" s="1238"/>
      <c r="R605" s="1239"/>
    </row>
    <row r="606" spans="1:18" ht="18.75" customHeight="1">
      <c r="A606" s="2339"/>
      <c r="B606" s="2267"/>
      <c r="C606" s="1237"/>
      <c r="D606" s="1237"/>
      <c r="E606" s="1237"/>
      <c r="F606" s="1237"/>
      <c r="G606" s="1237"/>
      <c r="H606" s="1237"/>
      <c r="I606" s="1237"/>
      <c r="J606" s="1237"/>
      <c r="K606" s="1237"/>
      <c r="L606" s="1237"/>
      <c r="M606" s="1237"/>
      <c r="N606" s="1237"/>
      <c r="O606" s="2024"/>
      <c r="P606" s="2024"/>
      <c r="Q606" s="1238"/>
      <c r="R606" s="1239"/>
    </row>
    <row r="607" spans="1:18" ht="18.75" customHeight="1">
      <c r="A607" s="2339"/>
      <c r="B607" s="2267"/>
      <c r="C607" s="1237"/>
      <c r="D607" s="1237"/>
      <c r="E607" s="1237"/>
      <c r="F607" s="1237"/>
      <c r="G607" s="1237"/>
      <c r="H607" s="1237"/>
      <c r="I607" s="1237"/>
      <c r="J607" s="1237"/>
      <c r="K607" s="1241"/>
      <c r="L607" s="1241"/>
      <c r="M607" s="1237"/>
      <c r="N607" s="1237"/>
      <c r="O607" s="2024"/>
      <c r="P607" s="2024"/>
      <c r="Q607" s="1238"/>
      <c r="R607" s="1239"/>
    </row>
    <row r="608" spans="1:18" ht="18.75" customHeight="1">
      <c r="A608" s="2339"/>
      <c r="B608" s="2267"/>
      <c r="C608" s="1237"/>
      <c r="D608" s="1237"/>
      <c r="E608" s="1237"/>
      <c r="F608" s="1237"/>
      <c r="G608" s="1237"/>
      <c r="H608" s="1237"/>
      <c r="I608" s="1237"/>
      <c r="J608" s="1237"/>
      <c r="K608" s="1237"/>
      <c r="L608" s="1237"/>
      <c r="M608" s="1237"/>
      <c r="N608" s="1237"/>
      <c r="O608" s="2024"/>
      <c r="P608" s="2024"/>
      <c r="Q608" s="1238"/>
      <c r="R608" s="1239"/>
    </row>
    <row r="609" spans="1:18" ht="18.75" customHeight="1">
      <c r="A609" s="2339"/>
      <c r="B609" s="2267"/>
      <c r="C609" s="1237"/>
      <c r="D609" s="1237"/>
      <c r="E609" s="1237"/>
      <c r="F609" s="1237"/>
      <c r="G609" s="1237"/>
      <c r="H609" s="1237"/>
      <c r="I609" s="1237"/>
      <c r="J609" s="1237"/>
      <c r="K609" s="1237"/>
      <c r="L609" s="1237"/>
      <c r="M609" s="1237"/>
      <c r="N609" s="1237"/>
      <c r="O609" s="2024"/>
      <c r="P609" s="2024"/>
      <c r="Q609" s="1238"/>
      <c r="R609" s="1239"/>
    </row>
    <row r="610" spans="1:18" ht="18.75" customHeight="1">
      <c r="A610" s="2339"/>
      <c r="B610" s="2267"/>
      <c r="C610" s="1237"/>
      <c r="D610" s="1237"/>
      <c r="E610" s="1237"/>
      <c r="F610" s="1237"/>
      <c r="G610" s="1237"/>
      <c r="H610" s="1237"/>
      <c r="I610" s="1237"/>
      <c r="J610" s="2945"/>
      <c r="K610" s="2945"/>
      <c r="L610" s="2945"/>
      <c r="M610" s="1237"/>
      <c r="N610" s="1237"/>
      <c r="O610" s="2024"/>
      <c r="P610" s="2024"/>
      <c r="Q610" s="1238"/>
      <c r="R610" s="1239"/>
    </row>
    <row r="611" spans="1:18" ht="18.75" customHeight="1">
      <c r="A611" s="2339"/>
      <c r="B611" s="2267"/>
      <c r="C611" s="1237"/>
      <c r="D611" s="1237"/>
      <c r="E611" s="1237"/>
      <c r="F611" s="1237"/>
      <c r="G611" s="1237"/>
      <c r="H611" s="1237"/>
      <c r="I611" s="1237"/>
      <c r="J611" s="1237"/>
      <c r="K611" s="1237"/>
      <c r="L611" s="1237"/>
      <c r="M611" s="1237"/>
      <c r="N611" s="1237"/>
      <c r="O611" s="2024"/>
      <c r="P611" s="2024"/>
      <c r="Q611" s="1238"/>
      <c r="R611" s="1239"/>
    </row>
    <row r="612" spans="1:18" ht="18.75" customHeight="1">
      <c r="A612" s="2339"/>
      <c r="B612" s="2267"/>
      <c r="C612" s="1237"/>
      <c r="D612" s="1237"/>
      <c r="E612" s="1237"/>
      <c r="F612" s="1237"/>
      <c r="G612" s="1237"/>
      <c r="H612" s="1237"/>
      <c r="I612" s="1237"/>
      <c r="J612" s="1237"/>
      <c r="K612" s="1241"/>
      <c r="L612" s="1241"/>
      <c r="M612" s="1237"/>
      <c r="N612" s="1237"/>
      <c r="O612" s="2024"/>
      <c r="P612" s="2024"/>
      <c r="Q612" s="1238"/>
      <c r="R612" s="1239"/>
    </row>
    <row r="613" spans="1:18" ht="18.75" customHeight="1">
      <c r="A613" s="2339"/>
      <c r="B613" s="2267"/>
      <c r="C613" s="1237"/>
      <c r="D613" s="1237"/>
      <c r="E613" s="1237"/>
      <c r="F613" s="1237"/>
      <c r="G613" s="1237"/>
      <c r="H613" s="1237"/>
      <c r="I613" s="1237"/>
      <c r="J613" s="1237"/>
      <c r="K613" s="1237"/>
      <c r="L613" s="1237"/>
      <c r="M613" s="1237"/>
      <c r="N613" s="1237"/>
      <c r="O613" s="2024"/>
      <c r="P613" s="2024"/>
      <c r="Q613" s="1238"/>
      <c r="R613" s="1239"/>
    </row>
    <row r="614" spans="1:18" ht="18.75" customHeight="1">
      <c r="A614" s="2339"/>
      <c r="B614" s="2267"/>
      <c r="C614" s="1237"/>
      <c r="D614" s="1237"/>
      <c r="E614" s="1237"/>
      <c r="F614" s="1237"/>
      <c r="G614" s="1237"/>
      <c r="H614" s="1237"/>
      <c r="I614" s="1237"/>
      <c r="J614" s="1237"/>
      <c r="K614" s="1237"/>
      <c r="L614" s="1237"/>
      <c r="M614" s="1237"/>
      <c r="N614" s="1237"/>
      <c r="O614" s="2024"/>
      <c r="P614" s="2024"/>
      <c r="Q614" s="1238"/>
      <c r="R614" s="1239"/>
    </row>
    <row r="615" spans="1:18" ht="18.75" customHeight="1">
      <c r="A615" s="2339"/>
      <c r="B615" s="2267"/>
      <c r="C615" s="1237"/>
      <c r="D615" s="1237"/>
      <c r="E615" s="1237"/>
      <c r="F615" s="1237"/>
      <c r="G615" s="1237"/>
      <c r="H615" s="1237"/>
      <c r="I615" s="1237"/>
      <c r="J615" s="1237"/>
      <c r="K615" s="1237"/>
      <c r="L615" s="1237"/>
      <c r="M615" s="1237"/>
      <c r="N615" s="1237"/>
      <c r="O615" s="2024"/>
      <c r="P615" s="2024"/>
      <c r="Q615" s="1238"/>
      <c r="R615" s="1239"/>
    </row>
    <row r="616" spans="1:18" ht="18.75" customHeight="1">
      <c r="A616" s="2339"/>
      <c r="B616" s="2267"/>
      <c r="C616" s="1237"/>
      <c r="D616" s="1237"/>
      <c r="E616" s="1237"/>
      <c r="F616" s="1237"/>
      <c r="G616" s="1237"/>
      <c r="H616" s="1237"/>
      <c r="I616" s="1237"/>
      <c r="J616" s="1237"/>
      <c r="K616" s="1237"/>
      <c r="L616" s="1237"/>
      <c r="M616" s="1237"/>
      <c r="N616" s="1237"/>
      <c r="O616" s="2024"/>
      <c r="P616" s="2024"/>
      <c r="Q616" s="1238"/>
      <c r="R616" s="1239"/>
    </row>
    <row r="617" spans="1:18" ht="18.75" customHeight="1">
      <c r="A617" s="2339"/>
      <c r="B617" s="2267"/>
      <c r="C617" s="1237"/>
      <c r="D617" s="1237"/>
      <c r="E617" s="1237"/>
      <c r="F617" s="1237"/>
      <c r="G617" s="1237"/>
      <c r="H617" s="1237"/>
      <c r="I617" s="1237"/>
      <c r="J617" s="1237"/>
      <c r="K617" s="1241"/>
      <c r="L617" s="1241"/>
      <c r="M617" s="1237"/>
      <c r="N617" s="1237"/>
      <c r="O617" s="2024"/>
      <c r="P617" s="2024"/>
      <c r="Q617" s="1238"/>
      <c r="R617" s="1239"/>
    </row>
    <row r="618" spans="1:18" ht="18.75" customHeight="1">
      <c r="A618" s="2339"/>
      <c r="B618" s="2267"/>
      <c r="C618" s="1237"/>
      <c r="D618" s="1237"/>
      <c r="E618" s="1237"/>
      <c r="F618" s="1237"/>
      <c r="G618" s="1237"/>
      <c r="H618" s="1237"/>
      <c r="I618" s="1237"/>
      <c r="J618" s="1237"/>
      <c r="K618" s="1237"/>
      <c r="L618" s="1237"/>
      <c r="M618" s="1237"/>
      <c r="N618" s="1237"/>
      <c r="O618" s="2024"/>
      <c r="P618" s="2024"/>
      <c r="Q618" s="1238"/>
      <c r="R618" s="1239"/>
    </row>
    <row r="619" spans="1:18" ht="18.75" customHeight="1">
      <c r="A619" s="2339"/>
      <c r="B619" s="2267"/>
      <c r="C619" s="1237"/>
      <c r="D619" s="1237"/>
      <c r="E619" s="1237"/>
      <c r="F619" s="1237"/>
      <c r="G619" s="1237"/>
      <c r="H619" s="1237"/>
      <c r="I619" s="1237"/>
      <c r="J619" s="1237"/>
      <c r="K619" s="1237"/>
      <c r="L619" s="1237"/>
      <c r="M619" s="1237"/>
      <c r="N619" s="1237"/>
      <c r="O619" s="2024"/>
      <c r="P619" s="2024"/>
      <c r="Q619" s="1238"/>
      <c r="R619" s="1239"/>
    </row>
    <row r="620" spans="1:18" ht="18.75" customHeight="1">
      <c r="A620" s="2339"/>
      <c r="B620" s="2267"/>
      <c r="C620" s="1237"/>
      <c r="D620" s="1237"/>
      <c r="E620" s="1237"/>
      <c r="F620" s="1237"/>
      <c r="G620" s="1237"/>
      <c r="H620" s="1237"/>
      <c r="I620" s="1237"/>
      <c r="J620" s="2945"/>
      <c r="K620" s="2945"/>
      <c r="L620" s="2945"/>
      <c r="M620" s="1237"/>
      <c r="N620" s="1237"/>
      <c r="O620" s="2024"/>
      <c r="P620" s="2024"/>
      <c r="Q620" s="1238"/>
      <c r="R620" s="1239"/>
    </row>
    <row r="621" spans="1:18" ht="18.75" customHeight="1">
      <c r="A621" s="2339"/>
      <c r="B621" s="2267"/>
      <c r="C621" s="1237"/>
      <c r="D621" s="1237"/>
      <c r="E621" s="1237"/>
      <c r="F621" s="1237"/>
      <c r="G621" s="1237"/>
      <c r="H621" s="1237"/>
      <c r="I621" s="1237"/>
      <c r="J621" s="1237"/>
      <c r="K621" s="1237"/>
      <c r="L621" s="1237"/>
      <c r="M621" s="1237"/>
      <c r="N621" s="1237"/>
      <c r="O621" s="2024"/>
      <c r="P621" s="2024"/>
      <c r="Q621" s="1238"/>
      <c r="R621" s="1239"/>
    </row>
    <row r="622" spans="1:18" ht="18.75" customHeight="1">
      <c r="A622" s="2339"/>
      <c r="B622" s="2267"/>
      <c r="C622" s="1237"/>
      <c r="D622" s="1237"/>
      <c r="E622" s="1237"/>
      <c r="F622" s="1237"/>
      <c r="G622" s="1237"/>
      <c r="H622" s="1237"/>
      <c r="I622" s="1237"/>
      <c r="J622" s="1237"/>
      <c r="K622" s="1237"/>
      <c r="L622" s="1237"/>
      <c r="M622" s="1237"/>
      <c r="N622" s="1237"/>
      <c r="O622" s="2024"/>
      <c r="P622" s="2024"/>
      <c r="Q622" s="1238"/>
      <c r="R622" s="1239"/>
    </row>
    <row r="623" spans="1:18" ht="18.75" customHeight="1">
      <c r="A623" s="2339"/>
      <c r="B623" s="2267"/>
      <c r="C623" s="1237"/>
      <c r="D623" s="1237"/>
      <c r="E623" s="1237"/>
      <c r="F623" s="1237"/>
      <c r="G623" s="1237"/>
      <c r="H623" s="1237"/>
      <c r="I623" s="1237"/>
      <c r="J623" s="1237"/>
      <c r="K623" s="1237"/>
      <c r="L623" s="1237"/>
      <c r="M623" s="1237"/>
      <c r="N623" s="1237"/>
      <c r="O623" s="2024"/>
      <c r="P623" s="2024"/>
      <c r="Q623" s="1238"/>
      <c r="R623" s="1239"/>
    </row>
    <row r="624" spans="1:18" ht="18.75" customHeight="1">
      <c r="A624" s="2339"/>
      <c r="B624" s="2267"/>
      <c r="C624" s="1237"/>
      <c r="D624" s="1237"/>
      <c r="E624" s="1237"/>
      <c r="F624" s="1237"/>
      <c r="G624" s="1237"/>
      <c r="H624" s="1237"/>
      <c r="I624" s="1237"/>
      <c r="J624" s="1237"/>
      <c r="K624" s="1237"/>
      <c r="L624" s="1237"/>
      <c r="M624" s="1237"/>
      <c r="N624" s="1237"/>
      <c r="O624" s="2024"/>
      <c r="P624" s="2024"/>
      <c r="Q624" s="1238"/>
      <c r="R624" s="1239"/>
    </row>
    <row r="625" spans="1:18" ht="18.75" customHeight="1">
      <c r="A625" s="2339"/>
      <c r="B625" s="2267"/>
      <c r="C625" s="1237"/>
      <c r="D625" s="1237"/>
      <c r="E625" s="1237"/>
      <c r="F625" s="1237"/>
      <c r="G625" s="1237"/>
      <c r="H625" s="1237"/>
      <c r="I625" s="1237"/>
      <c r="J625" s="2945"/>
      <c r="K625" s="2945"/>
      <c r="L625" s="2945"/>
      <c r="M625" s="1237"/>
      <c r="N625" s="1237"/>
      <c r="O625" s="2024"/>
      <c r="P625" s="2024"/>
      <c r="Q625" s="1238"/>
      <c r="R625" s="1239"/>
    </row>
    <row r="626" spans="1:18" ht="18.75" customHeight="1">
      <c r="A626" s="2339"/>
      <c r="B626" s="2267"/>
      <c r="C626" s="1237"/>
      <c r="D626" s="1237"/>
      <c r="E626" s="1237"/>
      <c r="F626" s="1237"/>
      <c r="G626" s="1237"/>
      <c r="H626" s="1237"/>
      <c r="I626" s="1237"/>
      <c r="J626" s="1237"/>
      <c r="K626" s="1237"/>
      <c r="L626" s="1237"/>
      <c r="M626" s="1237"/>
      <c r="N626" s="1237"/>
      <c r="O626" s="2024"/>
      <c r="P626" s="2024"/>
      <c r="Q626" s="1238"/>
      <c r="R626" s="1239"/>
    </row>
    <row r="627" spans="1:18" ht="18.75" customHeight="1">
      <c r="A627" s="2339"/>
      <c r="B627" s="2267"/>
      <c r="C627" s="1237"/>
      <c r="D627" s="1237"/>
      <c r="E627" s="1237"/>
      <c r="F627" s="1237"/>
      <c r="G627" s="1237"/>
      <c r="H627" s="1237"/>
      <c r="I627" s="1237"/>
      <c r="J627" s="1237"/>
      <c r="K627" s="1241"/>
      <c r="L627" s="1241"/>
      <c r="M627" s="1237"/>
      <c r="N627" s="1237"/>
      <c r="O627" s="2024"/>
      <c r="P627" s="2024"/>
      <c r="Q627" s="1238"/>
      <c r="R627" s="1239"/>
    </row>
    <row r="628" spans="1:18" ht="18.75" customHeight="1">
      <c r="A628" s="2339"/>
      <c r="B628" s="2267"/>
      <c r="C628" s="1237"/>
      <c r="D628" s="1237"/>
      <c r="E628" s="1237"/>
      <c r="F628" s="1237"/>
      <c r="G628" s="1237"/>
      <c r="H628" s="1237"/>
      <c r="I628" s="1237"/>
      <c r="J628" s="1237"/>
      <c r="K628" s="1237"/>
      <c r="L628" s="1237"/>
      <c r="M628" s="1237"/>
      <c r="N628" s="1237"/>
      <c r="O628" s="2024"/>
      <c r="P628" s="2024"/>
      <c r="Q628" s="1238"/>
      <c r="R628" s="1239"/>
    </row>
    <row r="629" spans="1:18" ht="18.75" customHeight="1">
      <c r="A629" s="2339"/>
      <c r="B629" s="2267"/>
      <c r="C629" s="1237"/>
      <c r="D629" s="1237"/>
      <c r="E629" s="1237"/>
      <c r="F629" s="1237"/>
      <c r="G629" s="1237"/>
      <c r="H629" s="1237"/>
      <c r="I629" s="1237"/>
      <c r="J629" s="1237"/>
      <c r="K629" s="1237"/>
      <c r="L629" s="1237"/>
      <c r="M629" s="1237"/>
      <c r="N629" s="1237"/>
      <c r="O629" s="2024"/>
      <c r="P629" s="2024"/>
      <c r="Q629" s="1238"/>
      <c r="R629" s="1239"/>
    </row>
    <row r="630" spans="1:18" ht="18.75" customHeight="1">
      <c r="A630" s="2339"/>
      <c r="B630" s="2267"/>
      <c r="C630" s="1237"/>
      <c r="D630" s="1237"/>
      <c r="E630" s="1237"/>
      <c r="F630" s="1237"/>
      <c r="G630" s="1237"/>
      <c r="H630" s="1237"/>
      <c r="I630" s="1237"/>
      <c r="J630" s="2945"/>
      <c r="K630" s="2945"/>
      <c r="L630" s="2945"/>
      <c r="M630" s="1237"/>
      <c r="N630" s="1237"/>
      <c r="O630" s="2024"/>
      <c r="P630" s="2024"/>
      <c r="Q630" s="1238"/>
      <c r="R630" s="1239"/>
    </row>
    <row r="631" spans="1:18" ht="18.75" customHeight="1" thickBot="1">
      <c r="A631" s="2339"/>
      <c r="B631" s="2268"/>
      <c r="C631" s="1540"/>
      <c r="D631" s="1540"/>
      <c r="E631" s="1540"/>
      <c r="F631" s="1540"/>
      <c r="G631" s="1540"/>
      <c r="H631" s="1540"/>
      <c r="I631" s="1540"/>
      <c r="J631" s="1540"/>
      <c r="K631" s="1540"/>
      <c r="L631" s="1540"/>
      <c r="M631" s="1540"/>
      <c r="N631" s="1540"/>
      <c r="O631" s="2025"/>
      <c r="P631" s="2024"/>
      <c r="Q631" s="1541"/>
      <c r="R631" s="1591"/>
    </row>
    <row r="632" spans="1:18" ht="18.75" customHeight="1">
      <c r="A632" s="2339"/>
      <c r="B632" s="2266"/>
      <c r="C632" s="1585"/>
      <c r="D632" s="1585"/>
      <c r="E632" s="1585"/>
      <c r="F632" s="1585"/>
      <c r="G632" s="1585"/>
      <c r="H632" s="1585"/>
      <c r="I632" s="1585"/>
      <c r="J632" s="1585"/>
      <c r="K632" s="1585"/>
      <c r="L632" s="1585"/>
      <c r="M632" s="1585"/>
      <c r="N632" s="1585"/>
      <c r="O632" s="2037"/>
      <c r="P632" s="2024"/>
      <c r="Q632" s="1586"/>
      <c r="R632" s="1587"/>
    </row>
    <row r="633" spans="1:18" ht="18.75" customHeight="1">
      <c r="A633" s="2339"/>
      <c r="B633" s="2267"/>
      <c r="C633" s="1237"/>
      <c r="D633" s="1237"/>
      <c r="E633" s="1237"/>
      <c r="F633" s="1237"/>
      <c r="G633" s="1237"/>
      <c r="H633" s="1237"/>
      <c r="I633" s="1237"/>
      <c r="J633" s="1237"/>
      <c r="K633" s="1237"/>
      <c r="L633" s="1237"/>
      <c r="M633" s="1237"/>
      <c r="N633" s="1237"/>
      <c r="O633" s="2028"/>
      <c r="P633" s="2024"/>
      <c r="Q633" s="1238"/>
      <c r="R633" s="1239"/>
    </row>
    <row r="634" spans="1:18" ht="18.75" customHeight="1">
      <c r="A634" s="2339"/>
      <c r="B634" s="2267"/>
      <c r="C634" s="1237"/>
      <c r="D634" s="1237"/>
      <c r="E634" s="1237"/>
      <c r="F634" s="1237"/>
      <c r="G634" s="1237"/>
      <c r="H634" s="1237"/>
      <c r="I634" s="1237"/>
      <c r="J634" s="1237"/>
      <c r="K634" s="1237"/>
      <c r="L634" s="1237"/>
      <c r="M634" s="1237"/>
      <c r="N634" s="1237"/>
      <c r="O634" s="2028"/>
      <c r="P634" s="2024"/>
      <c r="Q634" s="1238"/>
      <c r="R634" s="1239"/>
    </row>
    <row r="635" spans="1:18" ht="18.75" customHeight="1">
      <c r="A635" s="2339"/>
      <c r="B635" s="2267"/>
      <c r="C635" s="1237"/>
      <c r="D635" s="1237"/>
      <c r="E635" s="1237"/>
      <c r="F635" s="1237"/>
      <c r="G635" s="1237"/>
      <c r="H635" s="1237"/>
      <c r="I635" s="1237"/>
      <c r="J635" s="1237"/>
      <c r="K635" s="1237"/>
      <c r="L635" s="1237"/>
      <c r="M635" s="1237"/>
      <c r="N635" s="1237"/>
      <c r="O635" s="2028"/>
      <c r="P635" s="2024"/>
      <c r="Q635" s="1238"/>
      <c r="R635" s="1239"/>
    </row>
    <row r="636" spans="1:18" ht="18.75" customHeight="1">
      <c r="A636" s="2339"/>
      <c r="B636" s="2267"/>
      <c r="C636" s="1237"/>
      <c r="D636" s="1237"/>
      <c r="E636" s="1237"/>
      <c r="F636" s="1237"/>
      <c r="G636" s="1237"/>
      <c r="H636" s="1237"/>
      <c r="I636" s="1237"/>
      <c r="J636" s="1237"/>
      <c r="K636" s="1237"/>
      <c r="L636" s="1237"/>
      <c r="M636" s="1237"/>
      <c r="N636" s="1237"/>
      <c r="O636" s="2024"/>
      <c r="P636" s="2024"/>
      <c r="Q636" s="1238"/>
      <c r="R636" s="1239"/>
    </row>
    <row r="637" spans="1:18" ht="18.75" customHeight="1">
      <c r="A637" s="2339"/>
      <c r="B637" s="2267"/>
      <c r="C637" s="1237"/>
      <c r="D637" s="1237"/>
      <c r="E637" s="1237"/>
      <c r="F637" s="1237"/>
      <c r="G637" s="1237"/>
      <c r="H637" s="1237"/>
      <c r="I637" s="1237"/>
      <c r="J637" s="1237"/>
      <c r="K637" s="1237"/>
      <c r="L637" s="1237"/>
      <c r="M637" s="1237"/>
      <c r="N637" s="1237"/>
      <c r="O637" s="2024"/>
      <c r="P637" s="2024"/>
      <c r="Q637" s="1238"/>
      <c r="R637" s="1239"/>
    </row>
    <row r="638" spans="1:18" ht="18.75" customHeight="1">
      <c r="A638" s="2339"/>
      <c r="B638" s="2267"/>
      <c r="C638" s="1237"/>
      <c r="D638" s="1237"/>
      <c r="E638" s="1237"/>
      <c r="F638" s="1237"/>
      <c r="G638" s="1237"/>
      <c r="H638" s="1237"/>
      <c r="I638" s="1237"/>
      <c r="J638" s="1237"/>
      <c r="K638" s="1237"/>
      <c r="L638" s="1237"/>
      <c r="M638" s="1237"/>
      <c r="N638" s="1237"/>
      <c r="O638" s="2024"/>
      <c r="P638" s="2024"/>
      <c r="Q638" s="1238"/>
      <c r="R638" s="1239"/>
    </row>
    <row r="639" spans="1:18" ht="18.75" customHeight="1">
      <c r="A639" s="2339"/>
      <c r="B639" s="2267"/>
      <c r="C639" s="1237"/>
      <c r="D639" s="1237"/>
      <c r="E639" s="1237"/>
      <c r="F639" s="1237"/>
      <c r="G639" s="1237"/>
      <c r="H639" s="1237"/>
      <c r="I639" s="1237"/>
      <c r="J639" s="1237"/>
      <c r="K639" s="1237"/>
      <c r="L639" s="1237"/>
      <c r="M639" s="1237"/>
      <c r="N639" s="1237"/>
      <c r="O639" s="2024"/>
      <c r="P639" s="2024"/>
      <c r="Q639" s="1238"/>
      <c r="R639" s="1239"/>
    </row>
    <row r="640" spans="1:18" ht="18.75" customHeight="1">
      <c r="A640" s="2339"/>
      <c r="B640" s="2267"/>
      <c r="C640" s="1237"/>
      <c r="D640" s="1237"/>
      <c r="E640" s="1237"/>
      <c r="F640" s="1237"/>
      <c r="G640" s="1237"/>
      <c r="H640" s="1237"/>
      <c r="I640" s="1237"/>
      <c r="J640" s="1237"/>
      <c r="K640" s="1237"/>
      <c r="L640" s="1237"/>
      <c r="M640" s="1237"/>
      <c r="N640" s="1237"/>
      <c r="O640" s="2024"/>
      <c r="P640" s="2024"/>
      <c r="Q640" s="1238"/>
      <c r="R640" s="1239"/>
    </row>
    <row r="641" spans="1:18" ht="18.75" customHeight="1">
      <c r="A641" s="2339"/>
      <c r="B641" s="2267"/>
      <c r="C641" s="1237"/>
      <c r="D641" s="1237"/>
      <c r="E641" s="1237"/>
      <c r="F641" s="1237"/>
      <c r="G641" s="1237"/>
      <c r="H641" s="1237"/>
      <c r="I641" s="1237"/>
      <c r="J641" s="1237"/>
      <c r="K641" s="1237"/>
      <c r="L641" s="1237"/>
      <c r="M641" s="1237"/>
      <c r="N641" s="1237"/>
      <c r="O641" s="2024"/>
      <c r="P641" s="2024"/>
      <c r="Q641" s="1238"/>
      <c r="R641" s="1239"/>
    </row>
    <row r="642" spans="1:18" ht="18.75" customHeight="1">
      <c r="A642" s="2339"/>
      <c r="B642" s="2267"/>
      <c r="C642" s="1237"/>
      <c r="D642" s="1237"/>
      <c r="E642" s="1237"/>
      <c r="F642" s="1237"/>
      <c r="G642" s="1237"/>
      <c r="H642" s="1237"/>
      <c r="I642" s="1237"/>
      <c r="J642" s="1237"/>
      <c r="K642" s="1237"/>
      <c r="L642" s="1237"/>
      <c r="M642" s="1237"/>
      <c r="N642" s="1237"/>
      <c r="O642" s="2024"/>
      <c r="P642" s="2024"/>
      <c r="Q642" s="1238"/>
      <c r="R642" s="1239"/>
    </row>
    <row r="643" spans="1:18" ht="18.75" customHeight="1">
      <c r="A643" s="2339"/>
      <c r="B643" s="2267"/>
      <c r="C643" s="1237"/>
      <c r="D643" s="1237"/>
      <c r="E643" s="1237"/>
      <c r="F643" s="1237"/>
      <c r="G643" s="1237"/>
      <c r="H643" s="1237"/>
      <c r="I643" s="1237"/>
      <c r="J643" s="1237"/>
      <c r="K643" s="1237"/>
      <c r="L643" s="1237"/>
      <c r="M643" s="1237"/>
      <c r="N643" s="1237"/>
      <c r="O643" s="2024"/>
      <c r="P643" s="2024"/>
      <c r="Q643" s="1238"/>
      <c r="R643" s="1239"/>
    </row>
    <row r="644" spans="1:18" ht="18.75" customHeight="1">
      <c r="A644" s="2339"/>
      <c r="B644" s="2267"/>
      <c r="C644" s="1237"/>
      <c r="D644" s="1237"/>
      <c r="E644" s="1237"/>
      <c r="F644" s="1237"/>
      <c r="G644" s="1237"/>
      <c r="H644" s="1237"/>
      <c r="I644" s="1237"/>
      <c r="J644" s="2945"/>
      <c r="K644" s="2945"/>
      <c r="L644" s="2945"/>
      <c r="M644" s="1237"/>
      <c r="N644" s="1237"/>
      <c r="O644" s="2024"/>
      <c r="P644" s="2024"/>
      <c r="Q644" s="1238"/>
      <c r="R644" s="1239"/>
    </row>
    <row r="645" spans="1:18" ht="18.75" customHeight="1">
      <c r="A645" s="2339"/>
      <c r="B645" s="2267"/>
      <c r="C645" s="1237"/>
      <c r="D645" s="1237"/>
      <c r="E645" s="1237"/>
      <c r="F645" s="1237"/>
      <c r="G645" s="1237"/>
      <c r="H645" s="1237"/>
      <c r="I645" s="1237"/>
      <c r="J645" s="1237"/>
      <c r="K645" s="1237"/>
      <c r="L645" s="1237"/>
      <c r="M645" s="1237"/>
      <c r="N645" s="1237"/>
      <c r="O645" s="2024"/>
      <c r="P645" s="2024"/>
      <c r="Q645" s="1238"/>
      <c r="R645" s="1239"/>
    </row>
    <row r="646" spans="1:18" ht="18.75" customHeight="1">
      <c r="A646" s="2339"/>
      <c r="B646" s="2267"/>
      <c r="C646" s="1237"/>
      <c r="D646" s="1237"/>
      <c r="E646" s="1237"/>
      <c r="F646" s="1237"/>
      <c r="G646" s="1237"/>
      <c r="H646" s="1237"/>
      <c r="I646" s="1237"/>
      <c r="J646" s="1237"/>
      <c r="K646" s="1237"/>
      <c r="L646" s="1237"/>
      <c r="M646" s="1237"/>
      <c r="N646" s="1237"/>
      <c r="O646" s="2024"/>
      <c r="P646" s="2024"/>
      <c r="Q646" s="1238"/>
      <c r="R646" s="1239"/>
    </row>
    <row r="647" spans="1:18" ht="18.75" customHeight="1">
      <c r="A647" s="2339"/>
      <c r="B647" s="2267"/>
      <c r="C647" s="1237"/>
      <c r="D647" s="1237"/>
      <c r="E647" s="1237"/>
      <c r="F647" s="1237"/>
      <c r="G647" s="1237"/>
      <c r="H647" s="1237"/>
      <c r="I647" s="1237"/>
      <c r="J647" s="1237"/>
      <c r="K647" s="1237"/>
      <c r="L647" s="1237"/>
      <c r="M647" s="1237"/>
      <c r="N647" s="1237"/>
      <c r="O647" s="2024"/>
      <c r="P647" s="2024"/>
      <c r="Q647" s="1238"/>
      <c r="R647" s="1239"/>
    </row>
    <row r="648" spans="1:18" ht="18.75" customHeight="1">
      <c r="A648" s="2339"/>
      <c r="B648" s="2267"/>
      <c r="C648" s="1237"/>
      <c r="D648" s="1237"/>
      <c r="E648" s="1237"/>
      <c r="F648" s="1237"/>
      <c r="G648" s="1237"/>
      <c r="H648" s="1237"/>
      <c r="I648" s="1237"/>
      <c r="J648" s="1237"/>
      <c r="K648" s="1237"/>
      <c r="L648" s="1237"/>
      <c r="M648" s="1237"/>
      <c r="N648" s="1237"/>
      <c r="O648" s="2024"/>
      <c r="P648" s="2024"/>
      <c r="Q648" s="1238"/>
      <c r="R648" s="1239"/>
    </row>
    <row r="649" spans="1:18" ht="18.75" customHeight="1">
      <c r="A649" s="2339"/>
      <c r="B649" s="2267"/>
      <c r="C649" s="1237"/>
      <c r="D649" s="1237"/>
      <c r="E649" s="1237"/>
      <c r="F649" s="1237"/>
      <c r="G649" s="1237"/>
      <c r="H649" s="1237"/>
      <c r="I649" s="1237"/>
      <c r="J649" s="2945"/>
      <c r="K649" s="2945"/>
      <c r="L649" s="2945"/>
      <c r="M649" s="1237"/>
      <c r="N649" s="1237"/>
      <c r="O649" s="2024"/>
      <c r="P649" s="2024"/>
      <c r="Q649" s="1238"/>
      <c r="R649" s="1239"/>
    </row>
    <row r="650" spans="1:18" ht="18.75" customHeight="1">
      <c r="A650" s="2339"/>
      <c r="B650" s="2267"/>
      <c r="C650" s="1237"/>
      <c r="D650" s="1237"/>
      <c r="E650" s="1237"/>
      <c r="F650" s="1237"/>
      <c r="G650" s="1237"/>
      <c r="H650" s="1237"/>
      <c r="I650" s="1237"/>
      <c r="J650" s="1237"/>
      <c r="K650" s="1237"/>
      <c r="L650" s="1237"/>
      <c r="M650" s="1237"/>
      <c r="N650" s="1237"/>
      <c r="O650" s="2024"/>
      <c r="P650" s="2024"/>
      <c r="Q650" s="1238"/>
      <c r="R650" s="1239"/>
    </row>
    <row r="651" spans="1:18" ht="18.75" customHeight="1">
      <c r="A651" s="2339"/>
      <c r="B651" s="2267"/>
      <c r="C651" s="1237"/>
      <c r="D651" s="1237"/>
      <c r="E651" s="1237"/>
      <c r="F651" s="1237"/>
      <c r="G651" s="1237"/>
      <c r="H651" s="1237"/>
      <c r="I651" s="1237"/>
      <c r="J651" s="1237"/>
      <c r="K651" s="1237"/>
      <c r="L651" s="1237"/>
      <c r="M651" s="1237"/>
      <c r="N651" s="1237"/>
      <c r="O651" s="2024"/>
      <c r="P651" s="2024"/>
      <c r="Q651" s="1238"/>
      <c r="R651" s="1239"/>
    </row>
    <row r="652" spans="1:18" ht="18.75" customHeight="1">
      <c r="A652" s="2339"/>
      <c r="B652" s="2267"/>
      <c r="C652" s="1237"/>
      <c r="D652" s="1237"/>
      <c r="E652" s="1237"/>
      <c r="F652" s="1237"/>
      <c r="G652" s="1237"/>
      <c r="H652" s="1237"/>
      <c r="I652" s="1237"/>
      <c r="J652" s="1237"/>
      <c r="K652" s="1237"/>
      <c r="L652" s="1237"/>
      <c r="M652" s="1237"/>
      <c r="N652" s="1237"/>
      <c r="O652" s="2024"/>
      <c r="P652" s="2024"/>
      <c r="Q652" s="1238"/>
      <c r="R652" s="1239"/>
    </row>
    <row r="653" spans="1:18" ht="18.75" customHeight="1">
      <c r="A653" s="2339"/>
      <c r="B653" s="2267"/>
      <c r="C653" s="1237"/>
      <c r="D653" s="1237"/>
      <c r="E653" s="1237"/>
      <c r="F653" s="1237"/>
      <c r="G653" s="1237"/>
      <c r="H653" s="1237"/>
      <c r="I653" s="1237"/>
      <c r="J653" s="1237"/>
      <c r="K653" s="1237"/>
      <c r="L653" s="1237"/>
      <c r="M653" s="1237"/>
      <c r="N653" s="1237"/>
      <c r="O653" s="2024"/>
      <c r="P653" s="2024"/>
      <c r="Q653" s="1238"/>
      <c r="R653" s="1239"/>
    </row>
    <row r="654" spans="1:18" ht="18.75" customHeight="1">
      <c r="A654" s="2339"/>
      <c r="B654" s="2267"/>
      <c r="C654" s="1237"/>
      <c r="D654" s="1237"/>
      <c r="E654" s="1237"/>
      <c r="F654" s="1237"/>
      <c r="G654" s="1237"/>
      <c r="H654" s="1237"/>
      <c r="I654" s="1237"/>
      <c r="J654" s="2945"/>
      <c r="K654" s="2945"/>
      <c r="L654" s="2945"/>
      <c r="M654" s="1237"/>
      <c r="N654" s="1237"/>
      <c r="O654" s="2024"/>
      <c r="P654" s="2024"/>
      <c r="Q654" s="1238"/>
      <c r="R654" s="1239"/>
    </row>
    <row r="655" spans="1:18" ht="18.75" customHeight="1">
      <c r="A655" s="2339"/>
      <c r="B655" s="2267"/>
      <c r="C655" s="1237"/>
      <c r="D655" s="1237"/>
      <c r="E655" s="1237"/>
      <c r="F655" s="1237"/>
      <c r="G655" s="1237"/>
      <c r="H655" s="1237"/>
      <c r="I655" s="1237"/>
      <c r="J655" s="1237"/>
      <c r="K655" s="1237"/>
      <c r="L655" s="1237"/>
      <c r="M655" s="1237"/>
      <c r="N655" s="1237"/>
      <c r="O655" s="2024"/>
      <c r="P655" s="2024"/>
      <c r="Q655" s="1238"/>
      <c r="R655" s="1239"/>
    </row>
    <row r="656" spans="1:18" ht="18.75" customHeight="1">
      <c r="A656" s="2339"/>
      <c r="B656" s="2267"/>
      <c r="C656" s="1237"/>
      <c r="D656" s="1237"/>
      <c r="E656" s="1237"/>
      <c r="F656" s="1237"/>
      <c r="G656" s="1237"/>
      <c r="H656" s="1237"/>
      <c r="I656" s="1237"/>
      <c r="J656" s="1237"/>
      <c r="K656" s="1237"/>
      <c r="L656" s="1237"/>
      <c r="M656" s="1237"/>
      <c r="N656" s="1237"/>
      <c r="O656" s="2024"/>
      <c r="P656" s="2024"/>
      <c r="Q656" s="1238"/>
      <c r="R656" s="1239"/>
    </row>
    <row r="657" spans="1:18" ht="18.75" customHeight="1">
      <c r="A657" s="2339"/>
      <c r="B657" s="2267"/>
      <c r="C657" s="1237"/>
      <c r="D657" s="1237"/>
      <c r="E657" s="1237"/>
      <c r="F657" s="1237"/>
      <c r="G657" s="1237"/>
      <c r="H657" s="1237"/>
      <c r="I657" s="1237"/>
      <c r="J657" s="1237"/>
      <c r="K657" s="1237"/>
      <c r="L657" s="1237"/>
      <c r="M657" s="1237"/>
      <c r="N657" s="1237"/>
      <c r="O657" s="2024"/>
      <c r="P657" s="2024"/>
      <c r="Q657" s="1238"/>
      <c r="R657" s="1239"/>
    </row>
    <row r="658" spans="1:18" ht="18.75" customHeight="1">
      <c r="A658" s="2339"/>
      <c r="B658" s="2267"/>
      <c r="C658" s="1237"/>
      <c r="D658" s="1237"/>
      <c r="E658" s="1237"/>
      <c r="F658" s="1237"/>
      <c r="G658" s="1237"/>
      <c r="H658" s="1237"/>
      <c r="I658" s="1237"/>
      <c r="J658" s="1237"/>
      <c r="K658" s="1237"/>
      <c r="L658" s="1237"/>
      <c r="M658" s="1237"/>
      <c r="N658" s="1237"/>
      <c r="O658" s="2024"/>
      <c r="P658" s="2024"/>
      <c r="Q658" s="1238"/>
      <c r="R658" s="1239"/>
    </row>
    <row r="659" spans="1:18" ht="18.75" customHeight="1">
      <c r="A659" s="2339"/>
      <c r="B659" s="2267"/>
      <c r="C659" s="1237"/>
      <c r="D659" s="1237"/>
      <c r="E659" s="1237"/>
      <c r="F659" s="1237"/>
      <c r="G659" s="1237"/>
      <c r="H659" s="1237"/>
      <c r="I659" s="1237"/>
      <c r="J659" s="1237"/>
      <c r="K659" s="1237"/>
      <c r="L659" s="1237"/>
      <c r="M659" s="1237"/>
      <c r="N659" s="1237"/>
      <c r="O659" s="2024"/>
      <c r="P659" s="2024"/>
      <c r="Q659" s="1238"/>
      <c r="R659" s="1239"/>
    </row>
    <row r="660" spans="1:18" ht="18.75" customHeight="1">
      <c r="A660" s="2339"/>
      <c r="B660" s="2267"/>
      <c r="C660" s="1237"/>
      <c r="D660" s="1237"/>
      <c r="E660" s="1237"/>
      <c r="F660" s="1237"/>
      <c r="G660" s="1237"/>
      <c r="H660" s="1237"/>
      <c r="I660" s="1237"/>
      <c r="J660" s="1237"/>
      <c r="K660" s="1237"/>
      <c r="L660" s="1237"/>
      <c r="M660" s="1237"/>
      <c r="N660" s="1237"/>
      <c r="O660" s="2024"/>
      <c r="P660" s="2024"/>
      <c r="Q660" s="1238"/>
      <c r="R660" s="1239"/>
    </row>
    <row r="661" spans="1:18" ht="18.75" customHeight="1">
      <c r="A661" s="2339"/>
      <c r="B661" s="2267"/>
      <c r="C661" s="1237"/>
      <c r="D661" s="1237"/>
      <c r="E661" s="1237"/>
      <c r="F661" s="1237"/>
      <c r="G661" s="1237"/>
      <c r="H661" s="1237"/>
      <c r="I661" s="1237"/>
      <c r="J661" s="1237"/>
      <c r="K661" s="1237"/>
      <c r="L661" s="1237"/>
      <c r="M661" s="1237"/>
      <c r="N661" s="1237"/>
      <c r="O661" s="2024"/>
      <c r="P661" s="2024"/>
      <c r="Q661" s="1238"/>
      <c r="R661" s="1239"/>
    </row>
    <row r="662" spans="1:18" ht="18.75" customHeight="1">
      <c r="A662" s="2339"/>
      <c r="B662" s="2267"/>
      <c r="C662" s="1237"/>
      <c r="D662" s="1237"/>
      <c r="E662" s="1237"/>
      <c r="F662" s="1237"/>
      <c r="G662" s="1237"/>
      <c r="H662" s="1237"/>
      <c r="I662" s="1237"/>
      <c r="J662" s="1237"/>
      <c r="K662" s="1237"/>
      <c r="L662" s="1237"/>
      <c r="M662" s="1237"/>
      <c r="N662" s="1237"/>
      <c r="O662" s="2024"/>
      <c r="P662" s="2024"/>
      <c r="Q662" s="1238"/>
      <c r="R662" s="1239"/>
    </row>
    <row r="663" spans="1:18" ht="18.75" customHeight="1">
      <c r="A663" s="2339"/>
      <c r="B663" s="2267"/>
      <c r="C663" s="1237"/>
      <c r="D663" s="1237"/>
      <c r="E663" s="1237"/>
      <c r="F663" s="1237"/>
      <c r="G663" s="1237"/>
      <c r="H663" s="1237"/>
      <c r="I663" s="1237"/>
      <c r="J663" s="1237"/>
      <c r="K663" s="1237"/>
      <c r="L663" s="1237"/>
      <c r="M663" s="1237"/>
      <c r="N663" s="1237"/>
      <c r="O663" s="2024"/>
      <c r="P663" s="2024"/>
      <c r="Q663" s="1238"/>
      <c r="R663" s="1239"/>
    </row>
    <row r="664" spans="1:18" ht="18.75" customHeight="1">
      <c r="A664" s="2339"/>
      <c r="B664" s="2267"/>
      <c r="C664" s="1237"/>
      <c r="D664" s="1237"/>
      <c r="E664" s="1237"/>
      <c r="F664" s="1237"/>
      <c r="G664" s="1237"/>
      <c r="H664" s="1237"/>
      <c r="I664" s="1237"/>
      <c r="J664" s="1237"/>
      <c r="K664" s="1237"/>
      <c r="L664" s="1237"/>
      <c r="M664" s="1237"/>
      <c r="N664" s="1237"/>
      <c r="O664" s="2024"/>
      <c r="P664" s="2024"/>
      <c r="Q664" s="1238"/>
      <c r="R664" s="1239"/>
    </row>
    <row r="665" spans="1:18" ht="18.75" customHeight="1">
      <c r="A665" s="2339"/>
      <c r="B665" s="2267"/>
      <c r="C665" s="1237"/>
      <c r="D665" s="1237"/>
      <c r="E665" s="1237"/>
      <c r="F665" s="1237"/>
      <c r="G665" s="1237"/>
      <c r="H665" s="1237"/>
      <c r="I665" s="1237"/>
      <c r="J665" s="1237"/>
      <c r="K665" s="1237"/>
      <c r="L665" s="1237"/>
      <c r="M665" s="1237"/>
      <c r="N665" s="1237"/>
      <c r="O665" s="2024"/>
      <c r="P665" s="2024"/>
      <c r="Q665" s="1238"/>
      <c r="R665" s="1239"/>
    </row>
    <row r="666" spans="1:18" ht="18.75" customHeight="1">
      <c r="A666" s="2339"/>
      <c r="B666" s="2267"/>
      <c r="C666" s="1237"/>
      <c r="D666" s="1237"/>
      <c r="E666" s="1237"/>
      <c r="F666" s="1237"/>
      <c r="G666" s="1237"/>
      <c r="H666" s="1237"/>
      <c r="I666" s="1237"/>
      <c r="J666" s="2945"/>
      <c r="K666" s="2945"/>
      <c r="L666" s="2945"/>
      <c r="M666" s="1237"/>
      <c r="N666" s="1237"/>
      <c r="O666" s="2024"/>
      <c r="P666" s="2024"/>
      <c r="Q666" s="1238"/>
      <c r="R666" s="1239"/>
    </row>
    <row r="667" spans="1:18" ht="18.75" customHeight="1">
      <c r="A667" s="2339"/>
      <c r="B667" s="2267"/>
      <c r="C667" s="1237"/>
      <c r="D667" s="1237"/>
      <c r="E667" s="1237"/>
      <c r="F667" s="1237"/>
      <c r="G667" s="1237"/>
      <c r="H667" s="1237"/>
      <c r="I667" s="1237"/>
      <c r="J667" s="1237"/>
      <c r="K667" s="1237"/>
      <c r="L667" s="1237"/>
      <c r="M667" s="1237"/>
      <c r="N667" s="1237"/>
      <c r="O667" s="2024"/>
      <c r="P667" s="2024"/>
      <c r="Q667" s="1238"/>
      <c r="R667" s="1239"/>
    </row>
    <row r="668" spans="1:18" ht="18.75" customHeight="1">
      <c r="A668" s="2339"/>
      <c r="B668" s="2267"/>
      <c r="C668" s="1237"/>
      <c r="D668" s="1237"/>
      <c r="E668" s="1237"/>
      <c r="F668" s="1237"/>
      <c r="G668" s="1237"/>
      <c r="H668" s="1237"/>
      <c r="I668" s="1237"/>
      <c r="J668" s="1237"/>
      <c r="K668" s="1237"/>
      <c r="L668" s="1237"/>
      <c r="M668" s="1237"/>
      <c r="N668" s="1237"/>
      <c r="O668" s="2024"/>
      <c r="P668" s="2024"/>
      <c r="Q668" s="1238"/>
      <c r="R668" s="1239"/>
    </row>
    <row r="669" spans="1:18" ht="18.75" customHeight="1">
      <c r="A669" s="2339"/>
      <c r="B669" s="2267"/>
      <c r="C669" s="1237"/>
      <c r="D669" s="1237"/>
      <c r="E669" s="1237"/>
      <c r="F669" s="1237"/>
      <c r="G669" s="1237"/>
      <c r="H669" s="1237"/>
      <c r="I669" s="1237"/>
      <c r="J669" s="1237"/>
      <c r="K669" s="1237"/>
      <c r="L669" s="1237"/>
      <c r="M669" s="1237"/>
      <c r="N669" s="1237"/>
      <c r="O669" s="2024"/>
      <c r="P669" s="2024"/>
      <c r="Q669" s="1238"/>
      <c r="R669" s="1239"/>
    </row>
    <row r="670" spans="1:18" ht="18.75" customHeight="1">
      <c r="A670" s="2339"/>
      <c r="B670" s="2267"/>
      <c r="C670" s="1237"/>
      <c r="D670" s="1237"/>
      <c r="E670" s="1237"/>
      <c r="F670" s="1237"/>
      <c r="G670" s="1237"/>
      <c r="H670" s="1237"/>
      <c r="I670" s="1237"/>
      <c r="J670" s="1237"/>
      <c r="K670" s="1237"/>
      <c r="L670" s="1237"/>
      <c r="M670" s="1237"/>
      <c r="N670" s="1237"/>
      <c r="O670" s="2024"/>
      <c r="P670" s="2024"/>
      <c r="Q670" s="1238"/>
      <c r="R670" s="1239"/>
    </row>
    <row r="671" spans="1:18" ht="18.75" customHeight="1">
      <c r="A671" s="2339"/>
      <c r="B671" s="2267"/>
      <c r="C671" s="1237"/>
      <c r="D671" s="1237"/>
      <c r="E671" s="1237"/>
      <c r="F671" s="1237"/>
      <c r="G671" s="1237"/>
      <c r="H671" s="1237"/>
      <c r="I671" s="1237"/>
      <c r="J671" s="2945"/>
      <c r="K671" s="2945"/>
      <c r="L671" s="2945"/>
      <c r="M671" s="1237"/>
      <c r="N671" s="1237"/>
      <c r="O671" s="2024"/>
      <c r="P671" s="2024"/>
      <c r="Q671" s="1238"/>
      <c r="R671" s="1239"/>
    </row>
    <row r="672" spans="1:18" ht="18.75" customHeight="1">
      <c r="A672" s="2339"/>
      <c r="B672" s="2267"/>
      <c r="C672" s="1237"/>
      <c r="D672" s="1237"/>
      <c r="E672" s="1237"/>
      <c r="F672" s="1237"/>
      <c r="G672" s="1237"/>
      <c r="H672" s="1237"/>
      <c r="I672" s="1237"/>
      <c r="J672" s="1237"/>
      <c r="K672" s="1237"/>
      <c r="L672" s="1237"/>
      <c r="M672" s="1237"/>
      <c r="N672" s="1237"/>
      <c r="O672" s="2024"/>
      <c r="P672" s="2024"/>
      <c r="Q672" s="1238"/>
      <c r="R672" s="1239"/>
    </row>
    <row r="673" spans="1:18" ht="18.75" customHeight="1">
      <c r="A673" s="2339"/>
      <c r="B673" s="2267"/>
      <c r="C673" s="1237"/>
      <c r="D673" s="1237"/>
      <c r="E673" s="1237"/>
      <c r="F673" s="1237"/>
      <c r="G673" s="1237"/>
      <c r="H673" s="1237"/>
      <c r="I673" s="1237"/>
      <c r="J673" s="1237"/>
      <c r="K673" s="1237"/>
      <c r="L673" s="1237"/>
      <c r="M673" s="1237"/>
      <c r="N673" s="1237"/>
      <c r="O673" s="2024"/>
      <c r="P673" s="2024"/>
      <c r="Q673" s="1238"/>
      <c r="R673" s="1239"/>
    </row>
    <row r="674" spans="1:18" ht="18.75" customHeight="1">
      <c r="A674" s="2339"/>
      <c r="B674" s="2267"/>
      <c r="C674" s="1237"/>
      <c r="D674" s="1237"/>
      <c r="E674" s="1237"/>
      <c r="F674" s="1237"/>
      <c r="G674" s="1237"/>
      <c r="H674" s="1237"/>
      <c r="I674" s="1237"/>
      <c r="J674" s="1237"/>
      <c r="K674" s="1237"/>
      <c r="L674" s="1237"/>
      <c r="M674" s="1237"/>
      <c r="N674" s="1237"/>
      <c r="O674" s="2024"/>
      <c r="P674" s="2024"/>
      <c r="Q674" s="1238"/>
      <c r="R674" s="1239"/>
    </row>
    <row r="675" spans="1:18" ht="18.75" customHeight="1">
      <c r="A675" s="2339"/>
      <c r="B675" s="2267"/>
      <c r="C675" s="1237"/>
      <c r="D675" s="1237"/>
      <c r="E675" s="1237"/>
      <c r="F675" s="1237"/>
      <c r="G675" s="1237"/>
      <c r="H675" s="1237"/>
      <c r="I675" s="1237"/>
      <c r="J675" s="1237"/>
      <c r="K675" s="1237"/>
      <c r="L675" s="1237"/>
      <c r="M675" s="1237"/>
      <c r="N675" s="1237"/>
      <c r="O675" s="2024"/>
      <c r="P675" s="2024"/>
      <c r="Q675" s="1238"/>
      <c r="R675" s="1239"/>
    </row>
    <row r="676" spans="1:18" ht="18.75" customHeight="1">
      <c r="A676" s="2339"/>
      <c r="B676" s="2267"/>
      <c r="C676" s="1237"/>
      <c r="D676" s="1237"/>
      <c r="E676" s="1237"/>
      <c r="F676" s="1237"/>
      <c r="G676" s="1237"/>
      <c r="H676" s="1237"/>
      <c r="I676" s="1237"/>
      <c r="J676" s="2945"/>
      <c r="K676" s="2945"/>
      <c r="L676" s="2945"/>
      <c r="M676" s="1237"/>
      <c r="N676" s="1237"/>
      <c r="O676" s="2024"/>
      <c r="P676" s="2024"/>
      <c r="Q676" s="1238"/>
      <c r="R676" s="1239"/>
    </row>
    <row r="677" spans="1:18" ht="18.75" customHeight="1">
      <c r="A677" s="2339"/>
      <c r="B677" s="2267"/>
      <c r="C677" s="1237"/>
      <c r="D677" s="1237"/>
      <c r="E677" s="1237"/>
      <c r="F677" s="1237"/>
      <c r="G677" s="1237"/>
      <c r="H677" s="1237"/>
      <c r="I677" s="1237"/>
      <c r="J677" s="1237"/>
      <c r="K677" s="1237"/>
      <c r="L677" s="1237"/>
      <c r="M677" s="1237"/>
      <c r="N677" s="1237"/>
      <c r="O677" s="2024"/>
      <c r="P677" s="2024"/>
      <c r="Q677" s="1238"/>
      <c r="R677" s="1239"/>
    </row>
    <row r="678" spans="1:18" ht="18.75" customHeight="1">
      <c r="A678" s="2339"/>
      <c r="B678" s="2267"/>
      <c r="C678" s="1237"/>
      <c r="D678" s="1237"/>
      <c r="E678" s="1237"/>
      <c r="F678" s="1237"/>
      <c r="G678" s="1237"/>
      <c r="H678" s="1237"/>
      <c r="I678" s="1237"/>
      <c r="J678" s="1237"/>
      <c r="K678" s="1237"/>
      <c r="L678" s="1237"/>
      <c r="M678" s="1237"/>
      <c r="N678" s="1237"/>
      <c r="O678" s="2024"/>
      <c r="P678" s="2024"/>
      <c r="Q678" s="1238"/>
      <c r="R678" s="1239"/>
    </row>
    <row r="679" spans="1:18" ht="18.75" hidden="1" customHeight="1">
      <c r="A679" s="2339"/>
      <c r="B679" s="2267"/>
      <c r="C679" s="1237"/>
      <c r="D679" s="1237"/>
      <c r="E679" s="1237"/>
      <c r="F679" s="1237"/>
      <c r="G679" s="1237"/>
      <c r="H679" s="1237"/>
      <c r="I679" s="1237"/>
      <c r="J679" s="1237"/>
      <c r="K679" s="1237"/>
      <c r="L679" s="1237"/>
      <c r="M679" s="1237"/>
      <c r="N679" s="1237"/>
      <c r="O679" s="2024"/>
      <c r="P679" s="2024"/>
      <c r="Q679" s="1238"/>
      <c r="R679" s="1239"/>
    </row>
    <row r="680" spans="1:18" ht="18.75" customHeight="1">
      <c r="A680" s="2339"/>
      <c r="B680" s="2267"/>
      <c r="C680" s="1237"/>
      <c r="D680" s="1237"/>
      <c r="E680" s="1237"/>
      <c r="F680" s="1237"/>
      <c r="G680" s="1237"/>
      <c r="H680" s="1237"/>
      <c r="I680" s="1237"/>
      <c r="J680" s="1237"/>
      <c r="K680" s="1237"/>
      <c r="L680" s="1237"/>
      <c r="M680" s="1237"/>
      <c r="N680" s="1237"/>
      <c r="O680" s="2024"/>
      <c r="P680" s="2024"/>
      <c r="Q680" s="1238"/>
      <c r="R680" s="1239"/>
    </row>
    <row r="681" spans="1:18" ht="18.75" customHeight="1">
      <c r="A681" s="2339"/>
      <c r="B681" s="2267"/>
      <c r="C681" s="1237"/>
      <c r="D681" s="1237"/>
      <c r="E681" s="1237"/>
      <c r="F681" s="1237"/>
      <c r="G681" s="1237"/>
      <c r="H681" s="1237"/>
      <c r="I681" s="1237"/>
      <c r="J681" s="1237"/>
      <c r="K681" s="1237"/>
      <c r="L681" s="1237"/>
      <c r="M681" s="1237"/>
      <c r="N681" s="1237"/>
      <c r="O681" s="2024"/>
      <c r="P681" s="2024"/>
      <c r="Q681" s="1238"/>
      <c r="R681" s="1239"/>
    </row>
    <row r="682" spans="1:18" ht="18.75" customHeight="1">
      <c r="A682" s="2339"/>
      <c r="B682" s="2267"/>
      <c r="C682" s="1237"/>
      <c r="D682" s="1237"/>
      <c r="E682" s="1237"/>
      <c r="F682" s="1237"/>
      <c r="G682" s="1237"/>
      <c r="H682" s="1237"/>
      <c r="I682" s="1237"/>
      <c r="J682" s="1237"/>
      <c r="K682" s="1237"/>
      <c r="L682" s="1237"/>
      <c r="M682" s="1237"/>
      <c r="N682" s="1237"/>
      <c r="O682" s="2024"/>
      <c r="P682" s="2024"/>
      <c r="Q682" s="1238"/>
      <c r="R682" s="1239"/>
    </row>
    <row r="683" spans="1:18" ht="18.75" customHeight="1">
      <c r="A683" s="2339"/>
      <c r="B683" s="2267"/>
      <c r="C683" s="1237"/>
      <c r="D683" s="1237"/>
      <c r="E683" s="1237"/>
      <c r="F683" s="1237"/>
      <c r="G683" s="1237"/>
      <c r="H683" s="1237"/>
      <c r="I683" s="1237"/>
      <c r="J683" s="1237"/>
      <c r="K683" s="1237"/>
      <c r="L683" s="1237"/>
      <c r="M683" s="1237"/>
      <c r="N683" s="1237"/>
      <c r="O683" s="2024"/>
      <c r="P683" s="2024"/>
      <c r="Q683" s="1238"/>
      <c r="R683" s="1239"/>
    </row>
    <row r="684" spans="1:18" ht="18.75" customHeight="1">
      <c r="A684" s="2339"/>
      <c r="B684" s="2267"/>
      <c r="C684" s="1237"/>
      <c r="D684" s="1237"/>
      <c r="E684" s="1237"/>
      <c r="F684" s="1237"/>
      <c r="G684" s="1237"/>
      <c r="H684" s="1237"/>
      <c r="I684" s="1237"/>
      <c r="J684" s="1237"/>
      <c r="K684" s="1237"/>
      <c r="L684" s="1237"/>
      <c r="M684" s="1237"/>
      <c r="N684" s="1237"/>
      <c r="O684" s="2024"/>
      <c r="P684" s="2024"/>
      <c r="Q684" s="1238"/>
      <c r="R684" s="1239"/>
    </row>
    <row r="685" spans="1:18" ht="18.75" customHeight="1">
      <c r="A685" s="2339"/>
      <c r="B685" s="2267"/>
      <c r="C685" s="1237"/>
      <c r="D685" s="1237"/>
      <c r="E685" s="1237"/>
      <c r="F685" s="1237"/>
      <c r="G685" s="1237"/>
      <c r="H685" s="1237"/>
      <c r="I685" s="1237"/>
      <c r="J685" s="1237"/>
      <c r="K685" s="1237"/>
      <c r="L685" s="1237"/>
      <c r="M685" s="1237"/>
      <c r="N685" s="1237"/>
      <c r="O685" s="2024"/>
      <c r="P685" s="2024"/>
      <c r="Q685" s="1238"/>
      <c r="R685" s="1239"/>
    </row>
    <row r="686" spans="1:18" ht="18.75" customHeight="1">
      <c r="A686" s="2339"/>
      <c r="B686" s="2267"/>
      <c r="C686" s="1237"/>
      <c r="D686" s="1237"/>
      <c r="E686" s="1237"/>
      <c r="F686" s="1237"/>
      <c r="G686" s="1237"/>
      <c r="H686" s="1237"/>
      <c r="I686" s="1237"/>
      <c r="J686" s="1237"/>
      <c r="K686" s="1237"/>
      <c r="L686" s="1237"/>
      <c r="M686" s="1237"/>
      <c r="N686" s="1237"/>
      <c r="O686" s="2024"/>
      <c r="P686" s="2024"/>
      <c r="Q686" s="1238"/>
      <c r="R686" s="1239"/>
    </row>
    <row r="687" spans="1:18" ht="18.75" customHeight="1">
      <c r="A687" s="2339"/>
      <c r="B687" s="2267"/>
      <c r="C687" s="1237"/>
      <c r="D687" s="1237"/>
      <c r="E687" s="1237"/>
      <c r="F687" s="1237"/>
      <c r="G687" s="1237"/>
      <c r="H687" s="1237"/>
      <c r="I687" s="1237"/>
      <c r="J687" s="1237"/>
      <c r="K687" s="1237"/>
      <c r="L687" s="1237"/>
      <c r="M687" s="1237"/>
      <c r="N687" s="1237"/>
      <c r="O687" s="2024"/>
      <c r="P687" s="2024"/>
      <c r="Q687" s="1238"/>
      <c r="R687" s="1239"/>
    </row>
    <row r="688" spans="1:18" ht="18.75" customHeight="1">
      <c r="A688" s="2339"/>
      <c r="B688" s="2267"/>
      <c r="C688" s="1237"/>
      <c r="D688" s="1237"/>
      <c r="E688" s="1237"/>
      <c r="F688" s="1237"/>
      <c r="G688" s="1237"/>
      <c r="H688" s="1237"/>
      <c r="I688" s="1237"/>
      <c r="J688" s="1237"/>
      <c r="K688" s="1237"/>
      <c r="L688" s="1237"/>
      <c r="M688" s="1237"/>
      <c r="N688" s="1237"/>
      <c r="O688" s="2024"/>
      <c r="P688" s="2024"/>
      <c r="Q688" s="1238"/>
      <c r="R688" s="1239"/>
    </row>
    <row r="689" spans="1:18" ht="18.75" customHeight="1">
      <c r="A689" s="2339"/>
      <c r="B689" s="2267"/>
      <c r="C689" s="1237"/>
      <c r="D689" s="1237"/>
      <c r="E689" s="1237"/>
      <c r="F689" s="1237"/>
      <c r="G689" s="1237"/>
      <c r="H689" s="1237"/>
      <c r="I689" s="1237"/>
      <c r="J689" s="1237"/>
      <c r="K689" s="1237"/>
      <c r="L689" s="1237"/>
      <c r="M689" s="1237"/>
      <c r="N689" s="1237"/>
      <c r="O689" s="2024"/>
      <c r="P689" s="2024"/>
      <c r="Q689" s="1238"/>
      <c r="R689" s="1239"/>
    </row>
    <row r="690" spans="1:18" ht="18.75" customHeight="1" thickBot="1">
      <c r="A690" s="2339"/>
      <c r="B690" s="2338"/>
      <c r="C690" s="1610"/>
      <c r="D690" s="1610"/>
      <c r="E690" s="1610"/>
      <c r="F690" s="1610"/>
      <c r="G690" s="1610"/>
      <c r="H690" s="1610"/>
      <c r="I690" s="1610"/>
      <c r="J690" s="1610"/>
      <c r="K690" s="1610"/>
      <c r="L690" s="1610"/>
      <c r="M690" s="1610"/>
      <c r="N690" s="1610"/>
      <c r="O690" s="2036"/>
      <c r="P690" s="2024"/>
      <c r="Q690" s="1611"/>
      <c r="R690" s="1612"/>
    </row>
    <row r="691" spans="1:18" ht="18.75" customHeight="1">
      <c r="A691" s="2339"/>
      <c r="B691" s="2266"/>
      <c r="C691" s="1585"/>
      <c r="D691" s="1585"/>
      <c r="E691" s="1585"/>
      <c r="F691" s="1585"/>
      <c r="G691" s="1585"/>
      <c r="H691" s="1585"/>
      <c r="I691" s="1585"/>
      <c r="J691" s="1585"/>
      <c r="K691" s="1585"/>
      <c r="L691" s="1585"/>
      <c r="M691" s="1585"/>
      <c r="N691" s="1585"/>
      <c r="O691" s="2037"/>
      <c r="P691" s="2024"/>
      <c r="Q691" s="1586"/>
      <c r="R691" s="1587"/>
    </row>
    <row r="692" spans="1:18" ht="18.75" customHeight="1">
      <c r="A692" s="2339"/>
      <c r="B692" s="2267"/>
      <c r="C692" s="1237"/>
      <c r="D692" s="1237"/>
      <c r="E692" s="1237"/>
      <c r="F692" s="1237"/>
      <c r="G692" s="1237"/>
      <c r="H692" s="1237"/>
      <c r="I692" s="1237"/>
      <c r="J692" s="1237"/>
      <c r="K692" s="1237"/>
      <c r="L692" s="1237"/>
      <c r="M692" s="1237"/>
      <c r="N692" s="1237"/>
      <c r="O692" s="2028"/>
      <c r="P692" s="2024"/>
      <c r="Q692" s="1238"/>
      <c r="R692" s="1239"/>
    </row>
    <row r="693" spans="1:18" ht="18.75" customHeight="1">
      <c r="A693" s="2339"/>
      <c r="B693" s="2267"/>
      <c r="C693" s="1237"/>
      <c r="D693" s="1237"/>
      <c r="E693" s="1237"/>
      <c r="F693" s="1237"/>
      <c r="G693" s="1237"/>
      <c r="H693" s="1237"/>
      <c r="I693" s="1237"/>
      <c r="J693" s="2945"/>
      <c r="K693" s="2945"/>
      <c r="L693" s="2945"/>
      <c r="M693" s="1237"/>
      <c r="N693" s="1237"/>
      <c r="O693" s="2028"/>
      <c r="P693" s="2024"/>
      <c r="Q693" s="1238"/>
      <c r="R693" s="1239"/>
    </row>
    <row r="694" spans="1:18" ht="18.75" customHeight="1">
      <c r="A694" s="2339"/>
      <c r="B694" s="2267"/>
      <c r="C694" s="1237"/>
      <c r="D694" s="1237"/>
      <c r="E694" s="1237"/>
      <c r="F694" s="1237"/>
      <c r="G694" s="1237"/>
      <c r="H694" s="1237"/>
      <c r="I694" s="1237"/>
      <c r="J694" s="1237"/>
      <c r="K694" s="1237"/>
      <c r="L694" s="1237"/>
      <c r="M694" s="1237"/>
      <c r="N694" s="1237"/>
      <c r="O694" s="2028"/>
      <c r="P694" s="2024"/>
      <c r="Q694" s="1238"/>
      <c r="R694" s="1239"/>
    </row>
    <row r="695" spans="1:18" ht="18.75" customHeight="1">
      <c r="A695" s="2339"/>
      <c r="B695" s="2267"/>
      <c r="C695" s="1237"/>
      <c r="D695" s="1237"/>
      <c r="E695" s="1237"/>
      <c r="F695" s="1237"/>
      <c r="G695" s="1237"/>
      <c r="H695" s="1237"/>
      <c r="I695" s="1237"/>
      <c r="J695" s="1237"/>
      <c r="K695" s="1237"/>
      <c r="L695" s="1237"/>
      <c r="M695" s="1237"/>
      <c r="N695" s="1237"/>
      <c r="O695" s="2028"/>
      <c r="P695" s="2024"/>
      <c r="Q695" s="1238"/>
      <c r="R695" s="1239"/>
    </row>
    <row r="696" spans="1:18" ht="18.75" customHeight="1">
      <c r="A696" s="2339"/>
      <c r="B696" s="2267"/>
      <c r="C696" s="1237"/>
      <c r="D696" s="1237"/>
      <c r="E696" s="1237"/>
      <c r="F696" s="1237"/>
      <c r="G696" s="1237"/>
      <c r="H696" s="1237"/>
      <c r="I696" s="1237"/>
      <c r="J696" s="1237"/>
      <c r="K696" s="1237"/>
      <c r="L696" s="1237"/>
      <c r="M696" s="1237"/>
      <c r="N696" s="1237"/>
      <c r="O696" s="2028"/>
      <c r="P696" s="2024"/>
      <c r="Q696" s="1238"/>
      <c r="R696" s="1239"/>
    </row>
    <row r="697" spans="1:18" ht="18.75" customHeight="1">
      <c r="A697" s="2339"/>
      <c r="B697" s="2267"/>
      <c r="C697" s="1237"/>
      <c r="D697" s="1237"/>
      <c r="E697" s="1237"/>
      <c r="F697" s="1237"/>
      <c r="G697" s="1237"/>
      <c r="H697" s="1237"/>
      <c r="I697" s="1237"/>
      <c r="J697" s="1237"/>
      <c r="K697" s="1237"/>
      <c r="L697" s="1237"/>
      <c r="M697" s="1237"/>
      <c r="N697" s="1237"/>
      <c r="O697" s="2028"/>
      <c r="P697" s="2024"/>
      <c r="Q697" s="1238"/>
      <c r="R697" s="1239"/>
    </row>
    <row r="698" spans="1:18" ht="18.75" customHeight="1">
      <c r="A698" s="2339"/>
      <c r="B698" s="2267"/>
      <c r="C698" s="1237"/>
      <c r="D698" s="1237"/>
      <c r="E698" s="1237"/>
      <c r="F698" s="1237"/>
      <c r="G698" s="1237"/>
      <c r="H698" s="1237"/>
      <c r="I698" s="1237"/>
      <c r="J698" s="2945"/>
      <c r="K698" s="2945"/>
      <c r="L698" s="2945"/>
      <c r="M698" s="1237"/>
      <c r="N698" s="1237"/>
      <c r="O698" s="2028"/>
      <c r="P698" s="2024"/>
      <c r="Q698" s="1238"/>
      <c r="R698" s="1239"/>
    </row>
    <row r="699" spans="1:18" ht="18.75" customHeight="1">
      <c r="A699" s="2339"/>
      <c r="B699" s="2267"/>
      <c r="C699" s="1237"/>
      <c r="D699" s="1237"/>
      <c r="E699" s="1237"/>
      <c r="F699" s="1237"/>
      <c r="G699" s="1237"/>
      <c r="H699" s="1237"/>
      <c r="I699" s="1237"/>
      <c r="J699" s="1237"/>
      <c r="K699" s="1237"/>
      <c r="L699" s="1237"/>
      <c r="M699" s="1237"/>
      <c r="N699" s="1237"/>
      <c r="O699" s="2028"/>
      <c r="P699" s="2024"/>
      <c r="Q699" s="1238"/>
      <c r="R699" s="1239"/>
    </row>
    <row r="700" spans="1:18" ht="18.75" customHeight="1">
      <c r="A700" s="2339"/>
      <c r="B700" s="2267"/>
      <c r="C700" s="1237"/>
      <c r="D700" s="1237"/>
      <c r="E700" s="1237"/>
      <c r="F700" s="1237"/>
      <c r="G700" s="1237"/>
      <c r="H700" s="1237"/>
      <c r="I700" s="1237"/>
      <c r="J700" s="1237"/>
      <c r="K700" s="1237"/>
      <c r="L700" s="1237"/>
      <c r="M700" s="1237"/>
      <c r="N700" s="1237"/>
      <c r="O700" s="2028"/>
      <c r="P700" s="2024"/>
      <c r="Q700" s="1238"/>
      <c r="R700" s="1239"/>
    </row>
    <row r="701" spans="1:18" ht="18.75" customHeight="1">
      <c r="A701" s="2339"/>
      <c r="B701" s="2267"/>
      <c r="C701" s="1237"/>
      <c r="D701" s="1237"/>
      <c r="E701" s="1237"/>
      <c r="F701" s="1237"/>
      <c r="G701" s="1237"/>
      <c r="H701" s="1237"/>
      <c r="I701" s="1237"/>
      <c r="J701" s="1237"/>
      <c r="K701" s="1237"/>
      <c r="L701" s="1237"/>
      <c r="M701" s="1237"/>
      <c r="N701" s="1237"/>
      <c r="O701" s="2028"/>
      <c r="P701" s="2024"/>
      <c r="Q701" s="1238"/>
      <c r="R701" s="1239"/>
    </row>
    <row r="702" spans="1:18" ht="18.75" customHeight="1">
      <c r="A702" s="2339"/>
      <c r="B702" s="2267"/>
      <c r="C702" s="1237"/>
      <c r="D702" s="1237"/>
      <c r="E702" s="1237"/>
      <c r="F702" s="1237"/>
      <c r="G702" s="1237"/>
      <c r="H702" s="1237"/>
      <c r="I702" s="1237"/>
      <c r="J702" s="1237"/>
      <c r="K702" s="1237"/>
      <c r="L702" s="1237"/>
      <c r="M702" s="1237"/>
      <c r="N702" s="1237"/>
      <c r="O702" s="2028"/>
      <c r="P702" s="2024"/>
      <c r="Q702" s="1238"/>
      <c r="R702" s="1239"/>
    </row>
    <row r="703" spans="1:18" ht="18.75" customHeight="1">
      <c r="A703" s="2339"/>
      <c r="B703" s="2267"/>
      <c r="C703" s="1237"/>
      <c r="D703" s="1237"/>
      <c r="E703" s="1237"/>
      <c r="F703" s="1237"/>
      <c r="G703" s="1237"/>
      <c r="H703" s="1237"/>
      <c r="I703" s="1237"/>
      <c r="J703" s="1237"/>
      <c r="K703" s="1237"/>
      <c r="L703" s="1237"/>
      <c r="M703" s="1237"/>
      <c r="N703" s="1237"/>
      <c r="O703" s="2024"/>
      <c r="P703" s="2024"/>
      <c r="Q703" s="1238"/>
      <c r="R703" s="1239"/>
    </row>
    <row r="704" spans="1:18" ht="18.75" customHeight="1">
      <c r="A704" s="2339"/>
      <c r="B704" s="2267"/>
      <c r="C704" s="1237"/>
      <c r="D704" s="1237"/>
      <c r="E704" s="1237"/>
      <c r="F704" s="1237"/>
      <c r="G704" s="1237"/>
      <c r="H704" s="1237"/>
      <c r="I704" s="1237"/>
      <c r="J704" s="1237"/>
      <c r="K704" s="1237"/>
      <c r="L704" s="1237"/>
      <c r="M704" s="1237"/>
      <c r="N704" s="1237"/>
      <c r="O704" s="2024"/>
      <c r="P704" s="2024"/>
      <c r="Q704" s="1238"/>
      <c r="R704" s="1239"/>
    </row>
    <row r="705" spans="1:18" ht="18.75" customHeight="1">
      <c r="A705" s="2339"/>
      <c r="B705" s="2267"/>
      <c r="C705" s="1237"/>
      <c r="D705" s="1237"/>
      <c r="E705" s="1237"/>
      <c r="F705" s="1237"/>
      <c r="G705" s="1237"/>
      <c r="H705" s="1237"/>
      <c r="I705" s="1237"/>
      <c r="J705" s="2945"/>
      <c r="K705" s="2945"/>
      <c r="L705" s="2945"/>
      <c r="M705" s="1237"/>
      <c r="N705" s="1237"/>
      <c r="O705" s="2024"/>
      <c r="P705" s="2024"/>
      <c r="Q705" s="1238"/>
      <c r="R705" s="1239"/>
    </row>
    <row r="706" spans="1:18" ht="18.75" customHeight="1">
      <c r="A706" s="2339"/>
      <c r="B706" s="2267"/>
      <c r="C706" s="1237"/>
      <c r="D706" s="1237"/>
      <c r="E706" s="1237"/>
      <c r="F706" s="1237"/>
      <c r="G706" s="1237"/>
      <c r="H706" s="1237"/>
      <c r="I706" s="1237"/>
      <c r="J706" s="1237"/>
      <c r="K706" s="1237"/>
      <c r="L706" s="1237"/>
      <c r="M706" s="1237"/>
      <c r="N706" s="1237"/>
      <c r="O706" s="2024"/>
      <c r="P706" s="2024"/>
      <c r="Q706" s="1238"/>
      <c r="R706" s="1239"/>
    </row>
    <row r="707" spans="1:18" ht="18.75" customHeight="1">
      <c r="A707" s="2339"/>
      <c r="B707" s="2267"/>
      <c r="C707" s="1237"/>
      <c r="D707" s="1237"/>
      <c r="E707" s="1237"/>
      <c r="F707" s="1237"/>
      <c r="G707" s="1237"/>
      <c r="H707" s="1237"/>
      <c r="I707" s="1237"/>
      <c r="J707" s="1237"/>
      <c r="K707" s="1237"/>
      <c r="L707" s="1237"/>
      <c r="M707" s="1237"/>
      <c r="N707" s="1237"/>
      <c r="O707" s="2024"/>
      <c r="P707" s="2024"/>
      <c r="Q707" s="1238"/>
      <c r="R707" s="1239"/>
    </row>
    <row r="708" spans="1:18" ht="18.75" customHeight="1">
      <c r="A708" s="2339"/>
      <c r="B708" s="2267"/>
      <c r="C708" s="1237"/>
      <c r="D708" s="1237"/>
      <c r="E708" s="1237"/>
      <c r="F708" s="1237"/>
      <c r="G708" s="1237"/>
      <c r="H708" s="1237"/>
      <c r="I708" s="1237"/>
      <c r="J708" s="1237"/>
      <c r="K708" s="1237"/>
      <c r="L708" s="1237"/>
      <c r="M708" s="1237"/>
      <c r="N708" s="1237"/>
      <c r="O708" s="2024"/>
      <c r="P708" s="2024"/>
      <c r="Q708" s="1238"/>
      <c r="R708" s="1239"/>
    </row>
    <row r="709" spans="1:18" ht="18.75" customHeight="1">
      <c r="A709" s="2339"/>
      <c r="B709" s="2267"/>
      <c r="C709" s="1237"/>
      <c r="D709" s="1237"/>
      <c r="E709" s="1237"/>
      <c r="F709" s="1237"/>
      <c r="G709" s="1237"/>
      <c r="H709" s="1237"/>
      <c r="I709" s="1237"/>
      <c r="J709" s="1237"/>
      <c r="K709" s="1237"/>
      <c r="L709" s="1237"/>
      <c r="M709" s="1237"/>
      <c r="N709" s="1237"/>
      <c r="O709" s="2024"/>
      <c r="P709" s="2024"/>
      <c r="Q709" s="1238"/>
      <c r="R709" s="1239"/>
    </row>
    <row r="710" spans="1:18" ht="18.75" customHeight="1">
      <c r="A710" s="2339"/>
      <c r="B710" s="2267"/>
      <c r="C710" s="1237"/>
      <c r="D710" s="1237"/>
      <c r="E710" s="1237"/>
      <c r="F710" s="1237"/>
      <c r="G710" s="1237"/>
      <c r="H710" s="1237"/>
      <c r="I710" s="1237"/>
      <c r="J710" s="2945"/>
      <c r="K710" s="2945"/>
      <c r="L710" s="2945"/>
      <c r="M710" s="1237"/>
      <c r="N710" s="1237"/>
      <c r="O710" s="2024"/>
      <c r="P710" s="2024"/>
      <c r="Q710" s="1238"/>
      <c r="R710" s="1239"/>
    </row>
    <row r="711" spans="1:18" ht="18.75" customHeight="1">
      <c r="A711" s="2339"/>
      <c r="B711" s="2267"/>
      <c r="C711" s="1237"/>
      <c r="D711" s="1237"/>
      <c r="E711" s="1237"/>
      <c r="F711" s="1237"/>
      <c r="G711" s="1237"/>
      <c r="H711" s="1237"/>
      <c r="I711" s="1237"/>
      <c r="J711" s="1237"/>
      <c r="K711" s="1237"/>
      <c r="L711" s="1237"/>
      <c r="M711" s="1237"/>
      <c r="N711" s="1237"/>
      <c r="O711" s="2024"/>
      <c r="P711" s="2024"/>
      <c r="Q711" s="1238"/>
      <c r="R711" s="1239"/>
    </row>
    <row r="712" spans="1:18" ht="18.75" customHeight="1">
      <c r="A712" s="2339"/>
      <c r="B712" s="2267"/>
      <c r="C712" s="1237"/>
      <c r="D712" s="1237"/>
      <c r="E712" s="1237"/>
      <c r="F712" s="1237"/>
      <c r="G712" s="1237"/>
      <c r="H712" s="1237"/>
      <c r="I712" s="1237"/>
      <c r="J712" s="1237"/>
      <c r="K712" s="1237"/>
      <c r="L712" s="1237"/>
      <c r="M712" s="1237"/>
      <c r="N712" s="1237"/>
      <c r="O712" s="2024"/>
      <c r="P712" s="2024"/>
      <c r="Q712" s="1238"/>
      <c r="R712" s="1239"/>
    </row>
    <row r="713" spans="1:18" ht="18.75" customHeight="1">
      <c r="A713" s="2339"/>
      <c r="B713" s="2267"/>
      <c r="C713" s="1237"/>
      <c r="D713" s="1237"/>
      <c r="E713" s="1237"/>
      <c r="F713" s="1237"/>
      <c r="G713" s="1237"/>
      <c r="H713" s="1237"/>
      <c r="I713" s="1237"/>
      <c r="J713" s="1237"/>
      <c r="K713" s="1237"/>
      <c r="L713" s="1237"/>
      <c r="M713" s="1237"/>
      <c r="N713" s="1237"/>
      <c r="O713" s="2024"/>
      <c r="P713" s="2024"/>
      <c r="Q713" s="1238"/>
      <c r="R713" s="1239"/>
    </row>
    <row r="714" spans="1:18" ht="18.75" customHeight="1">
      <c r="A714" s="2339"/>
      <c r="B714" s="2267"/>
      <c r="C714" s="1237"/>
      <c r="D714" s="1237"/>
      <c r="E714" s="1237"/>
      <c r="F714" s="1237"/>
      <c r="G714" s="1237"/>
      <c r="H714" s="1237"/>
      <c r="I714" s="1237"/>
      <c r="J714" s="1237"/>
      <c r="K714" s="1237"/>
      <c r="L714" s="1237"/>
      <c r="M714" s="1237"/>
      <c r="N714" s="1237"/>
      <c r="O714" s="2024"/>
      <c r="P714" s="2024"/>
      <c r="Q714" s="1238"/>
      <c r="R714" s="1239"/>
    </row>
    <row r="715" spans="1:18" ht="18.75" customHeight="1">
      <c r="A715" s="2339"/>
      <c r="B715" s="2267"/>
      <c r="C715" s="1237"/>
      <c r="D715" s="1237"/>
      <c r="E715" s="1237"/>
      <c r="F715" s="1237"/>
      <c r="G715" s="1237"/>
      <c r="H715" s="1237"/>
      <c r="I715" s="1237"/>
      <c r="J715" s="2945"/>
      <c r="K715" s="2945"/>
      <c r="L715" s="2945"/>
      <c r="M715" s="1237"/>
      <c r="N715" s="1237"/>
      <c r="O715" s="2024"/>
      <c r="P715" s="2024"/>
      <c r="Q715" s="1238"/>
      <c r="R715" s="1239"/>
    </row>
    <row r="716" spans="1:18" ht="18.75" customHeight="1">
      <c r="A716" s="2339"/>
      <c r="B716" s="2267"/>
      <c r="C716" s="1237"/>
      <c r="D716" s="1237"/>
      <c r="E716" s="1237"/>
      <c r="F716" s="1237"/>
      <c r="G716" s="1237"/>
      <c r="H716" s="1237"/>
      <c r="I716" s="1237"/>
      <c r="J716" s="1237"/>
      <c r="K716" s="1237"/>
      <c r="L716" s="1237"/>
      <c r="M716" s="1237"/>
      <c r="N716" s="1237"/>
      <c r="O716" s="2024"/>
      <c r="P716" s="2024"/>
      <c r="Q716" s="1238"/>
      <c r="R716" s="1239"/>
    </row>
    <row r="717" spans="1:18" ht="18.75" customHeight="1">
      <c r="A717" s="2339"/>
      <c r="B717" s="2267"/>
      <c r="C717" s="1237"/>
      <c r="D717" s="1237"/>
      <c r="E717" s="1237"/>
      <c r="F717" s="1237"/>
      <c r="G717" s="1237"/>
      <c r="H717" s="1237"/>
      <c r="I717" s="1237"/>
      <c r="J717" s="1237"/>
      <c r="K717" s="1237"/>
      <c r="L717" s="1237"/>
      <c r="M717" s="1237"/>
      <c r="N717" s="1237"/>
      <c r="O717" s="2024"/>
      <c r="P717" s="2024"/>
      <c r="Q717" s="1238"/>
      <c r="R717" s="1239"/>
    </row>
    <row r="718" spans="1:18" ht="18.75" customHeight="1">
      <c r="A718" s="2339"/>
      <c r="B718" s="2267"/>
      <c r="C718" s="1237"/>
      <c r="D718" s="1237"/>
      <c r="E718" s="1237"/>
      <c r="F718" s="1237"/>
      <c r="G718" s="1237"/>
      <c r="H718" s="1237"/>
      <c r="I718" s="1237"/>
      <c r="J718" s="1237"/>
      <c r="K718" s="1237"/>
      <c r="L718" s="1237"/>
      <c r="M718" s="1237"/>
      <c r="N718" s="1237"/>
      <c r="O718" s="2024"/>
      <c r="P718" s="2024"/>
      <c r="Q718" s="1238"/>
      <c r="R718" s="1239"/>
    </row>
    <row r="719" spans="1:18" ht="18.75" customHeight="1">
      <c r="A719" s="2339"/>
      <c r="B719" s="2267"/>
      <c r="C719" s="1237"/>
      <c r="D719" s="1237"/>
      <c r="E719" s="1237"/>
      <c r="F719" s="1237"/>
      <c r="G719" s="1237"/>
      <c r="H719" s="1237"/>
      <c r="I719" s="1237"/>
      <c r="J719" s="1237"/>
      <c r="K719" s="1237"/>
      <c r="L719" s="1237"/>
      <c r="M719" s="1237"/>
      <c r="N719" s="1237"/>
      <c r="O719" s="2024"/>
      <c r="P719" s="2024"/>
      <c r="Q719" s="1238"/>
      <c r="R719" s="1239"/>
    </row>
    <row r="720" spans="1:18" ht="18.75" customHeight="1">
      <c r="A720" s="2339"/>
      <c r="B720" s="2267"/>
      <c r="C720" s="1237"/>
      <c r="D720" s="1237"/>
      <c r="E720" s="1237"/>
      <c r="F720" s="1237"/>
      <c r="G720" s="1237"/>
      <c r="H720" s="1237"/>
      <c r="I720" s="1237"/>
      <c r="J720" s="2945"/>
      <c r="K720" s="2945"/>
      <c r="L720" s="2945"/>
      <c r="M720" s="1237"/>
      <c r="N720" s="1237"/>
      <c r="O720" s="2024"/>
      <c r="P720" s="2024"/>
      <c r="Q720" s="1238"/>
      <c r="R720" s="1239"/>
    </row>
    <row r="721" spans="1:18" ht="18.75" customHeight="1">
      <c r="A721" s="2339"/>
      <c r="B721" s="2267"/>
      <c r="C721" s="1237"/>
      <c r="D721" s="1237"/>
      <c r="E721" s="1237"/>
      <c r="F721" s="1237"/>
      <c r="G721" s="1237"/>
      <c r="H721" s="1237"/>
      <c r="I721" s="1237"/>
      <c r="J721" s="1237"/>
      <c r="K721" s="1237"/>
      <c r="L721" s="1237"/>
      <c r="M721" s="1237"/>
      <c r="N721" s="1237"/>
      <c r="O721" s="2024"/>
      <c r="P721" s="2024"/>
      <c r="Q721" s="1238"/>
      <c r="R721" s="1239"/>
    </row>
    <row r="722" spans="1:18" ht="18.75" customHeight="1">
      <c r="A722" s="2339"/>
      <c r="B722" s="2267"/>
      <c r="C722" s="1237"/>
      <c r="D722" s="1237"/>
      <c r="E722" s="1237"/>
      <c r="F722" s="1237"/>
      <c r="G722" s="1237"/>
      <c r="H722" s="1237"/>
      <c r="I722" s="1237"/>
      <c r="J722" s="1237"/>
      <c r="K722" s="1237"/>
      <c r="L722" s="1237"/>
      <c r="M722" s="1237"/>
      <c r="N722" s="1237"/>
      <c r="O722" s="2024"/>
      <c r="P722" s="2024"/>
      <c r="Q722" s="1238"/>
      <c r="R722" s="1239"/>
    </row>
    <row r="723" spans="1:18" ht="18.75" customHeight="1">
      <c r="A723" s="2339"/>
      <c r="B723" s="2267"/>
      <c r="C723" s="1237"/>
      <c r="D723" s="1237"/>
      <c r="E723" s="1237"/>
      <c r="F723" s="1237"/>
      <c r="G723" s="1237"/>
      <c r="H723" s="1237"/>
      <c r="I723" s="1237"/>
      <c r="J723" s="1237"/>
      <c r="K723" s="1237"/>
      <c r="L723" s="1237"/>
      <c r="M723" s="1237"/>
      <c r="N723" s="1237"/>
      <c r="O723" s="2024"/>
      <c r="P723" s="2024"/>
      <c r="Q723" s="1238"/>
      <c r="R723" s="1239"/>
    </row>
    <row r="724" spans="1:18" ht="18.75" customHeight="1">
      <c r="A724" s="2339"/>
      <c r="B724" s="2267"/>
      <c r="C724" s="1237"/>
      <c r="D724" s="1237"/>
      <c r="E724" s="1237"/>
      <c r="F724" s="1237"/>
      <c r="G724" s="1237"/>
      <c r="H724" s="1237"/>
      <c r="I724" s="1237"/>
      <c r="J724" s="1237"/>
      <c r="K724" s="1237"/>
      <c r="L724" s="1237"/>
      <c r="M724" s="1237"/>
      <c r="N724" s="1237"/>
      <c r="O724" s="2024"/>
      <c r="P724" s="2024"/>
      <c r="Q724" s="1238"/>
      <c r="R724" s="1239"/>
    </row>
    <row r="725" spans="1:18" ht="18.75" customHeight="1">
      <c r="A725" s="2339"/>
      <c r="B725" s="2267"/>
      <c r="C725" s="1237"/>
      <c r="D725" s="1237"/>
      <c r="E725" s="1237"/>
      <c r="F725" s="1237"/>
      <c r="G725" s="1237"/>
      <c r="H725" s="1237"/>
      <c r="I725" s="1237"/>
      <c r="J725" s="1237"/>
      <c r="K725" s="1237"/>
      <c r="L725" s="1237"/>
      <c r="M725" s="1237"/>
      <c r="N725" s="1237"/>
      <c r="O725" s="2024"/>
      <c r="P725" s="2024"/>
      <c r="Q725" s="1238"/>
      <c r="R725" s="1239"/>
    </row>
    <row r="726" spans="1:18" ht="18.75" customHeight="1">
      <c r="A726" s="2339"/>
      <c r="B726" s="2267"/>
      <c r="C726" s="1237"/>
      <c r="D726" s="1237"/>
      <c r="E726" s="1237"/>
      <c r="F726" s="1237"/>
      <c r="G726" s="1237"/>
      <c r="H726" s="1237"/>
      <c r="I726" s="1237"/>
      <c r="J726" s="1237"/>
      <c r="K726" s="1237"/>
      <c r="L726" s="1237"/>
      <c r="M726" s="1237"/>
      <c r="N726" s="1237"/>
      <c r="O726" s="2024"/>
      <c r="P726" s="2024"/>
      <c r="Q726" s="1238"/>
      <c r="R726" s="1239"/>
    </row>
    <row r="727" spans="1:18" ht="18.75" customHeight="1" thickBot="1">
      <c r="A727" s="2339"/>
      <c r="B727" s="2268"/>
      <c r="C727" s="1540"/>
      <c r="D727" s="1540"/>
      <c r="E727" s="1540"/>
      <c r="F727" s="1540"/>
      <c r="G727" s="1540"/>
      <c r="H727" s="1540"/>
      <c r="I727" s="1540"/>
      <c r="J727" s="1540"/>
      <c r="K727" s="1540"/>
      <c r="L727" s="1540"/>
      <c r="M727" s="1540"/>
      <c r="N727" s="1540"/>
      <c r="O727" s="2025"/>
      <c r="P727" s="2024"/>
      <c r="Q727" s="1541"/>
      <c r="R727" s="1591"/>
    </row>
    <row r="728" spans="1:18" ht="18.75" customHeight="1">
      <c r="A728" s="2339"/>
      <c r="B728" s="2266"/>
      <c r="C728" s="1585"/>
      <c r="D728" s="1585"/>
      <c r="E728" s="1585"/>
      <c r="F728" s="1585"/>
      <c r="G728" s="1585"/>
      <c r="H728" s="1585"/>
      <c r="I728" s="1585"/>
      <c r="J728" s="1585"/>
      <c r="K728" s="1585"/>
      <c r="L728" s="1585"/>
      <c r="M728" s="1585"/>
      <c r="N728" s="1585"/>
      <c r="O728" s="2026"/>
      <c r="P728" s="2024"/>
      <c r="Q728" s="1586"/>
      <c r="R728" s="1587"/>
    </row>
    <row r="729" spans="1:18" ht="18.75" customHeight="1">
      <c r="A729" s="2339"/>
      <c r="B729" s="2267"/>
      <c r="C729" s="1237"/>
      <c r="D729" s="1237"/>
      <c r="E729" s="1237"/>
      <c r="F729" s="1237"/>
      <c r="G729" s="1237"/>
      <c r="H729" s="1237"/>
      <c r="I729" s="1237"/>
      <c r="J729" s="1237"/>
      <c r="K729" s="1237"/>
      <c r="L729" s="1237"/>
      <c r="M729" s="1237"/>
      <c r="N729" s="1237"/>
      <c r="O729" s="2024"/>
      <c r="P729" s="2024"/>
      <c r="Q729" s="1238"/>
      <c r="R729" s="1239"/>
    </row>
    <row r="730" spans="1:18" ht="18.75" customHeight="1">
      <c r="A730" s="2339"/>
      <c r="B730" s="2267"/>
      <c r="C730" s="1237"/>
      <c r="D730" s="1237"/>
      <c r="E730" s="1237"/>
      <c r="F730" s="1237"/>
      <c r="G730" s="1237"/>
      <c r="H730" s="1237"/>
      <c r="I730" s="1237"/>
      <c r="J730" s="1237"/>
      <c r="K730" s="1237"/>
      <c r="L730" s="1237"/>
      <c r="M730" s="1237"/>
      <c r="N730" s="1237"/>
      <c r="O730" s="2024"/>
      <c r="P730" s="2024"/>
      <c r="Q730" s="1238"/>
      <c r="R730" s="1239"/>
    </row>
    <row r="731" spans="1:18" ht="18.75" customHeight="1">
      <c r="A731" s="2339"/>
      <c r="B731" s="2267"/>
      <c r="C731" s="1237"/>
      <c r="D731" s="1237"/>
      <c r="E731" s="1237"/>
      <c r="F731" s="1237"/>
      <c r="G731" s="1237"/>
      <c r="H731" s="1237"/>
      <c r="I731" s="1237"/>
      <c r="J731" s="1237"/>
      <c r="K731" s="1237"/>
      <c r="L731" s="1237"/>
      <c r="M731" s="1237"/>
      <c r="N731" s="1237"/>
      <c r="O731" s="2024"/>
      <c r="P731" s="2024"/>
      <c r="Q731" s="1238"/>
      <c r="R731" s="1239"/>
    </row>
    <row r="732" spans="1:18" ht="18.75" customHeight="1">
      <c r="A732" s="2339"/>
      <c r="B732" s="2267"/>
      <c r="C732" s="1237"/>
      <c r="D732" s="1237"/>
      <c r="E732" s="1237"/>
      <c r="F732" s="1237"/>
      <c r="G732" s="1237"/>
      <c r="H732" s="1237"/>
      <c r="I732" s="1237"/>
      <c r="J732" s="2945"/>
      <c r="K732" s="2945"/>
      <c r="L732" s="2945"/>
      <c r="M732" s="1237"/>
      <c r="N732" s="1237"/>
      <c r="O732" s="2024"/>
      <c r="P732" s="2024"/>
      <c r="Q732" s="1238"/>
      <c r="R732" s="1239"/>
    </row>
    <row r="733" spans="1:18" ht="18.75" customHeight="1">
      <c r="A733" s="2339"/>
      <c r="B733" s="2267"/>
      <c r="C733" s="1237"/>
      <c r="D733" s="1237"/>
      <c r="E733" s="1237"/>
      <c r="F733" s="1237"/>
      <c r="G733" s="1237"/>
      <c r="H733" s="1237"/>
      <c r="I733" s="1237"/>
      <c r="J733" s="1237"/>
      <c r="K733" s="1237"/>
      <c r="L733" s="1237"/>
      <c r="M733" s="1237"/>
      <c r="N733" s="1237"/>
      <c r="O733" s="2024"/>
      <c r="P733" s="2024"/>
      <c r="Q733" s="1238"/>
      <c r="R733" s="1239"/>
    </row>
    <row r="734" spans="1:18" ht="18.75" customHeight="1">
      <c r="A734" s="2339"/>
      <c r="B734" s="2267"/>
      <c r="C734" s="1237"/>
      <c r="D734" s="1237"/>
      <c r="E734" s="1237"/>
      <c r="F734" s="1237"/>
      <c r="G734" s="1237"/>
      <c r="H734" s="1237"/>
      <c r="I734" s="1237"/>
      <c r="J734" s="1237"/>
      <c r="K734" s="1237"/>
      <c r="L734" s="1237"/>
      <c r="M734" s="1237"/>
      <c r="N734" s="1237"/>
      <c r="O734" s="2024"/>
      <c r="P734" s="2024"/>
      <c r="Q734" s="1238"/>
      <c r="R734" s="1239"/>
    </row>
    <row r="735" spans="1:18" ht="18.75" customHeight="1">
      <c r="A735" s="2339"/>
      <c r="B735" s="2267"/>
      <c r="C735" s="1237"/>
      <c r="D735" s="1237"/>
      <c r="E735" s="1237"/>
      <c r="F735" s="1237"/>
      <c r="G735" s="1237"/>
      <c r="H735" s="1237"/>
      <c r="I735" s="1237"/>
      <c r="J735" s="1237"/>
      <c r="K735" s="1237"/>
      <c r="L735" s="1237"/>
      <c r="M735" s="1237"/>
      <c r="N735" s="1237"/>
      <c r="O735" s="2024"/>
      <c r="P735" s="2024"/>
      <c r="Q735" s="1238"/>
      <c r="R735" s="1239"/>
    </row>
    <row r="736" spans="1:18" ht="18.75" customHeight="1">
      <c r="A736" s="2339"/>
      <c r="B736" s="2267"/>
      <c r="C736" s="1237"/>
      <c r="D736" s="1237"/>
      <c r="E736" s="1237"/>
      <c r="F736" s="1237"/>
      <c r="G736" s="1237"/>
      <c r="H736" s="1237"/>
      <c r="I736" s="1237"/>
      <c r="J736" s="1237"/>
      <c r="K736" s="1237"/>
      <c r="L736" s="1237"/>
      <c r="M736" s="1237"/>
      <c r="N736" s="1237"/>
      <c r="O736" s="2024"/>
      <c r="P736" s="2024"/>
      <c r="Q736" s="1238"/>
      <c r="R736" s="1239"/>
    </row>
    <row r="737" spans="1:18" ht="18.75" customHeight="1">
      <c r="A737" s="2339"/>
      <c r="B737" s="2267"/>
      <c r="C737" s="1237"/>
      <c r="D737" s="1237"/>
      <c r="E737" s="1237"/>
      <c r="F737" s="1237"/>
      <c r="G737" s="1237"/>
      <c r="H737" s="1237"/>
      <c r="I737" s="1237"/>
      <c r="J737" s="2945"/>
      <c r="K737" s="2945"/>
      <c r="L737" s="2945"/>
      <c r="M737" s="1237"/>
      <c r="N737" s="1237"/>
      <c r="O737" s="2024"/>
      <c r="P737" s="2024"/>
      <c r="Q737" s="1238"/>
      <c r="R737" s="1239"/>
    </row>
    <row r="738" spans="1:18" ht="18.75" customHeight="1">
      <c r="A738" s="2339"/>
      <c r="B738" s="2267"/>
      <c r="C738" s="1237"/>
      <c r="D738" s="1237"/>
      <c r="E738" s="1237"/>
      <c r="F738" s="1237"/>
      <c r="G738" s="1237"/>
      <c r="H738" s="1237"/>
      <c r="I738" s="1237"/>
      <c r="J738" s="1237"/>
      <c r="K738" s="1237"/>
      <c r="L738" s="1237"/>
      <c r="M738" s="1237"/>
      <c r="N738" s="1237"/>
      <c r="O738" s="2024"/>
      <c r="P738" s="2024"/>
      <c r="Q738" s="1238"/>
      <c r="R738" s="1239"/>
    </row>
    <row r="739" spans="1:18" ht="18.75" customHeight="1">
      <c r="A739" s="2339"/>
      <c r="B739" s="2267"/>
      <c r="C739" s="1237"/>
      <c r="D739" s="1237"/>
      <c r="E739" s="1237"/>
      <c r="F739" s="1237"/>
      <c r="G739" s="1237"/>
      <c r="H739" s="1237"/>
      <c r="I739" s="1237"/>
      <c r="J739" s="1237"/>
      <c r="K739" s="1237"/>
      <c r="L739" s="1237"/>
      <c r="M739" s="1237"/>
      <c r="N739" s="1237"/>
      <c r="O739" s="2024"/>
      <c r="P739" s="2024"/>
      <c r="Q739" s="1238"/>
      <c r="R739" s="1239"/>
    </row>
    <row r="740" spans="1:18" ht="18.75" customHeight="1">
      <c r="A740" s="2339"/>
      <c r="B740" s="2267"/>
      <c r="C740" s="1237"/>
      <c r="D740" s="1237"/>
      <c r="E740" s="1237"/>
      <c r="F740" s="1237"/>
      <c r="G740" s="1237"/>
      <c r="H740" s="1237"/>
      <c r="I740" s="1237"/>
      <c r="J740" s="1237"/>
      <c r="K740" s="1237"/>
      <c r="L740" s="1237"/>
      <c r="M740" s="1237"/>
      <c r="N740" s="1237"/>
      <c r="O740" s="2024"/>
      <c r="P740" s="2024"/>
      <c r="Q740" s="1238"/>
      <c r="R740" s="1239"/>
    </row>
    <row r="741" spans="1:18" ht="18.75" customHeight="1">
      <c r="A741" s="2339"/>
      <c r="B741" s="2267"/>
      <c r="C741" s="1237"/>
      <c r="D741" s="1237"/>
      <c r="E741" s="1237"/>
      <c r="F741" s="1237"/>
      <c r="G741" s="1237"/>
      <c r="H741" s="1237"/>
      <c r="I741" s="1237"/>
      <c r="J741" s="1237"/>
      <c r="K741" s="1237"/>
      <c r="L741" s="1237"/>
      <c r="M741" s="1237"/>
      <c r="N741" s="1237"/>
      <c r="O741" s="2024"/>
      <c r="P741" s="2024"/>
      <c r="Q741" s="1238"/>
      <c r="R741" s="1239"/>
    </row>
    <row r="742" spans="1:18" ht="18.75" customHeight="1">
      <c r="A742" s="2339"/>
      <c r="B742" s="2267"/>
      <c r="C742" s="1237"/>
      <c r="D742" s="1237"/>
      <c r="E742" s="1237"/>
      <c r="F742" s="1237"/>
      <c r="G742" s="1237"/>
      <c r="H742" s="1237"/>
      <c r="I742" s="1237"/>
      <c r="J742" s="2945"/>
      <c r="K742" s="2945"/>
      <c r="L742" s="2945"/>
      <c r="M742" s="1237"/>
      <c r="N742" s="1237"/>
      <c r="O742" s="2024"/>
      <c r="P742" s="2024"/>
      <c r="Q742" s="1238"/>
      <c r="R742" s="1239"/>
    </row>
    <row r="743" spans="1:18" ht="18.75" customHeight="1">
      <c r="A743" s="2339"/>
      <c r="B743" s="2267"/>
      <c r="C743" s="1237"/>
      <c r="D743" s="1237"/>
      <c r="E743" s="1237"/>
      <c r="F743" s="1237"/>
      <c r="G743" s="1237"/>
      <c r="H743" s="1237"/>
      <c r="I743" s="1237"/>
      <c r="J743" s="1237"/>
      <c r="K743" s="1237"/>
      <c r="L743" s="1237"/>
      <c r="M743" s="1237"/>
      <c r="N743" s="1237"/>
      <c r="O743" s="2024"/>
      <c r="P743" s="2024"/>
      <c r="Q743" s="1238"/>
      <c r="R743" s="1239"/>
    </row>
    <row r="744" spans="1:18" ht="18.75" customHeight="1">
      <c r="A744" s="2339"/>
      <c r="B744" s="2267"/>
      <c r="C744" s="1237"/>
      <c r="D744" s="1237"/>
      <c r="E744" s="1237"/>
      <c r="F744" s="1237"/>
      <c r="G744" s="1237"/>
      <c r="H744" s="1237"/>
      <c r="I744" s="1237"/>
      <c r="J744" s="1237"/>
      <c r="K744" s="1237"/>
      <c r="L744" s="1237"/>
      <c r="M744" s="1237"/>
      <c r="N744" s="1237"/>
      <c r="O744" s="2024"/>
      <c r="P744" s="2024"/>
      <c r="Q744" s="1238"/>
      <c r="R744" s="1239"/>
    </row>
    <row r="745" spans="1:18" ht="18.75" customHeight="1">
      <c r="A745" s="2339"/>
      <c r="B745" s="2267"/>
      <c r="C745" s="1237"/>
      <c r="D745" s="1237"/>
      <c r="E745" s="1237"/>
      <c r="F745" s="1237"/>
      <c r="G745" s="1237"/>
      <c r="H745" s="1237"/>
      <c r="I745" s="1237"/>
      <c r="J745" s="1237"/>
      <c r="K745" s="1237"/>
      <c r="L745" s="1237"/>
      <c r="M745" s="1237"/>
      <c r="N745" s="1237"/>
      <c r="O745" s="2024"/>
      <c r="P745" s="2024"/>
      <c r="Q745" s="1238"/>
      <c r="R745" s="1239"/>
    </row>
    <row r="746" spans="1:18" ht="18.75" customHeight="1">
      <c r="A746" s="2339"/>
      <c r="B746" s="2267"/>
      <c r="C746" s="1237"/>
      <c r="D746" s="1237"/>
      <c r="E746" s="1237"/>
      <c r="F746" s="1237"/>
      <c r="G746" s="1237"/>
      <c r="H746" s="1237"/>
      <c r="I746" s="1237"/>
      <c r="J746" s="1237"/>
      <c r="K746" s="1237"/>
      <c r="L746" s="1237"/>
      <c r="M746" s="1237"/>
      <c r="N746" s="1237"/>
      <c r="O746" s="2024"/>
      <c r="P746" s="2024"/>
      <c r="Q746" s="1238"/>
      <c r="R746" s="1239"/>
    </row>
    <row r="747" spans="1:18" ht="18.75" customHeight="1">
      <c r="A747" s="2339"/>
      <c r="B747" s="2267"/>
      <c r="C747" s="1237"/>
      <c r="D747" s="1237"/>
      <c r="E747" s="1237"/>
      <c r="F747" s="1237"/>
      <c r="G747" s="1237"/>
      <c r="H747" s="1237"/>
      <c r="I747" s="1237"/>
      <c r="J747" s="1237"/>
      <c r="K747" s="1237"/>
      <c r="L747" s="1237"/>
      <c r="M747" s="1237"/>
      <c r="N747" s="1237"/>
      <c r="O747" s="2024"/>
      <c r="P747" s="2024"/>
      <c r="Q747" s="1238"/>
      <c r="R747" s="1239"/>
    </row>
    <row r="748" spans="1:18" ht="18.75" customHeight="1">
      <c r="A748" s="2339"/>
      <c r="B748" s="2267"/>
      <c r="C748" s="1237"/>
      <c r="D748" s="1237"/>
      <c r="E748" s="1237"/>
      <c r="F748" s="1237"/>
      <c r="G748" s="1237"/>
      <c r="H748" s="1237"/>
      <c r="I748" s="1237"/>
      <c r="J748" s="1237"/>
      <c r="K748" s="1237"/>
      <c r="L748" s="1237"/>
      <c r="M748" s="1237"/>
      <c r="N748" s="1237"/>
      <c r="O748" s="2024"/>
      <c r="P748" s="2024"/>
      <c r="Q748" s="1238"/>
      <c r="R748" s="1239"/>
    </row>
    <row r="749" spans="1:18" ht="18.75" customHeight="1">
      <c r="A749" s="2339"/>
      <c r="B749" s="2267"/>
      <c r="C749" s="1237"/>
      <c r="D749" s="1237"/>
      <c r="E749" s="1237"/>
      <c r="F749" s="1237"/>
      <c r="G749" s="1237"/>
      <c r="H749" s="1237"/>
      <c r="I749" s="1237"/>
      <c r="J749" s="1237"/>
      <c r="K749" s="1237"/>
      <c r="L749" s="1237"/>
      <c r="M749" s="1237"/>
      <c r="N749" s="1237"/>
      <c r="O749" s="2024"/>
      <c r="P749" s="2024"/>
      <c r="Q749" s="1238"/>
      <c r="R749" s="1239"/>
    </row>
    <row r="750" spans="1:18" ht="18.75" customHeight="1">
      <c r="A750" s="2339"/>
      <c r="B750" s="2267"/>
      <c r="C750" s="1237"/>
      <c r="D750" s="1237"/>
      <c r="E750" s="1237"/>
      <c r="F750" s="1237"/>
      <c r="G750" s="1237"/>
      <c r="H750" s="1237"/>
      <c r="I750" s="1237"/>
      <c r="J750" s="1237"/>
      <c r="K750" s="1237"/>
      <c r="L750" s="1237"/>
      <c r="M750" s="1237"/>
      <c r="N750" s="1237"/>
      <c r="O750" s="2024"/>
      <c r="P750" s="2024"/>
      <c r="Q750" s="1238"/>
      <c r="R750" s="1239"/>
    </row>
    <row r="751" spans="1:18" ht="18.75" customHeight="1">
      <c r="A751" s="2339"/>
      <c r="B751" s="2267"/>
      <c r="C751" s="1237"/>
      <c r="D751" s="1237"/>
      <c r="E751" s="1237"/>
      <c r="F751" s="1237"/>
      <c r="G751" s="1237"/>
      <c r="H751" s="1237"/>
      <c r="I751" s="1237"/>
      <c r="J751" s="1237"/>
      <c r="K751" s="1237"/>
      <c r="L751" s="1237"/>
      <c r="M751" s="1237"/>
      <c r="N751" s="1237"/>
      <c r="O751" s="2024"/>
      <c r="P751" s="2024"/>
      <c r="Q751" s="1238"/>
      <c r="R751" s="1239"/>
    </row>
    <row r="752" spans="1:18" ht="18.75" customHeight="1">
      <c r="A752" s="2339"/>
      <c r="B752" s="2267"/>
      <c r="C752" s="1237"/>
      <c r="D752" s="1237"/>
      <c r="E752" s="1237"/>
      <c r="F752" s="1237"/>
      <c r="G752" s="1237"/>
      <c r="H752" s="1237"/>
      <c r="I752" s="1237"/>
      <c r="J752" s="2945"/>
      <c r="K752" s="2945"/>
      <c r="L752" s="2945"/>
      <c r="M752" s="1237"/>
      <c r="N752" s="1237"/>
      <c r="O752" s="2024"/>
      <c r="P752" s="2024"/>
      <c r="Q752" s="1238"/>
      <c r="R752" s="1239"/>
    </row>
    <row r="753" spans="1:18" ht="18.75" customHeight="1">
      <c r="A753" s="2339"/>
      <c r="B753" s="2267"/>
      <c r="C753" s="1237"/>
      <c r="D753" s="1237"/>
      <c r="E753" s="1237"/>
      <c r="F753" s="1237"/>
      <c r="G753" s="1237"/>
      <c r="H753" s="1237"/>
      <c r="I753" s="1237"/>
      <c r="J753" s="1237"/>
      <c r="K753" s="1237"/>
      <c r="L753" s="1237"/>
      <c r="M753" s="1237"/>
      <c r="N753" s="1237"/>
      <c r="O753" s="2024"/>
      <c r="P753" s="2024"/>
      <c r="Q753" s="1238"/>
      <c r="R753" s="1239"/>
    </row>
    <row r="754" spans="1:18" ht="18.75" customHeight="1">
      <c r="A754" s="2339"/>
      <c r="B754" s="2267"/>
      <c r="C754" s="1237"/>
      <c r="D754" s="1237"/>
      <c r="E754" s="1237"/>
      <c r="F754" s="1237"/>
      <c r="G754" s="1237"/>
      <c r="H754" s="1237"/>
      <c r="I754" s="1237"/>
      <c r="J754" s="1237"/>
      <c r="K754" s="1237"/>
      <c r="L754" s="1237"/>
      <c r="M754" s="1237"/>
      <c r="N754" s="1237"/>
      <c r="O754" s="2024"/>
      <c r="P754" s="2024"/>
      <c r="Q754" s="1238"/>
      <c r="R754" s="1239"/>
    </row>
    <row r="755" spans="1:18" ht="18.75" customHeight="1">
      <c r="A755" s="2339"/>
      <c r="B755" s="2267"/>
      <c r="C755" s="1237"/>
      <c r="D755" s="1237"/>
      <c r="E755" s="1237"/>
      <c r="F755" s="1237"/>
      <c r="G755" s="1237"/>
      <c r="H755" s="1237"/>
      <c r="I755" s="1237"/>
      <c r="J755" s="1237"/>
      <c r="K755" s="1237"/>
      <c r="L755" s="1237"/>
      <c r="M755" s="1237"/>
      <c r="N755" s="1237"/>
      <c r="O755" s="2024"/>
      <c r="P755" s="2024"/>
      <c r="Q755" s="1238"/>
      <c r="R755" s="1239"/>
    </row>
    <row r="756" spans="1:18" ht="18.75" customHeight="1">
      <c r="A756" s="2339"/>
      <c r="B756" s="2267"/>
      <c r="C756" s="1237"/>
      <c r="D756" s="1237"/>
      <c r="E756" s="1237"/>
      <c r="F756" s="1237"/>
      <c r="G756" s="1237"/>
      <c r="H756" s="1237"/>
      <c r="I756" s="1237"/>
      <c r="J756" s="1237"/>
      <c r="K756" s="1237"/>
      <c r="L756" s="1237"/>
      <c r="M756" s="1237"/>
      <c r="N756" s="1237"/>
      <c r="O756" s="2024"/>
      <c r="P756" s="2024"/>
      <c r="Q756" s="1238"/>
      <c r="R756" s="1239"/>
    </row>
    <row r="757" spans="1:18" ht="18.75" customHeight="1">
      <c r="A757" s="2339"/>
      <c r="B757" s="2267"/>
      <c r="C757" s="1237"/>
      <c r="D757" s="1237"/>
      <c r="E757" s="1237"/>
      <c r="F757" s="1237"/>
      <c r="G757" s="1237"/>
      <c r="H757" s="1237"/>
      <c r="I757" s="1237"/>
      <c r="J757" s="2945"/>
      <c r="K757" s="2945"/>
      <c r="L757" s="2945"/>
      <c r="M757" s="1237"/>
      <c r="N757" s="1237"/>
      <c r="O757" s="2024"/>
      <c r="P757" s="2024"/>
      <c r="Q757" s="1238"/>
      <c r="R757" s="1239"/>
    </row>
    <row r="758" spans="1:18" ht="18.75" customHeight="1">
      <c r="A758" s="2339"/>
      <c r="B758" s="2267"/>
      <c r="C758" s="1237"/>
      <c r="D758" s="1237"/>
      <c r="E758" s="1237"/>
      <c r="F758" s="1237"/>
      <c r="G758" s="1237"/>
      <c r="H758" s="1237"/>
      <c r="I758" s="1237"/>
      <c r="J758" s="1237"/>
      <c r="K758" s="1237"/>
      <c r="L758" s="1237"/>
      <c r="M758" s="1237"/>
      <c r="N758" s="1237"/>
      <c r="O758" s="2024"/>
      <c r="P758" s="2024"/>
      <c r="Q758" s="1238"/>
      <c r="R758" s="1239"/>
    </row>
    <row r="759" spans="1:18" ht="18.75" customHeight="1">
      <c r="A759" s="2339"/>
      <c r="B759" s="2267"/>
      <c r="C759" s="1237"/>
      <c r="D759" s="1237"/>
      <c r="E759" s="1237"/>
      <c r="F759" s="1237"/>
      <c r="G759" s="1237"/>
      <c r="H759" s="1237"/>
      <c r="I759" s="1237"/>
      <c r="J759" s="1237"/>
      <c r="K759" s="1237"/>
      <c r="L759" s="1237"/>
      <c r="M759" s="1237"/>
      <c r="N759" s="1237"/>
      <c r="O759" s="2024"/>
      <c r="P759" s="2024"/>
      <c r="Q759" s="1238"/>
      <c r="R759" s="1239"/>
    </row>
    <row r="760" spans="1:18" ht="18" customHeight="1">
      <c r="A760" s="2339"/>
      <c r="B760" s="2267"/>
      <c r="C760" s="1237"/>
      <c r="D760" s="1237"/>
      <c r="E760" s="1237"/>
      <c r="F760" s="1237"/>
      <c r="G760" s="1237"/>
      <c r="H760" s="1237"/>
      <c r="I760" s="1237"/>
      <c r="J760" s="1237"/>
      <c r="K760" s="1237"/>
      <c r="L760" s="1237"/>
      <c r="M760" s="1237"/>
      <c r="N760" s="1237"/>
      <c r="O760" s="2024"/>
      <c r="P760" s="2024"/>
      <c r="Q760" s="1238"/>
      <c r="R760" s="1239"/>
    </row>
    <row r="761" spans="1:18" ht="18.75" customHeight="1">
      <c r="A761" s="2339"/>
      <c r="B761" s="2267"/>
      <c r="C761" s="1237"/>
      <c r="D761" s="1237"/>
      <c r="E761" s="1237"/>
      <c r="F761" s="1237"/>
      <c r="G761" s="1237"/>
      <c r="H761" s="1237"/>
      <c r="I761" s="1237"/>
      <c r="J761" s="1237"/>
      <c r="K761" s="1237"/>
      <c r="L761" s="1237"/>
      <c r="M761" s="1237"/>
      <c r="N761" s="1237"/>
      <c r="O761" s="2024"/>
      <c r="P761" s="2024"/>
      <c r="Q761" s="1238"/>
      <c r="R761" s="1239"/>
    </row>
    <row r="762" spans="1:18" ht="18.75" customHeight="1">
      <c r="A762" s="2339"/>
      <c r="B762" s="2267"/>
      <c r="C762" s="1237"/>
      <c r="D762" s="1237"/>
      <c r="E762" s="1237"/>
      <c r="F762" s="1237"/>
      <c r="G762" s="1237"/>
      <c r="H762" s="1237"/>
      <c r="I762" s="1237"/>
      <c r="J762" s="1237"/>
      <c r="K762" s="1237"/>
      <c r="L762" s="1237"/>
      <c r="M762" s="1237"/>
      <c r="N762" s="1237"/>
      <c r="O762" s="2024"/>
      <c r="P762" s="2024"/>
      <c r="Q762" s="1238"/>
      <c r="R762" s="1239"/>
    </row>
    <row r="763" spans="1:18" ht="18.75" customHeight="1">
      <c r="A763" s="2339"/>
      <c r="B763" s="2267"/>
      <c r="C763" s="1237"/>
      <c r="D763" s="1237"/>
      <c r="E763" s="1237"/>
      <c r="F763" s="1237"/>
      <c r="G763" s="1237"/>
      <c r="H763" s="1237"/>
      <c r="I763" s="1237"/>
      <c r="J763" s="2945"/>
      <c r="K763" s="2945"/>
      <c r="L763" s="2945"/>
      <c r="M763" s="1237"/>
      <c r="N763" s="1237"/>
      <c r="O763" s="2024"/>
      <c r="P763" s="2024"/>
      <c r="Q763" s="1238"/>
      <c r="R763" s="1239"/>
    </row>
    <row r="764" spans="1:18" ht="18.75" customHeight="1">
      <c r="A764" s="2339"/>
      <c r="B764" s="2267"/>
      <c r="C764" s="1237"/>
      <c r="D764" s="1237"/>
      <c r="E764" s="1237"/>
      <c r="F764" s="1237"/>
      <c r="G764" s="1237"/>
      <c r="H764" s="1237"/>
      <c r="I764" s="1237"/>
      <c r="J764" s="1237"/>
      <c r="K764" s="1237"/>
      <c r="L764" s="1237"/>
      <c r="M764" s="1237"/>
      <c r="N764" s="1237"/>
      <c r="O764" s="2024"/>
      <c r="P764" s="2024"/>
      <c r="Q764" s="1238"/>
      <c r="R764" s="1239"/>
    </row>
    <row r="765" spans="1:18" ht="18.75" customHeight="1">
      <c r="A765" s="2339"/>
      <c r="B765" s="2267"/>
      <c r="C765" s="1237"/>
      <c r="D765" s="1237"/>
      <c r="E765" s="1237"/>
      <c r="F765" s="1237"/>
      <c r="G765" s="1237"/>
      <c r="H765" s="1237"/>
      <c r="I765" s="1237"/>
      <c r="J765" s="1237"/>
      <c r="K765" s="1237"/>
      <c r="L765" s="1237"/>
      <c r="M765" s="1237"/>
      <c r="N765" s="1237"/>
      <c r="O765" s="2024"/>
      <c r="P765" s="2024"/>
      <c r="Q765" s="1238"/>
      <c r="R765" s="1239"/>
    </row>
    <row r="766" spans="1:18" ht="18.75" customHeight="1">
      <c r="A766" s="2339"/>
      <c r="B766" s="2267"/>
      <c r="C766" s="1237"/>
      <c r="D766" s="1237"/>
      <c r="E766" s="1237"/>
      <c r="F766" s="1237"/>
      <c r="G766" s="1237"/>
      <c r="H766" s="1237"/>
      <c r="I766" s="1237"/>
      <c r="J766" s="1237"/>
      <c r="K766" s="1237"/>
      <c r="L766" s="1237"/>
      <c r="M766" s="1237"/>
      <c r="N766" s="1237"/>
      <c r="O766" s="2024"/>
      <c r="P766" s="2024"/>
      <c r="Q766" s="1238"/>
      <c r="R766" s="1239"/>
    </row>
    <row r="767" spans="1:18" ht="18.75" customHeight="1">
      <c r="A767" s="2339"/>
      <c r="B767" s="2267"/>
      <c r="C767" s="1237"/>
      <c r="D767" s="1237"/>
      <c r="E767" s="1237"/>
      <c r="F767" s="1237"/>
      <c r="G767" s="1237"/>
      <c r="H767" s="1237"/>
      <c r="I767" s="1237"/>
      <c r="J767" s="1237"/>
      <c r="K767" s="1237"/>
      <c r="L767" s="1237"/>
      <c r="M767" s="1237"/>
      <c r="N767" s="1237"/>
      <c r="O767" s="2024"/>
      <c r="P767" s="2024"/>
      <c r="Q767" s="1238"/>
      <c r="R767" s="1239"/>
    </row>
    <row r="768" spans="1:18" ht="18.75" customHeight="1">
      <c r="A768" s="2339"/>
      <c r="B768" s="2267"/>
      <c r="C768" s="1237"/>
      <c r="D768" s="1237"/>
      <c r="E768" s="1237"/>
      <c r="F768" s="1237"/>
      <c r="G768" s="1237"/>
      <c r="H768" s="1237"/>
      <c r="I768" s="1237"/>
      <c r="J768" s="2945"/>
      <c r="K768" s="2945"/>
      <c r="L768" s="2945"/>
      <c r="M768" s="1237"/>
      <c r="N768" s="1237"/>
      <c r="O768" s="2024"/>
      <c r="P768" s="2024"/>
      <c r="Q768" s="1238"/>
      <c r="R768" s="1239"/>
    </row>
    <row r="769" spans="1:18" ht="18.75" customHeight="1">
      <c r="A769" s="2339"/>
      <c r="B769" s="2267"/>
      <c r="C769" s="1237"/>
      <c r="D769" s="1237"/>
      <c r="E769" s="1237"/>
      <c r="F769" s="1237"/>
      <c r="G769" s="1237"/>
      <c r="H769" s="1237"/>
      <c r="I769" s="1237"/>
      <c r="J769" s="1237"/>
      <c r="K769" s="1237"/>
      <c r="L769" s="1237"/>
      <c r="M769" s="1237"/>
      <c r="N769" s="1237"/>
      <c r="O769" s="2024"/>
      <c r="P769" s="2024"/>
      <c r="Q769" s="1238"/>
      <c r="R769" s="1239"/>
    </row>
    <row r="770" spans="1:18" ht="18.75" customHeight="1">
      <c r="A770" s="2339"/>
      <c r="B770" s="2267"/>
      <c r="C770" s="1237"/>
      <c r="D770" s="1237"/>
      <c r="E770" s="1237"/>
      <c r="F770" s="1237"/>
      <c r="G770" s="1237"/>
      <c r="H770" s="1237"/>
      <c r="I770" s="1237"/>
      <c r="J770" s="1237"/>
      <c r="K770" s="1237"/>
      <c r="L770" s="1237"/>
      <c r="M770" s="1237"/>
      <c r="N770" s="1237"/>
      <c r="O770" s="2024"/>
      <c r="P770" s="2024"/>
      <c r="Q770" s="1238"/>
      <c r="R770" s="1239"/>
    </row>
    <row r="771" spans="1:18" ht="18.75" customHeight="1">
      <c r="A771" s="2339"/>
      <c r="B771" s="2267"/>
      <c r="C771" s="1237"/>
      <c r="D771" s="1237"/>
      <c r="E771" s="1237"/>
      <c r="F771" s="1237"/>
      <c r="G771" s="1237"/>
      <c r="H771" s="1237"/>
      <c r="I771" s="1237"/>
      <c r="J771" s="1237"/>
      <c r="K771" s="1237"/>
      <c r="L771" s="1237"/>
      <c r="M771" s="1237"/>
      <c r="N771" s="1237"/>
      <c r="O771" s="2057"/>
      <c r="P771" s="2024"/>
      <c r="Q771" s="1525"/>
      <c r="R771" s="1239"/>
    </row>
    <row r="772" spans="1:18" ht="18.75" customHeight="1">
      <c r="A772" s="2339"/>
      <c r="B772" s="2267"/>
      <c r="C772" s="1237"/>
      <c r="D772" s="1237"/>
      <c r="E772" s="1237"/>
      <c r="F772" s="1237"/>
      <c r="G772" s="1237"/>
      <c r="H772" s="1237"/>
      <c r="I772" s="1237"/>
      <c r="J772" s="1237"/>
      <c r="K772" s="1237"/>
      <c r="L772" s="1237"/>
      <c r="M772" s="1237"/>
      <c r="N772" s="1237"/>
      <c r="O772" s="2057"/>
      <c r="P772" s="2024"/>
      <c r="Q772" s="1525"/>
      <c r="R772" s="1239"/>
    </row>
    <row r="773" spans="1:18" ht="18.75" customHeight="1">
      <c r="A773" s="2339"/>
      <c r="B773" s="2267"/>
      <c r="C773" s="1237"/>
      <c r="D773" s="1237"/>
      <c r="E773" s="1237"/>
      <c r="F773" s="1237"/>
      <c r="G773" s="1237"/>
      <c r="H773" s="1237"/>
      <c r="I773" s="1237"/>
      <c r="J773" s="2945"/>
      <c r="K773" s="2945"/>
      <c r="L773" s="2945"/>
      <c r="M773" s="1237"/>
      <c r="N773" s="1237"/>
      <c r="O773" s="2057"/>
      <c r="P773" s="2024"/>
      <c r="Q773" s="1525"/>
      <c r="R773" s="1239"/>
    </row>
    <row r="774" spans="1:18" ht="18.75" customHeight="1">
      <c r="A774" s="2339"/>
      <c r="B774" s="2268"/>
      <c r="C774" s="1540"/>
      <c r="D774" s="1540"/>
      <c r="E774" s="1540"/>
      <c r="F774" s="1540"/>
      <c r="G774" s="1540"/>
      <c r="H774" s="1540"/>
      <c r="I774" s="1540"/>
      <c r="J774" s="1540"/>
      <c r="K774" s="1540"/>
      <c r="L774" s="1540"/>
      <c r="M774" s="1540"/>
      <c r="N774" s="1540"/>
      <c r="O774" s="2058"/>
      <c r="P774" s="2024"/>
      <c r="Q774" s="2059"/>
      <c r="R774" s="1591"/>
    </row>
    <row r="775" spans="1:18" ht="18.75" customHeight="1">
      <c r="A775" s="2339"/>
      <c r="B775" s="2267"/>
      <c r="C775" s="1237"/>
      <c r="D775" s="1237"/>
      <c r="E775" s="1237"/>
      <c r="F775" s="1237"/>
      <c r="G775" s="1237"/>
      <c r="H775" s="1237"/>
      <c r="I775" s="1237"/>
      <c r="J775" s="1237"/>
      <c r="K775" s="1237"/>
      <c r="L775" s="1237"/>
      <c r="M775" s="1237"/>
      <c r="N775" s="1237"/>
      <c r="O775" s="2024"/>
      <c r="P775" s="2024"/>
      <c r="Q775" s="1238"/>
      <c r="R775" s="1239"/>
    </row>
    <row r="776" spans="1:18" ht="18.75" customHeight="1">
      <c r="A776" s="2339"/>
      <c r="B776" s="2267"/>
      <c r="C776" s="1237"/>
      <c r="D776" s="1237"/>
      <c r="E776" s="1237"/>
      <c r="F776" s="1237"/>
      <c r="G776" s="1237"/>
      <c r="H776" s="1237"/>
      <c r="I776" s="1237"/>
      <c r="J776" s="1237"/>
      <c r="K776" s="1237"/>
      <c r="L776" s="1237"/>
      <c r="M776" s="1237"/>
      <c r="N776" s="1237"/>
      <c r="O776" s="2024"/>
      <c r="P776" s="2024"/>
      <c r="Q776" s="1238"/>
      <c r="R776" s="1239"/>
    </row>
    <row r="777" spans="1:18" ht="18.75" customHeight="1">
      <c r="A777" s="2339"/>
      <c r="B777" s="2267"/>
      <c r="C777" s="1237"/>
      <c r="D777" s="1237"/>
      <c r="E777" s="1237"/>
      <c r="F777" s="1237"/>
      <c r="G777" s="1237"/>
      <c r="H777" s="1237"/>
      <c r="I777" s="1237"/>
      <c r="J777" s="1237"/>
      <c r="K777" s="1237"/>
      <c r="L777" s="1237"/>
      <c r="M777" s="1237"/>
      <c r="N777" s="1237"/>
      <c r="O777" s="2024"/>
      <c r="P777" s="2024"/>
      <c r="Q777" s="1238"/>
      <c r="R777" s="1239"/>
    </row>
    <row r="778" spans="1:18" ht="18.75" customHeight="1">
      <c r="A778" s="2339"/>
      <c r="B778" s="2267"/>
      <c r="C778" s="1237"/>
      <c r="D778" s="1237"/>
      <c r="E778" s="1237"/>
      <c r="F778" s="1237"/>
      <c r="G778" s="1237"/>
      <c r="H778" s="1237"/>
      <c r="I778" s="1237"/>
      <c r="J778" s="1237"/>
      <c r="K778" s="1237"/>
      <c r="L778" s="1237"/>
      <c r="M778" s="1237"/>
      <c r="N778" s="1237"/>
      <c r="O778" s="2024"/>
      <c r="P778" s="2024"/>
      <c r="Q778" s="1238"/>
      <c r="R778" s="1239"/>
    </row>
    <row r="779" spans="1:18" ht="18.75" customHeight="1">
      <c r="A779" s="2339"/>
      <c r="B779" s="2267"/>
      <c r="C779" s="1237"/>
      <c r="D779" s="1237"/>
      <c r="E779" s="1237"/>
      <c r="F779" s="1237"/>
      <c r="G779" s="1237"/>
      <c r="H779" s="1237"/>
      <c r="I779" s="1237"/>
      <c r="J779" s="1237"/>
      <c r="K779" s="1237"/>
      <c r="L779" s="1237"/>
      <c r="M779" s="1237"/>
      <c r="N779" s="1237"/>
      <c r="O779" s="2024"/>
      <c r="P779" s="2024"/>
      <c r="Q779" s="1238"/>
      <c r="R779" s="1239"/>
    </row>
    <row r="780" spans="1:18" ht="18.75" customHeight="1">
      <c r="A780" s="2339"/>
      <c r="B780" s="2268"/>
      <c r="C780" s="1540"/>
      <c r="D780" s="1540"/>
      <c r="E780" s="1540"/>
      <c r="F780" s="1540"/>
      <c r="G780" s="1540"/>
      <c r="H780" s="1540"/>
      <c r="I780" s="1540"/>
      <c r="J780" s="1540"/>
      <c r="K780" s="1237"/>
      <c r="L780" s="1237"/>
      <c r="M780" s="1237"/>
      <c r="N780" s="1237"/>
      <c r="O780" s="2025"/>
      <c r="P780" s="2024"/>
      <c r="Q780" s="1238"/>
      <c r="R780" s="1239"/>
    </row>
    <row r="781" spans="1:18" ht="18.75" customHeight="1">
      <c r="A781" s="2339"/>
      <c r="B781" s="2267"/>
      <c r="C781" s="1237"/>
      <c r="D781" s="1237"/>
      <c r="E781" s="1237"/>
      <c r="F781" s="1237"/>
      <c r="G781" s="1237"/>
      <c r="H781" s="1237"/>
      <c r="I781" s="1237"/>
      <c r="J781" s="1237"/>
      <c r="K781" s="1540"/>
      <c r="L781" s="1540"/>
      <c r="M781" s="1540"/>
      <c r="N781" s="2055"/>
      <c r="O781" s="2024"/>
      <c r="P781" s="2024"/>
      <c r="Q781" s="2053"/>
      <c r="R781" s="2054"/>
    </row>
    <row r="782" spans="1:18" ht="18.75" customHeight="1">
      <c r="A782" s="2339"/>
      <c r="B782" s="1590"/>
      <c r="C782" s="1574"/>
      <c r="D782" s="1574"/>
      <c r="E782" s="1574"/>
      <c r="F782" s="1574"/>
      <c r="G782" s="1574"/>
      <c r="H782" s="1574"/>
      <c r="I782" s="1574"/>
      <c r="J782" s="1574"/>
      <c r="K782" s="2052"/>
      <c r="L782" s="2052"/>
      <c r="M782" s="2052"/>
      <c r="N782" s="2052"/>
      <c r="O782" s="2063"/>
      <c r="P782" s="2024"/>
      <c r="Q782" s="2064"/>
      <c r="R782" s="466"/>
    </row>
    <row r="783" spans="1:18" ht="18.75" customHeight="1">
      <c r="A783" s="2339"/>
      <c r="B783" s="2267"/>
      <c r="C783" s="1237"/>
      <c r="D783" s="1237"/>
      <c r="E783" s="1237"/>
      <c r="F783" s="1237"/>
      <c r="G783" s="1237"/>
      <c r="H783" s="1237"/>
      <c r="I783" s="1237"/>
      <c r="J783" s="1237"/>
      <c r="K783" s="2052"/>
      <c r="L783" s="2052"/>
      <c r="M783" s="2052"/>
      <c r="N783" s="2052"/>
      <c r="O783" s="2057"/>
      <c r="P783" s="2024"/>
      <c r="Q783" s="1525"/>
      <c r="R783" s="1239"/>
    </row>
    <row r="784" spans="1:18" ht="18.75" customHeight="1">
      <c r="A784" s="2339"/>
      <c r="B784" s="2267"/>
      <c r="C784" s="1237"/>
      <c r="D784" s="1237"/>
      <c r="E784" s="1237"/>
      <c r="F784" s="1237"/>
      <c r="G784" s="1237"/>
      <c r="H784" s="1237"/>
      <c r="I784" s="1237"/>
      <c r="J784" s="1237"/>
      <c r="K784" s="2052"/>
      <c r="L784" s="2052"/>
      <c r="M784" s="2052"/>
      <c r="N784" s="2052"/>
      <c r="O784" s="2057"/>
      <c r="P784" s="2024"/>
      <c r="Q784" s="1525"/>
      <c r="R784" s="1239"/>
    </row>
    <row r="785" spans="1:18" ht="18.75" customHeight="1">
      <c r="A785" s="2339"/>
      <c r="B785" s="2267"/>
      <c r="C785" s="1237"/>
      <c r="D785" s="1237"/>
      <c r="E785" s="1237"/>
      <c r="F785" s="1237"/>
      <c r="G785" s="1237"/>
      <c r="H785" s="1237"/>
      <c r="I785" s="1237"/>
      <c r="J785" s="1237"/>
      <c r="K785" s="2052"/>
      <c r="L785" s="2052"/>
      <c r="M785" s="2052"/>
      <c r="N785" s="2052"/>
      <c r="O785" s="2057"/>
      <c r="P785" s="2024"/>
      <c r="Q785" s="1525"/>
      <c r="R785" s="1239"/>
    </row>
    <row r="786" spans="1:18" ht="18.75" customHeight="1" thickBot="1">
      <c r="A786" s="2339"/>
      <c r="B786" s="2268"/>
      <c r="C786" s="1540"/>
      <c r="D786" s="1540"/>
      <c r="E786" s="1540"/>
      <c r="F786" s="1540"/>
      <c r="G786" s="1540"/>
      <c r="H786" s="1540"/>
      <c r="I786" s="1540"/>
      <c r="J786" s="1540"/>
      <c r="K786" s="1540"/>
      <c r="L786" s="1540"/>
      <c r="M786" s="1540"/>
      <c r="N786" s="1540"/>
      <c r="O786" s="2058"/>
      <c r="P786" s="2024"/>
      <c r="Q786" s="2059"/>
      <c r="R786" s="1591"/>
    </row>
    <row r="787" spans="1:18" ht="18.75" customHeight="1" thickBot="1">
      <c r="A787" s="2963"/>
      <c r="B787" s="1585"/>
      <c r="C787" s="1585"/>
      <c r="D787" s="1585"/>
      <c r="E787" s="1585"/>
      <c r="F787" s="1585"/>
      <c r="G787" s="1585"/>
      <c r="H787" s="1585"/>
      <c r="I787" s="1585"/>
      <c r="J787" s="1585"/>
      <c r="K787" s="1585"/>
      <c r="L787" s="1585"/>
      <c r="M787" s="1585"/>
      <c r="N787" s="1585"/>
      <c r="O787" s="2026"/>
      <c r="P787" s="2024"/>
      <c r="Q787" s="1586"/>
      <c r="R787" s="1587"/>
    </row>
    <row r="788" spans="1:18" ht="18.75" customHeight="1" thickBot="1">
      <c r="A788" s="2926"/>
      <c r="B788" s="1237"/>
      <c r="C788" s="1237"/>
      <c r="D788" s="1237"/>
      <c r="E788" s="1237"/>
      <c r="F788" s="1237"/>
      <c r="G788" s="1237"/>
      <c r="H788" s="1237"/>
      <c r="I788" s="1237"/>
      <c r="J788" s="2945"/>
      <c r="K788" s="2945"/>
      <c r="L788" s="2945"/>
      <c r="M788" s="1237"/>
      <c r="N788" s="1237"/>
      <c r="O788" s="2024"/>
      <c r="P788" s="2024"/>
      <c r="Q788" s="1238"/>
      <c r="R788" s="1239"/>
    </row>
    <row r="789" spans="1:18" ht="18.75" customHeight="1" thickBot="1">
      <c r="A789" s="2926"/>
      <c r="B789" s="1237"/>
      <c r="C789" s="1237"/>
      <c r="D789" s="1237"/>
      <c r="E789" s="1237"/>
      <c r="F789" s="1237"/>
      <c r="G789" s="1237"/>
      <c r="H789" s="1237"/>
      <c r="I789" s="1237"/>
      <c r="J789" s="1237"/>
      <c r="K789" s="1237"/>
      <c r="L789" s="1237"/>
      <c r="M789" s="1237"/>
      <c r="N789" s="1237"/>
      <c r="O789" s="2024"/>
      <c r="P789" s="2024"/>
      <c r="Q789" s="1238"/>
      <c r="R789" s="1239"/>
    </row>
    <row r="790" spans="1:18" ht="18.75" customHeight="1" thickBot="1">
      <c r="A790" s="2926"/>
      <c r="B790" s="1237"/>
      <c r="C790" s="1237"/>
      <c r="D790" s="1237"/>
      <c r="E790" s="1237"/>
      <c r="F790" s="1237"/>
      <c r="G790" s="1237"/>
      <c r="H790" s="1237"/>
      <c r="I790" s="1237"/>
      <c r="J790" s="1237"/>
      <c r="K790" s="1237"/>
      <c r="L790" s="1237"/>
      <c r="M790" s="1237"/>
      <c r="N790" s="1237"/>
      <c r="O790" s="2024"/>
      <c r="P790" s="2024"/>
      <c r="Q790" s="1238"/>
      <c r="R790" s="1239"/>
    </row>
    <row r="791" spans="1:18" ht="18.75" customHeight="1" thickBot="1">
      <c r="A791" s="2926"/>
      <c r="B791" s="1237"/>
      <c r="C791" s="1237"/>
      <c r="D791" s="1237"/>
      <c r="E791" s="1237"/>
      <c r="F791" s="1237"/>
      <c r="G791" s="1237"/>
      <c r="H791" s="1237"/>
      <c r="I791" s="1237"/>
      <c r="J791" s="1237"/>
      <c r="K791" s="1237"/>
      <c r="L791" s="1237"/>
      <c r="M791" s="1237"/>
      <c r="N791" s="1237"/>
      <c r="O791" s="2024"/>
      <c r="P791" s="2024"/>
      <c r="Q791" s="1238"/>
      <c r="R791" s="1239"/>
    </row>
    <row r="792" spans="1:18" ht="18.75" customHeight="1" thickBot="1">
      <c r="A792" s="2926"/>
      <c r="B792" s="1237"/>
      <c r="C792" s="1237"/>
      <c r="D792" s="1237"/>
      <c r="E792" s="1237"/>
      <c r="F792" s="1237"/>
      <c r="G792" s="1237"/>
      <c r="H792" s="1237"/>
      <c r="I792" s="1237"/>
      <c r="J792" s="1237"/>
      <c r="K792" s="1237"/>
      <c r="L792" s="1237"/>
      <c r="M792" s="1237"/>
      <c r="N792" s="1237"/>
      <c r="O792" s="2024"/>
      <c r="P792" s="2024"/>
      <c r="Q792" s="1238"/>
      <c r="R792" s="1239"/>
    </row>
    <row r="793" spans="1:18" ht="18.75" customHeight="1" thickBot="1">
      <c r="A793" s="2926"/>
      <c r="B793" s="1237"/>
      <c r="C793" s="1237"/>
      <c r="D793" s="1237"/>
      <c r="E793" s="1237"/>
      <c r="F793" s="1237"/>
      <c r="G793" s="1237"/>
      <c r="H793" s="1237"/>
      <c r="I793" s="1237"/>
      <c r="J793" s="1237"/>
      <c r="K793" s="1237"/>
      <c r="L793" s="1237"/>
      <c r="M793" s="1237"/>
      <c r="N793" s="1237"/>
      <c r="O793" s="2024"/>
      <c r="P793" s="2024"/>
      <c r="Q793" s="1238"/>
      <c r="R793" s="1239"/>
    </row>
    <row r="794" spans="1:18" ht="18.75" customHeight="1" thickBot="1">
      <c r="A794" s="2926"/>
      <c r="B794" s="1237"/>
      <c r="C794" s="1237"/>
      <c r="D794" s="1237"/>
      <c r="E794" s="1237"/>
      <c r="F794" s="1237"/>
      <c r="G794" s="1237"/>
      <c r="H794" s="1237"/>
      <c r="I794" s="1237"/>
      <c r="J794" s="1237"/>
      <c r="K794" s="1237"/>
      <c r="L794" s="1237"/>
      <c r="M794" s="1237"/>
      <c r="N794" s="1237"/>
      <c r="O794" s="2024"/>
      <c r="P794" s="2024"/>
      <c r="Q794" s="1238"/>
      <c r="R794" s="1239"/>
    </row>
    <row r="795" spans="1:18" ht="18.75" customHeight="1" thickBot="1">
      <c r="A795" s="2926"/>
      <c r="B795" s="1237"/>
      <c r="C795" s="1237"/>
      <c r="D795" s="1237"/>
      <c r="E795" s="1237"/>
      <c r="F795" s="1237"/>
      <c r="G795" s="1237"/>
      <c r="H795" s="1237"/>
      <c r="I795" s="1237"/>
      <c r="J795" s="1237"/>
      <c r="K795" s="1237"/>
      <c r="L795" s="1237"/>
      <c r="M795" s="1237"/>
      <c r="N795" s="1237"/>
      <c r="O795" s="2024"/>
      <c r="P795" s="2024"/>
      <c r="Q795" s="1238"/>
      <c r="R795" s="1239"/>
    </row>
    <row r="796" spans="1:18" ht="18.75" customHeight="1" thickBot="1">
      <c r="A796" s="2926"/>
      <c r="B796" s="1237"/>
      <c r="C796" s="1237"/>
      <c r="D796" s="1237"/>
      <c r="E796" s="1237"/>
      <c r="F796" s="1237"/>
      <c r="G796" s="1237"/>
      <c r="H796" s="1237"/>
      <c r="I796" s="1237"/>
      <c r="J796" s="1237"/>
      <c r="K796" s="1237"/>
      <c r="L796" s="1237"/>
      <c r="M796" s="1237"/>
      <c r="N796" s="1237"/>
      <c r="O796" s="2024"/>
      <c r="P796" s="2024"/>
      <c r="Q796" s="1238"/>
      <c r="R796" s="1239"/>
    </row>
    <row r="797" spans="1:18" ht="18.75" customHeight="1" thickBot="1">
      <c r="A797" s="2926"/>
      <c r="B797" s="1237"/>
      <c r="C797" s="1237"/>
      <c r="D797" s="1237"/>
      <c r="E797" s="1237"/>
      <c r="F797" s="1237"/>
      <c r="G797" s="1237"/>
      <c r="H797" s="1237"/>
      <c r="I797" s="1237"/>
      <c r="J797" s="1237"/>
      <c r="K797" s="1237"/>
      <c r="L797" s="1237"/>
      <c r="M797" s="1237"/>
      <c r="N797" s="1237"/>
      <c r="O797" s="2024"/>
      <c r="P797" s="2024"/>
      <c r="Q797" s="1238"/>
      <c r="R797" s="1239"/>
    </row>
    <row r="798" spans="1:18" ht="18.75" customHeight="1" thickBot="1">
      <c r="A798" s="2926"/>
      <c r="B798" s="1237"/>
      <c r="C798" s="1237"/>
      <c r="D798" s="1237"/>
      <c r="E798" s="1237"/>
      <c r="F798" s="1237"/>
      <c r="G798" s="1237"/>
      <c r="H798" s="1237"/>
      <c r="I798" s="1237"/>
      <c r="J798" s="2945"/>
      <c r="K798" s="2945"/>
      <c r="L798" s="2945"/>
      <c r="M798" s="1237"/>
      <c r="N798" s="1237"/>
      <c r="O798" s="2024"/>
      <c r="P798" s="2024"/>
      <c r="Q798" s="1238"/>
      <c r="R798" s="1239"/>
    </row>
    <row r="799" spans="1:18" ht="18.75" customHeight="1" thickBot="1">
      <c r="A799" s="2926"/>
      <c r="B799" s="1237"/>
      <c r="C799" s="1237"/>
      <c r="D799" s="1237"/>
      <c r="E799" s="1237"/>
      <c r="F799" s="1237"/>
      <c r="G799" s="1237"/>
      <c r="H799" s="1237"/>
      <c r="I799" s="1237"/>
      <c r="J799" s="1237"/>
      <c r="K799" s="1237"/>
      <c r="L799" s="1237"/>
      <c r="M799" s="1237"/>
      <c r="N799" s="1237"/>
      <c r="O799" s="2024"/>
      <c r="P799" s="2024"/>
      <c r="Q799" s="1238"/>
      <c r="R799" s="1239"/>
    </row>
    <row r="800" spans="1:18" ht="18.75" customHeight="1" thickBot="1">
      <c r="A800" s="2926"/>
      <c r="B800" s="1237"/>
      <c r="C800" s="1237"/>
      <c r="D800" s="1237"/>
      <c r="E800" s="1237"/>
      <c r="F800" s="1237"/>
      <c r="G800" s="1237"/>
      <c r="H800" s="1237"/>
      <c r="I800" s="1237"/>
      <c r="J800" s="1237"/>
      <c r="K800" s="1237"/>
      <c r="L800" s="1237"/>
      <c r="M800" s="1237"/>
      <c r="N800" s="1237"/>
      <c r="O800" s="2024"/>
      <c r="P800" s="2024"/>
      <c r="Q800" s="1238"/>
      <c r="R800" s="1239"/>
    </row>
    <row r="801" spans="1:18" ht="18.75" customHeight="1" thickBot="1">
      <c r="A801" s="2926"/>
      <c r="B801" s="1237"/>
      <c r="C801" s="1237"/>
      <c r="D801" s="1237"/>
      <c r="E801" s="1237"/>
      <c r="F801" s="1237"/>
      <c r="G801" s="1237"/>
      <c r="H801" s="1237"/>
      <c r="I801" s="1237"/>
      <c r="J801" s="1237"/>
      <c r="K801" s="1237"/>
      <c r="L801" s="1237"/>
      <c r="M801" s="1237"/>
      <c r="N801" s="1237"/>
      <c r="O801" s="2024"/>
      <c r="P801" s="2024"/>
      <c r="Q801" s="1238"/>
      <c r="R801" s="1239"/>
    </row>
    <row r="802" spans="1:18" ht="18.75" customHeight="1" thickBot="1">
      <c r="A802" s="2926"/>
      <c r="B802" s="1237"/>
      <c r="C802" s="1237"/>
      <c r="D802" s="1237"/>
      <c r="E802" s="1237"/>
      <c r="F802" s="1237"/>
      <c r="G802" s="1237"/>
      <c r="H802" s="1237"/>
      <c r="I802" s="1237"/>
      <c r="J802" s="1237"/>
      <c r="K802" s="1237"/>
      <c r="L802" s="1237"/>
      <c r="M802" s="1237"/>
      <c r="N802" s="1237"/>
      <c r="O802" s="2024"/>
      <c r="P802" s="2024"/>
      <c r="Q802" s="1238"/>
      <c r="R802" s="1239"/>
    </row>
    <row r="803" spans="1:18" ht="18.75" customHeight="1" thickBot="1">
      <c r="A803" s="2926"/>
      <c r="B803" s="1237"/>
      <c r="C803" s="1237"/>
      <c r="D803" s="1237"/>
      <c r="E803" s="1237"/>
      <c r="F803" s="1237"/>
      <c r="G803" s="1237"/>
      <c r="H803" s="1237"/>
      <c r="I803" s="1237"/>
      <c r="J803" s="2945"/>
      <c r="K803" s="2945"/>
      <c r="L803" s="2945"/>
      <c r="M803" s="1237"/>
      <c r="N803" s="1237"/>
      <c r="O803" s="2024"/>
      <c r="P803" s="2024"/>
      <c r="Q803" s="1238"/>
      <c r="R803" s="1239"/>
    </row>
    <row r="804" spans="1:18" ht="18.75" customHeight="1" thickBot="1">
      <c r="A804" s="2926"/>
      <c r="B804" s="1237"/>
      <c r="C804" s="1237"/>
      <c r="D804" s="1237"/>
      <c r="E804" s="1237"/>
      <c r="F804" s="1237"/>
      <c r="G804" s="1237"/>
      <c r="H804" s="1237"/>
      <c r="I804" s="1237"/>
      <c r="J804" s="1237"/>
      <c r="K804" s="1237"/>
      <c r="L804" s="1237"/>
      <c r="M804" s="1237"/>
      <c r="N804" s="1237"/>
      <c r="O804" s="2024"/>
      <c r="P804" s="2024"/>
      <c r="Q804" s="1238"/>
      <c r="R804" s="1239"/>
    </row>
    <row r="805" spans="1:18" ht="18.75" customHeight="1" thickBot="1">
      <c r="A805" s="2926"/>
      <c r="B805" s="1237"/>
      <c r="C805" s="1237"/>
      <c r="D805" s="1237"/>
      <c r="E805" s="1237"/>
      <c r="F805" s="1237"/>
      <c r="G805" s="1237"/>
      <c r="H805" s="1237"/>
      <c r="I805" s="1237"/>
      <c r="J805" s="1237"/>
      <c r="K805" s="1237"/>
      <c r="L805" s="1237"/>
      <c r="M805" s="1237"/>
      <c r="N805" s="1237"/>
      <c r="O805" s="2024"/>
      <c r="P805" s="2024"/>
      <c r="Q805" s="1238"/>
      <c r="R805" s="1239"/>
    </row>
    <row r="806" spans="1:18" ht="18.75" customHeight="1" thickBot="1">
      <c r="A806" s="2926"/>
      <c r="B806" s="1237"/>
      <c r="C806" s="1237"/>
      <c r="D806" s="1237"/>
      <c r="E806" s="1237"/>
      <c r="F806" s="1237"/>
      <c r="G806" s="1237"/>
      <c r="H806" s="1237"/>
      <c r="I806" s="1237"/>
      <c r="J806" s="1237"/>
      <c r="K806" s="1237"/>
      <c r="L806" s="1237"/>
      <c r="M806" s="1237"/>
      <c r="N806" s="1237"/>
      <c r="O806" s="2024"/>
      <c r="P806" s="2024"/>
      <c r="Q806" s="1238"/>
      <c r="R806" s="1239"/>
    </row>
    <row r="807" spans="1:18" ht="18.75" customHeight="1" thickBot="1">
      <c r="A807" s="2926"/>
      <c r="B807" s="1237"/>
      <c r="C807" s="1237"/>
      <c r="D807" s="1237"/>
      <c r="E807" s="1237"/>
      <c r="F807" s="1237"/>
      <c r="G807" s="1237"/>
      <c r="H807" s="1237"/>
      <c r="I807" s="1237"/>
      <c r="J807" s="1237"/>
      <c r="K807" s="1237"/>
      <c r="L807" s="1237"/>
      <c r="M807" s="1237"/>
      <c r="N807" s="1237"/>
      <c r="O807" s="2024"/>
      <c r="P807" s="2024"/>
      <c r="Q807" s="1238"/>
      <c r="R807" s="1239"/>
    </row>
    <row r="808" spans="1:18" ht="18.75" customHeight="1" thickBot="1">
      <c r="A808" s="2926"/>
      <c r="B808" s="1237"/>
      <c r="C808" s="1237"/>
      <c r="D808" s="1237"/>
      <c r="E808" s="1237"/>
      <c r="F808" s="1237"/>
      <c r="G808" s="1237"/>
      <c r="H808" s="1237"/>
      <c r="I808" s="1237"/>
      <c r="J808" s="2945"/>
      <c r="K808" s="2945"/>
      <c r="L808" s="2945"/>
      <c r="M808" s="1237"/>
      <c r="N808" s="1237"/>
      <c r="O808" s="2024"/>
      <c r="P808" s="2024"/>
      <c r="Q808" s="1238"/>
      <c r="R808" s="1239"/>
    </row>
    <row r="809" spans="1:18" ht="18.75" customHeight="1" thickBot="1">
      <c r="A809" s="2926"/>
      <c r="B809" s="1237"/>
      <c r="C809" s="1237"/>
      <c r="D809" s="1237"/>
      <c r="E809" s="1237"/>
      <c r="F809" s="1237"/>
      <c r="G809" s="1237"/>
      <c r="H809" s="1237"/>
      <c r="I809" s="1237"/>
      <c r="J809" s="1237"/>
      <c r="K809" s="1237"/>
      <c r="L809" s="1237"/>
      <c r="M809" s="1237"/>
      <c r="N809" s="1237"/>
      <c r="O809" s="2024"/>
      <c r="P809" s="2024"/>
      <c r="Q809" s="1238"/>
      <c r="R809" s="1239"/>
    </row>
    <row r="810" spans="1:18" ht="18.75" customHeight="1" thickBot="1">
      <c r="A810" s="2926"/>
      <c r="B810" s="1237"/>
      <c r="C810" s="1237"/>
      <c r="D810" s="1237"/>
      <c r="E810" s="1237"/>
      <c r="F810" s="1237"/>
      <c r="G810" s="1237"/>
      <c r="H810" s="1237"/>
      <c r="I810" s="1237"/>
      <c r="J810" s="1237"/>
      <c r="K810" s="1237"/>
      <c r="L810" s="1237"/>
      <c r="M810" s="1237"/>
      <c r="N810" s="1237"/>
      <c r="O810" s="2024"/>
      <c r="P810" s="2024"/>
      <c r="Q810" s="1238"/>
      <c r="R810" s="1239"/>
    </row>
    <row r="811" spans="1:18" ht="18.75" customHeight="1" thickBot="1">
      <c r="A811" s="2926"/>
      <c r="B811" s="1237"/>
      <c r="C811" s="1237"/>
      <c r="D811" s="1237"/>
      <c r="E811" s="1237"/>
      <c r="F811" s="1237"/>
      <c r="G811" s="1237"/>
      <c r="H811" s="1237"/>
      <c r="I811" s="1237"/>
      <c r="J811" s="1237"/>
      <c r="K811" s="1237"/>
      <c r="L811" s="1237"/>
      <c r="M811" s="1237"/>
      <c r="N811" s="1237"/>
      <c r="O811" s="2024"/>
      <c r="P811" s="2024"/>
      <c r="Q811" s="1238"/>
      <c r="R811" s="1239"/>
    </row>
    <row r="812" spans="1:18" ht="18.75" customHeight="1" thickBot="1">
      <c r="A812" s="2926"/>
      <c r="B812" s="1237"/>
      <c r="C812" s="1237"/>
      <c r="D812" s="1237"/>
      <c r="E812" s="1237"/>
      <c r="F812" s="1237"/>
      <c r="G812" s="1237"/>
      <c r="H812" s="1237"/>
      <c r="I812" s="1237"/>
      <c r="J812" s="1237"/>
      <c r="K812" s="1237"/>
      <c r="L812" s="1237"/>
      <c r="M812" s="1237"/>
      <c r="N812" s="1237"/>
      <c r="O812" s="2024"/>
      <c r="P812" s="2024"/>
      <c r="Q812" s="1238"/>
      <c r="R812" s="1239"/>
    </row>
    <row r="813" spans="1:18" ht="18.75" customHeight="1" thickBot="1">
      <c r="A813" s="2926"/>
      <c r="B813" s="1237"/>
      <c r="C813" s="1237"/>
      <c r="D813" s="1237"/>
      <c r="E813" s="1237"/>
      <c r="F813" s="1237"/>
      <c r="G813" s="1237"/>
      <c r="H813" s="1237"/>
      <c r="I813" s="1237"/>
      <c r="J813" s="1237"/>
      <c r="K813" s="1237"/>
      <c r="L813" s="1237"/>
      <c r="M813" s="1237"/>
      <c r="N813" s="1237"/>
      <c r="O813" s="2024"/>
      <c r="P813" s="2024"/>
      <c r="Q813" s="1238"/>
      <c r="R813" s="1239"/>
    </row>
    <row r="814" spans="1:18" ht="18.75" customHeight="1" thickBot="1">
      <c r="A814" s="2926"/>
      <c r="B814" s="1237"/>
      <c r="C814" s="1237"/>
      <c r="D814" s="1237"/>
      <c r="E814" s="1237"/>
      <c r="F814" s="1237"/>
      <c r="G814" s="1237"/>
      <c r="H814" s="1237"/>
      <c r="I814" s="1237"/>
      <c r="J814" s="1237"/>
      <c r="K814" s="1237"/>
      <c r="L814" s="1237"/>
      <c r="M814" s="1237"/>
      <c r="N814" s="1237"/>
      <c r="O814" s="2024"/>
      <c r="P814" s="2024"/>
      <c r="Q814" s="1238"/>
      <c r="R814" s="1239"/>
    </row>
    <row r="815" spans="1:18" ht="18.75" customHeight="1" thickBot="1">
      <c r="A815" s="2926"/>
      <c r="B815" s="1237"/>
      <c r="C815" s="1237"/>
      <c r="D815" s="1237"/>
      <c r="E815" s="1237"/>
      <c r="F815" s="1237"/>
      <c r="G815" s="1237"/>
      <c r="H815" s="1237"/>
      <c r="I815" s="1237"/>
      <c r="J815" s="1237"/>
      <c r="K815" s="1237"/>
      <c r="L815" s="1237"/>
      <c r="M815" s="1237"/>
      <c r="N815" s="1237"/>
      <c r="O815" s="2024"/>
      <c r="P815" s="2024"/>
      <c r="Q815" s="1238"/>
      <c r="R815" s="1239"/>
    </row>
    <row r="816" spans="1:18" ht="18.75" customHeight="1" thickBot="1">
      <c r="A816" s="2926"/>
      <c r="B816" s="1237"/>
      <c r="C816" s="1237"/>
      <c r="D816" s="1237"/>
      <c r="E816" s="1237"/>
      <c r="F816" s="1237"/>
      <c r="G816" s="1237"/>
      <c r="H816" s="1237"/>
      <c r="I816" s="1237"/>
      <c r="J816" s="1237"/>
      <c r="K816" s="1237"/>
      <c r="L816" s="1237"/>
      <c r="M816" s="1237"/>
      <c r="N816" s="1237"/>
      <c r="O816" s="2024"/>
      <c r="P816" s="2024"/>
      <c r="Q816" s="1238"/>
      <c r="R816" s="1239"/>
    </row>
    <row r="817" spans="1:18" ht="18.75" customHeight="1" thickBot="1">
      <c r="A817" s="2926"/>
      <c r="B817" s="1237"/>
      <c r="C817" s="1237"/>
      <c r="D817" s="1237"/>
      <c r="E817" s="1237"/>
      <c r="F817" s="1237"/>
      <c r="G817" s="1237"/>
      <c r="H817" s="1237"/>
      <c r="I817" s="1237"/>
      <c r="J817" s="1237"/>
      <c r="K817" s="1237"/>
      <c r="L817" s="1237"/>
      <c r="M817" s="1237"/>
      <c r="N817" s="1237"/>
      <c r="O817" s="2024"/>
      <c r="P817" s="2024"/>
      <c r="Q817" s="1238"/>
      <c r="R817" s="1239"/>
    </row>
    <row r="818" spans="1:18" ht="18.75" customHeight="1" thickBot="1">
      <c r="A818" s="2926"/>
      <c r="B818" s="1237"/>
      <c r="C818" s="1237"/>
      <c r="D818" s="1237"/>
      <c r="E818" s="1237"/>
      <c r="F818" s="1237"/>
      <c r="G818" s="1237"/>
      <c r="H818" s="1237"/>
      <c r="I818" s="1237"/>
      <c r="J818" s="2945"/>
      <c r="K818" s="2945"/>
      <c r="L818" s="2945"/>
      <c r="M818" s="1237"/>
      <c r="N818" s="1237"/>
      <c r="O818" s="2024"/>
      <c r="P818" s="2024"/>
      <c r="Q818" s="1238"/>
      <c r="R818" s="1239"/>
    </row>
    <row r="819" spans="1:18" ht="18.75" customHeight="1" thickBot="1">
      <c r="A819" s="2926"/>
      <c r="B819" s="1237"/>
      <c r="C819" s="1237"/>
      <c r="D819" s="1237"/>
      <c r="E819" s="1237"/>
      <c r="F819" s="1237"/>
      <c r="G819" s="1237"/>
      <c r="H819" s="1237"/>
      <c r="I819" s="1237"/>
      <c r="J819" s="1237"/>
      <c r="K819" s="1237"/>
      <c r="L819" s="1237"/>
      <c r="M819" s="1237"/>
      <c r="N819" s="1237"/>
      <c r="O819" s="2024"/>
      <c r="P819" s="2024"/>
      <c r="Q819" s="1238"/>
      <c r="R819" s="1239"/>
    </row>
    <row r="820" spans="1:18" ht="18.75" customHeight="1" thickBot="1">
      <c r="A820" s="2926"/>
      <c r="B820" s="1237"/>
      <c r="C820" s="1237"/>
      <c r="D820" s="1237"/>
      <c r="E820" s="1237"/>
      <c r="F820" s="1237"/>
      <c r="G820" s="1237"/>
      <c r="H820" s="1237"/>
      <c r="I820" s="1237"/>
      <c r="J820" s="1237"/>
      <c r="K820" s="1237"/>
      <c r="L820" s="1237"/>
      <c r="M820" s="1237"/>
      <c r="N820" s="1237"/>
      <c r="O820" s="2024"/>
      <c r="P820" s="2024"/>
      <c r="Q820" s="1238"/>
      <c r="R820" s="1239"/>
    </row>
    <row r="821" spans="1:18" ht="18.75" customHeight="1" thickBot="1">
      <c r="A821" s="2926"/>
      <c r="B821" s="1237"/>
      <c r="C821" s="1237"/>
      <c r="D821" s="1237"/>
      <c r="E821" s="1237"/>
      <c r="F821" s="1237"/>
      <c r="G821" s="1237"/>
      <c r="H821" s="1237"/>
      <c r="I821" s="1237"/>
      <c r="J821" s="1237"/>
      <c r="K821" s="1237"/>
      <c r="L821" s="1237"/>
      <c r="M821" s="1237"/>
      <c r="N821" s="1237"/>
      <c r="O821" s="2024"/>
      <c r="P821" s="2024"/>
      <c r="Q821" s="1238"/>
      <c r="R821" s="1239"/>
    </row>
    <row r="822" spans="1:18" ht="18.75" customHeight="1" thickBot="1">
      <c r="A822" s="2926"/>
      <c r="B822" s="1237"/>
      <c r="C822" s="1237"/>
      <c r="D822" s="1237"/>
      <c r="E822" s="1237"/>
      <c r="F822" s="1237"/>
      <c r="G822" s="1237"/>
      <c r="H822" s="1237"/>
      <c r="I822" s="1237"/>
      <c r="J822" s="1237"/>
      <c r="K822" s="1237"/>
      <c r="L822" s="1237"/>
      <c r="M822" s="1237"/>
      <c r="N822" s="1237"/>
      <c r="O822" s="2024"/>
      <c r="P822" s="2024"/>
      <c r="Q822" s="1238"/>
      <c r="R822" s="1239"/>
    </row>
    <row r="823" spans="1:18" ht="18.75" customHeight="1" thickBot="1">
      <c r="A823" s="2926"/>
      <c r="B823" s="1237"/>
      <c r="C823" s="1237"/>
      <c r="D823" s="1237"/>
      <c r="E823" s="1237"/>
      <c r="F823" s="1237"/>
      <c r="G823" s="1237"/>
      <c r="H823" s="1237"/>
      <c r="I823" s="1237"/>
      <c r="J823" s="2945"/>
      <c r="K823" s="2945"/>
      <c r="L823" s="2945"/>
      <c r="M823" s="1237"/>
      <c r="N823" s="1237"/>
      <c r="O823" s="2024"/>
      <c r="P823" s="2024"/>
      <c r="Q823" s="1238"/>
      <c r="R823" s="1239"/>
    </row>
    <row r="824" spans="1:18" ht="18.75" customHeight="1" thickBot="1">
      <c r="A824" s="2926"/>
      <c r="B824" s="1237"/>
      <c r="C824" s="1237"/>
      <c r="D824" s="1237"/>
      <c r="E824" s="1237"/>
      <c r="F824" s="1237"/>
      <c r="G824" s="1237"/>
      <c r="H824" s="1237"/>
      <c r="I824" s="1237"/>
      <c r="J824" s="1237"/>
      <c r="K824" s="1237"/>
      <c r="L824" s="1237"/>
      <c r="M824" s="1237"/>
      <c r="N824" s="1237"/>
      <c r="O824" s="2024"/>
      <c r="P824" s="2024"/>
      <c r="Q824" s="1238"/>
      <c r="R824" s="1239"/>
    </row>
    <row r="825" spans="1:18" ht="18.75" customHeight="1" thickBot="1">
      <c r="A825" s="2926"/>
      <c r="B825" s="1237"/>
      <c r="C825" s="1237"/>
      <c r="D825" s="1237"/>
      <c r="E825" s="1237"/>
      <c r="F825" s="1237"/>
      <c r="G825" s="1237"/>
      <c r="H825" s="1237"/>
      <c r="I825" s="1237"/>
      <c r="J825" s="1237"/>
      <c r="K825" s="1237"/>
      <c r="L825" s="1237"/>
      <c r="M825" s="1237"/>
      <c r="N825" s="1237"/>
      <c r="O825" s="2024"/>
      <c r="P825" s="2024"/>
      <c r="Q825" s="1238"/>
      <c r="R825" s="1239"/>
    </row>
    <row r="826" spans="1:18" ht="18.75" customHeight="1" thickBot="1">
      <c r="A826" s="2926"/>
      <c r="B826" s="1237"/>
      <c r="C826" s="1237"/>
      <c r="D826" s="1237"/>
      <c r="E826" s="1237"/>
      <c r="F826" s="1237"/>
      <c r="G826" s="1237"/>
      <c r="H826" s="1237"/>
      <c r="I826" s="1237"/>
      <c r="J826" s="1237"/>
      <c r="K826" s="1237"/>
      <c r="L826" s="1237"/>
      <c r="M826" s="1237"/>
      <c r="N826" s="1237"/>
      <c r="O826" s="2024"/>
      <c r="P826" s="2024"/>
      <c r="Q826" s="1238"/>
      <c r="R826" s="1239"/>
    </row>
    <row r="827" spans="1:18" ht="18.75" customHeight="1" thickBot="1">
      <c r="A827" s="2926"/>
      <c r="B827" s="1237"/>
      <c r="C827" s="1237"/>
      <c r="D827" s="1237"/>
      <c r="E827" s="1237"/>
      <c r="F827" s="1237"/>
      <c r="G827" s="1237"/>
      <c r="H827" s="1237"/>
      <c r="I827" s="1237"/>
      <c r="J827" s="1237"/>
      <c r="K827" s="1237"/>
      <c r="L827" s="1237"/>
      <c r="M827" s="1237"/>
      <c r="N827" s="1237"/>
      <c r="O827" s="2024"/>
      <c r="P827" s="2024"/>
      <c r="Q827" s="1238"/>
      <c r="R827" s="1239"/>
    </row>
    <row r="828" spans="1:18" ht="18.75" customHeight="1" thickBot="1">
      <c r="A828" s="2926"/>
      <c r="B828" s="1237"/>
      <c r="C828" s="1237"/>
      <c r="D828" s="1237"/>
      <c r="E828" s="1237"/>
      <c r="F828" s="1237"/>
      <c r="G828" s="1237"/>
      <c r="H828" s="1237"/>
      <c r="I828" s="1237"/>
      <c r="J828" s="2945"/>
      <c r="K828" s="2945"/>
      <c r="L828" s="2945"/>
      <c r="M828" s="1237"/>
      <c r="N828" s="1237"/>
      <c r="O828" s="2024"/>
      <c r="P828" s="2024"/>
      <c r="Q828" s="1238"/>
      <c r="R828" s="1239"/>
    </row>
    <row r="829" spans="1:18" ht="18.75" customHeight="1" thickBot="1">
      <c r="A829" s="2926"/>
      <c r="B829" s="1237"/>
      <c r="C829" s="1237"/>
      <c r="D829" s="1237"/>
      <c r="E829" s="1237"/>
      <c r="F829" s="1237"/>
      <c r="G829" s="1237"/>
      <c r="H829" s="1237"/>
      <c r="I829" s="1237"/>
      <c r="J829" s="1237"/>
      <c r="K829" s="1237"/>
      <c r="L829" s="1237"/>
      <c r="M829" s="1237"/>
      <c r="N829" s="1237"/>
      <c r="O829" s="2024"/>
      <c r="P829" s="2024"/>
      <c r="Q829" s="1238"/>
      <c r="R829" s="1239"/>
    </row>
    <row r="830" spans="1:18" ht="18.75" customHeight="1" thickBot="1">
      <c r="A830" s="2926"/>
      <c r="B830" s="1237"/>
      <c r="C830" s="1237"/>
      <c r="D830" s="1237"/>
      <c r="E830" s="1237"/>
      <c r="F830" s="1237"/>
      <c r="G830" s="1237"/>
      <c r="H830" s="1237"/>
      <c r="I830" s="1237"/>
      <c r="J830" s="1237"/>
      <c r="K830" s="1237"/>
      <c r="L830" s="1237"/>
      <c r="M830" s="1237"/>
      <c r="N830" s="1237"/>
      <c r="O830" s="2024"/>
      <c r="P830" s="2024"/>
      <c r="Q830" s="1238"/>
      <c r="R830" s="1239"/>
    </row>
    <row r="831" spans="1:18" ht="18.75" customHeight="1" thickBot="1">
      <c r="A831" s="2926"/>
      <c r="B831" s="1237"/>
      <c r="C831" s="1237"/>
      <c r="D831" s="1237"/>
      <c r="E831" s="1237"/>
      <c r="F831" s="1237"/>
      <c r="G831" s="1237"/>
      <c r="H831" s="1237"/>
      <c r="I831" s="1237"/>
      <c r="J831" s="1237"/>
      <c r="K831" s="1237"/>
      <c r="L831" s="1237"/>
      <c r="M831" s="1237"/>
      <c r="N831" s="1237"/>
      <c r="O831" s="2024"/>
      <c r="P831" s="2024"/>
      <c r="Q831" s="1238"/>
      <c r="R831" s="1239"/>
    </row>
    <row r="832" spans="1:18" ht="18.75" customHeight="1" thickBot="1">
      <c r="A832" s="2926"/>
      <c r="B832" s="1237"/>
      <c r="C832" s="1237"/>
      <c r="D832" s="1237"/>
      <c r="E832" s="1237"/>
      <c r="F832" s="1237"/>
      <c r="G832" s="1237"/>
      <c r="H832" s="1237"/>
      <c r="I832" s="1237"/>
      <c r="J832" s="1237"/>
      <c r="K832" s="1237"/>
      <c r="L832" s="1237"/>
      <c r="M832" s="1237"/>
      <c r="N832" s="1237"/>
      <c r="O832" s="2024"/>
      <c r="P832" s="2024"/>
      <c r="Q832" s="1238"/>
      <c r="R832" s="1239"/>
    </row>
    <row r="833" spans="1:18" ht="18.75" customHeight="1" thickBot="1">
      <c r="A833" s="2926"/>
      <c r="B833" s="1237"/>
      <c r="C833" s="1237"/>
      <c r="D833" s="1237"/>
      <c r="E833" s="1237"/>
      <c r="F833" s="1237"/>
      <c r="G833" s="1237"/>
      <c r="H833" s="1237"/>
      <c r="I833" s="1237"/>
      <c r="J833" s="1237"/>
      <c r="K833" s="1237"/>
      <c r="L833" s="1237"/>
      <c r="M833" s="1237"/>
      <c r="N833" s="1237"/>
      <c r="O833" s="2024"/>
      <c r="P833" s="2024"/>
      <c r="Q833" s="1238"/>
      <c r="R833" s="1239"/>
    </row>
    <row r="834" spans="1:18" ht="18.75" customHeight="1" thickBot="1">
      <c r="A834" s="2926"/>
      <c r="B834" s="1237"/>
      <c r="C834" s="1237"/>
      <c r="D834" s="1237"/>
      <c r="E834" s="1237"/>
      <c r="F834" s="1237"/>
      <c r="G834" s="1237"/>
      <c r="H834" s="1237"/>
      <c r="I834" s="1237"/>
      <c r="J834" s="1237"/>
      <c r="K834" s="1237"/>
      <c r="L834" s="1237"/>
      <c r="M834" s="1237"/>
      <c r="N834" s="1237"/>
      <c r="O834" s="2024"/>
      <c r="P834" s="2024"/>
      <c r="Q834" s="1238"/>
      <c r="R834" s="1239"/>
    </row>
    <row r="835" spans="1:18" ht="18.75" customHeight="1" thickBot="1">
      <c r="A835" s="2926"/>
      <c r="B835" s="1237"/>
      <c r="C835" s="1237"/>
      <c r="D835" s="1237"/>
      <c r="E835" s="1237"/>
      <c r="F835" s="1237"/>
      <c r="G835" s="1237"/>
      <c r="H835" s="1237"/>
      <c r="I835" s="1237"/>
      <c r="J835" s="1237"/>
      <c r="K835" s="1237"/>
      <c r="L835" s="1237"/>
      <c r="M835" s="1237"/>
      <c r="N835" s="1237"/>
      <c r="O835" s="2024"/>
      <c r="P835" s="2024"/>
      <c r="Q835" s="1238"/>
      <c r="R835" s="1239"/>
    </row>
    <row r="836" spans="1:18" ht="18.75" customHeight="1" thickBot="1">
      <c r="A836" s="2926"/>
      <c r="B836" s="1237"/>
      <c r="C836" s="1237"/>
      <c r="D836" s="1237"/>
      <c r="E836" s="1237"/>
      <c r="F836" s="1237"/>
      <c r="G836" s="1237"/>
      <c r="H836" s="1237"/>
      <c r="I836" s="1237"/>
      <c r="J836" s="1237"/>
      <c r="K836" s="1237"/>
      <c r="L836" s="1237"/>
      <c r="M836" s="1237"/>
      <c r="N836" s="1237"/>
      <c r="O836" s="2024"/>
      <c r="P836" s="2024"/>
      <c r="Q836" s="1238"/>
      <c r="R836" s="1239"/>
    </row>
    <row r="837" spans="1:18" ht="18.75" customHeight="1" thickBot="1">
      <c r="A837" s="2926"/>
      <c r="B837" s="1237"/>
      <c r="C837" s="1237"/>
      <c r="D837" s="1237"/>
      <c r="E837" s="1237"/>
      <c r="F837" s="1237"/>
      <c r="G837" s="1237"/>
      <c r="H837" s="1237"/>
      <c r="I837" s="1237"/>
      <c r="J837" s="1237"/>
      <c r="K837" s="1237"/>
      <c r="L837" s="1237"/>
      <c r="M837" s="1237"/>
      <c r="N837" s="1237"/>
      <c r="O837" s="2024"/>
      <c r="P837" s="2024"/>
      <c r="Q837" s="1238"/>
      <c r="R837" s="1239"/>
    </row>
    <row r="838" spans="1:18" ht="18.75" customHeight="1" thickBot="1">
      <c r="A838" s="2926"/>
      <c r="B838" s="1237"/>
      <c r="C838" s="1237"/>
      <c r="D838" s="1237"/>
      <c r="E838" s="1237"/>
      <c r="F838" s="1237"/>
      <c r="G838" s="1237"/>
      <c r="H838" s="1237"/>
      <c r="I838" s="1237"/>
      <c r="J838" s="2945"/>
      <c r="K838" s="2945"/>
      <c r="L838" s="2945"/>
      <c r="M838" s="1237"/>
      <c r="N838" s="1237"/>
      <c r="O838" s="2024"/>
      <c r="P838" s="2024"/>
      <c r="Q838" s="1238"/>
      <c r="R838" s="1239"/>
    </row>
    <row r="839" spans="1:18" ht="19.5" customHeight="1" thickBot="1">
      <c r="A839" s="2926"/>
      <c r="B839" s="1237"/>
      <c r="C839" s="1237"/>
      <c r="D839" s="1237"/>
      <c r="E839" s="1237"/>
      <c r="F839" s="1237"/>
      <c r="G839" s="1237"/>
      <c r="H839" s="1237"/>
      <c r="I839" s="1237"/>
      <c r="J839" s="1237"/>
      <c r="K839" s="1237"/>
      <c r="L839" s="1237"/>
      <c r="M839" s="1237"/>
      <c r="N839" s="1237"/>
      <c r="O839" s="2024"/>
      <c r="P839" s="2024"/>
      <c r="Q839" s="1238"/>
      <c r="R839" s="1239"/>
    </row>
    <row r="840" spans="1:18" ht="18.75" customHeight="1" thickBot="1">
      <c r="A840" s="2926"/>
      <c r="B840" s="1237"/>
      <c r="C840" s="1237"/>
      <c r="D840" s="1237"/>
      <c r="E840" s="1237"/>
      <c r="F840" s="1237"/>
      <c r="G840" s="1237"/>
      <c r="H840" s="1237"/>
      <c r="I840" s="1237"/>
      <c r="J840" s="1237"/>
      <c r="K840" s="1237"/>
      <c r="L840" s="1237"/>
      <c r="M840" s="1237"/>
      <c r="N840" s="1237"/>
      <c r="O840" s="2024"/>
      <c r="P840" s="2024"/>
      <c r="Q840" s="1238"/>
      <c r="R840" s="1239"/>
    </row>
    <row r="841" spans="1:18" ht="18.75" customHeight="1" thickBot="1">
      <c r="A841" s="2926"/>
      <c r="B841" s="1237"/>
      <c r="C841" s="1237"/>
      <c r="D841" s="1237"/>
      <c r="E841" s="1237"/>
      <c r="F841" s="1237"/>
      <c r="G841" s="1237"/>
      <c r="H841" s="1237"/>
      <c r="I841" s="1237"/>
      <c r="J841" s="1237"/>
      <c r="K841" s="1237"/>
      <c r="L841" s="1237"/>
      <c r="M841" s="1237"/>
      <c r="N841" s="1237"/>
      <c r="O841" s="2024"/>
      <c r="P841" s="2024"/>
      <c r="Q841" s="1238"/>
      <c r="R841" s="1239"/>
    </row>
    <row r="842" spans="1:18" ht="18.75" customHeight="1" thickBot="1">
      <c r="A842" s="2926"/>
      <c r="B842" s="1237"/>
      <c r="C842" s="1237"/>
      <c r="D842" s="1237"/>
      <c r="E842" s="1237"/>
      <c r="F842" s="1237"/>
      <c r="G842" s="1237"/>
      <c r="H842" s="1237"/>
      <c r="I842" s="1237"/>
      <c r="J842" s="1237"/>
      <c r="K842" s="1237"/>
      <c r="L842" s="1237"/>
      <c r="M842" s="1237"/>
      <c r="N842" s="1237"/>
      <c r="O842" s="2024"/>
      <c r="P842" s="2024"/>
      <c r="Q842" s="1238"/>
      <c r="R842" s="1239"/>
    </row>
    <row r="843" spans="1:18" ht="18.75" customHeight="1" thickBot="1">
      <c r="A843" s="2926"/>
      <c r="B843" s="1237"/>
      <c r="C843" s="1237"/>
      <c r="D843" s="1237"/>
      <c r="E843" s="1237"/>
      <c r="F843" s="1237"/>
      <c r="G843" s="1237"/>
      <c r="H843" s="1237"/>
      <c r="I843" s="1237"/>
      <c r="J843" s="2945"/>
      <c r="K843" s="2945"/>
      <c r="L843" s="2945"/>
      <c r="M843" s="1237"/>
      <c r="N843" s="1237"/>
      <c r="O843" s="2024"/>
      <c r="P843" s="2024"/>
      <c r="Q843" s="1238"/>
      <c r="R843" s="1239"/>
    </row>
    <row r="844" spans="1:18" ht="18.75" customHeight="1" thickBot="1">
      <c r="A844" s="2926"/>
      <c r="B844" s="1237"/>
      <c r="C844" s="1237"/>
      <c r="D844" s="1237"/>
      <c r="E844" s="1237"/>
      <c r="F844" s="1237"/>
      <c r="G844" s="1237"/>
      <c r="H844" s="1237"/>
      <c r="I844" s="1237"/>
      <c r="J844" s="1237"/>
      <c r="K844" s="1237"/>
      <c r="L844" s="1237"/>
      <c r="M844" s="1237"/>
      <c r="N844" s="1237"/>
      <c r="O844" s="2024"/>
      <c r="P844" s="2024"/>
      <c r="Q844" s="1238"/>
      <c r="R844" s="1239"/>
    </row>
    <row r="845" spans="1:18" ht="18.75" customHeight="1" thickBot="1">
      <c r="A845" s="2926"/>
      <c r="B845" s="1237"/>
      <c r="C845" s="1237"/>
      <c r="D845" s="1237"/>
      <c r="E845" s="1237"/>
      <c r="F845" s="1237"/>
      <c r="G845" s="1237"/>
      <c r="H845" s="1237"/>
      <c r="I845" s="1237"/>
      <c r="J845" s="1237"/>
      <c r="K845" s="1237"/>
      <c r="L845" s="1237"/>
      <c r="M845" s="1237"/>
      <c r="N845" s="1237"/>
      <c r="O845" s="2024"/>
      <c r="P845" s="2024"/>
      <c r="Q845" s="1238"/>
      <c r="R845" s="1239"/>
    </row>
    <row r="846" spans="1:18" ht="18.75" customHeight="1" thickBot="1">
      <c r="A846" s="2926"/>
      <c r="B846" s="1237"/>
      <c r="C846" s="1237"/>
      <c r="D846" s="1237"/>
      <c r="E846" s="1237"/>
      <c r="F846" s="1237"/>
      <c r="G846" s="1237"/>
      <c r="H846" s="1237"/>
      <c r="I846" s="1237"/>
      <c r="J846" s="1237"/>
      <c r="K846" s="1237"/>
      <c r="L846" s="1237"/>
      <c r="M846" s="1237"/>
      <c r="N846" s="1237"/>
      <c r="O846" s="2024"/>
      <c r="P846" s="2024"/>
      <c r="Q846" s="1238"/>
      <c r="R846" s="1239"/>
    </row>
    <row r="847" spans="1:18" ht="18.75" customHeight="1" thickBot="1">
      <c r="A847" s="2926"/>
      <c r="B847" s="1237"/>
      <c r="C847" s="1237"/>
      <c r="D847" s="1237"/>
      <c r="E847" s="1237"/>
      <c r="F847" s="1237"/>
      <c r="G847" s="1237"/>
      <c r="H847" s="1237"/>
      <c r="I847" s="1237"/>
      <c r="J847" s="1237"/>
      <c r="K847" s="1237"/>
      <c r="L847" s="1237"/>
      <c r="M847" s="1237"/>
      <c r="N847" s="1237"/>
      <c r="O847" s="2024"/>
      <c r="P847" s="2024"/>
      <c r="Q847" s="1238"/>
      <c r="R847" s="1239"/>
    </row>
    <row r="848" spans="1:18" ht="18.75" customHeight="1" thickBot="1">
      <c r="A848" s="2926"/>
      <c r="B848" s="1237"/>
      <c r="C848" s="1237"/>
      <c r="D848" s="1237"/>
      <c r="E848" s="1237"/>
      <c r="F848" s="1237"/>
      <c r="G848" s="1237"/>
      <c r="H848" s="1237"/>
      <c r="I848" s="1237"/>
      <c r="J848" s="2945"/>
      <c r="K848" s="2945"/>
      <c r="L848" s="2945"/>
      <c r="M848" s="1237"/>
      <c r="N848" s="1237"/>
      <c r="O848" s="2024"/>
      <c r="P848" s="2024"/>
      <c r="Q848" s="1238"/>
      <c r="R848" s="1239"/>
    </row>
    <row r="849" spans="1:19" ht="18.75" customHeight="1" thickBot="1">
      <c r="A849" s="2926"/>
      <c r="B849" s="1237"/>
      <c r="C849" s="1237"/>
      <c r="D849" s="1237"/>
      <c r="E849" s="1237"/>
      <c r="F849" s="1237"/>
      <c r="G849" s="1237"/>
      <c r="H849" s="1237"/>
      <c r="I849" s="1237"/>
      <c r="J849" s="1237"/>
      <c r="K849" s="1237"/>
      <c r="L849" s="1237"/>
      <c r="M849" s="1237"/>
      <c r="N849" s="1237"/>
      <c r="O849" s="2024"/>
      <c r="P849" s="2024"/>
      <c r="Q849" s="1238"/>
      <c r="R849" s="1239"/>
    </row>
    <row r="850" spans="1:19" ht="18.75" customHeight="1" thickBot="1">
      <c r="A850" s="2926"/>
      <c r="B850" s="1237"/>
      <c r="C850" s="1237"/>
      <c r="D850" s="1237"/>
      <c r="E850" s="1237"/>
      <c r="F850" s="1237"/>
      <c r="G850" s="1237"/>
      <c r="H850" s="1237"/>
      <c r="I850" s="1237"/>
      <c r="J850" s="1237"/>
      <c r="K850" s="1237"/>
      <c r="L850" s="1237"/>
      <c r="M850" s="1237"/>
      <c r="N850" s="1237"/>
      <c r="O850" s="2057"/>
      <c r="P850" s="2024"/>
      <c r="Q850" s="1525"/>
      <c r="R850" s="1239"/>
      <c r="S850" s="2961"/>
    </row>
    <row r="851" spans="1:19" ht="18.75" customHeight="1" thickBot="1">
      <c r="A851" s="2926"/>
      <c r="B851" s="1237"/>
      <c r="C851" s="1237"/>
      <c r="D851" s="1237"/>
      <c r="E851" s="1237"/>
      <c r="F851" s="1237"/>
      <c r="G851" s="1237"/>
      <c r="H851" s="1237"/>
      <c r="I851" s="1237"/>
      <c r="J851" s="1237"/>
      <c r="K851" s="1237"/>
      <c r="L851" s="1237"/>
      <c r="M851" s="1237"/>
      <c r="N851" s="1237"/>
      <c r="O851" s="2057"/>
      <c r="P851" s="2024"/>
      <c r="Q851" s="1525"/>
      <c r="R851" s="1239"/>
      <c r="S851" s="2961"/>
    </row>
    <row r="852" spans="1:19" ht="18.75" customHeight="1" thickBot="1">
      <c r="A852" s="2926"/>
      <c r="B852" s="1237"/>
      <c r="C852" s="1237"/>
      <c r="D852" s="1237"/>
      <c r="E852" s="1237"/>
      <c r="F852" s="1237"/>
      <c r="G852" s="1237"/>
      <c r="H852" s="1237"/>
      <c r="I852" s="1237"/>
      <c r="J852" s="1237"/>
      <c r="K852" s="1237"/>
      <c r="L852" s="1237"/>
      <c r="M852" s="1237"/>
      <c r="N852" s="1237"/>
      <c r="O852" s="2057"/>
      <c r="P852" s="2024"/>
      <c r="Q852" s="1525"/>
      <c r="R852" s="1239"/>
      <c r="S852" s="2961"/>
    </row>
    <row r="853" spans="1:19" ht="18.75" customHeight="1" thickBot="1">
      <c r="A853" s="2926"/>
      <c r="B853" s="1237"/>
      <c r="C853" s="1237"/>
      <c r="D853" s="1237"/>
      <c r="E853" s="1237"/>
      <c r="F853" s="1237"/>
      <c r="G853" s="1237"/>
      <c r="H853" s="1237"/>
      <c r="I853" s="1237"/>
      <c r="J853" s="1237"/>
      <c r="K853" s="1237"/>
      <c r="L853" s="1237"/>
      <c r="M853" s="1237"/>
      <c r="N853" s="1237"/>
      <c r="O853" s="2057"/>
      <c r="P853" s="2024"/>
      <c r="Q853" s="1525"/>
      <c r="R853" s="1239"/>
      <c r="S853" s="2961"/>
    </row>
    <row r="854" spans="1:19" ht="18.75" customHeight="1" thickBot="1">
      <c r="A854" s="2926"/>
      <c r="B854" s="1237"/>
      <c r="C854" s="1237"/>
      <c r="D854" s="1237"/>
      <c r="E854" s="1237"/>
      <c r="F854" s="1237"/>
      <c r="G854" s="1237"/>
      <c r="H854" s="1237"/>
      <c r="I854" s="1237"/>
      <c r="J854" s="1237"/>
      <c r="K854" s="1237"/>
      <c r="L854" s="1237"/>
      <c r="M854" s="1237"/>
      <c r="N854" s="1237"/>
      <c r="O854" s="2057"/>
      <c r="P854" s="2024"/>
      <c r="Q854" s="1525"/>
      <c r="R854" s="1239"/>
      <c r="S854" s="2961"/>
    </row>
    <row r="855" spans="1:19" ht="18.75" customHeight="1" thickBot="1">
      <c r="A855" s="2926"/>
      <c r="B855" s="1237"/>
      <c r="C855" s="1237"/>
      <c r="D855" s="1237"/>
      <c r="E855" s="1237"/>
      <c r="F855" s="1237"/>
      <c r="G855" s="1237"/>
      <c r="H855" s="1237"/>
      <c r="I855" s="1237"/>
      <c r="J855" s="2945"/>
      <c r="K855" s="2945"/>
      <c r="L855" s="2945"/>
      <c r="M855" s="1237"/>
      <c r="N855" s="1237"/>
      <c r="O855" s="2057"/>
      <c r="P855" s="2024"/>
      <c r="Q855" s="1525"/>
      <c r="R855" s="1239"/>
      <c r="S855" s="2961"/>
    </row>
    <row r="856" spans="1:19" ht="18.75" customHeight="1" thickBot="1">
      <c r="A856" s="2926"/>
      <c r="B856" s="1237"/>
      <c r="C856" s="1237"/>
      <c r="D856" s="1237"/>
      <c r="E856" s="1237"/>
      <c r="F856" s="1237"/>
      <c r="G856" s="1237"/>
      <c r="H856" s="1237"/>
      <c r="I856" s="1237"/>
      <c r="J856" s="1237"/>
      <c r="K856" s="1237"/>
      <c r="L856" s="1237"/>
      <c r="M856" s="1237"/>
      <c r="N856" s="1237"/>
      <c r="O856" s="2057"/>
      <c r="P856" s="2024"/>
      <c r="Q856" s="1525"/>
      <c r="R856" s="1239"/>
      <c r="S856" s="2961"/>
    </row>
    <row r="857" spans="1:19" ht="18.75" customHeight="1" thickBot="1">
      <c r="A857" s="2926"/>
      <c r="B857" s="1237"/>
      <c r="C857" s="1237"/>
      <c r="D857" s="1237"/>
      <c r="E857" s="1237"/>
      <c r="F857" s="1237"/>
      <c r="G857" s="1237"/>
      <c r="H857" s="1237"/>
      <c r="I857" s="1237"/>
      <c r="J857" s="1237"/>
      <c r="K857" s="1237"/>
      <c r="L857" s="1237"/>
      <c r="M857" s="1237"/>
      <c r="N857" s="1237"/>
      <c r="O857" s="2057"/>
      <c r="P857" s="2024"/>
      <c r="Q857" s="1525"/>
      <c r="R857" s="1239"/>
      <c r="S857" s="2961"/>
    </row>
    <row r="858" spans="1:19" ht="18.75" customHeight="1" thickBot="1">
      <c r="A858" s="2926"/>
      <c r="B858" s="1540"/>
      <c r="C858" s="1540"/>
      <c r="D858" s="1540"/>
      <c r="E858" s="1540"/>
      <c r="F858" s="1540"/>
      <c r="G858" s="1540"/>
      <c r="H858" s="1540"/>
      <c r="I858" s="1540"/>
      <c r="J858" s="1540"/>
      <c r="K858" s="1540"/>
      <c r="L858" s="1540"/>
      <c r="M858" s="1540"/>
      <c r="N858" s="1540"/>
      <c r="O858" s="2058"/>
      <c r="P858" s="2024"/>
      <c r="Q858" s="2059"/>
      <c r="R858" s="1591"/>
      <c r="S858" s="2961"/>
    </row>
    <row r="859" spans="1:19" ht="18.75" customHeight="1" thickBot="1">
      <c r="A859" s="2926"/>
      <c r="B859" s="1585"/>
      <c r="C859" s="1585"/>
      <c r="D859" s="1585"/>
      <c r="E859" s="1585"/>
      <c r="F859" s="1585"/>
      <c r="G859" s="1585"/>
      <c r="H859" s="1585"/>
      <c r="I859" s="1585"/>
      <c r="J859" s="1585"/>
      <c r="K859" s="1585"/>
      <c r="L859" s="1585"/>
      <c r="M859" s="1585"/>
      <c r="N859" s="1585"/>
      <c r="O859" s="2026"/>
      <c r="P859" s="2024"/>
      <c r="Q859" s="1586"/>
      <c r="R859" s="1587"/>
    </row>
    <row r="860" spans="1:19" ht="18.75" customHeight="1" thickBot="1">
      <c r="A860" s="2926"/>
      <c r="B860" s="1237"/>
      <c r="C860" s="1237"/>
      <c r="D860" s="1237"/>
      <c r="E860" s="1237"/>
      <c r="F860" s="1237"/>
      <c r="G860" s="1237"/>
      <c r="H860" s="1237"/>
      <c r="I860" s="1237"/>
      <c r="J860" s="1237"/>
      <c r="K860" s="1237"/>
      <c r="L860" s="1237"/>
      <c r="M860" s="1237"/>
      <c r="N860" s="1237"/>
      <c r="O860" s="2024"/>
      <c r="P860" s="2024"/>
      <c r="Q860" s="1238"/>
      <c r="R860" s="1239"/>
    </row>
    <row r="861" spans="1:19" ht="18.75" customHeight="1" thickBot="1">
      <c r="A861" s="2926"/>
      <c r="B861" s="1237"/>
      <c r="C861" s="1237"/>
      <c r="D861" s="1237"/>
      <c r="E861" s="1237"/>
      <c r="F861" s="1237"/>
      <c r="G861" s="1237"/>
      <c r="H861" s="1237"/>
      <c r="I861" s="1237"/>
      <c r="J861" s="1237"/>
      <c r="K861" s="1237"/>
      <c r="L861" s="1237"/>
      <c r="M861" s="1237"/>
      <c r="N861" s="1237"/>
      <c r="O861" s="2024"/>
      <c r="P861" s="2024"/>
      <c r="Q861" s="1238"/>
      <c r="R861" s="1239"/>
    </row>
    <row r="862" spans="1:19" ht="18.75" customHeight="1" thickBot="1">
      <c r="A862" s="2926"/>
      <c r="B862" s="1237"/>
      <c r="C862" s="1237"/>
      <c r="D862" s="1237"/>
      <c r="E862" s="1237"/>
      <c r="F862" s="1237"/>
      <c r="G862" s="1237"/>
      <c r="H862" s="1237"/>
      <c r="I862" s="1237"/>
      <c r="J862" s="1237"/>
      <c r="K862" s="1237"/>
      <c r="L862" s="1237"/>
      <c r="M862" s="1237"/>
      <c r="N862" s="1237"/>
      <c r="O862" s="2024"/>
      <c r="P862" s="2024"/>
      <c r="Q862" s="1238"/>
      <c r="R862" s="1239"/>
    </row>
    <row r="863" spans="1:19" ht="18.75" customHeight="1" thickBot="1">
      <c r="A863" s="2926"/>
      <c r="B863" s="1237"/>
      <c r="C863" s="1237"/>
      <c r="D863" s="1237"/>
      <c r="E863" s="1237"/>
      <c r="F863" s="1237"/>
      <c r="G863" s="1237"/>
      <c r="H863" s="1237"/>
      <c r="I863" s="1237"/>
      <c r="J863" s="1237"/>
      <c r="K863" s="1237"/>
      <c r="L863" s="1237"/>
      <c r="M863" s="1237"/>
      <c r="N863" s="1237"/>
      <c r="O863" s="2024"/>
      <c r="P863" s="2024"/>
      <c r="Q863" s="1238"/>
      <c r="R863" s="1239"/>
    </row>
    <row r="864" spans="1:19" ht="18.75" customHeight="1" thickBot="1">
      <c r="A864" s="2926"/>
      <c r="B864" s="1237"/>
      <c r="C864" s="1237"/>
      <c r="D864" s="1237"/>
      <c r="E864" s="1237"/>
      <c r="F864" s="1237"/>
      <c r="G864" s="1237"/>
      <c r="H864" s="1237"/>
      <c r="I864" s="1237"/>
      <c r="J864" s="1237"/>
      <c r="K864" s="1237"/>
      <c r="L864" s="1237"/>
      <c r="M864" s="1237"/>
      <c r="N864" s="1237"/>
      <c r="O864" s="2024"/>
      <c r="P864" s="2024"/>
      <c r="Q864" s="1238"/>
      <c r="R864" s="1239"/>
    </row>
    <row r="865" spans="1:18" ht="18.75" customHeight="1" thickBot="1">
      <c r="A865" s="2926"/>
      <c r="B865" s="1237"/>
      <c r="C865" s="1237"/>
      <c r="D865" s="1237"/>
      <c r="E865" s="1237"/>
      <c r="F865" s="1237"/>
      <c r="G865" s="1237"/>
      <c r="H865" s="1237"/>
      <c r="I865" s="1237"/>
      <c r="J865" s="2945"/>
      <c r="K865" s="2945"/>
      <c r="L865" s="2945"/>
      <c r="M865" s="1237"/>
      <c r="N865" s="1237"/>
      <c r="O865" s="2024"/>
      <c r="P865" s="2024"/>
      <c r="Q865" s="1238"/>
      <c r="R865" s="1239"/>
    </row>
    <row r="866" spans="1:18" ht="18.75" customHeight="1" thickBot="1">
      <c r="A866" s="2926"/>
      <c r="B866" s="1237"/>
      <c r="C866" s="1237"/>
      <c r="D866" s="1237"/>
      <c r="E866" s="1237"/>
      <c r="F866" s="1237"/>
      <c r="G866" s="1237"/>
      <c r="H866" s="1237"/>
      <c r="I866" s="1237"/>
      <c r="J866" s="1237"/>
      <c r="K866" s="1237"/>
      <c r="L866" s="1237"/>
      <c r="M866" s="1237"/>
      <c r="N866" s="1237"/>
      <c r="O866" s="2024"/>
      <c r="P866" s="2024"/>
      <c r="Q866" s="1238"/>
      <c r="R866" s="1239"/>
    </row>
    <row r="867" spans="1:18" ht="18.75" customHeight="1" thickBot="1">
      <c r="A867" s="2926"/>
      <c r="B867" s="1237"/>
      <c r="C867" s="1237"/>
      <c r="D867" s="1237"/>
      <c r="E867" s="1237"/>
      <c r="F867" s="1237"/>
      <c r="G867" s="1237"/>
      <c r="H867" s="1237"/>
      <c r="I867" s="1237"/>
      <c r="J867" s="1237"/>
      <c r="K867" s="1237"/>
      <c r="L867" s="1237"/>
      <c r="M867" s="1237"/>
      <c r="N867" s="1237"/>
      <c r="O867" s="2024"/>
      <c r="P867" s="2024"/>
      <c r="Q867" s="1238"/>
      <c r="R867" s="1239"/>
    </row>
    <row r="868" spans="1:18" ht="18.75" customHeight="1" thickBot="1">
      <c r="A868" s="2926"/>
      <c r="B868" s="1237"/>
      <c r="C868" s="1237"/>
      <c r="D868" s="1237"/>
      <c r="E868" s="1237"/>
      <c r="F868" s="1237"/>
      <c r="G868" s="1237"/>
      <c r="H868" s="1237"/>
      <c r="I868" s="1237"/>
      <c r="J868" s="1237"/>
      <c r="K868" s="1237"/>
      <c r="L868" s="1237"/>
      <c r="M868" s="1237"/>
      <c r="N868" s="1237"/>
      <c r="O868" s="2024"/>
      <c r="P868" s="2024"/>
      <c r="Q868" s="1238"/>
      <c r="R868" s="1239"/>
    </row>
    <row r="869" spans="1:18" ht="18.75" customHeight="1" thickBot="1">
      <c r="A869" s="2926"/>
      <c r="B869" s="1237"/>
      <c r="C869" s="1237"/>
      <c r="D869" s="1237"/>
      <c r="E869" s="1237"/>
      <c r="F869" s="1237"/>
      <c r="G869" s="1237"/>
      <c r="H869" s="1237"/>
      <c r="I869" s="1237"/>
      <c r="J869" s="1237"/>
      <c r="K869" s="1237"/>
      <c r="L869" s="1237"/>
      <c r="M869" s="1237"/>
      <c r="N869" s="1237"/>
      <c r="O869" s="2024"/>
      <c r="P869" s="2024"/>
      <c r="Q869" s="1238"/>
      <c r="R869" s="1239"/>
    </row>
    <row r="870" spans="1:18" ht="18.75" customHeight="1" thickBot="1">
      <c r="A870" s="2926"/>
      <c r="B870" s="1237"/>
      <c r="C870" s="1237"/>
      <c r="D870" s="1237"/>
      <c r="E870" s="1237"/>
      <c r="F870" s="1237"/>
      <c r="G870" s="1237"/>
      <c r="H870" s="1237"/>
      <c r="I870" s="1237"/>
      <c r="J870" s="2945"/>
      <c r="K870" s="2945"/>
      <c r="L870" s="2945"/>
      <c r="M870" s="1237"/>
      <c r="N870" s="1237"/>
      <c r="O870" s="2024"/>
      <c r="P870" s="2024"/>
      <c r="Q870" s="1238"/>
      <c r="R870" s="1239"/>
    </row>
    <row r="871" spans="1:18" ht="18.75" customHeight="1" thickBot="1">
      <c r="A871" s="2926"/>
      <c r="B871" s="1237"/>
      <c r="C871" s="1237"/>
      <c r="D871" s="1237"/>
      <c r="E871" s="1237"/>
      <c r="F871" s="1237"/>
      <c r="G871" s="1237"/>
      <c r="H871" s="1237"/>
      <c r="I871" s="1237"/>
      <c r="J871" s="1237"/>
      <c r="K871" s="1237"/>
      <c r="L871" s="1237"/>
      <c r="M871" s="1237"/>
      <c r="N871" s="1237"/>
      <c r="O871" s="2024"/>
      <c r="P871" s="2024"/>
      <c r="Q871" s="1238"/>
      <c r="R871" s="1239"/>
    </row>
    <row r="872" spans="1:18" ht="18.75" customHeight="1" thickBot="1">
      <c r="A872" s="2926"/>
      <c r="B872" s="1237"/>
      <c r="C872" s="1237"/>
      <c r="D872" s="1237"/>
      <c r="E872" s="1237"/>
      <c r="F872" s="1237"/>
      <c r="G872" s="1237"/>
      <c r="H872" s="1237"/>
      <c r="I872" s="1237"/>
      <c r="J872" s="1237"/>
      <c r="K872" s="1237"/>
      <c r="L872" s="1237"/>
      <c r="M872" s="1237"/>
      <c r="N872" s="1237"/>
      <c r="O872" s="2024"/>
      <c r="P872" s="2024"/>
      <c r="Q872" s="1238"/>
      <c r="R872" s="1239"/>
    </row>
    <row r="873" spans="1:18" ht="18.75" customHeight="1" thickBot="1">
      <c r="A873" s="2926"/>
      <c r="B873" s="1237"/>
      <c r="C873" s="1237"/>
      <c r="D873" s="1237"/>
      <c r="E873" s="1237"/>
      <c r="F873" s="1237"/>
      <c r="G873" s="1237"/>
      <c r="H873" s="1237"/>
      <c r="I873" s="1237"/>
      <c r="J873" s="1237"/>
      <c r="K873" s="1237"/>
      <c r="L873" s="1237"/>
      <c r="M873" s="1237"/>
      <c r="N873" s="1237"/>
      <c r="O873" s="2024"/>
      <c r="P873" s="2024"/>
      <c r="Q873" s="1238"/>
      <c r="R873" s="1239"/>
    </row>
    <row r="874" spans="1:18" ht="18.75" customHeight="1" thickBot="1">
      <c r="A874" s="2926"/>
      <c r="B874" s="1237"/>
      <c r="C874" s="1237"/>
      <c r="D874" s="1237"/>
      <c r="E874" s="1237"/>
      <c r="F874" s="1237"/>
      <c r="G874" s="1237"/>
      <c r="H874" s="1237"/>
      <c r="I874" s="1237"/>
      <c r="J874" s="1237"/>
      <c r="K874" s="1237"/>
      <c r="L874" s="1237"/>
      <c r="M874" s="1237"/>
      <c r="N874" s="1237"/>
      <c r="O874" s="2024"/>
      <c r="P874" s="2024"/>
      <c r="Q874" s="1238"/>
      <c r="R874" s="1239"/>
    </row>
    <row r="875" spans="1:18" ht="18.75" customHeight="1" thickBot="1">
      <c r="A875" s="2926"/>
      <c r="B875" s="1237"/>
      <c r="C875" s="1237"/>
      <c r="D875" s="1237"/>
      <c r="E875" s="1237"/>
      <c r="F875" s="1237"/>
      <c r="G875" s="1237"/>
      <c r="H875" s="1237"/>
      <c r="I875" s="1237"/>
      <c r="J875" s="1237"/>
      <c r="K875" s="1237"/>
      <c r="L875" s="1237"/>
      <c r="M875" s="1237"/>
      <c r="N875" s="1237"/>
      <c r="O875" s="2024"/>
      <c r="P875" s="2024"/>
      <c r="Q875" s="1238"/>
      <c r="R875" s="1239"/>
    </row>
    <row r="876" spans="1:18" ht="18.75" customHeight="1" thickBot="1">
      <c r="A876" s="2926"/>
      <c r="B876" s="1237"/>
      <c r="C876" s="1237"/>
      <c r="D876" s="1237"/>
      <c r="E876" s="1237"/>
      <c r="F876" s="1237"/>
      <c r="G876" s="1237"/>
      <c r="H876" s="1237"/>
      <c r="I876" s="1237"/>
      <c r="J876" s="1237"/>
      <c r="K876" s="1237"/>
      <c r="L876" s="1237"/>
      <c r="M876" s="1237"/>
      <c r="N876" s="1237"/>
      <c r="O876" s="2024"/>
      <c r="P876" s="2024"/>
      <c r="Q876" s="1238"/>
      <c r="R876" s="1239"/>
    </row>
    <row r="877" spans="1:18" ht="18.75" customHeight="1" thickBot="1">
      <c r="A877" s="2926"/>
      <c r="B877" s="1237"/>
      <c r="C877" s="1237"/>
      <c r="D877" s="1237"/>
      <c r="E877" s="1237"/>
      <c r="F877" s="1237"/>
      <c r="G877" s="1237"/>
      <c r="H877" s="1237"/>
      <c r="I877" s="1237"/>
      <c r="J877" s="1237"/>
      <c r="K877" s="1237"/>
      <c r="L877" s="1237"/>
      <c r="M877" s="1237"/>
      <c r="N877" s="1237"/>
      <c r="O877" s="2024"/>
      <c r="P877" s="2024"/>
      <c r="Q877" s="1238"/>
      <c r="R877" s="1239"/>
    </row>
    <row r="878" spans="1:18" ht="18.75" customHeight="1" thickBot="1">
      <c r="A878" s="2926"/>
      <c r="B878" s="1237"/>
      <c r="C878" s="1237"/>
      <c r="D878" s="1237"/>
      <c r="E878" s="1237"/>
      <c r="F878" s="1237"/>
      <c r="G878" s="1237"/>
      <c r="H878" s="1237"/>
      <c r="I878" s="1237"/>
      <c r="J878" s="1237"/>
      <c r="K878" s="1237"/>
      <c r="L878" s="1237"/>
      <c r="M878" s="1237"/>
      <c r="N878" s="1237"/>
      <c r="O878" s="2024"/>
      <c r="P878" s="2024"/>
      <c r="Q878" s="1238"/>
      <c r="R878" s="1239"/>
    </row>
    <row r="879" spans="1:18" ht="18.75" customHeight="1" thickBot="1">
      <c r="A879" s="2926"/>
      <c r="B879" s="1237"/>
      <c r="C879" s="1237"/>
      <c r="D879" s="1237"/>
      <c r="E879" s="1237"/>
      <c r="F879" s="1237"/>
      <c r="G879" s="1237"/>
      <c r="H879" s="1237"/>
      <c r="I879" s="1237"/>
      <c r="J879" s="1237"/>
      <c r="K879" s="1237"/>
      <c r="L879" s="1237"/>
      <c r="M879" s="1237"/>
      <c r="N879" s="1237"/>
      <c r="O879" s="2024"/>
      <c r="P879" s="2024"/>
      <c r="Q879" s="1238"/>
      <c r="R879" s="1239"/>
    </row>
    <row r="880" spans="1:18" ht="18.75" customHeight="1" thickBot="1">
      <c r="A880" s="2926"/>
      <c r="B880" s="1237"/>
      <c r="C880" s="1237"/>
      <c r="D880" s="1237"/>
      <c r="E880" s="1237"/>
      <c r="F880" s="1237"/>
      <c r="G880" s="1237"/>
      <c r="H880" s="1237"/>
      <c r="I880" s="1237"/>
      <c r="J880" s="2945"/>
      <c r="K880" s="2945"/>
      <c r="L880" s="2945"/>
      <c r="M880" s="1237"/>
      <c r="N880" s="1237"/>
      <c r="O880" s="2024"/>
      <c r="P880" s="2024"/>
      <c r="Q880" s="1238"/>
      <c r="R880" s="1239"/>
    </row>
    <row r="881" spans="1:18" ht="18.75" customHeight="1" thickBot="1">
      <c r="A881" s="2926"/>
      <c r="B881" s="1237"/>
      <c r="C881" s="1237"/>
      <c r="D881" s="1237"/>
      <c r="E881" s="1237"/>
      <c r="F881" s="1237"/>
      <c r="G881" s="1237"/>
      <c r="H881" s="1237"/>
      <c r="I881" s="1237"/>
      <c r="J881" s="1237"/>
      <c r="K881" s="1237"/>
      <c r="L881" s="1237"/>
      <c r="M881" s="1237"/>
      <c r="N881" s="1237"/>
      <c r="O881" s="2057"/>
      <c r="P881" s="2024"/>
      <c r="Q881" s="1238"/>
      <c r="R881" s="1239"/>
    </row>
    <row r="882" spans="1:18" ht="18.75" customHeight="1" thickBot="1">
      <c r="A882" s="2926"/>
      <c r="B882" s="1237"/>
      <c r="C882" s="1237"/>
      <c r="D882" s="1237"/>
      <c r="E882" s="1237"/>
      <c r="F882" s="1237"/>
      <c r="G882" s="1237"/>
      <c r="H882" s="1237"/>
      <c r="I882" s="1237"/>
      <c r="J882" s="1237"/>
      <c r="K882" s="1237"/>
      <c r="L882" s="1237"/>
      <c r="M882" s="1237"/>
      <c r="N882" s="1237"/>
      <c r="O882" s="2057"/>
      <c r="P882" s="2024"/>
      <c r="Q882" s="1238"/>
      <c r="R882" s="1239"/>
    </row>
    <row r="883" spans="1:18" ht="18.75" customHeight="1" thickBot="1">
      <c r="A883" s="2926"/>
      <c r="B883" s="1237"/>
      <c r="C883" s="1237"/>
      <c r="D883" s="1237"/>
      <c r="E883" s="1237"/>
      <c r="F883" s="1237"/>
      <c r="G883" s="1237"/>
      <c r="H883" s="1237"/>
      <c r="I883" s="1237"/>
      <c r="J883" s="1237"/>
      <c r="K883" s="1237"/>
      <c r="L883" s="1237"/>
      <c r="M883" s="1237"/>
      <c r="N883" s="1237"/>
      <c r="O883" s="2057"/>
      <c r="P883" s="2024"/>
      <c r="Q883" s="1238"/>
      <c r="R883" s="1239"/>
    </row>
    <row r="884" spans="1:18" ht="18.75" customHeight="1" thickBot="1">
      <c r="A884" s="2926"/>
      <c r="B884" s="1237"/>
      <c r="C884" s="1237"/>
      <c r="D884" s="1237"/>
      <c r="E884" s="1237"/>
      <c r="F884" s="1237"/>
      <c r="G884" s="1237"/>
      <c r="H884" s="1237"/>
      <c r="I884" s="1237"/>
      <c r="J884" s="1237"/>
      <c r="K884" s="1237"/>
      <c r="L884" s="1237"/>
      <c r="M884" s="1237"/>
      <c r="N884" s="1237"/>
      <c r="O884" s="2057"/>
      <c r="P884" s="2024"/>
      <c r="Q884" s="1238"/>
      <c r="R884" s="1239"/>
    </row>
    <row r="885" spans="1:18" ht="18.75" customHeight="1" thickBot="1">
      <c r="A885" s="2926"/>
      <c r="B885" s="1237"/>
      <c r="C885" s="1237"/>
      <c r="D885" s="1237"/>
      <c r="E885" s="1237"/>
      <c r="F885" s="1237"/>
      <c r="G885" s="1237"/>
      <c r="H885" s="1237"/>
      <c r="I885" s="1237"/>
      <c r="J885" s="2945"/>
      <c r="K885" s="2945"/>
      <c r="L885" s="2945"/>
      <c r="M885" s="1237"/>
      <c r="N885" s="1237"/>
      <c r="O885" s="2057"/>
      <c r="P885" s="2024"/>
      <c r="Q885" s="1238"/>
      <c r="R885" s="1239"/>
    </row>
    <row r="886" spans="1:18" ht="18.75" customHeight="1" thickBot="1">
      <c r="A886" s="2926"/>
      <c r="B886" s="1237"/>
      <c r="C886" s="1237"/>
      <c r="D886" s="1237"/>
      <c r="E886" s="1237"/>
      <c r="F886" s="1237"/>
      <c r="G886" s="1237"/>
      <c r="H886" s="1237"/>
      <c r="I886" s="1237"/>
      <c r="J886" s="1237"/>
      <c r="K886" s="1237"/>
      <c r="L886" s="1237"/>
      <c r="M886" s="1237"/>
      <c r="N886" s="1237"/>
      <c r="O886" s="2057"/>
      <c r="P886" s="2024"/>
      <c r="Q886" s="1238"/>
      <c r="R886" s="1239"/>
    </row>
    <row r="887" spans="1:18" ht="18.75" customHeight="1" thickBot="1">
      <c r="A887" s="2926"/>
      <c r="B887" s="1237"/>
      <c r="C887" s="1237"/>
      <c r="D887" s="1237"/>
      <c r="E887" s="1237"/>
      <c r="F887" s="1237"/>
      <c r="G887" s="1237"/>
      <c r="H887" s="1237"/>
      <c r="I887" s="1237"/>
      <c r="J887" s="1237"/>
      <c r="K887" s="1237"/>
      <c r="L887" s="1237"/>
      <c r="M887" s="1237"/>
      <c r="N887" s="1237"/>
      <c r="O887" s="2024"/>
      <c r="P887" s="2024"/>
      <c r="Q887" s="1238"/>
      <c r="R887" s="1239"/>
    </row>
    <row r="888" spans="1:18" ht="18.75" customHeight="1" thickBot="1">
      <c r="A888" s="2926"/>
      <c r="B888" s="1237"/>
      <c r="C888" s="1237"/>
      <c r="D888" s="1237"/>
      <c r="E888" s="1237"/>
      <c r="F888" s="1237"/>
      <c r="G888" s="1237"/>
      <c r="H888" s="1237"/>
      <c r="I888" s="1237"/>
      <c r="J888" s="1237"/>
      <c r="K888" s="1237"/>
      <c r="L888" s="1237"/>
      <c r="M888" s="1237"/>
      <c r="N888" s="1237"/>
      <c r="O888" s="2024"/>
      <c r="P888" s="2024"/>
      <c r="Q888" s="1238"/>
      <c r="R888" s="1239"/>
    </row>
    <row r="889" spans="1:18" ht="18.75" customHeight="1" thickBot="1">
      <c r="A889" s="2926"/>
      <c r="B889" s="1237"/>
      <c r="C889" s="1237"/>
      <c r="D889" s="1237"/>
      <c r="E889" s="1237"/>
      <c r="F889" s="1237"/>
      <c r="G889" s="1237"/>
      <c r="H889" s="1237"/>
      <c r="I889" s="1237"/>
      <c r="J889" s="1237"/>
      <c r="K889" s="1237"/>
      <c r="L889" s="1237"/>
      <c r="M889" s="1237"/>
      <c r="N889" s="1237"/>
      <c r="O889" s="2024"/>
      <c r="P889" s="2024"/>
      <c r="Q889" s="1238"/>
      <c r="R889" s="1239"/>
    </row>
    <row r="890" spans="1:18" ht="18.75" customHeight="1" thickBot="1">
      <c r="A890" s="2926"/>
      <c r="B890" s="1237"/>
      <c r="C890" s="1237"/>
      <c r="D890" s="1237"/>
      <c r="E890" s="1237"/>
      <c r="F890" s="1237"/>
      <c r="G890" s="1237"/>
      <c r="H890" s="1237"/>
      <c r="I890" s="1237"/>
      <c r="J890" s="2945"/>
      <c r="K890" s="2945"/>
      <c r="L890" s="2945"/>
      <c r="M890" s="1237"/>
      <c r="N890" s="1237"/>
      <c r="O890" s="2024"/>
      <c r="P890" s="2024"/>
      <c r="Q890" s="1238"/>
      <c r="R890" s="1239"/>
    </row>
    <row r="891" spans="1:18" ht="18.75" customHeight="1">
      <c r="A891" s="2926"/>
      <c r="B891" s="1237"/>
      <c r="C891" s="1237"/>
      <c r="D891" s="1237"/>
      <c r="E891" s="1237"/>
      <c r="F891" s="1237"/>
      <c r="G891" s="1237"/>
      <c r="H891" s="1237"/>
      <c r="I891" s="1237"/>
      <c r="J891" s="1237"/>
      <c r="K891" s="1237"/>
      <c r="L891" s="1237"/>
      <c r="M891" s="1237"/>
      <c r="N891" s="1237"/>
      <c r="O891" s="2024"/>
      <c r="P891" s="2024"/>
      <c r="Q891" s="1238"/>
      <c r="R891" s="1239"/>
    </row>
    <row r="892" spans="1:18" ht="18.75" customHeight="1">
      <c r="A892" s="2927"/>
      <c r="B892" s="1237"/>
      <c r="C892" s="1237"/>
      <c r="D892" s="1237"/>
      <c r="E892" s="1237"/>
      <c r="F892" s="1237"/>
      <c r="G892" s="1237"/>
      <c r="H892" s="1237"/>
      <c r="I892" s="1237"/>
      <c r="J892" s="1237"/>
      <c r="K892" s="1237"/>
      <c r="L892" s="1237"/>
      <c r="M892" s="1237"/>
      <c r="N892" s="1237"/>
      <c r="O892" s="2024"/>
      <c r="P892" s="2024"/>
      <c r="Q892" s="1238"/>
      <c r="R892" s="1239"/>
    </row>
    <row r="893" spans="1:18" ht="18.75" customHeight="1">
      <c r="A893" s="2927"/>
      <c r="B893" s="1237"/>
      <c r="C893" s="1237"/>
      <c r="D893" s="1237"/>
      <c r="E893" s="1237"/>
      <c r="F893" s="1237"/>
      <c r="G893" s="1237"/>
      <c r="H893" s="1237"/>
      <c r="I893" s="1237"/>
      <c r="J893" s="1237"/>
      <c r="K893" s="1237"/>
      <c r="L893" s="1237"/>
      <c r="M893" s="1237"/>
      <c r="N893" s="1237"/>
      <c r="O893" s="2024"/>
      <c r="P893" s="2024"/>
      <c r="Q893" s="1238"/>
      <c r="R893" s="1239"/>
    </row>
    <row r="894" spans="1:18" ht="18.75" customHeight="1">
      <c r="A894" s="2927"/>
      <c r="B894" s="1237"/>
      <c r="C894" s="1237"/>
      <c r="D894" s="1237"/>
      <c r="E894" s="1237"/>
      <c r="F894" s="1237"/>
      <c r="G894" s="1237"/>
      <c r="H894" s="1237"/>
      <c r="I894" s="1237"/>
      <c r="J894" s="1237"/>
      <c r="K894" s="1237"/>
      <c r="L894" s="1237"/>
      <c r="M894" s="1237"/>
      <c r="N894" s="1237"/>
      <c r="O894" s="2024"/>
      <c r="P894" s="2024"/>
      <c r="Q894" s="1238"/>
      <c r="R894" s="1239"/>
    </row>
    <row r="895" spans="1:18" ht="18.75" customHeight="1">
      <c r="A895" s="2927"/>
      <c r="B895" s="1237"/>
      <c r="C895" s="1237"/>
      <c r="D895" s="1237"/>
      <c r="E895" s="1237"/>
      <c r="F895" s="1237"/>
      <c r="G895" s="1237"/>
      <c r="H895" s="1237"/>
      <c r="I895" s="1237"/>
      <c r="J895" s="1237"/>
      <c r="K895" s="1237"/>
      <c r="L895" s="1237"/>
      <c r="M895" s="1237"/>
      <c r="N895" s="1237"/>
      <c r="O895" s="2024"/>
      <c r="P895" s="2024"/>
      <c r="Q895" s="1238"/>
      <c r="R895" s="1239"/>
    </row>
    <row r="896" spans="1:18" ht="18.75" customHeight="1" thickBot="1">
      <c r="A896" s="2927"/>
      <c r="B896" s="1237"/>
      <c r="C896" s="1237"/>
      <c r="D896" s="1237"/>
      <c r="E896" s="1237"/>
      <c r="F896" s="1237"/>
      <c r="G896" s="1237"/>
      <c r="H896" s="1237"/>
      <c r="I896" s="1237"/>
      <c r="J896" s="1237"/>
      <c r="K896" s="1237"/>
      <c r="L896" s="1237"/>
      <c r="M896" s="1237"/>
      <c r="N896" s="1237"/>
      <c r="O896" s="2024"/>
      <c r="P896" s="2024"/>
      <c r="Q896" s="1238"/>
      <c r="R896" s="1239"/>
    </row>
    <row r="897" spans="1:18" ht="18.75" customHeight="1" thickBot="1">
      <c r="A897" s="2926"/>
      <c r="B897" s="1237"/>
      <c r="C897" s="1237"/>
      <c r="D897" s="1237"/>
      <c r="E897" s="1237"/>
      <c r="F897" s="1237"/>
      <c r="G897" s="1237"/>
      <c r="H897" s="1237"/>
      <c r="I897" s="1237"/>
      <c r="J897" s="1237"/>
      <c r="K897" s="1237"/>
      <c r="L897" s="1237"/>
      <c r="M897" s="1237"/>
      <c r="N897" s="1237"/>
      <c r="O897" s="2024"/>
      <c r="P897" s="2024"/>
      <c r="Q897" s="1238"/>
      <c r="R897" s="1239"/>
    </row>
    <row r="898" spans="1:18" ht="18.75" customHeight="1" thickBot="1">
      <c r="A898" s="2926"/>
      <c r="B898" s="1237"/>
      <c r="C898" s="1237"/>
      <c r="D898" s="1237"/>
      <c r="E898" s="1237"/>
      <c r="F898" s="1237"/>
      <c r="G898" s="1237"/>
      <c r="H898" s="1237"/>
      <c r="I898" s="1237"/>
      <c r="J898" s="1237"/>
      <c r="K898" s="1237"/>
      <c r="L898" s="1237"/>
      <c r="M898" s="1237"/>
      <c r="N898" s="1237"/>
      <c r="O898" s="2024"/>
      <c r="P898" s="2024"/>
      <c r="Q898" s="1238"/>
      <c r="R898" s="1239"/>
    </row>
    <row r="899" spans="1:18" ht="18.75" customHeight="1" thickBot="1">
      <c r="A899" s="2926"/>
      <c r="B899" s="1237"/>
      <c r="C899" s="1237"/>
      <c r="D899" s="1237"/>
      <c r="E899" s="1237"/>
      <c r="F899" s="1237"/>
      <c r="G899" s="1237"/>
      <c r="H899" s="1237"/>
      <c r="I899" s="1237"/>
      <c r="J899" s="1237"/>
      <c r="K899" s="1237"/>
      <c r="L899" s="1237"/>
      <c r="M899" s="1237"/>
      <c r="N899" s="1237"/>
      <c r="O899" s="2024"/>
      <c r="P899" s="2024"/>
      <c r="Q899" s="1238"/>
      <c r="R899" s="1239"/>
    </row>
    <row r="900" spans="1:18" ht="18.75" customHeight="1" thickBot="1">
      <c r="A900" s="2926"/>
      <c r="B900" s="1237"/>
      <c r="C900" s="1237"/>
      <c r="D900" s="1237"/>
      <c r="E900" s="1237"/>
      <c r="F900" s="1237"/>
      <c r="G900" s="1237"/>
      <c r="H900" s="1237"/>
      <c r="I900" s="1237"/>
      <c r="J900" s="1237"/>
      <c r="K900" s="1237"/>
      <c r="L900" s="1237"/>
      <c r="M900" s="1237"/>
      <c r="N900" s="1237"/>
      <c r="O900" s="2024"/>
      <c r="P900" s="2024"/>
      <c r="Q900" s="1238"/>
      <c r="R900" s="1239"/>
    </row>
    <row r="901" spans="1:18" ht="18.75" customHeight="1" thickBot="1">
      <c r="A901" s="2926"/>
      <c r="B901" s="1237"/>
      <c r="C901" s="1237"/>
      <c r="D901" s="1237"/>
      <c r="E901" s="1237"/>
      <c r="F901" s="1237"/>
      <c r="G901" s="1237"/>
      <c r="H901" s="1237"/>
      <c r="I901" s="1237"/>
      <c r="J901" s="2945"/>
      <c r="K901" s="2945"/>
      <c r="L901" s="2945"/>
      <c r="M901" s="1237"/>
      <c r="N901" s="1237"/>
      <c r="O901" s="2024"/>
      <c r="P901" s="2024"/>
      <c r="Q901" s="1238"/>
      <c r="R901" s="1239"/>
    </row>
    <row r="902" spans="1:18" ht="18.75" customHeight="1" thickBot="1">
      <c r="A902" s="2926"/>
      <c r="B902" s="1237"/>
      <c r="C902" s="1237"/>
      <c r="D902" s="1237"/>
      <c r="E902" s="1237"/>
      <c r="F902" s="1237"/>
      <c r="G902" s="1237"/>
      <c r="H902" s="1237"/>
      <c r="I902" s="1237"/>
      <c r="J902" s="1237"/>
      <c r="K902" s="1237"/>
      <c r="L902" s="1237"/>
      <c r="M902" s="1237"/>
      <c r="N902" s="1237"/>
      <c r="O902" s="2024"/>
      <c r="P902" s="2024"/>
      <c r="Q902" s="1238"/>
      <c r="R902" s="1239"/>
    </row>
    <row r="903" spans="1:18" ht="18.75" customHeight="1" thickBot="1">
      <c r="A903" s="2926"/>
      <c r="B903" s="1237"/>
      <c r="C903" s="1237"/>
      <c r="D903" s="1237"/>
      <c r="E903" s="1237"/>
      <c r="F903" s="1237"/>
      <c r="G903" s="1237"/>
      <c r="H903" s="1237"/>
      <c r="I903" s="1237"/>
      <c r="J903" s="1237"/>
      <c r="K903" s="1237"/>
      <c r="L903" s="1237"/>
      <c r="M903" s="1237"/>
      <c r="N903" s="1237"/>
      <c r="O903" s="2024"/>
      <c r="P903" s="2024"/>
      <c r="Q903" s="1238"/>
      <c r="R903" s="1239"/>
    </row>
    <row r="904" spans="1:18" ht="18.75" customHeight="1" thickBot="1">
      <c r="A904" s="2926"/>
      <c r="B904" s="1237"/>
      <c r="C904" s="1237"/>
      <c r="D904" s="1237"/>
      <c r="E904" s="1237"/>
      <c r="F904" s="1237"/>
      <c r="G904" s="1237"/>
      <c r="H904" s="1237"/>
      <c r="I904" s="1237"/>
      <c r="J904" s="1237"/>
      <c r="K904" s="1237"/>
      <c r="L904" s="1237"/>
      <c r="M904" s="1237"/>
      <c r="N904" s="1237"/>
      <c r="O904" s="2024"/>
      <c r="P904" s="2024"/>
      <c r="Q904" s="1238"/>
      <c r="R904" s="1239"/>
    </row>
    <row r="905" spans="1:18" ht="18.75" customHeight="1" thickBot="1">
      <c r="A905" s="2926"/>
      <c r="B905" s="1237"/>
      <c r="C905" s="1237"/>
      <c r="D905" s="1237"/>
      <c r="E905" s="1237"/>
      <c r="F905" s="1237"/>
      <c r="G905" s="1237"/>
      <c r="H905" s="1237"/>
      <c r="I905" s="1237"/>
      <c r="J905" s="1237"/>
      <c r="K905" s="1237"/>
      <c r="L905" s="1237"/>
      <c r="M905" s="1237"/>
      <c r="N905" s="1237"/>
      <c r="O905" s="2024"/>
      <c r="P905" s="2024"/>
      <c r="Q905" s="1238"/>
      <c r="R905" s="1239"/>
    </row>
    <row r="906" spans="1:18" ht="18.75" customHeight="1" thickBot="1">
      <c r="A906" s="2926"/>
      <c r="B906" s="1237"/>
      <c r="C906" s="1237"/>
      <c r="D906" s="1237"/>
      <c r="E906" s="1237"/>
      <c r="F906" s="1237"/>
      <c r="G906" s="1237"/>
      <c r="H906" s="1237"/>
      <c r="I906" s="1237"/>
      <c r="J906" s="2945"/>
      <c r="K906" s="2945"/>
      <c r="L906" s="2945"/>
      <c r="M906" s="1237"/>
      <c r="N906" s="1237"/>
      <c r="O906" s="2024"/>
      <c r="P906" s="2024"/>
      <c r="Q906" s="1238"/>
      <c r="R906" s="1239"/>
    </row>
    <row r="907" spans="1:18" ht="18.75" customHeight="1" thickBot="1">
      <c r="A907" s="2926"/>
      <c r="B907" s="1237"/>
      <c r="C907" s="1237"/>
      <c r="D907" s="1237"/>
      <c r="E907" s="1237"/>
      <c r="F907" s="1237"/>
      <c r="G907" s="1237"/>
      <c r="H907" s="1237"/>
      <c r="I907" s="1237"/>
      <c r="J907" s="1237"/>
      <c r="K907" s="1237"/>
      <c r="L907" s="1237"/>
      <c r="M907" s="1237"/>
      <c r="N907" s="1237"/>
      <c r="O907" s="2024"/>
      <c r="P907" s="2024"/>
      <c r="Q907" s="1238"/>
      <c r="R907" s="1239"/>
    </row>
    <row r="908" spans="1:18" ht="18.75" customHeight="1" thickBot="1">
      <c r="A908" s="2926"/>
      <c r="B908" s="1237"/>
      <c r="C908" s="1237"/>
      <c r="D908" s="1237"/>
      <c r="E908" s="1237"/>
      <c r="F908" s="1237"/>
      <c r="G908" s="1237"/>
      <c r="H908" s="1237"/>
      <c r="I908" s="1237"/>
      <c r="J908" s="1237"/>
      <c r="K908" s="1237"/>
      <c r="L908" s="1237"/>
      <c r="M908" s="1237"/>
      <c r="N908" s="1237"/>
      <c r="O908" s="2024"/>
      <c r="P908" s="2024"/>
      <c r="Q908" s="1238"/>
      <c r="R908" s="1239"/>
    </row>
    <row r="909" spans="1:18" ht="18.75" customHeight="1" thickBot="1">
      <c r="A909" s="2926"/>
      <c r="B909" s="1237"/>
      <c r="C909" s="1237"/>
      <c r="D909" s="1237"/>
      <c r="E909" s="1237"/>
      <c r="F909" s="1237"/>
      <c r="G909" s="1237"/>
      <c r="H909" s="1237"/>
      <c r="I909" s="1237"/>
      <c r="J909" s="1237"/>
      <c r="K909" s="1237"/>
      <c r="L909" s="1237"/>
      <c r="M909" s="1237"/>
      <c r="N909" s="1237"/>
      <c r="O909" s="2024"/>
      <c r="P909" s="2024"/>
      <c r="Q909" s="1238"/>
      <c r="R909" s="1239"/>
    </row>
    <row r="910" spans="1:18" ht="18.75" customHeight="1" thickBot="1">
      <c r="A910" s="2926"/>
      <c r="B910" s="1237"/>
      <c r="C910" s="1237"/>
      <c r="D910" s="1237"/>
      <c r="E910" s="1237"/>
      <c r="F910" s="1237"/>
      <c r="G910" s="1237"/>
      <c r="H910" s="1237"/>
      <c r="I910" s="1237"/>
      <c r="J910" s="1237"/>
      <c r="K910" s="1237"/>
      <c r="L910" s="1237"/>
      <c r="M910" s="1237"/>
      <c r="N910" s="1237"/>
      <c r="O910" s="2024"/>
      <c r="P910" s="2024"/>
      <c r="Q910" s="1238"/>
      <c r="R910" s="1239"/>
    </row>
    <row r="911" spans="1:18" ht="18.75" customHeight="1" thickBot="1">
      <c r="A911" s="2926"/>
      <c r="B911" s="1237"/>
      <c r="C911" s="1237"/>
      <c r="D911" s="1237"/>
      <c r="E911" s="1237"/>
      <c r="F911" s="1237"/>
      <c r="G911" s="1237"/>
      <c r="H911" s="1237"/>
      <c r="I911" s="1237"/>
      <c r="J911" s="1237"/>
      <c r="K911" s="1237"/>
      <c r="L911" s="1237"/>
      <c r="M911" s="1237"/>
      <c r="N911" s="1237"/>
      <c r="O911" s="2024"/>
      <c r="P911" s="2024"/>
      <c r="Q911" s="1238"/>
      <c r="R911" s="1239"/>
    </row>
    <row r="912" spans="1:18" ht="18.75" customHeight="1" thickBot="1">
      <c r="A912" s="2926"/>
      <c r="B912" s="1237"/>
      <c r="C912" s="1237"/>
      <c r="D912" s="1237"/>
      <c r="E912" s="1237"/>
      <c r="F912" s="1237"/>
      <c r="G912" s="1237"/>
      <c r="H912" s="1237"/>
      <c r="I912" s="1237"/>
      <c r="J912" s="1237"/>
      <c r="K912" s="1237"/>
      <c r="L912" s="1237"/>
      <c r="M912" s="1237"/>
      <c r="N912" s="1237"/>
      <c r="O912" s="2024"/>
      <c r="P912" s="2024"/>
      <c r="Q912" s="1238"/>
      <c r="R912" s="1239"/>
    </row>
    <row r="913" spans="1:18" ht="18.75" customHeight="1" thickBot="1">
      <c r="A913" s="2926"/>
      <c r="B913" s="1237"/>
      <c r="C913" s="1237"/>
      <c r="D913" s="1237"/>
      <c r="E913" s="1237"/>
      <c r="F913" s="1237"/>
      <c r="G913" s="1237"/>
      <c r="H913" s="1237"/>
      <c r="I913" s="1237"/>
      <c r="J913" s="1237"/>
      <c r="K913" s="1237"/>
      <c r="L913" s="1237"/>
      <c r="M913" s="1237"/>
      <c r="N913" s="1237"/>
      <c r="O913" s="2024"/>
      <c r="P913" s="2024"/>
      <c r="Q913" s="1238"/>
      <c r="R913" s="1239"/>
    </row>
    <row r="914" spans="1:18" ht="18.75" customHeight="1" thickBot="1">
      <c r="A914" s="2926"/>
      <c r="B914" s="1237"/>
      <c r="C914" s="1237"/>
      <c r="D914" s="1237"/>
      <c r="E914" s="1237"/>
      <c r="F914" s="1237"/>
      <c r="G914" s="1237"/>
      <c r="H914" s="1237"/>
      <c r="I914" s="1237"/>
      <c r="J914" s="1237"/>
      <c r="K914" s="1237"/>
      <c r="L914" s="1237"/>
      <c r="M914" s="1237"/>
      <c r="N914" s="1237"/>
      <c r="O914" s="2024"/>
      <c r="P914" s="2024"/>
      <c r="Q914" s="1238"/>
      <c r="R914" s="1239"/>
    </row>
    <row r="915" spans="1:18" ht="18.75" customHeight="1" thickBot="1">
      <c r="A915" s="2926"/>
      <c r="B915" s="1237"/>
      <c r="C915" s="1237"/>
      <c r="D915" s="1237"/>
      <c r="E915" s="1237"/>
      <c r="F915" s="1237"/>
      <c r="G915" s="1237"/>
      <c r="H915" s="1237"/>
      <c r="I915" s="1237"/>
      <c r="J915" s="1237"/>
      <c r="K915" s="1237"/>
      <c r="L915" s="1237"/>
      <c r="M915" s="1237"/>
      <c r="N915" s="1237"/>
      <c r="O915" s="2024"/>
      <c r="P915" s="2024"/>
      <c r="Q915" s="1238"/>
      <c r="R915" s="1239"/>
    </row>
    <row r="916" spans="1:18" ht="18.75" customHeight="1" thickBot="1">
      <c r="A916" s="2926"/>
      <c r="B916" s="1237"/>
      <c r="C916" s="1237"/>
      <c r="D916" s="1237"/>
      <c r="E916" s="1237"/>
      <c r="F916" s="1237"/>
      <c r="G916" s="1237"/>
      <c r="H916" s="1237"/>
      <c r="I916" s="1237"/>
      <c r="J916" s="2945"/>
      <c r="K916" s="2945"/>
      <c r="L916" s="2945"/>
      <c r="M916" s="1237"/>
      <c r="N916" s="1237"/>
      <c r="O916" s="2024"/>
      <c r="P916" s="2024"/>
      <c r="Q916" s="1238"/>
      <c r="R916" s="1239"/>
    </row>
    <row r="917" spans="1:18" ht="18.75" customHeight="1" thickBot="1">
      <c r="A917" s="2926"/>
      <c r="B917" s="1237"/>
      <c r="C917" s="1237"/>
      <c r="D917" s="1237"/>
      <c r="E917" s="1237"/>
      <c r="F917" s="1237"/>
      <c r="G917" s="1237"/>
      <c r="H917" s="1237"/>
      <c r="I917" s="1237"/>
      <c r="J917" s="1237"/>
      <c r="K917" s="1237"/>
      <c r="L917" s="1237"/>
      <c r="M917" s="1237"/>
      <c r="N917" s="1237"/>
      <c r="O917" s="2024"/>
      <c r="P917" s="2024"/>
      <c r="Q917" s="1238"/>
      <c r="R917" s="1239"/>
    </row>
    <row r="918" spans="1:18" ht="18.75" customHeight="1" thickBot="1">
      <c r="A918" s="2926"/>
      <c r="B918" s="1237"/>
      <c r="C918" s="1237"/>
      <c r="D918" s="1237"/>
      <c r="E918" s="1237"/>
      <c r="F918" s="1237"/>
      <c r="G918" s="1237"/>
      <c r="H918" s="1237"/>
      <c r="I918" s="1237"/>
      <c r="J918" s="1237"/>
      <c r="K918" s="1237"/>
      <c r="L918" s="1237"/>
      <c r="M918" s="1237"/>
      <c r="N918" s="1237"/>
      <c r="O918" s="2024"/>
      <c r="P918" s="2024"/>
      <c r="Q918" s="1238"/>
      <c r="R918" s="1239"/>
    </row>
    <row r="919" spans="1:18" ht="18.75" customHeight="1" thickBot="1">
      <c r="A919" s="2926"/>
      <c r="B919" s="1237"/>
      <c r="C919" s="1237"/>
      <c r="D919" s="1237"/>
      <c r="E919" s="1237"/>
      <c r="F919" s="1237"/>
      <c r="G919" s="1237"/>
      <c r="H919" s="1237"/>
      <c r="I919" s="1237"/>
      <c r="J919" s="1237"/>
      <c r="K919" s="1237"/>
      <c r="L919" s="1237"/>
      <c r="M919" s="1237"/>
      <c r="N919" s="1237"/>
      <c r="O919" s="2024"/>
      <c r="P919" s="2024"/>
      <c r="Q919" s="1238"/>
      <c r="R919" s="1239"/>
    </row>
    <row r="920" spans="1:18" ht="18.75" customHeight="1" thickBot="1">
      <c r="A920" s="2926"/>
      <c r="B920" s="1237"/>
      <c r="C920" s="1237"/>
      <c r="D920" s="1237"/>
      <c r="E920" s="1237"/>
      <c r="F920" s="1237"/>
      <c r="G920" s="1237"/>
      <c r="H920" s="1237"/>
      <c r="I920" s="1237"/>
      <c r="J920" s="1237"/>
      <c r="K920" s="1237"/>
      <c r="L920" s="1237"/>
      <c r="M920" s="1237"/>
      <c r="N920" s="1237"/>
      <c r="O920" s="2024"/>
      <c r="P920" s="2024"/>
      <c r="Q920" s="1238"/>
      <c r="R920" s="1239"/>
    </row>
    <row r="921" spans="1:18" ht="18.75" customHeight="1" thickBot="1">
      <c r="A921" s="2926"/>
      <c r="B921" s="1540"/>
      <c r="C921" s="1540"/>
      <c r="D921" s="1540"/>
      <c r="E921" s="1540"/>
      <c r="F921" s="1540"/>
      <c r="G921" s="1540"/>
      <c r="H921" s="1540"/>
      <c r="I921" s="1540"/>
      <c r="J921" s="2962"/>
      <c r="K921" s="2962"/>
      <c r="L921" s="2962"/>
      <c r="M921" s="1540"/>
      <c r="N921" s="1540"/>
      <c r="O921" s="2025"/>
      <c r="P921" s="2024"/>
      <c r="Q921" s="1541"/>
      <c r="R921" s="1591"/>
    </row>
    <row r="922" spans="1:18" ht="18.75" customHeight="1" thickBot="1">
      <c r="A922" s="2926"/>
      <c r="B922" s="2200"/>
      <c r="C922" s="2200"/>
      <c r="D922" s="2200"/>
      <c r="E922" s="2200"/>
      <c r="F922" s="2200"/>
      <c r="G922" s="2200"/>
      <c r="H922" s="2200"/>
      <c r="I922" s="2200"/>
      <c r="J922" s="2200"/>
      <c r="K922" s="2200"/>
      <c r="L922" s="2200"/>
      <c r="M922" s="2200"/>
      <c r="N922" s="2200"/>
      <c r="O922" s="2201"/>
      <c r="P922" s="2024"/>
      <c r="Q922" s="1940"/>
      <c r="R922" s="1943"/>
    </row>
    <row r="923" spans="1:18" ht="18.75" customHeight="1" thickBot="1">
      <c r="A923" s="2926"/>
      <c r="B923" s="1237"/>
      <c r="C923" s="1237"/>
      <c r="D923" s="1237"/>
      <c r="E923" s="1237"/>
      <c r="F923" s="1237"/>
      <c r="G923" s="1237"/>
      <c r="H923" s="1237"/>
      <c r="I923" s="1237"/>
      <c r="J923" s="1237"/>
      <c r="K923" s="1237"/>
      <c r="L923" s="1237"/>
      <c r="M923" s="1237"/>
      <c r="N923" s="1237"/>
      <c r="O923" s="2024"/>
      <c r="P923" s="2024"/>
      <c r="Q923" s="1238"/>
      <c r="R923" s="1239"/>
    </row>
    <row r="924" spans="1:18" ht="18.75" customHeight="1" thickBot="1">
      <c r="A924" s="2926"/>
      <c r="B924" s="1237"/>
      <c r="C924" s="1237"/>
      <c r="D924" s="1237"/>
      <c r="E924" s="1237"/>
      <c r="F924" s="1237"/>
      <c r="G924" s="1237"/>
      <c r="H924" s="1237"/>
      <c r="I924" s="1237"/>
      <c r="J924" s="1237"/>
      <c r="K924" s="1237"/>
      <c r="L924" s="1237"/>
      <c r="M924" s="1237"/>
      <c r="N924" s="1237"/>
      <c r="O924" s="2024"/>
      <c r="P924" s="2024"/>
      <c r="Q924" s="1238"/>
      <c r="R924" s="1239"/>
    </row>
    <row r="925" spans="1:18" ht="18.75" customHeight="1" thickBot="1">
      <c r="A925" s="2926"/>
      <c r="B925" s="1237"/>
      <c r="C925" s="1237"/>
      <c r="D925" s="1237"/>
      <c r="E925" s="1237"/>
      <c r="F925" s="1237"/>
      <c r="G925" s="1237"/>
      <c r="H925" s="1237"/>
      <c r="I925" s="1237"/>
      <c r="J925" s="1237"/>
      <c r="K925" s="1237"/>
      <c r="L925" s="1237"/>
      <c r="M925" s="1237"/>
      <c r="N925" s="1237"/>
      <c r="O925" s="2024"/>
      <c r="P925" s="2024"/>
      <c r="Q925" s="1238"/>
      <c r="R925" s="1239"/>
    </row>
    <row r="926" spans="1:18" ht="18.75" customHeight="1" thickBot="1">
      <c r="A926" s="2926"/>
      <c r="B926" s="1237"/>
      <c r="C926" s="1237"/>
      <c r="D926" s="1237"/>
      <c r="E926" s="1237"/>
      <c r="F926" s="1237"/>
      <c r="G926" s="1237"/>
      <c r="H926" s="1237"/>
      <c r="I926" s="1237"/>
      <c r="J926" s="2950"/>
      <c r="K926" s="2951"/>
      <c r="L926" s="2952"/>
      <c r="M926" s="1237"/>
      <c r="N926" s="1237"/>
      <c r="O926" s="2024"/>
      <c r="P926" s="2024"/>
      <c r="Q926" s="1238"/>
      <c r="R926" s="1239"/>
    </row>
    <row r="927" spans="1:18" ht="18.75" customHeight="1" thickBot="1">
      <c r="A927" s="2926"/>
      <c r="B927" s="1237"/>
      <c r="C927" s="1237"/>
      <c r="D927" s="1237"/>
      <c r="E927" s="1237"/>
      <c r="F927" s="1237"/>
      <c r="G927" s="1237"/>
      <c r="H927" s="1237"/>
      <c r="I927" s="1237"/>
      <c r="J927" s="1237"/>
      <c r="K927" s="1237"/>
      <c r="L927" s="1237"/>
      <c r="M927" s="1237"/>
      <c r="N927" s="1237"/>
      <c r="O927" s="2024"/>
      <c r="P927" s="2024"/>
      <c r="Q927" s="1238"/>
      <c r="R927" s="1239"/>
    </row>
    <row r="928" spans="1:18" ht="18.75" customHeight="1" thickBot="1">
      <c r="A928" s="2926"/>
      <c r="B928" s="1237"/>
      <c r="C928" s="1237"/>
      <c r="D928" s="1237"/>
      <c r="E928" s="1237"/>
      <c r="F928" s="1237"/>
      <c r="G928" s="1237"/>
      <c r="H928" s="1237"/>
      <c r="I928" s="1237"/>
      <c r="J928" s="1237"/>
      <c r="K928" s="1237"/>
      <c r="L928" s="1237"/>
      <c r="M928" s="1237"/>
      <c r="N928" s="1237"/>
      <c r="O928" s="2024"/>
      <c r="P928" s="2024"/>
      <c r="Q928" s="1238"/>
      <c r="R928" s="1239"/>
    </row>
    <row r="929" spans="1:18" ht="18.75" customHeight="1" thickBot="1">
      <c r="A929" s="2926"/>
      <c r="B929" s="1237"/>
      <c r="C929" s="1237"/>
      <c r="D929" s="1237"/>
      <c r="E929" s="1237"/>
      <c r="F929" s="1237"/>
      <c r="G929" s="1237"/>
      <c r="H929" s="1237"/>
      <c r="I929" s="1237"/>
      <c r="J929" s="1237"/>
      <c r="K929" s="1237"/>
      <c r="L929" s="1237"/>
      <c r="M929" s="1237"/>
      <c r="N929" s="1237"/>
      <c r="O929" s="2024"/>
      <c r="P929" s="2024"/>
      <c r="Q929" s="1238"/>
      <c r="R929" s="1239"/>
    </row>
    <row r="930" spans="1:18" ht="18.75" customHeight="1" thickBot="1">
      <c r="A930" s="2926"/>
      <c r="B930" s="1550"/>
      <c r="C930" s="1550"/>
      <c r="D930" s="1550"/>
      <c r="E930" s="1550"/>
      <c r="F930" s="1550"/>
      <c r="G930" s="1550"/>
      <c r="H930" s="1550"/>
      <c r="I930" s="1550"/>
      <c r="J930" s="1550"/>
      <c r="K930" s="1550"/>
      <c r="L930" s="1550"/>
      <c r="M930" s="1550"/>
      <c r="N930" s="1550"/>
      <c r="O930" s="2031"/>
      <c r="P930" s="2024"/>
      <c r="Q930" s="1551"/>
      <c r="R930" s="2202"/>
    </row>
    <row r="931" spans="1:18" ht="18.75" customHeight="1">
      <c r="A931" s="2926"/>
      <c r="B931" s="1574"/>
      <c r="C931" s="1574"/>
      <c r="D931" s="1574"/>
      <c r="E931" s="1574"/>
      <c r="F931" s="1574"/>
      <c r="G931" s="1574"/>
      <c r="H931" s="1574"/>
      <c r="I931" s="1574"/>
      <c r="J931" s="1574"/>
      <c r="K931" s="1574"/>
      <c r="L931" s="1574"/>
      <c r="M931" s="1574"/>
      <c r="N931" s="1574"/>
      <c r="O931" s="2038"/>
      <c r="P931" s="2024"/>
      <c r="Q931" s="1575"/>
      <c r="R931" s="466"/>
    </row>
    <row r="932" spans="1:18" ht="18.75" customHeight="1">
      <c r="A932" s="2927"/>
      <c r="B932" s="1237"/>
      <c r="C932" s="1237"/>
      <c r="D932" s="1237"/>
      <c r="E932" s="1237"/>
      <c r="F932" s="1237"/>
      <c r="G932" s="1237"/>
      <c r="H932" s="1237"/>
      <c r="I932" s="1237"/>
      <c r="J932" s="1237"/>
      <c r="K932" s="1237"/>
      <c r="L932" s="1237"/>
      <c r="M932" s="1237"/>
      <c r="N932" s="1237"/>
      <c r="O932" s="2024"/>
      <c r="P932" s="2024"/>
      <c r="Q932" s="1238"/>
      <c r="R932" s="1239"/>
    </row>
    <row r="933" spans="1:18" ht="18.75" customHeight="1">
      <c r="A933" s="2927"/>
      <c r="B933" s="1237"/>
      <c r="C933" s="1237"/>
      <c r="D933" s="1237"/>
      <c r="E933" s="1237"/>
      <c r="F933" s="1237"/>
      <c r="G933" s="1237"/>
      <c r="H933" s="1237"/>
      <c r="I933" s="1237"/>
      <c r="J933" s="1237"/>
      <c r="K933" s="1237"/>
      <c r="L933" s="1237"/>
      <c r="M933" s="1237"/>
      <c r="N933" s="1237"/>
      <c r="O933" s="2024"/>
      <c r="P933" s="2024"/>
      <c r="Q933" s="1238"/>
      <c r="R933" s="1239"/>
    </row>
    <row r="934" spans="1:18" ht="18.75" customHeight="1">
      <c r="A934" s="2927"/>
      <c r="B934" s="1237"/>
      <c r="C934" s="1237"/>
      <c r="D934" s="1237"/>
      <c r="E934" s="1237"/>
      <c r="F934" s="1237"/>
      <c r="G934" s="1237"/>
      <c r="H934" s="1237"/>
      <c r="I934" s="1237"/>
      <c r="J934" s="1237"/>
      <c r="K934" s="1237"/>
      <c r="L934" s="1237"/>
      <c r="M934" s="1237"/>
      <c r="N934" s="1237"/>
      <c r="O934" s="2024"/>
      <c r="P934" s="2024"/>
      <c r="Q934" s="1238"/>
      <c r="R934" s="1239"/>
    </row>
    <row r="935" spans="1:18" ht="18.75" customHeight="1">
      <c r="A935" s="2927"/>
      <c r="B935" s="1237"/>
      <c r="C935" s="1237"/>
      <c r="D935" s="1237"/>
      <c r="E935" s="1237"/>
      <c r="F935" s="1237"/>
      <c r="G935" s="1237"/>
      <c r="H935" s="1237"/>
      <c r="I935" s="1237"/>
      <c r="J935" s="2945"/>
      <c r="K935" s="2945"/>
      <c r="L935" s="2945"/>
      <c r="M935" s="1237"/>
      <c r="N935" s="1237"/>
      <c r="O935" s="2024"/>
      <c r="P935" s="2024"/>
      <c r="Q935" s="1238"/>
      <c r="R935" s="1239"/>
    </row>
    <row r="936" spans="1:18" ht="18.75" customHeight="1">
      <c r="A936" s="2927"/>
      <c r="B936" s="1237"/>
      <c r="C936" s="1237"/>
      <c r="D936" s="1237"/>
      <c r="E936" s="1237"/>
      <c r="F936" s="1237"/>
      <c r="G936" s="1237"/>
      <c r="H936" s="1237"/>
      <c r="I936" s="1237"/>
      <c r="J936" s="1237"/>
      <c r="K936" s="1237"/>
      <c r="L936" s="1237"/>
      <c r="M936" s="1237"/>
      <c r="N936" s="1237"/>
      <c r="O936" s="2024"/>
      <c r="P936" s="2024"/>
      <c r="Q936" s="1238"/>
      <c r="R936" s="1239"/>
    </row>
    <row r="937" spans="1:18" ht="18.75" customHeight="1">
      <c r="A937" s="2927"/>
      <c r="B937" s="1237"/>
      <c r="C937" s="1237"/>
      <c r="D937" s="1237"/>
      <c r="E937" s="1237"/>
      <c r="F937" s="1237"/>
      <c r="G937" s="1237"/>
      <c r="H937" s="1237"/>
      <c r="I937" s="1237"/>
      <c r="J937" s="1237"/>
      <c r="K937" s="1237"/>
      <c r="L937" s="1237"/>
      <c r="M937" s="1237"/>
      <c r="N937" s="1237"/>
      <c r="O937" s="2024"/>
      <c r="P937" s="2024"/>
      <c r="Q937" s="1238"/>
      <c r="R937" s="1239"/>
    </row>
    <row r="938" spans="1:18" ht="18.75" customHeight="1">
      <c r="A938" s="2927"/>
      <c r="B938" s="1237"/>
      <c r="C938" s="1237"/>
      <c r="D938" s="1237"/>
      <c r="E938" s="1237"/>
      <c r="F938" s="1237"/>
      <c r="G938" s="1237"/>
      <c r="H938" s="1237"/>
      <c r="I938" s="1237"/>
      <c r="J938" s="1237"/>
      <c r="K938" s="1237"/>
      <c r="L938" s="1237"/>
      <c r="M938" s="1237"/>
      <c r="N938" s="1237"/>
      <c r="O938" s="2024"/>
      <c r="P938" s="2024"/>
      <c r="Q938" s="1238"/>
      <c r="R938" s="1239"/>
    </row>
    <row r="939" spans="1:18" ht="18.75" customHeight="1">
      <c r="A939" s="2927"/>
      <c r="B939" s="1237"/>
      <c r="C939" s="1237"/>
      <c r="D939" s="1237"/>
      <c r="E939" s="1237"/>
      <c r="F939" s="1237"/>
      <c r="G939" s="1237"/>
      <c r="H939" s="1237"/>
      <c r="I939" s="1237"/>
      <c r="J939" s="1237"/>
      <c r="K939" s="1237"/>
      <c r="L939" s="1237"/>
      <c r="M939" s="1237"/>
      <c r="N939" s="1237"/>
      <c r="O939" s="2024"/>
      <c r="P939" s="2024"/>
      <c r="Q939" s="1238"/>
      <c r="R939" s="1239"/>
    </row>
    <row r="940" spans="1:18" ht="18.75" customHeight="1">
      <c r="A940" s="2927"/>
      <c r="B940" s="1237"/>
      <c r="C940" s="1237"/>
      <c r="D940" s="1237"/>
      <c r="E940" s="1237"/>
      <c r="F940" s="1237"/>
      <c r="G940" s="1237"/>
      <c r="H940" s="1237"/>
      <c r="I940" s="1237"/>
      <c r="J940" s="2945"/>
      <c r="K940" s="2945"/>
      <c r="L940" s="2945"/>
      <c r="M940" s="1237"/>
      <c r="N940" s="1237"/>
      <c r="O940" s="2024"/>
      <c r="P940" s="2024"/>
      <c r="Q940" s="1238"/>
      <c r="R940" s="1239"/>
    </row>
    <row r="941" spans="1:18" ht="18.75" customHeight="1">
      <c r="A941" s="2927"/>
      <c r="B941" s="1237"/>
      <c r="C941" s="1237"/>
      <c r="D941" s="1237"/>
      <c r="E941" s="1237"/>
      <c r="F941" s="1237"/>
      <c r="G941" s="1237"/>
      <c r="H941" s="1237"/>
      <c r="I941" s="1237"/>
      <c r="J941" s="1237"/>
      <c r="K941" s="1237"/>
      <c r="L941" s="1237"/>
      <c r="M941" s="1237"/>
      <c r="N941" s="1237"/>
      <c r="O941" s="2024"/>
      <c r="P941" s="2024"/>
      <c r="Q941" s="1238"/>
      <c r="R941" s="1239"/>
    </row>
    <row r="942" spans="1:18" ht="18.75" customHeight="1">
      <c r="A942" s="2927"/>
      <c r="B942" s="1237"/>
      <c r="C942" s="1237"/>
      <c r="D942" s="1237"/>
      <c r="E942" s="1237"/>
      <c r="F942" s="1237"/>
      <c r="G942" s="1237"/>
      <c r="H942" s="1237"/>
      <c r="I942" s="1237"/>
      <c r="J942" s="1237"/>
      <c r="K942" s="1237"/>
      <c r="L942" s="1237"/>
      <c r="M942" s="1237"/>
      <c r="N942" s="1237"/>
      <c r="O942" s="2024"/>
      <c r="P942" s="2024"/>
      <c r="Q942" s="1238"/>
      <c r="R942" s="1239"/>
    </row>
    <row r="943" spans="1:18" ht="18.75" customHeight="1">
      <c r="A943" s="2927"/>
      <c r="B943" s="1237"/>
      <c r="C943" s="1237"/>
      <c r="D943" s="1237"/>
      <c r="E943" s="1237"/>
      <c r="F943" s="1237"/>
      <c r="G943" s="1237"/>
      <c r="H943" s="1237"/>
      <c r="I943" s="1237"/>
      <c r="J943" s="1237"/>
      <c r="K943" s="1237"/>
      <c r="L943" s="1237"/>
      <c r="M943" s="1237"/>
      <c r="N943" s="1237"/>
      <c r="O943" s="2024"/>
      <c r="P943" s="2024"/>
      <c r="Q943" s="1238"/>
      <c r="R943" s="1239"/>
    </row>
    <row r="944" spans="1:18" ht="18.75" customHeight="1">
      <c r="A944" s="2927"/>
      <c r="B944" s="1237"/>
      <c r="C944" s="1237"/>
      <c r="D944" s="1237"/>
      <c r="E944" s="1237"/>
      <c r="F944" s="1237"/>
      <c r="G944" s="1237"/>
      <c r="H944" s="1237"/>
      <c r="I944" s="1237"/>
      <c r="J944" s="1237"/>
      <c r="K944" s="1237"/>
      <c r="L944" s="1237"/>
      <c r="M944" s="1237"/>
      <c r="N944" s="1237"/>
      <c r="O944" s="2024"/>
      <c r="P944" s="2024"/>
      <c r="Q944" s="1238"/>
      <c r="R944" s="1239"/>
    </row>
    <row r="945" spans="1:18" ht="18.75" customHeight="1">
      <c r="A945" s="2927"/>
      <c r="B945" s="1237"/>
      <c r="C945" s="1237"/>
      <c r="D945" s="1237"/>
      <c r="E945" s="1237"/>
      <c r="F945" s="1237"/>
      <c r="G945" s="1237"/>
      <c r="H945" s="1237"/>
      <c r="I945" s="1237"/>
      <c r="J945" s="2945"/>
      <c r="K945" s="2945"/>
      <c r="L945" s="2945"/>
      <c r="M945" s="1237"/>
      <c r="N945" s="1237"/>
      <c r="O945" s="2024"/>
      <c r="P945" s="2024"/>
      <c r="Q945" s="1238"/>
      <c r="R945" s="1239"/>
    </row>
    <row r="946" spans="1:18" ht="18.75" customHeight="1">
      <c r="A946" s="2927"/>
      <c r="B946" s="1237"/>
      <c r="C946" s="1237"/>
      <c r="D946" s="1237"/>
      <c r="E946" s="1237"/>
      <c r="F946" s="1237"/>
      <c r="G946" s="1237"/>
      <c r="H946" s="1237"/>
      <c r="I946" s="1237"/>
      <c r="J946" s="1237"/>
      <c r="K946" s="1237"/>
      <c r="L946" s="1237"/>
      <c r="M946" s="1237"/>
      <c r="N946" s="1237"/>
      <c r="O946" s="2024"/>
      <c r="P946" s="2024"/>
      <c r="Q946" s="1238"/>
      <c r="R946" s="1239"/>
    </row>
    <row r="947" spans="1:18" ht="18.75" customHeight="1">
      <c r="A947" s="2927"/>
      <c r="B947" s="1237"/>
      <c r="C947" s="1237"/>
      <c r="D947" s="1237"/>
      <c r="E947" s="1237"/>
      <c r="F947" s="1237"/>
      <c r="G947" s="1237"/>
      <c r="H947" s="1237"/>
      <c r="I947" s="1237"/>
      <c r="J947" s="1237"/>
      <c r="K947" s="1237"/>
      <c r="L947" s="1237"/>
      <c r="M947" s="1237"/>
      <c r="N947" s="1237"/>
      <c r="O947" s="2024"/>
      <c r="P947" s="2024"/>
      <c r="Q947" s="1238"/>
      <c r="R947" s="1239"/>
    </row>
    <row r="948" spans="1:18" ht="18.75" customHeight="1">
      <c r="A948" s="2927"/>
      <c r="B948" s="1237"/>
      <c r="C948" s="1237"/>
      <c r="D948" s="1237"/>
      <c r="E948" s="1237"/>
      <c r="F948" s="1237"/>
      <c r="G948" s="1237"/>
      <c r="H948" s="1237"/>
      <c r="I948" s="1237"/>
      <c r="J948" s="1237"/>
      <c r="K948" s="1237"/>
      <c r="L948" s="1237"/>
      <c r="M948" s="1237"/>
      <c r="N948" s="1237"/>
      <c r="O948" s="2024"/>
      <c r="P948" s="2024"/>
      <c r="Q948" s="1238"/>
      <c r="R948" s="1239"/>
    </row>
    <row r="949" spans="1:18" ht="18.75" customHeight="1">
      <c r="A949" s="2927"/>
      <c r="B949" s="1237"/>
      <c r="C949" s="1237"/>
      <c r="D949" s="1237"/>
      <c r="E949" s="1237"/>
      <c r="F949" s="1237"/>
      <c r="G949" s="1237"/>
      <c r="H949" s="1237"/>
      <c r="I949" s="1237"/>
      <c r="J949" s="1237"/>
      <c r="K949" s="1237"/>
      <c r="L949" s="1237"/>
      <c r="M949" s="1237"/>
      <c r="N949" s="1237"/>
      <c r="O949" s="2024"/>
      <c r="P949" s="2024"/>
      <c r="Q949" s="1238"/>
      <c r="R949" s="1239"/>
    </row>
    <row r="950" spans="1:18" ht="18.75" customHeight="1">
      <c r="A950" s="2927"/>
      <c r="B950" s="1237"/>
      <c r="C950" s="1237"/>
      <c r="D950" s="1237"/>
      <c r="E950" s="1237"/>
      <c r="F950" s="1237"/>
      <c r="G950" s="1237"/>
      <c r="H950" s="1237"/>
      <c r="I950" s="1237"/>
      <c r="J950" s="1237"/>
      <c r="K950" s="1237"/>
      <c r="L950" s="1237"/>
      <c r="M950" s="1237"/>
      <c r="N950" s="1237"/>
      <c r="O950" s="2024"/>
      <c r="P950" s="2024"/>
      <c r="Q950" s="1238"/>
      <c r="R950" s="1239"/>
    </row>
    <row r="951" spans="1:18" ht="18.75" customHeight="1">
      <c r="A951" s="2927"/>
      <c r="B951" s="1237"/>
      <c r="C951" s="1237"/>
      <c r="D951" s="1237"/>
      <c r="E951" s="1237"/>
      <c r="F951" s="1237"/>
      <c r="G951" s="1237"/>
      <c r="H951" s="1237"/>
      <c r="I951" s="1237"/>
      <c r="J951" s="1237"/>
      <c r="K951" s="1237"/>
      <c r="L951" s="1237"/>
      <c r="M951" s="1237"/>
      <c r="N951" s="1237"/>
      <c r="O951" s="2024"/>
      <c r="P951" s="2024"/>
      <c r="Q951" s="1238"/>
      <c r="R951" s="1239"/>
    </row>
    <row r="952" spans="1:18" ht="18.75" customHeight="1">
      <c r="A952" s="2927"/>
      <c r="B952" s="1237"/>
      <c r="C952" s="1237"/>
      <c r="D952" s="1237"/>
      <c r="E952" s="1237"/>
      <c r="F952" s="1237"/>
      <c r="G952" s="1237"/>
      <c r="H952" s="1237"/>
      <c r="I952" s="1237"/>
      <c r="J952" s="1237"/>
      <c r="K952" s="1237"/>
      <c r="L952" s="1237"/>
      <c r="M952" s="1237"/>
      <c r="N952" s="1237"/>
      <c r="O952" s="2245"/>
      <c r="P952" s="2024"/>
      <c r="Q952" s="1238"/>
      <c r="R952" s="1239"/>
    </row>
    <row r="953" spans="1:18" ht="18.75" customHeight="1">
      <c r="A953" s="2927"/>
      <c r="B953" s="1237"/>
      <c r="C953" s="1237"/>
      <c r="D953" s="1237"/>
      <c r="E953" s="1237"/>
      <c r="F953" s="1237"/>
      <c r="G953" s="1237"/>
      <c r="H953" s="1237"/>
      <c r="I953" s="1237"/>
      <c r="J953" s="1237"/>
      <c r="K953" s="1237"/>
      <c r="L953" s="1237"/>
      <c r="M953" s="1237"/>
      <c r="N953" s="1237"/>
      <c r="O953" s="2028"/>
      <c r="P953" s="2024"/>
      <c r="Q953" s="1238"/>
      <c r="R953" s="1239"/>
    </row>
    <row r="954" spans="1:18" ht="18.75" customHeight="1">
      <c r="A954" s="2927"/>
      <c r="B954" s="1237"/>
      <c r="C954" s="1237"/>
      <c r="D954" s="1237"/>
      <c r="E954" s="1237"/>
      <c r="F954" s="1237"/>
      <c r="G954" s="1237"/>
      <c r="H954" s="1237"/>
      <c r="I954" s="1237"/>
      <c r="J954" s="1237"/>
      <c r="K954" s="1237"/>
      <c r="L954" s="1237"/>
      <c r="M954" s="1237"/>
      <c r="N954" s="1237"/>
      <c r="O954" s="2028"/>
      <c r="P954" s="2024"/>
      <c r="Q954" s="1238"/>
      <c r="R954" s="1239"/>
    </row>
    <row r="955" spans="1:18" ht="18.75" customHeight="1">
      <c r="A955" s="2927"/>
      <c r="B955" s="1237"/>
      <c r="C955" s="1237"/>
      <c r="D955" s="1237"/>
      <c r="E955" s="1237"/>
      <c r="F955" s="1237"/>
      <c r="G955" s="1237"/>
      <c r="H955" s="1237"/>
      <c r="I955" s="1237"/>
      <c r="J955" s="1237"/>
      <c r="K955" s="1237"/>
      <c r="L955" s="1237"/>
      <c r="M955" s="1237"/>
      <c r="N955" s="1237"/>
      <c r="O955" s="2028"/>
      <c r="P955" s="2024"/>
      <c r="Q955" s="1238"/>
      <c r="R955" s="1239"/>
    </row>
    <row r="956" spans="1:18" ht="18.75" customHeight="1">
      <c r="A956" s="2927"/>
      <c r="B956" s="1237"/>
      <c r="C956" s="1237"/>
      <c r="D956" s="1237"/>
      <c r="E956" s="1237"/>
      <c r="F956" s="1237"/>
      <c r="G956" s="1237"/>
      <c r="H956" s="1237"/>
      <c r="I956" s="1237"/>
      <c r="J956" s="2945"/>
      <c r="K956" s="2945"/>
      <c r="L956" s="2945"/>
      <c r="M956" s="1237"/>
      <c r="N956" s="1237"/>
      <c r="O956" s="2028"/>
      <c r="P956" s="2024"/>
      <c r="Q956" s="1238"/>
      <c r="R956" s="1239"/>
    </row>
    <row r="957" spans="1:18" ht="18.75" customHeight="1">
      <c r="A957" s="2927"/>
      <c r="B957" s="1237"/>
      <c r="C957" s="1237"/>
      <c r="D957" s="1237"/>
      <c r="E957" s="1237"/>
      <c r="F957" s="1237"/>
      <c r="G957" s="1237"/>
      <c r="H957" s="1237"/>
      <c r="I957" s="1237"/>
      <c r="J957" s="1237"/>
      <c r="K957" s="1237"/>
      <c r="L957" s="1237"/>
      <c r="M957" s="1237"/>
      <c r="N957" s="1237"/>
      <c r="O957" s="2028"/>
      <c r="P957" s="2024"/>
      <c r="Q957" s="1238"/>
      <c r="R957" s="1239"/>
    </row>
    <row r="958" spans="1:18" ht="18.75" customHeight="1">
      <c r="A958" s="2927"/>
      <c r="B958" s="1237"/>
      <c r="C958" s="1237"/>
      <c r="D958" s="1237"/>
      <c r="E958" s="1237"/>
      <c r="F958" s="1237"/>
      <c r="G958" s="1237"/>
      <c r="H958" s="1237"/>
      <c r="I958" s="1237"/>
      <c r="J958" s="1237"/>
      <c r="K958" s="1237"/>
      <c r="L958" s="1237"/>
      <c r="M958" s="1237"/>
      <c r="N958" s="1237"/>
      <c r="O958" s="2028"/>
      <c r="P958" s="2024"/>
      <c r="Q958" s="1238"/>
      <c r="R958" s="1239"/>
    </row>
    <row r="959" spans="1:18" ht="18.75" customHeight="1">
      <c r="A959" s="2927"/>
      <c r="B959" s="1237"/>
      <c r="C959" s="1237"/>
      <c r="D959" s="1237"/>
      <c r="E959" s="1237"/>
      <c r="F959" s="1237"/>
      <c r="G959" s="1237"/>
      <c r="H959" s="1237"/>
      <c r="I959" s="1237"/>
      <c r="J959" s="1237"/>
      <c r="K959" s="1237"/>
      <c r="L959" s="1237"/>
      <c r="M959" s="1237"/>
      <c r="N959" s="1237"/>
      <c r="O959" s="2028"/>
      <c r="P959" s="2024"/>
      <c r="Q959" s="1238"/>
      <c r="R959" s="1239"/>
    </row>
    <row r="960" spans="1:18" ht="18.75" customHeight="1">
      <c r="A960" s="2927"/>
      <c r="B960" s="1237"/>
      <c r="C960" s="1237"/>
      <c r="D960" s="1237"/>
      <c r="E960" s="1237"/>
      <c r="F960" s="1237"/>
      <c r="G960" s="1237"/>
      <c r="H960" s="1237"/>
      <c r="I960" s="1237"/>
      <c r="J960" s="1237"/>
      <c r="K960" s="1237"/>
      <c r="L960" s="1237"/>
      <c r="M960" s="1237"/>
      <c r="N960" s="1237"/>
      <c r="O960" s="2028"/>
      <c r="P960" s="2024"/>
      <c r="Q960" s="1238"/>
      <c r="R960" s="1239"/>
    </row>
    <row r="961" spans="1:18" ht="18.75" customHeight="1">
      <c r="A961" s="2927"/>
      <c r="B961" s="1237"/>
      <c r="C961" s="1237"/>
      <c r="D961" s="1237"/>
      <c r="E961" s="1237"/>
      <c r="F961" s="1237"/>
      <c r="G961" s="1237"/>
      <c r="H961" s="1237"/>
      <c r="I961" s="1237"/>
      <c r="J961" s="2945"/>
      <c r="K961" s="2945"/>
      <c r="L961" s="2945"/>
      <c r="M961" s="1237"/>
      <c r="N961" s="1237"/>
      <c r="O961" s="2028"/>
      <c r="P961" s="2024"/>
      <c r="Q961" s="1238"/>
      <c r="R961" s="1239"/>
    </row>
    <row r="962" spans="1:18" ht="18.75" customHeight="1">
      <c r="A962" s="2927"/>
      <c r="B962" s="1237"/>
      <c r="C962" s="1237"/>
      <c r="D962" s="1237"/>
      <c r="E962" s="1237"/>
      <c r="F962" s="1237"/>
      <c r="G962" s="1237"/>
      <c r="H962" s="1237"/>
      <c r="I962" s="1237"/>
      <c r="J962" s="1237"/>
      <c r="K962" s="1237"/>
      <c r="L962" s="1237"/>
      <c r="M962" s="1237"/>
      <c r="N962" s="1237"/>
      <c r="O962" s="2028"/>
      <c r="P962" s="2024"/>
      <c r="Q962" s="1238"/>
      <c r="R962" s="1239"/>
    </row>
    <row r="963" spans="1:18" ht="18.75" customHeight="1">
      <c r="A963" s="2927"/>
      <c r="B963" s="1237"/>
      <c r="C963" s="1237"/>
      <c r="D963" s="1237"/>
      <c r="E963" s="1237"/>
      <c r="F963" s="1237"/>
      <c r="G963" s="1237"/>
      <c r="H963" s="1237"/>
      <c r="I963" s="1237"/>
      <c r="J963" s="1237"/>
      <c r="K963" s="1237"/>
      <c r="L963" s="1237"/>
      <c r="M963" s="1237"/>
      <c r="N963" s="1237"/>
      <c r="O963" s="2028"/>
      <c r="P963" s="2024"/>
      <c r="Q963" s="1238"/>
      <c r="R963" s="1239"/>
    </row>
    <row r="964" spans="1:18" ht="18.75" customHeight="1">
      <c r="A964" s="2927"/>
      <c r="B964" s="1237"/>
      <c r="C964" s="1237"/>
      <c r="D964" s="1237"/>
      <c r="E964" s="1237"/>
      <c r="F964" s="1237"/>
      <c r="G964" s="1237"/>
      <c r="H964" s="1237"/>
      <c r="I964" s="1237"/>
      <c r="J964" s="1237"/>
      <c r="K964" s="1237"/>
      <c r="L964" s="1237"/>
      <c r="M964" s="1237"/>
      <c r="N964" s="1237"/>
      <c r="O964" s="2028"/>
      <c r="P964" s="2024"/>
      <c r="Q964" s="1238"/>
      <c r="R964" s="1239"/>
    </row>
    <row r="965" spans="1:18" ht="18.75" customHeight="1">
      <c r="A965" s="2927"/>
      <c r="B965" s="1237"/>
      <c r="C965" s="1237"/>
      <c r="D965" s="1237"/>
      <c r="E965" s="1237"/>
      <c r="F965" s="1237"/>
      <c r="G965" s="1237"/>
      <c r="H965" s="1237"/>
      <c r="I965" s="1237"/>
      <c r="J965" s="1237"/>
      <c r="K965" s="1237"/>
      <c r="L965" s="1237"/>
      <c r="M965" s="1237"/>
      <c r="N965" s="1237"/>
      <c r="O965" s="2028"/>
      <c r="P965" s="2024"/>
      <c r="Q965" s="1238"/>
      <c r="R965" s="1239"/>
    </row>
    <row r="966" spans="1:18" ht="18.75" customHeight="1">
      <c r="A966" s="2927"/>
      <c r="B966" s="1237"/>
      <c r="C966" s="1237"/>
      <c r="D966" s="1237"/>
      <c r="E966" s="1237"/>
      <c r="F966" s="1237"/>
      <c r="G966" s="1237"/>
      <c r="H966" s="1237"/>
      <c r="I966" s="1237"/>
      <c r="J966" s="2945"/>
      <c r="K966" s="2945"/>
      <c r="L966" s="2945"/>
      <c r="M966" s="1237"/>
      <c r="N966" s="1237"/>
      <c r="O966" s="2028"/>
      <c r="P966" s="2024"/>
      <c r="Q966" s="1238"/>
      <c r="R966" s="1239"/>
    </row>
    <row r="967" spans="1:18" ht="18.75" customHeight="1">
      <c r="A967" s="2927"/>
      <c r="B967" s="1237"/>
      <c r="C967" s="1237"/>
      <c r="D967" s="1237"/>
      <c r="E967" s="1237"/>
      <c r="F967" s="1237"/>
      <c r="G967" s="1237"/>
      <c r="H967" s="1237"/>
      <c r="I967" s="1237"/>
      <c r="J967" s="1237"/>
      <c r="K967" s="1237"/>
      <c r="L967" s="1237"/>
      <c r="M967" s="1237"/>
      <c r="N967" s="1237"/>
      <c r="O967" s="2028"/>
      <c r="P967" s="2024"/>
      <c r="Q967" s="1238"/>
      <c r="R967" s="1239"/>
    </row>
    <row r="968" spans="1:18" ht="18.75" customHeight="1">
      <c r="A968" s="2927"/>
      <c r="B968" s="1237"/>
      <c r="C968" s="1237"/>
      <c r="D968" s="1237"/>
      <c r="E968" s="1237"/>
      <c r="F968" s="1237"/>
      <c r="G968" s="1237"/>
      <c r="H968" s="1237"/>
      <c r="I968" s="1237"/>
      <c r="J968" s="1237"/>
      <c r="K968" s="1237"/>
      <c r="L968" s="1237"/>
      <c r="M968" s="1237"/>
      <c r="N968" s="1237"/>
      <c r="O968" s="2028"/>
      <c r="P968" s="2024"/>
      <c r="Q968" s="1238"/>
      <c r="R968" s="1239"/>
    </row>
    <row r="969" spans="1:18" ht="18.75" customHeight="1">
      <c r="A969" s="2927"/>
      <c r="B969" s="1237"/>
      <c r="C969" s="1237"/>
      <c r="D969" s="1237"/>
      <c r="E969" s="1237"/>
      <c r="F969" s="1237"/>
      <c r="G969" s="1237"/>
      <c r="H969" s="1237"/>
      <c r="I969" s="1237"/>
      <c r="J969" s="1237"/>
      <c r="K969" s="1237"/>
      <c r="L969" s="1237"/>
      <c r="M969" s="1237"/>
      <c r="N969" s="1237"/>
      <c r="O969" s="2028"/>
      <c r="P969" s="2024"/>
      <c r="Q969" s="1238"/>
      <c r="R969" s="1239"/>
    </row>
    <row r="970" spans="1:18" ht="18.75" customHeight="1">
      <c r="A970" s="2927"/>
      <c r="B970" s="1237"/>
      <c r="C970" s="1237"/>
      <c r="D970" s="1237"/>
      <c r="E970" s="1237"/>
      <c r="F970" s="1237"/>
      <c r="G970" s="1237"/>
      <c r="H970" s="1237"/>
      <c r="I970" s="1237"/>
      <c r="J970" s="1237"/>
      <c r="K970" s="1237"/>
      <c r="L970" s="1237"/>
      <c r="M970" s="1237"/>
      <c r="N970" s="1237"/>
      <c r="O970" s="2032"/>
      <c r="P970" s="2024"/>
      <c r="Q970" s="1238"/>
      <c r="R970" s="1239"/>
    </row>
    <row r="971" spans="1:18" ht="18.75" customHeight="1">
      <c r="A971" s="2927"/>
      <c r="B971" s="1237"/>
      <c r="C971" s="1237"/>
      <c r="D971" s="1237"/>
      <c r="E971" s="1237"/>
      <c r="F971" s="1237"/>
      <c r="G971" s="1237"/>
      <c r="H971" s="1237"/>
      <c r="I971" s="1237"/>
      <c r="J971" s="1237"/>
      <c r="K971" s="1237"/>
      <c r="L971" s="1237"/>
      <c r="M971" s="1237"/>
      <c r="N971" s="1237"/>
      <c r="O971" s="2028"/>
      <c r="P971" s="2024"/>
      <c r="Q971" s="1238"/>
      <c r="R971" s="1239"/>
    </row>
    <row r="972" spans="1:18" ht="18.75" customHeight="1">
      <c r="A972" s="2927"/>
      <c r="B972" s="1237"/>
      <c r="C972" s="1237"/>
      <c r="D972" s="1237"/>
      <c r="E972" s="1237"/>
      <c r="F972" s="1237"/>
      <c r="G972" s="1237"/>
      <c r="H972" s="1237"/>
      <c r="I972" s="1237"/>
      <c r="J972" s="1237"/>
      <c r="K972" s="1237"/>
      <c r="L972" s="1237"/>
      <c r="M972" s="1237"/>
      <c r="N972" s="1237"/>
      <c r="O972" s="2245"/>
      <c r="P972" s="2024"/>
      <c r="Q972" s="1238"/>
      <c r="R972" s="1239"/>
    </row>
    <row r="973" spans="1:18" ht="18.75" customHeight="1">
      <c r="A973" s="2927"/>
      <c r="B973" s="1237"/>
      <c r="C973" s="1237"/>
      <c r="D973" s="1237"/>
      <c r="E973" s="1237"/>
      <c r="F973" s="1237"/>
      <c r="G973" s="1237"/>
      <c r="H973" s="1237"/>
      <c r="I973" s="1237"/>
      <c r="J973" s="1237"/>
      <c r="K973" s="1237"/>
      <c r="L973" s="1237"/>
      <c r="M973" s="1237"/>
      <c r="N973" s="1237"/>
      <c r="O973" s="2028"/>
      <c r="P973" s="2024"/>
      <c r="Q973" s="1238"/>
      <c r="R973" s="1239"/>
    </row>
    <row r="974" spans="1:18" ht="18.75" customHeight="1">
      <c r="A974" s="2927"/>
      <c r="B974" s="1237"/>
      <c r="C974" s="1237"/>
      <c r="D974" s="1237"/>
      <c r="E974" s="1237"/>
      <c r="F974" s="1237"/>
      <c r="G974" s="1237"/>
      <c r="H974" s="1237"/>
      <c r="I974" s="1237"/>
      <c r="J974" s="2945"/>
      <c r="K974" s="2945"/>
      <c r="L974" s="2945"/>
      <c r="M974" s="1237"/>
      <c r="N974" s="1237"/>
      <c r="O974" s="2028"/>
      <c r="P974" s="2024"/>
      <c r="Q974" s="1238"/>
      <c r="R974" s="1239"/>
    </row>
    <row r="975" spans="1:18" ht="18.75" customHeight="1">
      <c r="A975" s="2927"/>
      <c r="B975" s="1237"/>
      <c r="C975" s="1237"/>
      <c r="D975" s="1237"/>
      <c r="E975" s="1237"/>
      <c r="F975" s="1237"/>
      <c r="G975" s="1237"/>
      <c r="H975" s="1237"/>
      <c r="I975" s="1237"/>
      <c r="J975" s="1237"/>
      <c r="K975" s="1237"/>
      <c r="L975" s="1237"/>
      <c r="M975" s="1237"/>
      <c r="N975" s="1237"/>
      <c r="O975" s="2024"/>
      <c r="P975" s="2024"/>
      <c r="Q975" s="1238"/>
      <c r="R975" s="1239"/>
    </row>
    <row r="976" spans="1:18" ht="18.75" customHeight="1">
      <c r="A976" s="2927"/>
      <c r="B976" s="1237"/>
      <c r="C976" s="1237"/>
      <c r="D976" s="1237"/>
      <c r="E976" s="1237"/>
      <c r="F976" s="1237"/>
      <c r="G976" s="1237"/>
      <c r="H976" s="1237"/>
      <c r="I976" s="1237"/>
      <c r="J976" s="1237"/>
      <c r="K976" s="1237"/>
      <c r="L976" s="1237"/>
      <c r="M976" s="1237"/>
      <c r="N976" s="1237"/>
      <c r="O976" s="2024"/>
      <c r="P976" s="2024"/>
      <c r="Q976" s="1238"/>
      <c r="R976" s="1239"/>
    </row>
    <row r="977" spans="1:18" ht="18.75" customHeight="1">
      <c r="A977" s="2927"/>
      <c r="B977" s="1237"/>
      <c r="C977" s="1237"/>
      <c r="D977" s="1237"/>
      <c r="E977" s="1237"/>
      <c r="F977" s="1237"/>
      <c r="G977" s="1237"/>
      <c r="H977" s="1237"/>
      <c r="I977" s="1237"/>
      <c r="J977" s="1237"/>
      <c r="K977" s="1237"/>
      <c r="L977" s="1237"/>
      <c r="M977" s="1237"/>
      <c r="N977" s="1237"/>
      <c r="O977" s="2024"/>
      <c r="P977" s="2024"/>
      <c r="Q977" s="1238"/>
      <c r="R977" s="1239"/>
    </row>
    <row r="978" spans="1:18" ht="18.75" customHeight="1">
      <c r="A978" s="2927"/>
      <c r="B978" s="1237"/>
      <c r="C978" s="1237"/>
      <c r="D978" s="1237"/>
      <c r="E978" s="1237"/>
      <c r="F978" s="1237"/>
      <c r="G978" s="1237"/>
      <c r="H978" s="1237"/>
      <c r="I978" s="1237"/>
      <c r="J978" s="1237"/>
      <c r="K978" s="1237"/>
      <c r="L978" s="1237"/>
      <c r="M978" s="1237"/>
      <c r="N978" s="1237"/>
      <c r="O978" s="2024"/>
      <c r="P978" s="2024"/>
      <c r="Q978" s="1238"/>
      <c r="R978" s="1239"/>
    </row>
    <row r="979" spans="1:18" ht="18.75" customHeight="1">
      <c r="A979" s="2927"/>
      <c r="B979" s="1237"/>
      <c r="C979" s="1237"/>
      <c r="D979" s="1237"/>
      <c r="E979" s="1237"/>
      <c r="F979" s="1237"/>
      <c r="G979" s="1237"/>
      <c r="H979" s="1237"/>
      <c r="I979" s="1237"/>
      <c r="J979" s="1237"/>
      <c r="K979" s="1237"/>
      <c r="L979" s="1237"/>
      <c r="M979" s="1237"/>
      <c r="N979" s="1237"/>
      <c r="O979" s="2024"/>
      <c r="P979" s="2024"/>
      <c r="Q979" s="1238"/>
      <c r="R979" s="1239"/>
    </row>
    <row r="980" spans="1:18" ht="18.75" customHeight="1">
      <c r="A980" s="2927"/>
      <c r="B980" s="1237"/>
      <c r="C980" s="1237"/>
      <c r="D980" s="1237"/>
      <c r="E980" s="1237"/>
      <c r="F980" s="1237"/>
      <c r="G980" s="1237"/>
      <c r="H980" s="1237"/>
      <c r="I980" s="1237"/>
      <c r="J980" s="1237"/>
      <c r="K980" s="1237"/>
      <c r="L980" s="1237"/>
      <c r="M980" s="1237"/>
      <c r="N980" s="1237"/>
      <c r="O980" s="2024"/>
      <c r="P980" s="2024"/>
      <c r="Q980" s="1238"/>
      <c r="R980" s="1239"/>
    </row>
    <row r="981" spans="1:18" ht="18.75" customHeight="1">
      <c r="A981" s="2927"/>
      <c r="B981" s="1237"/>
      <c r="C981" s="1237"/>
      <c r="D981" s="1237"/>
      <c r="E981" s="1237"/>
      <c r="F981" s="1237"/>
      <c r="G981" s="1237"/>
      <c r="H981" s="1237"/>
      <c r="I981" s="1237"/>
      <c r="J981" s="1237"/>
      <c r="K981" s="1237"/>
      <c r="L981" s="1237"/>
      <c r="M981" s="1237"/>
      <c r="N981" s="1237"/>
      <c r="O981" s="2024"/>
      <c r="P981" s="2024"/>
      <c r="Q981" s="1238"/>
      <c r="R981" s="1239"/>
    </row>
    <row r="982" spans="1:18" ht="18.75" customHeight="1">
      <c r="A982" s="2927"/>
      <c r="B982" s="1237"/>
      <c r="C982" s="1237"/>
      <c r="D982" s="1237"/>
      <c r="E982" s="1237"/>
      <c r="F982" s="1237"/>
      <c r="G982" s="1237"/>
      <c r="H982" s="1237"/>
      <c r="I982" s="1237"/>
      <c r="J982" s="1237"/>
      <c r="K982" s="1237"/>
      <c r="L982" s="1237"/>
      <c r="M982" s="1237"/>
      <c r="N982" s="1237"/>
      <c r="O982" s="2024"/>
      <c r="P982" s="2024"/>
      <c r="Q982" s="1238"/>
      <c r="R982" s="1239"/>
    </row>
    <row r="983" spans="1:18" ht="18.75" customHeight="1">
      <c r="A983" s="2927"/>
      <c r="B983" s="1237"/>
      <c r="C983" s="1237"/>
      <c r="D983" s="1237"/>
      <c r="E983" s="1237"/>
      <c r="F983" s="1237"/>
      <c r="G983" s="1237"/>
      <c r="H983" s="1237"/>
      <c r="I983" s="1237"/>
      <c r="J983" s="1237"/>
      <c r="K983" s="1237"/>
      <c r="L983" s="1237"/>
      <c r="M983" s="1237"/>
      <c r="N983" s="1237"/>
      <c r="O983" s="2024"/>
      <c r="P983" s="2024"/>
      <c r="Q983" s="1238"/>
      <c r="R983" s="1239"/>
    </row>
    <row r="984" spans="1:18" ht="18.75" customHeight="1">
      <c r="A984" s="2927"/>
      <c r="B984" s="1237"/>
      <c r="C984" s="1237"/>
      <c r="D984" s="1237"/>
      <c r="E984" s="1237"/>
      <c r="F984" s="1237"/>
      <c r="G984" s="1237"/>
      <c r="H984" s="1237"/>
      <c r="I984" s="1237"/>
      <c r="J984" s="1237"/>
      <c r="K984" s="1237"/>
      <c r="L984" s="1237"/>
      <c r="M984" s="1237"/>
      <c r="N984" s="1237"/>
      <c r="O984" s="2024"/>
      <c r="P984" s="2024"/>
      <c r="Q984" s="1238"/>
      <c r="R984" s="1239"/>
    </row>
    <row r="985" spans="1:18" ht="18.75" customHeight="1">
      <c r="A985" s="2927"/>
      <c r="B985" s="1237"/>
      <c r="C985" s="1237"/>
      <c r="D985" s="1237"/>
      <c r="E985" s="1237"/>
      <c r="F985" s="1237"/>
      <c r="G985" s="1237"/>
      <c r="H985" s="1237"/>
      <c r="I985" s="1237"/>
      <c r="J985" s="1237"/>
      <c r="K985" s="1237"/>
      <c r="L985" s="1237"/>
      <c r="M985" s="1237"/>
      <c r="N985" s="1237"/>
      <c r="O985" s="2024"/>
      <c r="P985" s="2024"/>
      <c r="Q985" s="1238"/>
      <c r="R985" s="1239"/>
    </row>
    <row r="986" spans="1:18" ht="18.75" customHeight="1">
      <c r="A986" s="2927"/>
      <c r="B986" s="1237"/>
      <c r="C986" s="1237"/>
      <c r="D986" s="1237"/>
      <c r="E986" s="1237"/>
      <c r="F986" s="1237"/>
      <c r="G986" s="1237"/>
      <c r="H986" s="1237"/>
      <c r="I986" s="1237"/>
      <c r="J986" s="1237"/>
      <c r="K986" s="1237"/>
      <c r="L986" s="1237"/>
      <c r="M986" s="1237"/>
      <c r="N986" s="1237"/>
      <c r="O986" s="2024"/>
      <c r="P986" s="2024"/>
      <c r="Q986" s="1238"/>
      <c r="R986" s="1239"/>
    </row>
    <row r="987" spans="1:18" ht="18.75" customHeight="1">
      <c r="A987" s="2927"/>
      <c r="B987" s="1237"/>
      <c r="C987" s="1237"/>
      <c r="D987" s="1237"/>
      <c r="E987" s="1237"/>
      <c r="F987" s="1237"/>
      <c r="G987" s="1237"/>
      <c r="H987" s="1237"/>
      <c r="I987" s="1237"/>
      <c r="J987" s="1237"/>
      <c r="K987" s="1237"/>
      <c r="L987" s="1237"/>
      <c r="M987" s="1237"/>
      <c r="N987" s="1237"/>
      <c r="O987" s="2024"/>
      <c r="P987" s="2024"/>
      <c r="Q987" s="1238"/>
      <c r="R987" s="1239"/>
    </row>
    <row r="988" spans="1:18" ht="18.75" customHeight="1">
      <c r="A988" s="2927"/>
      <c r="B988" s="1237"/>
      <c r="C988" s="1237"/>
      <c r="D988" s="1237"/>
      <c r="E988" s="1237"/>
      <c r="F988" s="1237"/>
      <c r="G988" s="1237"/>
      <c r="H988" s="1237"/>
      <c r="I988" s="1237"/>
      <c r="J988" s="2945"/>
      <c r="K988" s="2945"/>
      <c r="L988" s="2945"/>
      <c r="M988" s="1237"/>
      <c r="N988" s="1237"/>
      <c r="O988" s="2024"/>
      <c r="P988" s="2024"/>
      <c r="Q988" s="1238"/>
      <c r="R988" s="1239"/>
    </row>
    <row r="989" spans="1:18" ht="18.75" customHeight="1">
      <c r="A989" s="2927"/>
      <c r="B989" s="1237"/>
      <c r="C989" s="1237"/>
      <c r="D989" s="1237"/>
      <c r="E989" s="1237"/>
      <c r="F989" s="1237"/>
      <c r="G989" s="1237"/>
      <c r="H989" s="1237"/>
      <c r="I989" s="1237"/>
      <c r="J989" s="1237"/>
      <c r="K989" s="1237"/>
      <c r="L989" s="1237"/>
      <c r="M989" s="1237"/>
      <c r="N989" s="1237"/>
      <c r="O989" s="2024"/>
      <c r="P989" s="2024"/>
      <c r="Q989" s="1238"/>
      <c r="R989" s="1239"/>
    </row>
    <row r="990" spans="1:18" ht="18.75" customHeight="1">
      <c r="A990" s="2927"/>
      <c r="B990" s="1237"/>
      <c r="C990" s="1237"/>
      <c r="D990" s="1237"/>
      <c r="E990" s="1237"/>
      <c r="F990" s="1237"/>
      <c r="G990" s="1237"/>
      <c r="H990" s="1237"/>
      <c r="I990" s="1237"/>
      <c r="J990" s="1237"/>
      <c r="K990" s="1237"/>
      <c r="L990" s="1237"/>
      <c r="M990" s="1237"/>
      <c r="N990" s="1237"/>
      <c r="O990" s="2024"/>
      <c r="P990" s="2024"/>
      <c r="Q990" s="1238"/>
      <c r="R990" s="1239"/>
    </row>
    <row r="991" spans="1:18" ht="18.75" customHeight="1">
      <c r="A991" s="2927"/>
      <c r="B991" s="1237"/>
      <c r="C991" s="1237"/>
      <c r="D991" s="1237"/>
      <c r="E991" s="1237"/>
      <c r="F991" s="1237"/>
      <c r="G991" s="1237"/>
      <c r="H991" s="1237"/>
      <c r="I991" s="1237"/>
      <c r="J991" s="1237"/>
      <c r="K991" s="1237"/>
      <c r="L991" s="1237"/>
      <c r="M991" s="1237"/>
      <c r="N991" s="1237"/>
      <c r="O991" s="2024"/>
      <c r="P991" s="2024"/>
      <c r="Q991" s="1238"/>
      <c r="R991" s="1239"/>
    </row>
    <row r="992" spans="1:18" ht="18.75" customHeight="1">
      <c r="A992" s="2927"/>
      <c r="B992" s="1237"/>
      <c r="C992" s="1237"/>
      <c r="D992" s="1237"/>
      <c r="E992" s="1237"/>
      <c r="F992" s="1237"/>
      <c r="G992" s="1237"/>
      <c r="H992" s="1237"/>
      <c r="I992" s="1237"/>
      <c r="J992" s="1237"/>
      <c r="K992" s="1237"/>
      <c r="L992" s="1237"/>
      <c r="M992" s="1237"/>
      <c r="N992" s="1237"/>
      <c r="O992" s="2024"/>
      <c r="P992" s="2024"/>
      <c r="Q992" s="1238"/>
      <c r="R992" s="1239"/>
    </row>
    <row r="993" spans="1:18" ht="18.75" customHeight="1">
      <c r="A993" s="2927"/>
      <c r="B993" s="1237"/>
      <c r="C993" s="1237"/>
      <c r="D993" s="1237"/>
      <c r="E993" s="1237"/>
      <c r="F993" s="1237"/>
      <c r="G993" s="1237"/>
      <c r="H993" s="1237"/>
      <c r="I993" s="1237"/>
      <c r="J993" s="2945"/>
      <c r="K993" s="2945"/>
      <c r="L993" s="2945"/>
      <c r="M993" s="1237"/>
      <c r="N993" s="1237"/>
      <c r="O993" s="2024"/>
      <c r="P993" s="2024"/>
      <c r="Q993" s="1238"/>
      <c r="R993" s="1239"/>
    </row>
    <row r="994" spans="1:18" ht="18.75" customHeight="1">
      <c r="A994" s="2927"/>
      <c r="B994" s="1237"/>
      <c r="C994" s="1237"/>
      <c r="D994" s="1237"/>
      <c r="E994" s="1237"/>
      <c r="F994" s="1237"/>
      <c r="G994" s="1237"/>
      <c r="H994" s="1237"/>
      <c r="I994" s="1237"/>
      <c r="J994" s="1237"/>
      <c r="K994" s="1237"/>
      <c r="L994" s="1237"/>
      <c r="M994" s="1237"/>
      <c r="N994" s="1237"/>
      <c r="O994" s="2024"/>
      <c r="P994" s="2024"/>
      <c r="Q994" s="1238"/>
      <c r="R994" s="1239"/>
    </row>
    <row r="995" spans="1:18" ht="18.75" customHeight="1">
      <c r="A995" s="2927"/>
      <c r="B995" s="1237"/>
      <c r="C995" s="1237"/>
      <c r="D995" s="1237"/>
      <c r="E995" s="1237"/>
      <c r="F995" s="1237"/>
      <c r="G995" s="1237"/>
      <c r="H995" s="1237"/>
      <c r="I995" s="1237"/>
      <c r="J995" s="1237"/>
      <c r="K995" s="1237"/>
      <c r="L995" s="1237"/>
      <c r="M995" s="1237"/>
      <c r="N995" s="1237"/>
      <c r="O995" s="2024"/>
      <c r="P995" s="2024"/>
      <c r="Q995" s="1238"/>
      <c r="R995" s="1239"/>
    </row>
    <row r="996" spans="1:18" ht="18.75" customHeight="1">
      <c r="A996" s="2927"/>
      <c r="B996" s="1237"/>
      <c r="C996" s="1237"/>
      <c r="D996" s="1237"/>
      <c r="E996" s="1237"/>
      <c r="F996" s="1237"/>
      <c r="G996" s="1237"/>
      <c r="H996" s="1237"/>
      <c r="I996" s="1237"/>
      <c r="J996" s="1237"/>
      <c r="K996" s="1237"/>
      <c r="L996" s="1237"/>
      <c r="M996" s="1237"/>
      <c r="N996" s="1237"/>
      <c r="O996" s="2024"/>
      <c r="P996" s="2024"/>
      <c r="Q996" s="1238"/>
      <c r="R996" s="1239"/>
    </row>
    <row r="997" spans="1:18" ht="18.75" customHeight="1">
      <c r="A997" s="2927"/>
      <c r="B997" s="1237"/>
      <c r="C997" s="1237"/>
      <c r="D997" s="1237"/>
      <c r="E997" s="1237"/>
      <c r="F997" s="1237"/>
      <c r="G997" s="1237"/>
      <c r="H997" s="1237"/>
      <c r="I997" s="1237"/>
      <c r="J997" s="1237"/>
      <c r="K997" s="1237"/>
      <c r="L997" s="1237"/>
      <c r="M997" s="1237"/>
      <c r="N997" s="1237"/>
      <c r="O997" s="2024"/>
      <c r="P997" s="2024"/>
      <c r="Q997" s="1238"/>
      <c r="R997" s="1239"/>
    </row>
    <row r="998" spans="1:18" ht="18.75" customHeight="1">
      <c r="A998" s="2927"/>
      <c r="B998" s="1237"/>
      <c r="C998" s="1237"/>
      <c r="D998" s="1237"/>
      <c r="E998" s="1237"/>
      <c r="F998" s="1237"/>
      <c r="G998" s="1237"/>
      <c r="H998" s="1237"/>
      <c r="I998" s="1237"/>
      <c r="J998" s="2945"/>
      <c r="K998" s="2945"/>
      <c r="L998" s="2945"/>
      <c r="M998" s="1237"/>
      <c r="N998" s="1237"/>
      <c r="O998" s="2024"/>
      <c r="P998" s="2024"/>
      <c r="Q998" s="1238"/>
      <c r="R998" s="1239"/>
    </row>
    <row r="999" spans="1:18" ht="18.75" customHeight="1">
      <c r="A999" s="2927"/>
      <c r="B999" s="1237"/>
      <c r="C999" s="1237"/>
      <c r="D999" s="1237"/>
      <c r="E999" s="1237"/>
      <c r="F999" s="1237"/>
      <c r="G999" s="1237"/>
      <c r="H999" s="1237"/>
      <c r="I999" s="1237"/>
      <c r="J999" s="1237"/>
      <c r="K999" s="1237"/>
      <c r="L999" s="1237"/>
      <c r="M999" s="1237"/>
      <c r="N999" s="1237"/>
      <c r="O999" s="2024"/>
      <c r="P999" s="2024"/>
      <c r="Q999" s="1238"/>
      <c r="R999" s="1239"/>
    </row>
    <row r="1000" spans="1:18" ht="18.75" customHeight="1">
      <c r="A1000" s="2927"/>
      <c r="B1000" s="1237"/>
      <c r="C1000" s="1237"/>
      <c r="D1000" s="1237"/>
      <c r="E1000" s="1237"/>
      <c r="F1000" s="1237"/>
      <c r="G1000" s="1237"/>
      <c r="H1000" s="1237"/>
      <c r="I1000" s="1237"/>
      <c r="J1000" s="1237"/>
      <c r="K1000" s="1237"/>
      <c r="L1000" s="1237"/>
      <c r="M1000" s="1237"/>
      <c r="N1000" s="1237"/>
      <c r="O1000" s="2024"/>
      <c r="P1000" s="2024"/>
      <c r="Q1000" s="1238"/>
      <c r="R1000" s="1239"/>
    </row>
    <row r="1001" spans="1:18" ht="18.75" customHeight="1">
      <c r="A1001" s="2927"/>
      <c r="B1001" s="1237"/>
      <c r="C1001" s="1237"/>
      <c r="D1001" s="1237"/>
      <c r="E1001" s="1237"/>
      <c r="F1001" s="1237"/>
      <c r="G1001" s="1237"/>
      <c r="H1001" s="1237"/>
      <c r="I1001" s="1237"/>
      <c r="J1001" s="1237"/>
      <c r="K1001" s="1237"/>
      <c r="L1001" s="1237"/>
      <c r="M1001" s="1237"/>
      <c r="N1001" s="1237"/>
      <c r="O1001" s="2024"/>
      <c r="P1001" s="2024"/>
      <c r="Q1001" s="1238"/>
      <c r="R1001" s="1239"/>
    </row>
    <row r="1002" spans="1:18" ht="18.75" customHeight="1">
      <c r="A1002" s="2927"/>
      <c r="B1002" s="1237"/>
      <c r="C1002" s="1237"/>
      <c r="D1002" s="1237"/>
      <c r="E1002" s="1237"/>
      <c r="F1002" s="1237"/>
      <c r="G1002" s="1237"/>
      <c r="H1002" s="1237"/>
      <c r="I1002" s="1237"/>
      <c r="J1002" s="1237"/>
      <c r="K1002" s="1237"/>
      <c r="L1002" s="1237"/>
      <c r="M1002" s="1237"/>
      <c r="N1002" s="1237"/>
      <c r="O1002" s="2024"/>
      <c r="P1002" s="2024"/>
      <c r="Q1002" s="1238"/>
      <c r="R1002" s="1239"/>
    </row>
    <row r="1003" spans="1:18" ht="18.75" customHeight="1">
      <c r="A1003" s="2927"/>
      <c r="B1003" s="1237"/>
      <c r="C1003" s="1237"/>
      <c r="D1003" s="1237"/>
      <c r="E1003" s="1237"/>
      <c r="F1003" s="1237"/>
      <c r="G1003" s="1237"/>
      <c r="H1003" s="1237"/>
      <c r="I1003" s="1237"/>
      <c r="J1003" s="1237"/>
      <c r="K1003" s="1237"/>
      <c r="L1003" s="1237"/>
      <c r="M1003" s="1237"/>
      <c r="N1003" s="1237"/>
      <c r="O1003" s="2024"/>
      <c r="P1003" s="2024"/>
      <c r="Q1003" s="1238"/>
      <c r="R1003" s="1239"/>
    </row>
    <row r="1004" spans="1:18" ht="18.75" customHeight="1">
      <c r="A1004" s="2927"/>
      <c r="B1004" s="1237"/>
      <c r="C1004" s="1237"/>
      <c r="D1004" s="1237"/>
      <c r="E1004" s="1237"/>
      <c r="F1004" s="1237"/>
      <c r="G1004" s="1237"/>
      <c r="H1004" s="1237"/>
      <c r="I1004" s="1237"/>
      <c r="J1004" s="1237"/>
      <c r="K1004" s="1237"/>
      <c r="L1004" s="1237"/>
      <c r="M1004" s="1237"/>
      <c r="N1004" s="1237"/>
      <c r="O1004" s="2024"/>
      <c r="P1004" s="2024"/>
      <c r="Q1004" s="1238"/>
      <c r="R1004" s="1239"/>
    </row>
    <row r="1005" spans="1:18" ht="18.75" customHeight="1">
      <c r="A1005" s="2927"/>
      <c r="B1005" s="1237"/>
      <c r="C1005" s="1237"/>
      <c r="D1005" s="1237"/>
      <c r="E1005" s="1237"/>
      <c r="F1005" s="1237"/>
      <c r="G1005" s="1237"/>
      <c r="H1005" s="1237"/>
      <c r="I1005" s="1237"/>
      <c r="J1005" s="1237"/>
      <c r="K1005" s="1237"/>
      <c r="L1005" s="1237"/>
      <c r="M1005" s="1237"/>
      <c r="N1005" s="1237"/>
      <c r="O1005" s="2024"/>
      <c r="P1005" s="2024"/>
      <c r="Q1005" s="1238"/>
      <c r="R1005" s="1239"/>
    </row>
    <row r="1006" spans="1:18" ht="18.75" customHeight="1">
      <c r="A1006" s="2927"/>
      <c r="B1006" s="1237"/>
      <c r="C1006" s="1237"/>
      <c r="D1006" s="1237"/>
      <c r="E1006" s="1237"/>
      <c r="F1006" s="1237"/>
      <c r="G1006" s="1237"/>
      <c r="H1006" s="1237"/>
      <c r="I1006" s="1237"/>
      <c r="J1006" s="1237"/>
      <c r="K1006" s="1237"/>
      <c r="L1006" s="1237"/>
      <c r="M1006" s="1237"/>
      <c r="N1006" s="1237"/>
      <c r="O1006" s="2024"/>
      <c r="P1006" s="2024"/>
      <c r="Q1006" s="1238"/>
      <c r="R1006" s="1239"/>
    </row>
    <row r="1007" spans="1:18" ht="18.75" customHeight="1">
      <c r="A1007" s="2927"/>
      <c r="B1007" s="1237"/>
      <c r="C1007" s="1237"/>
      <c r="D1007" s="1237"/>
      <c r="E1007" s="1237"/>
      <c r="F1007" s="1237"/>
      <c r="G1007" s="1237"/>
      <c r="H1007" s="1237"/>
      <c r="I1007" s="1237"/>
      <c r="J1007" s="1237"/>
      <c r="K1007" s="1237"/>
      <c r="L1007" s="1237"/>
      <c r="M1007" s="1237"/>
      <c r="N1007" s="1237"/>
      <c r="O1007" s="2024"/>
      <c r="P1007" s="2024"/>
      <c r="Q1007" s="1238"/>
      <c r="R1007" s="1239"/>
    </row>
    <row r="1008" spans="1:18" ht="18.75" customHeight="1">
      <c r="A1008" s="2927"/>
      <c r="B1008" s="1237"/>
      <c r="C1008" s="1237"/>
      <c r="D1008" s="1237"/>
      <c r="E1008" s="1237"/>
      <c r="F1008" s="1237"/>
      <c r="G1008" s="1237"/>
      <c r="H1008" s="1237"/>
      <c r="I1008" s="1237"/>
      <c r="J1008" s="2945"/>
      <c r="K1008" s="2945"/>
      <c r="L1008" s="2945"/>
      <c r="M1008" s="1237"/>
      <c r="N1008" s="1237"/>
      <c r="O1008" s="2024"/>
      <c r="P1008" s="2024"/>
      <c r="Q1008" s="1238"/>
      <c r="R1008" s="1239"/>
    </row>
    <row r="1009" spans="1:20" ht="18.75" customHeight="1">
      <c r="A1009" s="2927"/>
      <c r="B1009" s="1540"/>
      <c r="C1009" s="1540"/>
      <c r="D1009" s="1540"/>
      <c r="E1009" s="1540"/>
      <c r="F1009" s="1540"/>
      <c r="G1009" s="1540"/>
      <c r="H1009" s="1540"/>
      <c r="I1009" s="1540"/>
      <c r="J1009" s="1540"/>
      <c r="K1009" s="1540"/>
      <c r="L1009" s="1540"/>
      <c r="M1009" s="1540"/>
      <c r="N1009" s="1540"/>
      <c r="O1009" s="2025"/>
      <c r="P1009" s="2024"/>
      <c r="Q1009" s="1541"/>
      <c r="R1009" s="1591"/>
    </row>
    <row r="1010" spans="1:20" ht="18.75" customHeight="1">
      <c r="A1010" s="2927"/>
      <c r="B1010" s="2200"/>
      <c r="C1010" s="2200"/>
      <c r="D1010" s="2200"/>
      <c r="E1010" s="2200"/>
      <c r="F1010" s="2200"/>
      <c r="G1010" s="2200"/>
      <c r="H1010" s="2200"/>
      <c r="I1010" s="2200"/>
      <c r="J1010" s="2200"/>
      <c r="K1010" s="2200"/>
      <c r="L1010" s="2200"/>
      <c r="M1010" s="2200"/>
      <c r="N1010" s="2200"/>
      <c r="O1010" s="2201"/>
      <c r="P1010" s="2024"/>
      <c r="Q1010" s="1940"/>
      <c r="R1010" s="1943"/>
    </row>
    <row r="1011" spans="1:20" ht="18.75" customHeight="1">
      <c r="A1011" s="2927"/>
      <c r="B1011" s="1237"/>
      <c r="C1011" s="1237"/>
      <c r="D1011" s="1237"/>
      <c r="E1011" s="1237"/>
      <c r="F1011" s="1237"/>
      <c r="G1011" s="1237"/>
      <c r="H1011" s="1237"/>
      <c r="I1011" s="1237"/>
      <c r="J1011" s="1237"/>
      <c r="K1011" s="1237"/>
      <c r="L1011" s="1237"/>
      <c r="M1011" s="1237"/>
      <c r="N1011" s="1237"/>
      <c r="O1011" s="2024"/>
      <c r="P1011" s="2024"/>
      <c r="Q1011" s="1238"/>
      <c r="R1011" s="1239"/>
    </row>
    <row r="1012" spans="1:20" ht="18.75" customHeight="1">
      <c r="A1012" s="2927"/>
      <c r="B1012" s="1237"/>
      <c r="C1012" s="1237"/>
      <c r="D1012" s="1237"/>
      <c r="E1012" s="1237"/>
      <c r="F1012" s="1237"/>
      <c r="G1012" s="1237"/>
      <c r="H1012" s="1237"/>
      <c r="I1012" s="1237"/>
      <c r="J1012" s="1237"/>
      <c r="K1012" s="1237"/>
      <c r="L1012" s="1237"/>
      <c r="M1012" s="1237"/>
      <c r="N1012" s="1237"/>
      <c r="O1012" s="2024"/>
      <c r="P1012" s="2024"/>
      <c r="Q1012" s="1238"/>
      <c r="R1012" s="1239"/>
    </row>
    <row r="1013" spans="1:20" ht="18.75" customHeight="1">
      <c r="A1013" s="2927"/>
      <c r="B1013" s="1237"/>
      <c r="C1013" s="1237"/>
      <c r="D1013" s="1237"/>
      <c r="E1013" s="1237"/>
      <c r="F1013" s="1237"/>
      <c r="G1013" s="1237"/>
      <c r="H1013" s="1237"/>
      <c r="I1013" s="1237"/>
      <c r="J1013" s="2945"/>
      <c r="K1013" s="2945"/>
      <c r="L1013" s="2945"/>
      <c r="M1013" s="1237"/>
      <c r="N1013" s="1237"/>
      <c r="O1013" s="2024"/>
      <c r="P1013" s="2024"/>
      <c r="Q1013" s="1238"/>
      <c r="R1013" s="1239"/>
    </row>
    <row r="1014" spans="1:20" ht="18.75" customHeight="1">
      <c r="A1014" s="2927"/>
      <c r="B1014" s="1237"/>
      <c r="C1014" s="1237"/>
      <c r="D1014" s="1237"/>
      <c r="E1014" s="1237"/>
      <c r="F1014" s="1237"/>
      <c r="G1014" s="1237"/>
      <c r="H1014" s="1237"/>
      <c r="I1014" s="1237"/>
      <c r="J1014" s="1237"/>
      <c r="K1014" s="1237"/>
      <c r="L1014" s="1237"/>
      <c r="M1014" s="1237"/>
      <c r="N1014" s="1237"/>
      <c r="O1014" s="2024"/>
      <c r="P1014" s="2024"/>
      <c r="Q1014" s="1238"/>
      <c r="R1014" s="1239"/>
    </row>
    <row r="1015" spans="1:20" ht="18.75" customHeight="1">
      <c r="A1015" s="2927"/>
      <c r="B1015" s="1237"/>
      <c r="C1015" s="1237"/>
      <c r="D1015" s="1237"/>
      <c r="E1015" s="1237"/>
      <c r="F1015" s="1237"/>
      <c r="G1015" s="1237"/>
      <c r="H1015" s="1237"/>
      <c r="I1015" s="1237"/>
      <c r="J1015" s="1237"/>
      <c r="K1015" s="1237"/>
      <c r="L1015" s="1237"/>
      <c r="M1015" s="1237"/>
      <c r="N1015" s="1237"/>
      <c r="O1015" s="2024"/>
      <c r="P1015" s="2024"/>
      <c r="Q1015" s="1238"/>
      <c r="R1015" s="1239"/>
    </row>
    <row r="1016" spans="1:20" ht="18.75" customHeight="1" thickBot="1">
      <c r="A1016" s="2928"/>
      <c r="B1016" s="1550"/>
      <c r="C1016" s="1550"/>
      <c r="D1016" s="1550"/>
      <c r="E1016" s="1550"/>
      <c r="F1016" s="1550"/>
      <c r="G1016" s="1550"/>
      <c r="H1016" s="1550"/>
      <c r="I1016" s="1550"/>
      <c r="J1016" s="1550"/>
      <c r="K1016" s="1550"/>
      <c r="L1016" s="1550"/>
      <c r="M1016" s="1550"/>
      <c r="N1016" s="1550"/>
      <c r="O1016" s="2031"/>
      <c r="P1016" s="2024"/>
      <c r="Q1016" s="1551"/>
      <c r="R1016" s="2202"/>
    </row>
    <row r="1017" spans="1:20" ht="18.75" customHeight="1">
      <c r="A1017" s="2926"/>
      <c r="B1017" s="1574"/>
      <c r="C1017" s="1574"/>
      <c r="D1017" s="1574"/>
      <c r="E1017" s="1574"/>
      <c r="F1017" s="1574"/>
      <c r="G1017" s="1574"/>
      <c r="H1017" s="1574"/>
      <c r="I1017" s="1574"/>
      <c r="J1017" s="1574"/>
      <c r="K1017" s="1574"/>
      <c r="L1017" s="1574"/>
      <c r="M1017" s="1574"/>
      <c r="N1017" s="1574"/>
      <c r="O1017" s="2246"/>
      <c r="P1017" s="2024"/>
      <c r="Q1017" s="1575"/>
      <c r="R1017" s="466"/>
      <c r="S1017" s="2096"/>
      <c r="T1017" s="1572"/>
    </row>
    <row r="1018" spans="1:20" ht="18.75" customHeight="1">
      <c r="A1018" s="2927"/>
      <c r="B1018" s="1237"/>
      <c r="C1018" s="1237"/>
      <c r="D1018" s="1237"/>
      <c r="E1018" s="1237"/>
      <c r="F1018" s="1237"/>
      <c r="G1018" s="1237"/>
      <c r="H1018" s="1237"/>
      <c r="I1018" s="1237"/>
      <c r="J1018" s="1237"/>
      <c r="K1018" s="1237"/>
      <c r="L1018" s="1237"/>
      <c r="M1018" s="1237"/>
      <c r="N1018" s="1237"/>
      <c r="O1018" s="2028"/>
      <c r="P1018" s="2024"/>
      <c r="Q1018" s="1238"/>
      <c r="R1018" s="1239"/>
      <c r="S1018" s="2096"/>
      <c r="T1018" s="1572"/>
    </row>
    <row r="1019" spans="1:20" ht="18.75" customHeight="1">
      <c r="A1019" s="2927"/>
      <c r="B1019" s="1237"/>
      <c r="C1019" s="1237"/>
      <c r="D1019" s="1237"/>
      <c r="E1019" s="1237"/>
      <c r="F1019" s="1237"/>
      <c r="G1019" s="1237"/>
      <c r="H1019" s="1237"/>
      <c r="I1019" s="1237"/>
      <c r="J1019" s="1237"/>
      <c r="K1019" s="1237"/>
      <c r="L1019" s="1237"/>
      <c r="M1019" s="1237"/>
      <c r="N1019" s="1237"/>
      <c r="O1019" s="2028"/>
      <c r="P1019" s="2024"/>
      <c r="Q1019" s="1238"/>
      <c r="R1019" s="1239"/>
      <c r="S1019" s="2096"/>
      <c r="T1019" s="1572"/>
    </row>
    <row r="1020" spans="1:20" ht="18.75" customHeight="1">
      <c r="A1020" s="2927"/>
      <c r="B1020" s="1237"/>
      <c r="C1020" s="1237"/>
      <c r="D1020" s="1237"/>
      <c r="E1020" s="1237"/>
      <c r="F1020" s="1237"/>
      <c r="G1020" s="1237"/>
      <c r="H1020" s="1237"/>
      <c r="I1020" s="1237"/>
      <c r="J1020" s="1237"/>
      <c r="K1020" s="1237"/>
      <c r="L1020" s="1237"/>
      <c r="M1020" s="1237"/>
      <c r="N1020" s="1237"/>
      <c r="O1020" s="2028"/>
      <c r="P1020" s="2024"/>
      <c r="Q1020" s="1238"/>
      <c r="R1020" s="1239"/>
      <c r="S1020" s="2096"/>
      <c r="T1020" s="1572"/>
    </row>
    <row r="1021" spans="1:20" ht="18.75" customHeight="1">
      <c r="A1021" s="2927"/>
      <c r="B1021" s="1237"/>
      <c r="C1021" s="1237"/>
      <c r="D1021" s="1237"/>
      <c r="E1021" s="1237"/>
      <c r="F1021" s="1237"/>
      <c r="G1021" s="1237"/>
      <c r="H1021" s="1237"/>
      <c r="I1021" s="1237"/>
      <c r="J1021" s="1237"/>
      <c r="K1021" s="1237"/>
      <c r="L1021" s="1237"/>
      <c r="M1021" s="1237"/>
      <c r="N1021" s="1237"/>
      <c r="O1021" s="2028"/>
      <c r="P1021" s="2024"/>
      <c r="Q1021" s="1238"/>
      <c r="R1021" s="1239"/>
      <c r="S1021" s="2096"/>
      <c r="T1021" s="1572"/>
    </row>
    <row r="1022" spans="1:20" ht="18.75" customHeight="1">
      <c r="A1022" s="2927"/>
      <c r="B1022" s="1237"/>
      <c r="C1022" s="1237"/>
      <c r="D1022" s="1237"/>
      <c r="E1022" s="1237"/>
      <c r="F1022" s="1237"/>
      <c r="G1022" s="1237"/>
      <c r="H1022" s="1237"/>
      <c r="I1022" s="1237"/>
      <c r="J1022" s="1237"/>
      <c r="K1022" s="1237"/>
      <c r="L1022" s="1237"/>
      <c r="M1022" s="1237"/>
      <c r="N1022" s="1237"/>
      <c r="O1022" s="2028"/>
      <c r="P1022" s="2024"/>
      <c r="Q1022" s="1238"/>
      <c r="R1022" s="1239"/>
      <c r="S1022" s="2096"/>
      <c r="T1022" s="1572"/>
    </row>
    <row r="1023" spans="1:20" ht="18.75" customHeight="1">
      <c r="A1023" s="2927"/>
      <c r="B1023" s="1237"/>
      <c r="C1023" s="1237"/>
      <c r="D1023" s="1237"/>
      <c r="E1023" s="1237"/>
      <c r="F1023" s="1237"/>
      <c r="G1023" s="1237"/>
      <c r="H1023" s="1237"/>
      <c r="I1023" s="1237"/>
      <c r="J1023" s="1237"/>
      <c r="K1023" s="1237"/>
      <c r="L1023" s="1237"/>
      <c r="M1023" s="1237"/>
      <c r="N1023" s="1237"/>
      <c r="O1023" s="2032"/>
      <c r="P1023" s="2073"/>
      <c r="Q1023" s="1238"/>
      <c r="R1023" s="1239"/>
      <c r="S1023" s="2096"/>
      <c r="T1023" s="2089"/>
    </row>
    <row r="1024" spans="1:20" ht="18.75" customHeight="1">
      <c r="A1024" s="2927"/>
      <c r="B1024" s="1237"/>
      <c r="C1024" s="1237"/>
      <c r="D1024" s="1237"/>
      <c r="E1024" s="1237"/>
      <c r="F1024" s="1237"/>
      <c r="G1024" s="1237"/>
      <c r="H1024" s="1237"/>
      <c r="I1024" s="1237"/>
      <c r="J1024" s="1237"/>
      <c r="K1024" s="1237"/>
      <c r="L1024" s="1237"/>
      <c r="M1024" s="1237"/>
      <c r="N1024" s="1237"/>
      <c r="O1024" s="2028"/>
      <c r="P1024" s="2073"/>
      <c r="Q1024" s="1238"/>
      <c r="R1024" s="1239"/>
      <c r="S1024" s="2096"/>
      <c r="T1024" s="1572"/>
    </row>
    <row r="1025" spans="1:20" ht="18.75" customHeight="1">
      <c r="A1025" s="2927"/>
      <c r="B1025" s="1237"/>
      <c r="C1025" s="1237"/>
      <c r="D1025" s="1237"/>
      <c r="E1025" s="1237"/>
      <c r="F1025" s="1237"/>
      <c r="G1025" s="1237"/>
      <c r="H1025" s="1237"/>
      <c r="I1025" s="1237"/>
      <c r="J1025" s="1237"/>
      <c r="K1025" s="1237"/>
      <c r="L1025" s="1237"/>
      <c r="M1025" s="1237"/>
      <c r="N1025" s="1237"/>
      <c r="O1025" s="2033"/>
      <c r="P1025" s="2073"/>
      <c r="Q1025" s="1238"/>
      <c r="R1025" s="1239"/>
      <c r="S1025" s="2096"/>
      <c r="T1025" s="1573"/>
    </row>
    <row r="1026" spans="1:20" ht="18.75" customHeight="1">
      <c r="A1026" s="2927"/>
      <c r="B1026" s="1237"/>
      <c r="C1026" s="1237"/>
      <c r="D1026" s="1237"/>
      <c r="E1026" s="1237"/>
      <c r="F1026" s="1237"/>
      <c r="G1026" s="1237"/>
      <c r="H1026" s="1237"/>
      <c r="I1026" s="1237"/>
      <c r="J1026" s="1237"/>
      <c r="K1026" s="1237"/>
      <c r="L1026" s="1237"/>
      <c r="M1026" s="1237"/>
      <c r="N1026" s="1237"/>
      <c r="O1026" s="2033"/>
      <c r="P1026" s="2073"/>
      <c r="Q1026" s="1238"/>
      <c r="R1026" s="1239"/>
      <c r="S1026" s="2096"/>
      <c r="T1026" s="1573"/>
    </row>
    <row r="1027" spans="1:20" ht="18.75" customHeight="1">
      <c r="A1027" s="2927"/>
      <c r="B1027" s="1237"/>
      <c r="C1027" s="1237"/>
      <c r="D1027" s="1237"/>
      <c r="E1027" s="1237"/>
      <c r="F1027" s="1237"/>
      <c r="G1027" s="1237"/>
      <c r="H1027" s="1237"/>
      <c r="I1027" s="1237"/>
      <c r="J1027" s="1237"/>
      <c r="K1027" s="1237"/>
      <c r="L1027" s="1237"/>
      <c r="M1027" s="1237"/>
      <c r="N1027" s="1237"/>
      <c r="O1027" s="2033"/>
      <c r="P1027" s="2607"/>
      <c r="Q1027" s="1238"/>
      <c r="R1027" s="1239"/>
      <c r="S1027" s="2096"/>
      <c r="T1027" s="1573"/>
    </row>
    <row r="1028" spans="1:20" ht="18.75" customHeight="1">
      <c r="A1028" s="2927"/>
      <c r="B1028" s="1237"/>
      <c r="C1028" s="1237"/>
      <c r="D1028" s="1237"/>
      <c r="E1028" s="1237"/>
      <c r="F1028" s="1237"/>
      <c r="G1028" s="1237"/>
      <c r="H1028" s="1237"/>
      <c r="I1028" s="1237"/>
      <c r="J1028" s="1237"/>
      <c r="K1028" s="1237"/>
      <c r="L1028" s="1237"/>
      <c r="M1028" s="1237"/>
      <c r="N1028" s="1237"/>
      <c r="O1028" s="2024"/>
      <c r="P1028" s="2946"/>
      <c r="Q1028" s="1238"/>
      <c r="R1028" s="1239"/>
      <c r="S1028" s="2096"/>
      <c r="T1028" s="1573"/>
    </row>
    <row r="1029" spans="1:20" ht="18.75" customHeight="1">
      <c r="A1029" s="2927"/>
      <c r="B1029" s="1237"/>
      <c r="C1029" s="1237"/>
      <c r="D1029" s="1237"/>
      <c r="E1029" s="1237"/>
      <c r="F1029" s="1237"/>
      <c r="G1029" s="1237"/>
      <c r="H1029" s="1237"/>
      <c r="I1029" s="1237"/>
      <c r="J1029" s="1237"/>
      <c r="K1029" s="1237"/>
      <c r="L1029" s="1237"/>
      <c r="M1029" s="1237"/>
      <c r="N1029" s="1237"/>
      <c r="O1029" s="2024"/>
      <c r="P1029" s="2947"/>
      <c r="Q1029" s="1238"/>
      <c r="R1029" s="1239"/>
      <c r="S1029" s="2096"/>
      <c r="T1029" s="1573"/>
    </row>
    <row r="1030" spans="1:20" ht="18.75" customHeight="1">
      <c r="A1030" s="2927"/>
      <c r="B1030" s="1237"/>
      <c r="C1030" s="1237"/>
      <c r="D1030" s="1237"/>
      <c r="E1030" s="1237"/>
      <c r="F1030" s="1237"/>
      <c r="G1030" s="1237"/>
      <c r="H1030" s="1237"/>
      <c r="I1030" s="1237"/>
      <c r="J1030" s="1237"/>
      <c r="K1030" s="1237"/>
      <c r="L1030" s="1237"/>
      <c r="M1030" s="1237"/>
      <c r="N1030" s="1237"/>
      <c r="O1030" s="2024"/>
      <c r="P1030" s="2947"/>
      <c r="Q1030" s="1238"/>
      <c r="R1030" s="1239"/>
      <c r="S1030" s="2096"/>
      <c r="T1030" s="1572"/>
    </row>
    <row r="1031" spans="1:20" ht="18.75" customHeight="1">
      <c r="A1031" s="2927"/>
      <c r="B1031" s="1237"/>
      <c r="C1031" s="1237"/>
      <c r="D1031" s="1237"/>
      <c r="E1031" s="1237"/>
      <c r="F1031" s="1237"/>
      <c r="G1031" s="1237"/>
      <c r="H1031" s="1237"/>
      <c r="I1031" s="1237"/>
      <c r="J1031" s="2945"/>
      <c r="K1031" s="2945"/>
      <c r="L1031" s="2945"/>
      <c r="M1031" s="1237"/>
      <c r="N1031" s="1237"/>
      <c r="O1031" s="2024"/>
      <c r="P1031" s="2947"/>
      <c r="Q1031" s="1238"/>
      <c r="R1031" s="1239"/>
      <c r="S1031" s="2096"/>
      <c r="T1031" s="1572"/>
    </row>
    <row r="1032" spans="1:20" ht="18.75" customHeight="1">
      <c r="A1032" s="2927"/>
      <c r="B1032" s="1237"/>
      <c r="C1032" s="1237"/>
      <c r="D1032" s="1237"/>
      <c r="E1032" s="1237"/>
      <c r="F1032" s="1237"/>
      <c r="G1032" s="1237"/>
      <c r="H1032" s="1237"/>
      <c r="I1032" s="1237"/>
      <c r="J1032" s="1237"/>
      <c r="K1032" s="1237"/>
      <c r="L1032" s="1237"/>
      <c r="M1032" s="1237"/>
      <c r="N1032" s="1237"/>
      <c r="O1032" s="2024"/>
      <c r="P1032" s="2947"/>
      <c r="Q1032" s="1238"/>
      <c r="R1032" s="1239"/>
      <c r="S1032" s="2096"/>
      <c r="T1032" s="1572"/>
    </row>
    <row r="1033" spans="1:20" ht="18.75" customHeight="1">
      <c r="A1033" s="2927"/>
      <c r="B1033" s="1237"/>
      <c r="C1033" s="1237"/>
      <c r="D1033" s="1237"/>
      <c r="E1033" s="1237"/>
      <c r="F1033" s="1237"/>
      <c r="G1033" s="1237"/>
      <c r="H1033" s="1237"/>
      <c r="I1033" s="1237"/>
      <c r="J1033" s="1237"/>
      <c r="K1033" s="1237"/>
      <c r="L1033" s="1237"/>
      <c r="M1033" s="1237"/>
      <c r="N1033" s="1237"/>
      <c r="O1033" s="2024"/>
      <c r="P1033" s="2947"/>
      <c r="Q1033" s="1238"/>
      <c r="R1033" s="1239"/>
      <c r="S1033" s="2096"/>
      <c r="T1033" s="1572"/>
    </row>
    <row r="1034" spans="1:20" ht="18.75" customHeight="1">
      <c r="A1034" s="2927"/>
      <c r="B1034" s="1237"/>
      <c r="C1034" s="1237"/>
      <c r="D1034" s="1237"/>
      <c r="E1034" s="1237"/>
      <c r="F1034" s="1237"/>
      <c r="G1034" s="1237"/>
      <c r="H1034" s="1237"/>
      <c r="I1034" s="1237"/>
      <c r="J1034" s="1237"/>
      <c r="K1034" s="1237"/>
      <c r="L1034" s="1237"/>
      <c r="M1034" s="1237"/>
      <c r="N1034" s="1237"/>
      <c r="O1034" s="2024"/>
      <c r="P1034" s="2948"/>
      <c r="Q1034" s="1238"/>
      <c r="R1034" s="1239"/>
    </row>
    <row r="1035" spans="1:20" ht="18.75" customHeight="1">
      <c r="A1035" s="2927"/>
      <c r="B1035" s="1237"/>
      <c r="C1035" s="1237"/>
      <c r="D1035" s="1237"/>
      <c r="E1035" s="1237"/>
      <c r="F1035" s="1237"/>
      <c r="G1035" s="1237"/>
      <c r="H1035" s="1237"/>
      <c r="I1035" s="1237"/>
      <c r="J1035" s="1237"/>
      <c r="K1035" s="1237"/>
      <c r="L1035" s="1237"/>
      <c r="M1035" s="1237"/>
      <c r="N1035" s="1237"/>
      <c r="O1035" s="2024"/>
      <c r="P1035" s="2946"/>
      <c r="Q1035" s="1238"/>
      <c r="R1035" s="1239"/>
    </row>
    <row r="1036" spans="1:20" ht="18.75" customHeight="1">
      <c r="A1036" s="2927"/>
      <c r="B1036" s="1237"/>
      <c r="C1036" s="1237"/>
      <c r="D1036" s="1237"/>
      <c r="E1036" s="1237"/>
      <c r="F1036" s="1237"/>
      <c r="G1036" s="1237"/>
      <c r="H1036" s="1237"/>
      <c r="I1036" s="1237"/>
      <c r="J1036" s="2945"/>
      <c r="K1036" s="2945"/>
      <c r="L1036" s="2945"/>
      <c r="M1036" s="1237"/>
      <c r="N1036" s="1237"/>
      <c r="O1036" s="2024"/>
      <c r="P1036" s="2947"/>
      <c r="Q1036" s="1238"/>
      <c r="R1036" s="1239"/>
    </row>
    <row r="1037" spans="1:20" ht="18.75" customHeight="1">
      <c r="A1037" s="2927"/>
      <c r="B1037" s="1237"/>
      <c r="C1037" s="1237"/>
      <c r="D1037" s="1237"/>
      <c r="E1037" s="1237"/>
      <c r="F1037" s="1237"/>
      <c r="G1037" s="1237"/>
      <c r="H1037" s="1237"/>
      <c r="I1037" s="1237"/>
      <c r="J1037" s="1237"/>
      <c r="K1037" s="1237"/>
      <c r="L1037" s="1237"/>
      <c r="M1037" s="1237"/>
      <c r="N1037" s="1237"/>
      <c r="O1037" s="2024"/>
      <c r="P1037" s="2947"/>
      <c r="Q1037" s="1238"/>
      <c r="R1037" s="1239"/>
    </row>
    <row r="1038" spans="1:20" ht="18.75" customHeight="1">
      <c r="A1038" s="2927"/>
      <c r="B1038" s="1237"/>
      <c r="C1038" s="1237"/>
      <c r="D1038" s="1237"/>
      <c r="E1038" s="1237"/>
      <c r="F1038" s="1237"/>
      <c r="G1038" s="1237"/>
      <c r="H1038" s="1237"/>
      <c r="I1038" s="1237"/>
      <c r="J1038" s="1237"/>
      <c r="K1038" s="1237"/>
      <c r="L1038" s="1237"/>
      <c r="M1038" s="1237"/>
      <c r="N1038" s="1237"/>
      <c r="O1038" s="2024"/>
      <c r="P1038" s="2947"/>
      <c r="Q1038" s="1238"/>
      <c r="R1038" s="1239"/>
    </row>
    <row r="1039" spans="1:20" ht="18.75" customHeight="1">
      <c r="A1039" s="2927"/>
      <c r="B1039" s="1237"/>
      <c r="C1039" s="1237"/>
      <c r="D1039" s="1237"/>
      <c r="E1039" s="1237"/>
      <c r="F1039" s="1237"/>
      <c r="G1039" s="1237"/>
      <c r="H1039" s="1237"/>
      <c r="I1039" s="1237"/>
      <c r="J1039" s="1237"/>
      <c r="K1039" s="1237"/>
      <c r="L1039" s="1237"/>
      <c r="M1039" s="1237"/>
      <c r="N1039" s="1237"/>
      <c r="O1039" s="2024"/>
      <c r="P1039" s="2947"/>
      <c r="Q1039" s="1238"/>
      <c r="R1039" s="1239"/>
    </row>
    <row r="1040" spans="1:20" ht="18.75" customHeight="1">
      <c r="A1040" s="2927"/>
      <c r="B1040" s="1237"/>
      <c r="C1040" s="1237"/>
      <c r="D1040" s="1237"/>
      <c r="E1040" s="1237"/>
      <c r="F1040" s="1237"/>
      <c r="G1040" s="1237"/>
      <c r="H1040" s="1237"/>
      <c r="I1040" s="1237"/>
      <c r="J1040" s="1237"/>
      <c r="K1040" s="1237"/>
      <c r="L1040" s="1237"/>
      <c r="M1040" s="1237"/>
      <c r="N1040" s="1237"/>
      <c r="O1040" s="2024"/>
      <c r="P1040" s="2947"/>
      <c r="Q1040" s="1238"/>
      <c r="R1040" s="1239"/>
    </row>
    <row r="1041" spans="1:18" ht="18.75" customHeight="1">
      <c r="A1041" s="2927"/>
      <c r="B1041" s="1237"/>
      <c r="C1041" s="1237"/>
      <c r="D1041" s="1237"/>
      <c r="E1041" s="1237"/>
      <c r="F1041" s="1237"/>
      <c r="G1041" s="1237"/>
      <c r="H1041" s="1237"/>
      <c r="I1041" s="1237"/>
      <c r="J1041" s="2945"/>
      <c r="K1041" s="2945"/>
      <c r="L1041" s="2945"/>
      <c r="M1041" s="1237"/>
      <c r="N1041" s="1237"/>
      <c r="O1041" s="2024"/>
      <c r="P1041" s="2947"/>
      <c r="Q1041" s="1238"/>
      <c r="R1041" s="1239"/>
    </row>
    <row r="1042" spans="1:18" ht="18.75" customHeight="1">
      <c r="A1042" s="2927"/>
      <c r="B1042" s="1237"/>
      <c r="C1042" s="1237"/>
      <c r="D1042" s="1237"/>
      <c r="E1042" s="1237"/>
      <c r="F1042" s="1237"/>
      <c r="G1042" s="1237"/>
      <c r="H1042" s="1237"/>
      <c r="I1042" s="1237"/>
      <c r="J1042" s="1237"/>
      <c r="K1042" s="1237"/>
      <c r="L1042" s="1237"/>
      <c r="M1042" s="1237"/>
      <c r="N1042" s="1237"/>
      <c r="O1042" s="2024"/>
      <c r="P1042" s="2948"/>
      <c r="Q1042" s="1238"/>
      <c r="R1042" s="1239"/>
    </row>
    <row r="1043" spans="1:18" ht="18.75" customHeight="1">
      <c r="A1043" s="2927"/>
      <c r="B1043" s="1237"/>
      <c r="C1043" s="1237"/>
      <c r="D1043" s="1237"/>
      <c r="E1043" s="1237"/>
      <c r="F1043" s="1237"/>
      <c r="G1043" s="1237"/>
      <c r="H1043" s="1237"/>
      <c r="I1043" s="1237"/>
      <c r="J1043" s="1240"/>
      <c r="K1043" s="1604"/>
      <c r="L1043" s="1604"/>
      <c r="M1043" s="1237"/>
      <c r="N1043" s="1237"/>
      <c r="O1043" s="2024"/>
      <c r="P1043" s="2946"/>
      <c r="Q1043" s="1238"/>
      <c r="R1043" s="1239"/>
    </row>
    <row r="1044" spans="1:18" ht="18.75" customHeight="1">
      <c r="A1044" s="2927"/>
      <c r="B1044" s="1237"/>
      <c r="C1044" s="1237"/>
      <c r="D1044" s="1237"/>
      <c r="E1044" s="1237"/>
      <c r="F1044" s="1237"/>
      <c r="G1044" s="1237"/>
      <c r="H1044" s="1237"/>
      <c r="I1044" s="1237"/>
      <c r="J1044" s="1240"/>
      <c r="K1044" s="1604"/>
      <c r="L1044" s="1604"/>
      <c r="M1044" s="1237"/>
      <c r="N1044" s="1237"/>
      <c r="O1044" s="2024"/>
      <c r="P1044" s="2947"/>
      <c r="Q1044" s="1238"/>
      <c r="R1044" s="1239"/>
    </row>
    <row r="1045" spans="1:18" ht="18.75" customHeight="1">
      <c r="A1045" s="2927"/>
      <c r="B1045" s="1237"/>
      <c r="C1045" s="1237"/>
      <c r="D1045" s="1237"/>
      <c r="E1045" s="1237"/>
      <c r="F1045" s="1237"/>
      <c r="G1045" s="1237"/>
      <c r="H1045" s="1237"/>
      <c r="I1045" s="1237"/>
      <c r="J1045" s="1240"/>
      <c r="K1045" s="1604"/>
      <c r="L1045" s="1604"/>
      <c r="M1045" s="1237"/>
      <c r="N1045" s="1237"/>
      <c r="O1045" s="2024"/>
      <c r="P1045" s="2947"/>
      <c r="Q1045" s="1238"/>
      <c r="R1045" s="1239"/>
    </row>
    <row r="1046" spans="1:18" ht="18.75" customHeight="1">
      <c r="A1046" s="2927"/>
      <c r="B1046" s="1237"/>
      <c r="C1046" s="1237"/>
      <c r="D1046" s="1237"/>
      <c r="E1046" s="1237"/>
      <c r="F1046" s="1237"/>
      <c r="G1046" s="1237"/>
      <c r="H1046" s="1237"/>
      <c r="I1046" s="1237"/>
      <c r="J1046" s="1240"/>
      <c r="K1046" s="1604"/>
      <c r="L1046" s="1604"/>
      <c r="M1046" s="1237"/>
      <c r="N1046" s="1237"/>
      <c r="O1046" s="2024"/>
      <c r="P1046" s="2947"/>
      <c r="Q1046" s="1238"/>
      <c r="R1046" s="1239"/>
    </row>
    <row r="1047" spans="1:18" ht="18.75" customHeight="1">
      <c r="A1047" s="2927"/>
      <c r="B1047" s="1237"/>
      <c r="C1047" s="1237"/>
      <c r="D1047" s="1237"/>
      <c r="E1047" s="1237"/>
      <c r="F1047" s="1237"/>
      <c r="G1047" s="1237"/>
      <c r="H1047" s="1237"/>
      <c r="I1047" s="1237"/>
      <c r="J1047" s="1240"/>
      <c r="K1047" s="1604"/>
      <c r="L1047" s="1604"/>
      <c r="M1047" s="1237"/>
      <c r="N1047" s="1237"/>
      <c r="O1047" s="2024"/>
      <c r="P1047" s="2947"/>
      <c r="Q1047" s="1238"/>
      <c r="R1047" s="1239"/>
    </row>
    <row r="1048" spans="1:18" ht="18.75" customHeight="1">
      <c r="A1048" s="2927"/>
      <c r="B1048" s="1237"/>
      <c r="C1048" s="1237"/>
      <c r="D1048" s="1237"/>
      <c r="E1048" s="1237"/>
      <c r="F1048" s="1237"/>
      <c r="G1048" s="1237"/>
      <c r="H1048" s="1237"/>
      <c r="I1048" s="1237"/>
      <c r="J1048" s="1240"/>
      <c r="K1048" s="1604"/>
      <c r="L1048" s="1604"/>
      <c r="M1048" s="1237"/>
      <c r="N1048" s="1237"/>
      <c r="O1048" s="2024"/>
      <c r="P1048" s="2948"/>
      <c r="Q1048" s="1238"/>
      <c r="R1048" s="1239"/>
    </row>
    <row r="1049" spans="1:18" ht="18.75" customHeight="1">
      <c r="A1049" s="2927"/>
      <c r="B1049" s="1237"/>
      <c r="C1049" s="1237"/>
      <c r="D1049" s="1237"/>
      <c r="E1049" s="1237"/>
      <c r="F1049" s="1237"/>
      <c r="G1049" s="1237"/>
      <c r="H1049" s="1237"/>
      <c r="I1049" s="1237"/>
      <c r="J1049" s="1240"/>
      <c r="K1049" s="1604"/>
      <c r="L1049" s="1604"/>
      <c r="M1049" s="1237"/>
      <c r="N1049" s="1237"/>
      <c r="O1049" s="2024"/>
      <c r="P1049" s="2946"/>
      <c r="Q1049" s="1238"/>
      <c r="R1049" s="1239"/>
    </row>
    <row r="1050" spans="1:18" ht="18.75" customHeight="1">
      <c r="A1050" s="2927"/>
      <c r="B1050" s="1237"/>
      <c r="C1050" s="1237"/>
      <c r="D1050" s="1237"/>
      <c r="E1050" s="1237"/>
      <c r="F1050" s="1237"/>
      <c r="G1050" s="1237"/>
      <c r="H1050" s="1237"/>
      <c r="I1050" s="1237"/>
      <c r="J1050" s="1240"/>
      <c r="K1050" s="1604"/>
      <c r="L1050" s="1604"/>
      <c r="M1050" s="1237"/>
      <c r="N1050" s="1237"/>
      <c r="O1050" s="2024"/>
      <c r="P1050" s="2947"/>
      <c r="Q1050" s="1238"/>
      <c r="R1050" s="1239"/>
    </row>
    <row r="1051" spans="1:18" ht="18.75" customHeight="1">
      <c r="A1051" s="2927"/>
      <c r="B1051" s="1237"/>
      <c r="C1051" s="1237"/>
      <c r="D1051" s="1237"/>
      <c r="E1051" s="1237"/>
      <c r="F1051" s="1237"/>
      <c r="G1051" s="1237"/>
      <c r="H1051" s="1237"/>
      <c r="I1051" s="1237"/>
      <c r="J1051" s="1237"/>
      <c r="K1051" s="1237"/>
      <c r="L1051" s="1237"/>
      <c r="M1051" s="1237"/>
      <c r="N1051" s="1237"/>
      <c r="O1051" s="2024"/>
      <c r="P1051" s="2947"/>
      <c r="Q1051" s="1238"/>
      <c r="R1051" s="1239"/>
    </row>
    <row r="1052" spans="1:18" ht="18.75" customHeight="1">
      <c r="A1052" s="2927"/>
      <c r="B1052" s="1237"/>
      <c r="C1052" s="1237"/>
      <c r="D1052" s="1237"/>
      <c r="E1052" s="1237"/>
      <c r="F1052" s="1237"/>
      <c r="G1052" s="1237"/>
      <c r="H1052" s="1237"/>
      <c r="I1052" s="1237"/>
      <c r="J1052" s="1237"/>
      <c r="K1052" s="1237"/>
      <c r="L1052" s="1237"/>
      <c r="M1052" s="1237"/>
      <c r="N1052" s="1237"/>
      <c r="O1052" s="2024"/>
      <c r="P1052" s="2947"/>
      <c r="Q1052" s="1238"/>
      <c r="R1052" s="1239"/>
    </row>
    <row r="1053" spans="1:18" ht="18.75" customHeight="1">
      <c r="A1053" s="2927"/>
      <c r="B1053" s="1237"/>
      <c r="C1053" s="1237"/>
      <c r="D1053" s="1237"/>
      <c r="E1053" s="1237"/>
      <c r="F1053" s="1237"/>
      <c r="G1053" s="1237"/>
      <c r="H1053" s="1237"/>
      <c r="I1053" s="1237"/>
      <c r="J1053" s="2945"/>
      <c r="K1053" s="2945"/>
      <c r="L1053" s="2945"/>
      <c r="M1053" s="1237"/>
      <c r="N1053" s="1237"/>
      <c r="O1053" s="2024"/>
      <c r="P1053" s="2948"/>
      <c r="Q1053" s="1238"/>
      <c r="R1053" s="1239"/>
    </row>
    <row r="1054" spans="1:18" ht="18.75" customHeight="1">
      <c r="A1054" s="2927"/>
      <c r="B1054" s="1237"/>
      <c r="C1054" s="1237"/>
      <c r="D1054" s="1237"/>
      <c r="E1054" s="1237"/>
      <c r="F1054" s="1237"/>
      <c r="G1054" s="1237"/>
      <c r="H1054" s="1237"/>
      <c r="I1054" s="1237"/>
      <c r="J1054" s="1237"/>
      <c r="K1054" s="1237"/>
      <c r="L1054" s="1237"/>
      <c r="M1054" s="1237"/>
      <c r="N1054" s="1237"/>
      <c r="O1054" s="2024"/>
      <c r="P1054" s="2946"/>
      <c r="Q1054" s="1238"/>
      <c r="R1054" s="1239"/>
    </row>
    <row r="1055" spans="1:18" ht="18.75" customHeight="1">
      <c r="A1055" s="2927"/>
      <c r="B1055" s="1237"/>
      <c r="C1055" s="1237"/>
      <c r="D1055" s="1237"/>
      <c r="E1055" s="1237"/>
      <c r="F1055" s="1237"/>
      <c r="G1055" s="1237"/>
      <c r="H1055" s="1237"/>
      <c r="I1055" s="1237"/>
      <c r="J1055" s="1237"/>
      <c r="K1055" s="1237"/>
      <c r="L1055" s="1237"/>
      <c r="M1055" s="1237"/>
      <c r="N1055" s="1237"/>
      <c r="O1055" s="2024"/>
      <c r="P1055" s="2947"/>
      <c r="Q1055" s="1238"/>
      <c r="R1055" s="1239"/>
    </row>
    <row r="1056" spans="1:18" ht="18.75" customHeight="1">
      <c r="A1056" s="2927"/>
      <c r="B1056" s="1237"/>
      <c r="C1056" s="1237"/>
      <c r="D1056" s="1237"/>
      <c r="E1056" s="1237"/>
      <c r="F1056" s="1237"/>
      <c r="G1056" s="1237"/>
      <c r="H1056" s="1237"/>
      <c r="I1056" s="1237"/>
      <c r="J1056" s="1237"/>
      <c r="K1056" s="1237"/>
      <c r="L1056" s="1237"/>
      <c r="M1056" s="1237"/>
      <c r="N1056" s="1237"/>
      <c r="O1056" s="2024"/>
      <c r="P1056" s="2947"/>
      <c r="Q1056" s="1238"/>
      <c r="R1056" s="1239"/>
    </row>
    <row r="1057" spans="1:18" ht="18.75" customHeight="1">
      <c r="A1057" s="2927"/>
      <c r="B1057" s="1237"/>
      <c r="C1057" s="1237"/>
      <c r="D1057" s="1237"/>
      <c r="E1057" s="1237"/>
      <c r="F1057" s="1237"/>
      <c r="G1057" s="1237"/>
      <c r="H1057" s="1237"/>
      <c r="I1057" s="1237"/>
      <c r="J1057" s="1237"/>
      <c r="K1057" s="1237"/>
      <c r="L1057" s="1237"/>
      <c r="M1057" s="1237"/>
      <c r="N1057" s="1237"/>
      <c r="O1057" s="2024"/>
      <c r="P1057" s="2947"/>
      <c r="Q1057" s="1238"/>
      <c r="R1057" s="1239"/>
    </row>
    <row r="1058" spans="1:18" ht="18.75" customHeight="1">
      <c r="A1058" s="2927"/>
      <c r="B1058" s="1237"/>
      <c r="C1058" s="1237"/>
      <c r="D1058" s="1237"/>
      <c r="E1058" s="1237"/>
      <c r="F1058" s="1237"/>
      <c r="G1058" s="1237"/>
      <c r="H1058" s="1237"/>
      <c r="I1058" s="1237"/>
      <c r="J1058" s="1237"/>
      <c r="K1058" s="1237"/>
      <c r="L1058" s="1237"/>
      <c r="M1058" s="1237"/>
      <c r="N1058" s="1237"/>
      <c r="O1058" s="2024"/>
      <c r="P1058" s="2948"/>
      <c r="Q1058" s="1238"/>
      <c r="R1058" s="1239"/>
    </row>
    <row r="1059" spans="1:18" ht="18.75" customHeight="1">
      <c r="A1059" s="2927"/>
      <c r="B1059" s="1237"/>
      <c r="C1059" s="1237"/>
      <c r="D1059" s="1237"/>
      <c r="E1059" s="1237"/>
      <c r="F1059" s="1237"/>
      <c r="G1059" s="1237"/>
      <c r="H1059" s="1237"/>
      <c r="I1059" s="1237"/>
      <c r="J1059" s="1237"/>
      <c r="K1059" s="1237"/>
      <c r="L1059" s="1237"/>
      <c r="M1059" s="1237"/>
      <c r="N1059" s="1237"/>
      <c r="O1059" s="2024"/>
      <c r="P1059" s="2946"/>
      <c r="Q1059" s="1238"/>
      <c r="R1059" s="1239"/>
    </row>
    <row r="1060" spans="1:18" ht="18.75" customHeight="1">
      <c r="A1060" s="2927"/>
      <c r="B1060" s="1237"/>
      <c r="C1060" s="1237"/>
      <c r="D1060" s="1237"/>
      <c r="E1060" s="1237"/>
      <c r="F1060" s="1237"/>
      <c r="G1060" s="1237"/>
      <c r="H1060" s="1237"/>
      <c r="I1060" s="1237"/>
      <c r="J1060" s="2945"/>
      <c r="K1060" s="2945"/>
      <c r="L1060" s="2945"/>
      <c r="M1060" s="1237"/>
      <c r="N1060" s="1237"/>
      <c r="O1060" s="2024"/>
      <c r="P1060" s="2947"/>
      <c r="Q1060" s="1238"/>
      <c r="R1060" s="1239"/>
    </row>
    <row r="1061" spans="1:18" ht="18.75" customHeight="1">
      <c r="A1061" s="2927"/>
      <c r="B1061" s="1237"/>
      <c r="C1061" s="1237"/>
      <c r="D1061" s="1237"/>
      <c r="E1061" s="1237"/>
      <c r="F1061" s="1237"/>
      <c r="G1061" s="1237"/>
      <c r="H1061" s="1237"/>
      <c r="I1061" s="1237"/>
      <c r="J1061" s="1237"/>
      <c r="K1061" s="1237"/>
      <c r="L1061" s="1237"/>
      <c r="M1061" s="1237"/>
      <c r="N1061" s="1237"/>
      <c r="O1061" s="2024"/>
      <c r="P1061" s="2947"/>
      <c r="Q1061" s="1238"/>
      <c r="R1061" s="1239"/>
    </row>
    <row r="1062" spans="1:18" ht="18.75" customHeight="1">
      <c r="A1062" s="2927"/>
      <c r="B1062" s="1237"/>
      <c r="C1062" s="1237"/>
      <c r="D1062" s="1237"/>
      <c r="E1062" s="1237"/>
      <c r="F1062" s="1237"/>
      <c r="G1062" s="1237"/>
      <c r="H1062" s="1237"/>
      <c r="I1062" s="1237"/>
      <c r="J1062" s="1237"/>
      <c r="K1062" s="1237"/>
      <c r="L1062" s="1237"/>
      <c r="M1062" s="1237"/>
      <c r="N1062" s="1237"/>
      <c r="O1062" s="2024"/>
      <c r="P1062" s="2947"/>
      <c r="Q1062" s="1238"/>
      <c r="R1062" s="1239"/>
    </row>
    <row r="1063" spans="1:18" ht="18.75" customHeight="1">
      <c r="A1063" s="2927"/>
      <c r="B1063" s="1237"/>
      <c r="C1063" s="1237"/>
      <c r="D1063" s="1237"/>
      <c r="E1063" s="1237"/>
      <c r="F1063" s="1237"/>
      <c r="G1063" s="1237"/>
      <c r="H1063" s="1237"/>
      <c r="I1063" s="1237"/>
      <c r="J1063" s="1638"/>
      <c r="K1063" s="1638"/>
      <c r="L1063" s="1638"/>
      <c r="M1063" s="1237"/>
      <c r="N1063" s="1237"/>
      <c r="O1063" s="2024"/>
      <c r="P1063" s="2947"/>
      <c r="Q1063" s="1238"/>
      <c r="R1063" s="1239"/>
    </row>
    <row r="1064" spans="1:18" ht="18.75" customHeight="1">
      <c r="A1064" s="2927"/>
      <c r="B1064" s="1237"/>
      <c r="C1064" s="1237"/>
      <c r="D1064" s="1237"/>
      <c r="E1064" s="1237"/>
      <c r="F1064" s="1237"/>
      <c r="G1064" s="1237"/>
      <c r="H1064" s="1237"/>
      <c r="I1064" s="1237"/>
      <c r="J1064" s="1237"/>
      <c r="K1064" s="1237"/>
      <c r="L1064" s="1237"/>
      <c r="M1064" s="1237"/>
      <c r="N1064" s="1237"/>
      <c r="O1064" s="2024"/>
      <c r="P1064" s="2947"/>
      <c r="Q1064" s="1238"/>
      <c r="R1064" s="1239"/>
    </row>
    <row r="1065" spans="1:18" ht="18.75" customHeight="1">
      <c r="A1065" s="2927"/>
      <c r="B1065" s="1237"/>
      <c r="C1065" s="1237"/>
      <c r="D1065" s="1237"/>
      <c r="E1065" s="1237"/>
      <c r="F1065" s="1237"/>
      <c r="G1065" s="1237"/>
      <c r="H1065" s="1237"/>
      <c r="I1065" s="1237"/>
      <c r="J1065" s="1237"/>
      <c r="K1065" s="1237"/>
      <c r="L1065" s="1237"/>
      <c r="M1065" s="1237"/>
      <c r="N1065" s="1237"/>
      <c r="O1065" s="2024"/>
      <c r="P1065" s="2947"/>
      <c r="Q1065" s="1238"/>
      <c r="R1065" s="1239"/>
    </row>
    <row r="1066" spans="1:18" ht="18.75" customHeight="1">
      <c r="A1066" s="2927"/>
      <c r="B1066" s="1237"/>
      <c r="C1066" s="1237"/>
      <c r="D1066" s="1237"/>
      <c r="E1066" s="1237"/>
      <c r="F1066" s="1237"/>
      <c r="G1066" s="1237"/>
      <c r="H1066" s="1237"/>
      <c r="I1066" s="1237"/>
      <c r="J1066" s="1237"/>
      <c r="K1066" s="1237"/>
      <c r="L1066" s="1237"/>
      <c r="M1066" s="1237"/>
      <c r="N1066" s="1237"/>
      <c r="O1066" s="2024"/>
      <c r="P1066" s="2947"/>
      <c r="Q1066" s="1238"/>
      <c r="R1066" s="1239"/>
    </row>
    <row r="1067" spans="1:18" ht="18.75" customHeight="1">
      <c r="A1067" s="2927"/>
      <c r="B1067" s="1237"/>
      <c r="C1067" s="1237"/>
      <c r="D1067" s="1237"/>
      <c r="E1067" s="1237"/>
      <c r="F1067" s="1237"/>
      <c r="G1067" s="1237"/>
      <c r="H1067" s="1237"/>
      <c r="I1067" s="1237"/>
      <c r="J1067" s="1237"/>
      <c r="K1067" s="1237"/>
      <c r="L1067" s="1237"/>
      <c r="M1067" s="1237"/>
      <c r="N1067" s="1237"/>
      <c r="O1067" s="2024"/>
      <c r="P1067" s="2947"/>
      <c r="Q1067" s="1238"/>
      <c r="R1067" s="1239"/>
    </row>
    <row r="1068" spans="1:18" ht="18.75" customHeight="1">
      <c r="A1068" s="2927"/>
      <c r="B1068" s="1237"/>
      <c r="C1068" s="1237"/>
      <c r="D1068" s="1237"/>
      <c r="E1068" s="1237"/>
      <c r="F1068" s="1237"/>
      <c r="G1068" s="1237"/>
      <c r="H1068" s="1237"/>
      <c r="I1068" s="1237"/>
      <c r="J1068" s="1237"/>
      <c r="K1068" s="1237"/>
      <c r="L1068" s="1237"/>
      <c r="M1068" s="1237"/>
      <c r="N1068" s="1237"/>
      <c r="O1068" s="2024"/>
      <c r="P1068" s="2948"/>
      <c r="Q1068" s="1238"/>
      <c r="R1068" s="1239"/>
    </row>
    <row r="1069" spans="1:18" ht="18.75" customHeight="1">
      <c r="A1069" s="2927"/>
      <c r="B1069" s="1237"/>
      <c r="C1069" s="1237"/>
      <c r="D1069" s="1237"/>
      <c r="E1069" s="1237"/>
      <c r="F1069" s="1237"/>
      <c r="G1069" s="1237"/>
      <c r="H1069" s="1237"/>
      <c r="I1069" s="1237"/>
      <c r="J1069" s="1237"/>
      <c r="K1069" s="1237"/>
      <c r="L1069" s="1237"/>
      <c r="M1069" s="1237"/>
      <c r="N1069" s="1237"/>
      <c r="O1069" s="2024"/>
      <c r="P1069" s="2946"/>
      <c r="Q1069" s="1238"/>
      <c r="R1069" s="1239"/>
    </row>
    <row r="1070" spans="1:18" ht="18.75" customHeight="1">
      <c r="A1070" s="2927"/>
      <c r="B1070" s="1237"/>
      <c r="C1070" s="1237"/>
      <c r="D1070" s="1237"/>
      <c r="E1070" s="1237"/>
      <c r="F1070" s="1237"/>
      <c r="G1070" s="1237"/>
      <c r="H1070" s="1237"/>
      <c r="I1070" s="1237"/>
      <c r="J1070" s="2945"/>
      <c r="K1070" s="2945"/>
      <c r="L1070" s="2945"/>
      <c r="M1070" s="1237"/>
      <c r="N1070" s="1237"/>
      <c r="O1070" s="2024"/>
      <c r="P1070" s="2947"/>
      <c r="Q1070" s="1238"/>
      <c r="R1070" s="1239"/>
    </row>
    <row r="1071" spans="1:18" ht="18.75" customHeight="1">
      <c r="A1071" s="2927"/>
      <c r="B1071" s="1237"/>
      <c r="C1071" s="1237"/>
      <c r="D1071" s="1237"/>
      <c r="E1071" s="1237"/>
      <c r="F1071" s="1237"/>
      <c r="G1071" s="1237"/>
      <c r="H1071" s="1237"/>
      <c r="I1071" s="1237"/>
      <c r="J1071" s="1237"/>
      <c r="K1071" s="1237"/>
      <c r="L1071" s="1237"/>
      <c r="M1071" s="1237"/>
      <c r="N1071" s="1237"/>
      <c r="O1071" s="2024"/>
      <c r="P1071" s="2947"/>
      <c r="Q1071" s="1238"/>
      <c r="R1071" s="1239"/>
    </row>
    <row r="1072" spans="1:18" ht="18.75" customHeight="1">
      <c r="A1072" s="2927"/>
      <c r="B1072" s="1237"/>
      <c r="C1072" s="1237"/>
      <c r="D1072" s="1237"/>
      <c r="E1072" s="1237"/>
      <c r="F1072" s="1237"/>
      <c r="G1072" s="1237"/>
      <c r="H1072" s="1237"/>
      <c r="I1072" s="1237"/>
      <c r="J1072" s="1237"/>
      <c r="K1072" s="1237"/>
      <c r="L1072" s="1237"/>
      <c r="M1072" s="1237"/>
      <c r="N1072" s="1237"/>
      <c r="O1072" s="2024"/>
      <c r="P1072" s="2947"/>
      <c r="Q1072" s="1238"/>
      <c r="R1072" s="1239"/>
    </row>
    <row r="1073" spans="1:18" ht="18.75" customHeight="1">
      <c r="A1073" s="2927"/>
      <c r="B1073" s="1237"/>
      <c r="C1073" s="1237"/>
      <c r="D1073" s="1237"/>
      <c r="E1073" s="1237"/>
      <c r="F1073" s="1237"/>
      <c r="G1073" s="1237"/>
      <c r="H1073" s="1237"/>
      <c r="I1073" s="1237"/>
      <c r="J1073" s="1237"/>
      <c r="K1073" s="1237"/>
      <c r="L1073" s="1237"/>
      <c r="M1073" s="1237"/>
      <c r="N1073" s="1237"/>
      <c r="O1073" s="2024"/>
      <c r="P1073" s="2947"/>
      <c r="Q1073" s="1238"/>
      <c r="R1073" s="1239"/>
    </row>
    <row r="1074" spans="1:18" ht="18.75" customHeight="1">
      <c r="A1074" s="2927"/>
      <c r="B1074" s="1237"/>
      <c r="C1074" s="1237"/>
      <c r="D1074" s="1237"/>
      <c r="E1074" s="1237"/>
      <c r="F1074" s="1237"/>
      <c r="G1074" s="1237"/>
      <c r="H1074" s="1237"/>
      <c r="I1074" s="1237"/>
      <c r="J1074" s="1237"/>
      <c r="K1074" s="1237"/>
      <c r="L1074" s="1237"/>
      <c r="M1074" s="1237"/>
      <c r="N1074" s="1237"/>
      <c r="O1074" s="2024"/>
      <c r="P1074" s="2947"/>
      <c r="Q1074" s="1238"/>
      <c r="R1074" s="1239"/>
    </row>
    <row r="1075" spans="1:18" ht="18.75" customHeight="1">
      <c r="A1075" s="2927"/>
      <c r="B1075" s="1237"/>
      <c r="C1075" s="1237"/>
      <c r="D1075" s="1237"/>
      <c r="E1075" s="1237"/>
      <c r="F1075" s="1237"/>
      <c r="G1075" s="1237"/>
      <c r="H1075" s="1237"/>
      <c r="I1075" s="1237"/>
      <c r="J1075" s="2945"/>
      <c r="K1075" s="2945"/>
      <c r="L1075" s="2945"/>
      <c r="M1075" s="1237"/>
      <c r="N1075" s="1237"/>
      <c r="O1075" s="2024"/>
      <c r="P1075" s="2947"/>
      <c r="Q1075" s="1238"/>
      <c r="R1075" s="1239"/>
    </row>
    <row r="1076" spans="1:18" ht="18.75" customHeight="1">
      <c r="A1076" s="2927"/>
      <c r="B1076" s="1237"/>
      <c r="C1076" s="1237"/>
      <c r="D1076" s="1237"/>
      <c r="E1076" s="1237"/>
      <c r="F1076" s="1237"/>
      <c r="G1076" s="1237"/>
      <c r="H1076" s="1237"/>
      <c r="I1076" s="1237"/>
      <c r="J1076" s="1237"/>
      <c r="K1076" s="1237"/>
      <c r="L1076" s="1237"/>
      <c r="M1076" s="1237"/>
      <c r="N1076" s="1237"/>
      <c r="O1076" s="2024"/>
      <c r="P1076" s="2947"/>
      <c r="Q1076" s="1238"/>
      <c r="R1076" s="1239"/>
    </row>
    <row r="1077" spans="1:18" ht="18.75" customHeight="1">
      <c r="A1077" s="2927"/>
      <c r="B1077" s="1237"/>
      <c r="C1077" s="1237"/>
      <c r="D1077" s="1237"/>
      <c r="E1077" s="1237"/>
      <c r="F1077" s="1237"/>
      <c r="G1077" s="1237"/>
      <c r="H1077" s="1237"/>
      <c r="I1077" s="1237"/>
      <c r="J1077" s="1237"/>
      <c r="K1077" s="1237"/>
      <c r="L1077" s="1237"/>
      <c r="M1077" s="1237"/>
      <c r="N1077" s="1237"/>
      <c r="O1077" s="2024"/>
      <c r="P1077" s="2947"/>
      <c r="Q1077" s="1238"/>
      <c r="R1077" s="1239"/>
    </row>
    <row r="1078" spans="1:18" ht="18.75" customHeight="1">
      <c r="A1078" s="2927"/>
      <c r="B1078" s="1237"/>
      <c r="C1078" s="1237"/>
      <c r="D1078" s="1237"/>
      <c r="E1078" s="1237"/>
      <c r="F1078" s="1237"/>
      <c r="G1078" s="1237"/>
      <c r="H1078" s="1237"/>
      <c r="I1078" s="1237"/>
      <c r="J1078" s="1237"/>
      <c r="K1078" s="1237"/>
      <c r="L1078" s="1237"/>
      <c r="M1078" s="1237"/>
      <c r="N1078" s="1237"/>
      <c r="O1078" s="2024"/>
      <c r="P1078" s="2947"/>
      <c r="Q1078" s="1238"/>
      <c r="R1078" s="1239"/>
    </row>
    <row r="1079" spans="1:18" ht="18.75" customHeight="1">
      <c r="A1079" s="2927"/>
      <c r="B1079" s="1237"/>
      <c r="C1079" s="1237"/>
      <c r="D1079" s="1237"/>
      <c r="E1079" s="1237"/>
      <c r="F1079" s="1237"/>
      <c r="G1079" s="1237"/>
      <c r="H1079" s="1237"/>
      <c r="I1079" s="1237"/>
      <c r="J1079" s="1237"/>
      <c r="K1079" s="1237"/>
      <c r="L1079" s="1237"/>
      <c r="M1079" s="1237"/>
      <c r="N1079" s="1237"/>
      <c r="O1079" s="2024"/>
      <c r="P1079" s="2947"/>
      <c r="Q1079" s="1238"/>
      <c r="R1079" s="1239"/>
    </row>
    <row r="1080" spans="1:18" ht="18.75" customHeight="1">
      <c r="A1080" s="2927"/>
      <c r="B1080" s="1237"/>
      <c r="C1080" s="1237"/>
      <c r="D1080" s="1237"/>
      <c r="E1080" s="1237"/>
      <c r="F1080" s="1237"/>
      <c r="G1080" s="1237"/>
      <c r="H1080" s="1237"/>
      <c r="I1080" s="1237"/>
      <c r="J1080" s="2945"/>
      <c r="K1080" s="2945"/>
      <c r="L1080" s="2945"/>
      <c r="M1080" s="1237"/>
      <c r="N1080" s="1237"/>
      <c r="O1080" s="2024"/>
      <c r="P1080" s="2947"/>
      <c r="Q1080" s="1238"/>
      <c r="R1080" s="1239"/>
    </row>
    <row r="1081" spans="1:18" ht="18.75" customHeight="1">
      <c r="A1081" s="2927"/>
      <c r="B1081" s="1237"/>
      <c r="C1081" s="1237"/>
      <c r="D1081" s="1237"/>
      <c r="E1081" s="1237"/>
      <c r="F1081" s="1237"/>
      <c r="G1081" s="1237"/>
      <c r="H1081" s="1237"/>
      <c r="I1081" s="1237"/>
      <c r="J1081" s="1237"/>
      <c r="K1081" s="1237"/>
      <c r="L1081" s="1237"/>
      <c r="M1081" s="1237"/>
      <c r="N1081" s="1237"/>
      <c r="O1081" s="2024"/>
      <c r="P1081" s="2947"/>
      <c r="Q1081" s="1238"/>
      <c r="R1081" s="1239"/>
    </row>
    <row r="1082" spans="1:18" ht="18.75" customHeight="1">
      <c r="A1082" s="2927"/>
      <c r="B1082" s="1237"/>
      <c r="C1082" s="1237"/>
      <c r="D1082" s="1237"/>
      <c r="E1082" s="1237"/>
      <c r="F1082" s="1237"/>
      <c r="G1082" s="1237"/>
      <c r="H1082" s="1237"/>
      <c r="I1082" s="1237"/>
      <c r="J1082" s="1237"/>
      <c r="K1082" s="1237"/>
      <c r="L1082" s="1237"/>
      <c r="M1082" s="1237"/>
      <c r="N1082" s="1237"/>
      <c r="O1082" s="2024"/>
      <c r="P1082" s="2947"/>
      <c r="Q1082" s="1238"/>
      <c r="R1082" s="1239"/>
    </row>
    <row r="1083" spans="1:18" ht="18.75" customHeight="1">
      <c r="A1083" s="2927"/>
      <c r="B1083" s="1237"/>
      <c r="C1083" s="1237"/>
      <c r="D1083" s="1237"/>
      <c r="E1083" s="1237"/>
      <c r="F1083" s="1237"/>
      <c r="G1083" s="1237"/>
      <c r="H1083" s="1237"/>
      <c r="I1083" s="1237"/>
      <c r="J1083" s="1237"/>
      <c r="K1083" s="1237"/>
      <c r="L1083" s="1237"/>
      <c r="M1083" s="1237"/>
      <c r="N1083" s="1237"/>
      <c r="O1083" s="2024"/>
      <c r="P1083" s="2948"/>
      <c r="Q1083" s="1238"/>
      <c r="R1083" s="1239"/>
    </row>
    <row r="1084" spans="1:18" ht="18.75" customHeight="1">
      <c r="A1084" s="2927"/>
      <c r="B1084" s="1237"/>
      <c r="C1084" s="1237"/>
      <c r="D1084" s="1237"/>
      <c r="E1084" s="1237"/>
      <c r="F1084" s="1237"/>
      <c r="G1084" s="1237"/>
      <c r="H1084" s="1237"/>
      <c r="I1084" s="1237"/>
      <c r="J1084" s="1237"/>
      <c r="K1084" s="1237"/>
      <c r="L1084" s="1237"/>
      <c r="M1084" s="1237"/>
      <c r="N1084" s="1237"/>
      <c r="O1084" s="2024"/>
      <c r="P1084" s="2946"/>
      <c r="Q1084" s="1238"/>
      <c r="R1084" s="1239"/>
    </row>
    <row r="1085" spans="1:18" ht="18.75" customHeight="1">
      <c r="A1085" s="2927"/>
      <c r="B1085" s="1237"/>
      <c r="C1085" s="1237"/>
      <c r="D1085" s="1237"/>
      <c r="E1085" s="1237"/>
      <c r="F1085" s="1237"/>
      <c r="G1085" s="1237"/>
      <c r="H1085" s="1237"/>
      <c r="I1085" s="1237"/>
      <c r="J1085" s="1237"/>
      <c r="K1085" s="1237"/>
      <c r="L1085" s="1237"/>
      <c r="M1085" s="1237"/>
      <c r="N1085" s="1237"/>
      <c r="O1085" s="2024"/>
      <c r="P1085" s="2947"/>
      <c r="Q1085" s="1238"/>
      <c r="R1085" s="1239"/>
    </row>
    <row r="1086" spans="1:18" ht="18.75" customHeight="1">
      <c r="A1086" s="2927"/>
      <c r="B1086" s="1237"/>
      <c r="C1086" s="1237"/>
      <c r="D1086" s="1237"/>
      <c r="E1086" s="1237"/>
      <c r="F1086" s="1237"/>
      <c r="G1086" s="1237"/>
      <c r="H1086" s="1237"/>
      <c r="I1086" s="1237"/>
      <c r="J1086" s="1237"/>
      <c r="K1086" s="1237"/>
      <c r="L1086" s="1237"/>
      <c r="M1086" s="1237"/>
      <c r="N1086" s="1237"/>
      <c r="O1086" s="2024"/>
      <c r="P1086" s="2947"/>
      <c r="Q1086" s="1238"/>
      <c r="R1086" s="1239"/>
    </row>
    <row r="1087" spans="1:18" ht="18.75" customHeight="1">
      <c r="A1087" s="2927"/>
      <c r="B1087" s="1237"/>
      <c r="C1087" s="1237"/>
      <c r="D1087" s="1237"/>
      <c r="E1087" s="1237"/>
      <c r="F1087" s="1237"/>
      <c r="G1087" s="1237"/>
      <c r="H1087" s="1237"/>
      <c r="I1087" s="1237"/>
      <c r="J1087" s="1237"/>
      <c r="K1087" s="1237"/>
      <c r="L1087" s="1237"/>
      <c r="M1087" s="1237"/>
      <c r="N1087" s="1237"/>
      <c r="O1087" s="2024"/>
      <c r="P1087" s="2947"/>
      <c r="Q1087" s="1238"/>
      <c r="R1087" s="1239"/>
    </row>
    <row r="1088" spans="1:18" ht="18.75" customHeight="1">
      <c r="A1088" s="2927"/>
      <c r="B1088" s="1237"/>
      <c r="C1088" s="1237"/>
      <c r="D1088" s="1237"/>
      <c r="E1088" s="1237"/>
      <c r="F1088" s="1237"/>
      <c r="G1088" s="1237"/>
      <c r="H1088" s="1237"/>
      <c r="I1088" s="1237"/>
      <c r="J1088" s="1237"/>
      <c r="K1088" s="1237"/>
      <c r="L1088" s="1237"/>
      <c r="M1088" s="1237"/>
      <c r="N1088" s="1237"/>
      <c r="O1088" s="2024"/>
      <c r="P1088" s="2947"/>
      <c r="Q1088" s="1238"/>
      <c r="R1088" s="1239"/>
    </row>
    <row r="1089" spans="1:18" ht="18.75" customHeight="1">
      <c r="A1089" s="2927"/>
      <c r="B1089" s="1237"/>
      <c r="C1089" s="1237"/>
      <c r="D1089" s="1237"/>
      <c r="E1089" s="1237"/>
      <c r="F1089" s="1237"/>
      <c r="G1089" s="1237"/>
      <c r="H1089" s="1237"/>
      <c r="I1089" s="1237"/>
      <c r="J1089" s="1237"/>
      <c r="K1089" s="1237"/>
      <c r="L1089" s="1237"/>
      <c r="M1089" s="1237"/>
      <c r="N1089" s="1237"/>
      <c r="O1089" s="2024"/>
      <c r="P1089" s="2947"/>
      <c r="Q1089" s="1238"/>
      <c r="R1089" s="1239"/>
    </row>
    <row r="1090" spans="1:18" ht="18.75" customHeight="1">
      <c r="A1090" s="2927"/>
      <c r="B1090" s="1237"/>
      <c r="C1090" s="1237"/>
      <c r="D1090" s="1237"/>
      <c r="E1090" s="1237"/>
      <c r="F1090" s="1237"/>
      <c r="G1090" s="1237"/>
      <c r="H1090" s="1237"/>
      <c r="I1090" s="1237"/>
      <c r="J1090" s="2945"/>
      <c r="K1090" s="2945"/>
      <c r="L1090" s="2945"/>
      <c r="M1090" s="1237"/>
      <c r="N1090" s="1237"/>
      <c r="O1090" s="2024"/>
      <c r="P1090" s="2948"/>
      <c r="Q1090" s="1238"/>
      <c r="R1090" s="1239"/>
    </row>
    <row r="1091" spans="1:18" ht="18.75" customHeight="1">
      <c r="A1091" s="2927"/>
      <c r="B1091" s="1237"/>
      <c r="C1091" s="1237"/>
      <c r="D1091" s="1237"/>
      <c r="E1091" s="1237"/>
      <c r="F1091" s="1237"/>
      <c r="G1091" s="1237"/>
      <c r="H1091" s="1237"/>
      <c r="I1091" s="1237"/>
      <c r="J1091" s="1237"/>
      <c r="K1091" s="1237"/>
      <c r="L1091" s="1237"/>
      <c r="M1091" s="1237"/>
      <c r="N1091" s="1237"/>
      <c r="O1091" s="2024"/>
      <c r="P1091" s="2946"/>
      <c r="Q1091" s="1238"/>
      <c r="R1091" s="1239"/>
    </row>
    <row r="1092" spans="1:18" ht="18.75" customHeight="1">
      <c r="A1092" s="2927"/>
      <c r="B1092" s="1237"/>
      <c r="C1092" s="1237"/>
      <c r="D1092" s="1237"/>
      <c r="E1092" s="1237"/>
      <c r="F1092" s="1237"/>
      <c r="G1092" s="1237"/>
      <c r="H1092" s="1237"/>
      <c r="I1092" s="1237"/>
      <c r="J1092" s="1237"/>
      <c r="K1092" s="1237"/>
      <c r="L1092" s="1237"/>
      <c r="M1092" s="1237"/>
      <c r="N1092" s="1237"/>
      <c r="O1092" s="2024"/>
      <c r="P1092" s="2947"/>
      <c r="Q1092" s="1238"/>
      <c r="R1092" s="1239"/>
    </row>
    <row r="1093" spans="1:18" ht="18.75" customHeight="1">
      <c r="A1093" s="2927"/>
      <c r="B1093" s="1237"/>
      <c r="C1093" s="1237"/>
      <c r="D1093" s="1237"/>
      <c r="E1093" s="1237"/>
      <c r="F1093" s="1237"/>
      <c r="G1093" s="1237"/>
      <c r="H1093" s="1237"/>
      <c r="I1093" s="1237"/>
      <c r="J1093" s="1237"/>
      <c r="K1093" s="1237"/>
      <c r="L1093" s="1237"/>
      <c r="M1093" s="1237"/>
      <c r="N1093" s="1237"/>
      <c r="O1093" s="2024"/>
      <c r="P1093" s="2947"/>
      <c r="Q1093" s="1238"/>
      <c r="R1093" s="1239"/>
    </row>
    <row r="1094" spans="1:18" ht="18.75" customHeight="1">
      <c r="A1094" s="2927"/>
      <c r="B1094" s="1237"/>
      <c r="C1094" s="1237"/>
      <c r="D1094" s="1237"/>
      <c r="E1094" s="1237"/>
      <c r="F1094" s="1237"/>
      <c r="G1094" s="1237"/>
      <c r="H1094" s="1237"/>
      <c r="I1094" s="1237"/>
      <c r="J1094" s="1237"/>
      <c r="K1094" s="1237"/>
      <c r="L1094" s="1237"/>
      <c r="M1094" s="1237"/>
      <c r="N1094" s="1237"/>
      <c r="O1094" s="2024"/>
      <c r="P1094" s="2947"/>
      <c r="Q1094" s="1238"/>
      <c r="R1094" s="1239"/>
    </row>
    <row r="1095" spans="1:18" ht="18.75" customHeight="1">
      <c r="A1095" s="2927"/>
      <c r="B1095" s="1237"/>
      <c r="C1095" s="1237"/>
      <c r="D1095" s="1237"/>
      <c r="E1095" s="1237"/>
      <c r="F1095" s="1237"/>
      <c r="G1095" s="1237"/>
      <c r="H1095" s="1237"/>
      <c r="I1095" s="1237"/>
      <c r="J1095" s="2945"/>
      <c r="K1095" s="2945"/>
      <c r="L1095" s="2945"/>
      <c r="M1095" s="1237"/>
      <c r="N1095" s="1237"/>
      <c r="O1095" s="2024"/>
      <c r="P1095" s="2947"/>
      <c r="Q1095" s="1238"/>
      <c r="R1095" s="1239"/>
    </row>
    <row r="1096" spans="1:18" ht="18.75" customHeight="1">
      <c r="A1096" s="2927"/>
      <c r="B1096" s="1237"/>
      <c r="C1096" s="1237"/>
      <c r="D1096" s="1237"/>
      <c r="E1096" s="1237"/>
      <c r="F1096" s="1237"/>
      <c r="G1096" s="1237"/>
      <c r="H1096" s="1237"/>
      <c r="I1096" s="1237"/>
      <c r="J1096" s="1237"/>
      <c r="K1096" s="1237"/>
      <c r="L1096" s="1237"/>
      <c r="M1096" s="1237"/>
      <c r="N1096" s="1237"/>
      <c r="O1096" s="2024"/>
      <c r="P1096" s="2947"/>
      <c r="Q1096" s="1238"/>
      <c r="R1096" s="1239"/>
    </row>
    <row r="1097" spans="1:18" ht="18.75" customHeight="1">
      <c r="A1097" s="2927"/>
      <c r="B1097" s="1237"/>
      <c r="C1097" s="1237"/>
      <c r="D1097" s="1237"/>
      <c r="E1097" s="1237"/>
      <c r="F1097" s="1237"/>
      <c r="G1097" s="1237"/>
      <c r="H1097" s="1237"/>
      <c r="I1097" s="1237"/>
      <c r="J1097" s="1237"/>
      <c r="K1097" s="1237"/>
      <c r="L1097" s="1237"/>
      <c r="M1097" s="1237"/>
      <c r="N1097" s="1237"/>
      <c r="O1097" s="2024"/>
      <c r="P1097" s="2947"/>
      <c r="Q1097" s="1238"/>
      <c r="R1097" s="1239"/>
    </row>
    <row r="1098" spans="1:18" ht="18.75" customHeight="1">
      <c r="A1098" s="2927"/>
      <c r="B1098" s="1237"/>
      <c r="C1098" s="1237"/>
      <c r="D1098" s="1237"/>
      <c r="E1098" s="1237"/>
      <c r="F1098" s="1237"/>
      <c r="G1098" s="1237"/>
      <c r="H1098" s="1237"/>
      <c r="I1098" s="1237"/>
      <c r="J1098" s="1237"/>
      <c r="K1098" s="1237"/>
      <c r="L1098" s="1237"/>
      <c r="M1098" s="1237"/>
      <c r="N1098" s="1237"/>
      <c r="O1098" s="2024"/>
      <c r="P1098" s="2947"/>
      <c r="Q1098" s="1238"/>
      <c r="R1098" s="1239"/>
    </row>
    <row r="1099" spans="1:18" ht="18.75" customHeight="1">
      <c r="A1099" s="2927"/>
      <c r="B1099" s="1237"/>
      <c r="C1099" s="1237"/>
      <c r="D1099" s="1237"/>
      <c r="E1099" s="1237"/>
      <c r="F1099" s="1237"/>
      <c r="G1099" s="1237"/>
      <c r="H1099" s="1237"/>
      <c r="I1099" s="1237"/>
      <c r="J1099" s="1237"/>
      <c r="K1099" s="1237"/>
      <c r="L1099" s="1237"/>
      <c r="M1099" s="1237"/>
      <c r="N1099" s="1237"/>
      <c r="O1099" s="2024"/>
      <c r="P1099" s="2947"/>
      <c r="Q1099" s="1238"/>
      <c r="R1099" s="1239"/>
    </row>
    <row r="1100" spans="1:18" ht="18.75" customHeight="1">
      <c r="A1100" s="2927"/>
      <c r="B1100" s="1237"/>
      <c r="C1100" s="1237"/>
      <c r="D1100" s="1237"/>
      <c r="E1100" s="1237"/>
      <c r="F1100" s="1237"/>
      <c r="G1100" s="1237"/>
      <c r="H1100" s="1237"/>
      <c r="I1100" s="1237"/>
      <c r="J1100" s="2945"/>
      <c r="K1100" s="2945"/>
      <c r="L1100" s="2945"/>
      <c r="M1100" s="1237"/>
      <c r="N1100" s="1237"/>
      <c r="O1100" s="2024"/>
      <c r="P1100" s="2947"/>
      <c r="Q1100" s="1238"/>
      <c r="R1100" s="1239"/>
    </row>
    <row r="1101" spans="1:18" ht="18.75" customHeight="1" thickBot="1">
      <c r="A1101" s="2928"/>
      <c r="B1101" s="1540"/>
      <c r="C1101" s="1540"/>
      <c r="D1101" s="1540"/>
      <c r="E1101" s="1540"/>
      <c r="F1101" s="1540"/>
      <c r="G1101" s="1540"/>
      <c r="H1101" s="1540"/>
      <c r="I1101" s="1540"/>
      <c r="J1101" s="1540"/>
      <c r="K1101" s="1540"/>
      <c r="L1101" s="1540"/>
      <c r="M1101" s="1540"/>
      <c r="N1101" s="1540"/>
      <c r="O1101" s="2025"/>
      <c r="P1101" s="2947"/>
      <c r="Q1101" s="1541"/>
      <c r="R1101" s="1591"/>
    </row>
    <row r="1102" spans="1:18" ht="18.75" customHeight="1">
      <c r="A1102" s="2926"/>
      <c r="B1102" s="1585"/>
      <c r="C1102" s="1585"/>
      <c r="D1102" s="1585"/>
      <c r="E1102" s="1585"/>
      <c r="F1102" s="1585"/>
      <c r="G1102" s="1585"/>
      <c r="H1102" s="1585"/>
      <c r="I1102" s="1585"/>
      <c r="J1102" s="1585"/>
      <c r="K1102" s="1585"/>
      <c r="L1102" s="1585"/>
      <c r="M1102" s="1585"/>
      <c r="N1102" s="1585"/>
      <c r="O1102" s="2026"/>
      <c r="P1102" s="2964"/>
      <c r="Q1102" s="1586"/>
      <c r="R1102" s="1587"/>
    </row>
    <row r="1103" spans="1:18" ht="18.75" customHeight="1">
      <c r="A1103" s="2927"/>
      <c r="B1103" s="1237"/>
      <c r="C1103" s="1237"/>
      <c r="D1103" s="1237"/>
      <c r="E1103" s="1237"/>
      <c r="F1103" s="1237"/>
      <c r="G1103" s="1237"/>
      <c r="H1103" s="1237"/>
      <c r="I1103" s="1237"/>
      <c r="J1103" s="1237"/>
      <c r="K1103" s="1237"/>
      <c r="L1103" s="1237"/>
      <c r="M1103" s="1237"/>
      <c r="N1103" s="1237"/>
      <c r="O1103" s="2024"/>
      <c r="P1103" s="2954"/>
      <c r="Q1103" s="1238"/>
      <c r="R1103" s="1239"/>
    </row>
    <row r="1104" spans="1:18" ht="18.75" customHeight="1">
      <c r="A1104" s="2927"/>
      <c r="B1104" s="1237"/>
      <c r="C1104" s="1237"/>
      <c r="D1104" s="1237"/>
      <c r="E1104" s="1237"/>
      <c r="F1104" s="1237"/>
      <c r="G1104" s="1237"/>
      <c r="H1104" s="1237"/>
      <c r="I1104" s="1237"/>
      <c r="J1104" s="1237"/>
      <c r="K1104" s="1237"/>
      <c r="L1104" s="1237"/>
      <c r="M1104" s="1237"/>
      <c r="N1104" s="1237"/>
      <c r="O1104" s="2024"/>
      <c r="P1104" s="2954"/>
      <c r="Q1104" s="1238"/>
      <c r="R1104" s="1239"/>
    </row>
    <row r="1105" spans="1:18" ht="18.75" customHeight="1">
      <c r="A1105" s="2927"/>
      <c r="B1105" s="1237"/>
      <c r="C1105" s="1237"/>
      <c r="D1105" s="1237"/>
      <c r="E1105" s="1237"/>
      <c r="F1105" s="1237"/>
      <c r="G1105" s="1237"/>
      <c r="H1105" s="1237"/>
      <c r="I1105" s="1237"/>
      <c r="J1105" s="2945"/>
      <c r="K1105" s="2945"/>
      <c r="L1105" s="2945"/>
      <c r="M1105" s="1237"/>
      <c r="N1105" s="1237"/>
      <c r="O1105" s="2024"/>
      <c r="P1105" s="2954"/>
      <c r="Q1105" s="1238"/>
      <c r="R1105" s="1239"/>
    </row>
    <row r="1106" spans="1:18" ht="18.75" customHeight="1">
      <c r="A1106" s="2927"/>
      <c r="B1106" s="1237"/>
      <c r="C1106" s="1237"/>
      <c r="D1106" s="1237"/>
      <c r="E1106" s="1237"/>
      <c r="F1106" s="1237"/>
      <c r="G1106" s="1237"/>
      <c r="H1106" s="1237"/>
      <c r="I1106" s="1237"/>
      <c r="J1106" s="1237"/>
      <c r="K1106" s="1237"/>
      <c r="L1106" s="1237"/>
      <c r="M1106" s="1237"/>
      <c r="N1106" s="1237"/>
      <c r="O1106" s="2024"/>
      <c r="P1106" s="2954"/>
      <c r="Q1106" s="1238"/>
      <c r="R1106" s="1239"/>
    </row>
    <row r="1107" spans="1:18" ht="18.75" customHeight="1">
      <c r="A1107" s="2927"/>
      <c r="B1107" s="1237"/>
      <c r="C1107" s="1237"/>
      <c r="D1107" s="1237"/>
      <c r="E1107" s="1237"/>
      <c r="F1107" s="1237"/>
      <c r="G1107" s="1237"/>
      <c r="H1107" s="1237"/>
      <c r="I1107" s="1237"/>
      <c r="J1107" s="1237"/>
      <c r="K1107" s="1237"/>
      <c r="L1107" s="1237"/>
      <c r="M1107" s="1237"/>
      <c r="N1107" s="1237"/>
      <c r="O1107" s="2024"/>
      <c r="P1107" s="2954"/>
      <c r="Q1107" s="1238"/>
      <c r="R1107" s="1239"/>
    </row>
    <row r="1108" spans="1:18" ht="18.75" customHeight="1">
      <c r="A1108" s="2927"/>
      <c r="B1108" s="1237"/>
      <c r="C1108" s="1237"/>
      <c r="D1108" s="1237"/>
      <c r="E1108" s="1237"/>
      <c r="F1108" s="1237"/>
      <c r="G1108" s="1237"/>
      <c r="H1108" s="1237"/>
      <c r="I1108" s="1237"/>
      <c r="J1108" s="1237"/>
      <c r="K1108" s="1237"/>
      <c r="L1108" s="1237"/>
      <c r="M1108" s="1237"/>
      <c r="N1108" s="1237"/>
      <c r="O1108" s="2024"/>
      <c r="P1108" s="2954"/>
      <c r="Q1108" s="1238"/>
      <c r="R1108" s="1239"/>
    </row>
    <row r="1109" spans="1:18" ht="18.75" customHeight="1">
      <c r="A1109" s="2927"/>
      <c r="B1109" s="1237"/>
      <c r="C1109" s="1237"/>
      <c r="D1109" s="1237"/>
      <c r="E1109" s="1237"/>
      <c r="F1109" s="1237"/>
      <c r="G1109" s="1237"/>
      <c r="H1109" s="1237"/>
      <c r="I1109" s="1237"/>
      <c r="J1109" s="1237"/>
      <c r="K1109" s="1237"/>
      <c r="L1109" s="1237"/>
      <c r="M1109" s="1237"/>
      <c r="N1109" s="1237"/>
      <c r="O1109" s="2024"/>
      <c r="P1109" s="2954"/>
      <c r="Q1109" s="1238"/>
      <c r="R1109" s="1239"/>
    </row>
    <row r="1110" spans="1:18" ht="18.75" customHeight="1">
      <c r="A1110" s="2927"/>
      <c r="B1110" s="1237"/>
      <c r="C1110" s="1237"/>
      <c r="D1110" s="1237"/>
      <c r="E1110" s="1237"/>
      <c r="F1110" s="1237"/>
      <c r="G1110" s="1237"/>
      <c r="H1110" s="1237"/>
      <c r="I1110" s="1237"/>
      <c r="J1110" s="2945"/>
      <c r="K1110" s="2945"/>
      <c r="L1110" s="2945"/>
      <c r="M1110" s="1237"/>
      <c r="N1110" s="1237"/>
      <c r="O1110" s="2024"/>
      <c r="P1110" s="2954"/>
      <c r="Q1110" s="1238"/>
      <c r="R1110" s="1239"/>
    </row>
    <row r="1111" spans="1:18" ht="18.75" customHeight="1">
      <c r="A1111" s="2927"/>
      <c r="B1111" s="1237"/>
      <c r="C1111" s="1237"/>
      <c r="D1111" s="1237"/>
      <c r="E1111" s="1237"/>
      <c r="F1111" s="1237"/>
      <c r="G1111" s="1237"/>
      <c r="H1111" s="1237"/>
      <c r="I1111" s="1237"/>
      <c r="J1111" s="1237"/>
      <c r="K1111" s="1237"/>
      <c r="L1111" s="1237"/>
      <c r="M1111" s="1237"/>
      <c r="N1111" s="1237"/>
      <c r="O1111" s="2024"/>
      <c r="P1111" s="2954"/>
      <c r="Q1111" s="1238"/>
      <c r="R1111" s="1239"/>
    </row>
    <row r="1112" spans="1:18" ht="18.75" customHeight="1">
      <c r="A1112" s="2927"/>
      <c r="B1112" s="1237"/>
      <c r="C1112" s="1237"/>
      <c r="D1112" s="1237"/>
      <c r="E1112" s="1237"/>
      <c r="F1112" s="1237"/>
      <c r="G1112" s="1237"/>
      <c r="H1112" s="1237"/>
      <c r="I1112" s="1237"/>
      <c r="J1112" s="1237"/>
      <c r="K1112" s="1237"/>
      <c r="L1112" s="1237"/>
      <c r="M1112" s="1237"/>
      <c r="N1112" s="1237"/>
      <c r="O1112" s="2024"/>
      <c r="P1112" s="2954"/>
      <c r="Q1112" s="1238"/>
      <c r="R1112" s="1239"/>
    </row>
    <row r="1113" spans="1:18" ht="18.75" customHeight="1">
      <c r="A1113" s="2927"/>
      <c r="B1113" s="1237"/>
      <c r="C1113" s="1237"/>
      <c r="D1113" s="1237"/>
      <c r="E1113" s="1237"/>
      <c r="F1113" s="1237"/>
      <c r="G1113" s="1237"/>
      <c r="H1113" s="1237"/>
      <c r="I1113" s="1237"/>
      <c r="J1113" s="1237"/>
      <c r="K1113" s="1237"/>
      <c r="L1113" s="1237"/>
      <c r="M1113" s="1237"/>
      <c r="N1113" s="1237"/>
      <c r="O1113" s="2024"/>
      <c r="P1113" s="2954"/>
      <c r="Q1113" s="1238"/>
      <c r="R1113" s="1239"/>
    </row>
    <row r="1114" spans="1:18" ht="18.75" customHeight="1">
      <c r="A1114" s="2927"/>
      <c r="B1114" s="1237"/>
      <c r="C1114" s="1237"/>
      <c r="D1114" s="1237"/>
      <c r="E1114" s="1237"/>
      <c r="F1114" s="1237"/>
      <c r="G1114" s="1237"/>
      <c r="H1114" s="1237"/>
      <c r="I1114" s="1237"/>
      <c r="J1114" s="1237"/>
      <c r="K1114" s="1237"/>
      <c r="L1114" s="1237"/>
      <c r="M1114" s="1237"/>
      <c r="N1114" s="1237"/>
      <c r="O1114" s="2024"/>
      <c r="P1114" s="2954"/>
      <c r="Q1114" s="1238"/>
      <c r="R1114" s="1239"/>
    </row>
    <row r="1115" spans="1:18" ht="18.75" customHeight="1">
      <c r="A1115" s="2927"/>
      <c r="B1115" s="1237"/>
      <c r="C1115" s="1237"/>
      <c r="D1115" s="1237"/>
      <c r="E1115" s="1237"/>
      <c r="F1115" s="1237"/>
      <c r="G1115" s="1237"/>
      <c r="H1115" s="1237"/>
      <c r="I1115" s="1237"/>
      <c r="J1115" s="2945"/>
      <c r="K1115" s="2945"/>
      <c r="L1115" s="2945"/>
      <c r="M1115" s="1237"/>
      <c r="N1115" s="1237"/>
      <c r="O1115" s="2024"/>
      <c r="P1115" s="2954"/>
      <c r="Q1115" s="1238"/>
      <c r="R1115" s="1239"/>
    </row>
    <row r="1116" spans="1:18" ht="18.75" customHeight="1">
      <c r="A1116" s="2927"/>
      <c r="B1116" s="1237"/>
      <c r="C1116" s="1237"/>
      <c r="D1116" s="1237"/>
      <c r="E1116" s="1237"/>
      <c r="F1116" s="1237"/>
      <c r="G1116" s="1237"/>
      <c r="H1116" s="1237"/>
      <c r="I1116" s="1237"/>
      <c r="J1116" s="1237"/>
      <c r="K1116" s="1237"/>
      <c r="L1116" s="1237"/>
      <c r="M1116" s="1237"/>
      <c r="N1116" s="1237"/>
      <c r="O1116" s="2024"/>
      <c r="P1116" s="2954"/>
      <c r="Q1116" s="1238"/>
      <c r="R1116" s="1239"/>
    </row>
    <row r="1117" spans="1:18" ht="18.75" customHeight="1">
      <c r="A1117" s="2927"/>
      <c r="B1117" s="1237"/>
      <c r="C1117" s="1237"/>
      <c r="D1117" s="1237"/>
      <c r="E1117" s="1237"/>
      <c r="F1117" s="1237"/>
      <c r="G1117" s="1237"/>
      <c r="H1117" s="1237"/>
      <c r="I1117" s="1237"/>
      <c r="J1117" s="1237"/>
      <c r="K1117" s="1237"/>
      <c r="L1117" s="1237"/>
      <c r="M1117" s="1237"/>
      <c r="N1117" s="1237"/>
      <c r="O1117" s="2024"/>
      <c r="P1117" s="2954"/>
      <c r="Q1117" s="1238"/>
      <c r="R1117" s="1239"/>
    </row>
    <row r="1118" spans="1:18" ht="18.75" customHeight="1">
      <c r="A1118" s="2927"/>
      <c r="B1118" s="1237"/>
      <c r="C1118" s="1237"/>
      <c r="D1118" s="1237"/>
      <c r="E1118" s="1237"/>
      <c r="F1118" s="1237"/>
      <c r="G1118" s="1237"/>
      <c r="H1118" s="1237"/>
      <c r="I1118" s="1237"/>
      <c r="J1118" s="1237"/>
      <c r="K1118" s="1237"/>
      <c r="L1118" s="1237"/>
      <c r="M1118" s="1237"/>
      <c r="N1118" s="1237"/>
      <c r="O1118" s="2024"/>
      <c r="P1118" s="2954"/>
      <c r="Q1118" s="1238"/>
      <c r="R1118" s="1239"/>
    </row>
    <row r="1119" spans="1:18" ht="18.75" customHeight="1">
      <c r="A1119" s="2927"/>
      <c r="B1119" s="1237"/>
      <c r="C1119" s="1237"/>
      <c r="D1119" s="1237"/>
      <c r="E1119" s="1237"/>
      <c r="F1119" s="1237"/>
      <c r="G1119" s="1237"/>
      <c r="H1119" s="1237"/>
      <c r="I1119" s="1237"/>
      <c r="J1119" s="1237"/>
      <c r="K1119" s="1237"/>
      <c r="L1119" s="1237"/>
      <c r="M1119" s="1237"/>
      <c r="N1119" s="1237"/>
      <c r="O1119" s="2024"/>
      <c r="P1119" s="2954"/>
      <c r="Q1119" s="1238"/>
      <c r="R1119" s="1239"/>
    </row>
    <row r="1120" spans="1:18" ht="18.75" customHeight="1">
      <c r="A1120" s="2927"/>
      <c r="B1120" s="1237"/>
      <c r="C1120" s="1237"/>
      <c r="D1120" s="1237"/>
      <c r="E1120" s="1237"/>
      <c r="F1120" s="1237"/>
      <c r="G1120" s="1237"/>
      <c r="H1120" s="1237"/>
      <c r="I1120" s="1237"/>
      <c r="J1120" s="1237"/>
      <c r="K1120" s="1237"/>
      <c r="L1120" s="1237"/>
      <c r="M1120" s="1237"/>
      <c r="N1120" s="1237"/>
      <c r="O1120" s="2024"/>
      <c r="P1120" s="2954"/>
      <c r="Q1120" s="1238"/>
      <c r="R1120" s="1239"/>
    </row>
    <row r="1121" spans="1:18" ht="18.75" customHeight="1">
      <c r="A1121" s="2927"/>
      <c r="B1121" s="1237"/>
      <c r="C1121" s="1237"/>
      <c r="D1121" s="1237"/>
      <c r="E1121" s="1237"/>
      <c r="F1121" s="1237"/>
      <c r="G1121" s="1237"/>
      <c r="H1121" s="1237"/>
      <c r="I1121" s="1237"/>
      <c r="J1121" s="2945"/>
      <c r="K1121" s="2945"/>
      <c r="L1121" s="2945"/>
      <c r="M1121" s="1237"/>
      <c r="N1121" s="1237"/>
      <c r="O1121" s="2024"/>
      <c r="P1121" s="2954"/>
      <c r="Q1121" s="1238"/>
      <c r="R1121" s="1239"/>
    </row>
    <row r="1122" spans="1:18" ht="18.75" customHeight="1">
      <c r="A1122" s="2927"/>
      <c r="B1122" s="1237"/>
      <c r="C1122" s="1237"/>
      <c r="D1122" s="1237"/>
      <c r="E1122" s="1237"/>
      <c r="F1122" s="1237"/>
      <c r="G1122" s="1237"/>
      <c r="H1122" s="1237"/>
      <c r="I1122" s="1237"/>
      <c r="J1122" s="1237"/>
      <c r="K1122" s="1237"/>
      <c r="L1122" s="1237"/>
      <c r="M1122" s="1237"/>
      <c r="N1122" s="1237"/>
      <c r="O1122" s="2024"/>
      <c r="P1122" s="2954"/>
      <c r="Q1122" s="1238"/>
      <c r="R1122" s="1239"/>
    </row>
    <row r="1123" spans="1:18" ht="18.75" customHeight="1">
      <c r="A1123" s="2927"/>
      <c r="B1123" s="1237"/>
      <c r="C1123" s="1237"/>
      <c r="D1123" s="1237"/>
      <c r="E1123" s="1237"/>
      <c r="F1123" s="1237"/>
      <c r="G1123" s="1237"/>
      <c r="H1123" s="1237"/>
      <c r="I1123" s="1237"/>
      <c r="J1123" s="1237"/>
      <c r="K1123" s="1237"/>
      <c r="L1123" s="1237"/>
      <c r="M1123" s="1237"/>
      <c r="N1123" s="1237"/>
      <c r="O1123" s="2024"/>
      <c r="P1123" s="2954"/>
      <c r="Q1123" s="1238"/>
      <c r="R1123" s="1239"/>
    </row>
    <row r="1124" spans="1:18" ht="18.75" customHeight="1">
      <c r="A1124" s="2927"/>
      <c r="B1124" s="1237"/>
      <c r="C1124" s="1237"/>
      <c r="D1124" s="1237"/>
      <c r="E1124" s="1237"/>
      <c r="F1124" s="1237"/>
      <c r="G1124" s="1237"/>
      <c r="H1124" s="1237"/>
      <c r="I1124" s="1237"/>
      <c r="J1124" s="1237"/>
      <c r="K1124" s="1237"/>
      <c r="L1124" s="1237"/>
      <c r="M1124" s="1237"/>
      <c r="N1124" s="1237"/>
      <c r="O1124" s="2024"/>
      <c r="P1124" s="2954"/>
      <c r="Q1124" s="1238"/>
      <c r="R1124" s="1239"/>
    </row>
    <row r="1125" spans="1:18" ht="18.75" customHeight="1">
      <c r="A1125" s="2927"/>
      <c r="B1125" s="1237"/>
      <c r="C1125" s="1237"/>
      <c r="D1125" s="1237"/>
      <c r="E1125" s="1237"/>
      <c r="F1125" s="1237"/>
      <c r="G1125" s="1237"/>
      <c r="H1125" s="1237"/>
      <c r="I1125" s="1237"/>
      <c r="J1125" s="1237"/>
      <c r="K1125" s="1237"/>
      <c r="L1125" s="1237"/>
      <c r="M1125" s="1237"/>
      <c r="N1125" s="1237"/>
      <c r="O1125" s="2024"/>
      <c r="P1125" s="2954"/>
      <c r="Q1125" s="1238"/>
      <c r="R1125" s="1239"/>
    </row>
    <row r="1126" spans="1:18" ht="18.75" customHeight="1">
      <c r="A1126" s="2927"/>
      <c r="B1126" s="1237"/>
      <c r="C1126" s="1237"/>
      <c r="D1126" s="1237"/>
      <c r="E1126" s="1237"/>
      <c r="F1126" s="1237"/>
      <c r="G1126" s="1237"/>
      <c r="H1126" s="1237"/>
      <c r="I1126" s="1237"/>
      <c r="J1126" s="2945"/>
      <c r="K1126" s="2945"/>
      <c r="L1126" s="2945"/>
      <c r="M1126" s="1237"/>
      <c r="N1126" s="1237"/>
      <c r="O1126" s="2024"/>
      <c r="P1126" s="2954"/>
      <c r="Q1126" s="1238"/>
      <c r="R1126" s="1239"/>
    </row>
    <row r="1127" spans="1:18" ht="18.75" customHeight="1">
      <c r="A1127" s="2927"/>
      <c r="B1127" s="1237"/>
      <c r="C1127" s="1237"/>
      <c r="D1127" s="1237"/>
      <c r="E1127" s="1237"/>
      <c r="F1127" s="1237"/>
      <c r="G1127" s="1237"/>
      <c r="H1127" s="1237"/>
      <c r="I1127" s="1237"/>
      <c r="J1127" s="1237"/>
      <c r="K1127" s="1237"/>
      <c r="L1127" s="1237"/>
      <c r="M1127" s="1237"/>
      <c r="N1127" s="1237"/>
      <c r="O1127" s="2024"/>
      <c r="P1127" s="2954"/>
      <c r="Q1127" s="1238"/>
      <c r="R1127" s="1239"/>
    </row>
    <row r="1128" spans="1:18" ht="18.75" customHeight="1">
      <c r="A1128" s="2927"/>
      <c r="B1128" s="1237"/>
      <c r="C1128" s="1237"/>
      <c r="D1128" s="1237"/>
      <c r="E1128" s="1237"/>
      <c r="F1128" s="1237"/>
      <c r="G1128" s="1237"/>
      <c r="H1128" s="1237"/>
      <c r="I1128" s="1237"/>
      <c r="J1128" s="1237"/>
      <c r="K1128" s="1237"/>
      <c r="L1128" s="1237"/>
      <c r="M1128" s="1237"/>
      <c r="N1128" s="1237"/>
      <c r="O1128" s="2024"/>
      <c r="P1128" s="2954"/>
      <c r="Q1128" s="1238"/>
      <c r="R1128" s="1239"/>
    </row>
    <row r="1129" spans="1:18" ht="18.75" customHeight="1">
      <c r="A1129" s="2927"/>
      <c r="B1129" s="1237"/>
      <c r="C1129" s="1237"/>
      <c r="D1129" s="1237"/>
      <c r="E1129" s="1237"/>
      <c r="F1129" s="1237"/>
      <c r="G1129" s="1237"/>
      <c r="H1129" s="1237"/>
      <c r="I1129" s="1237"/>
      <c r="J1129" s="1237"/>
      <c r="K1129" s="1237"/>
      <c r="L1129" s="1237"/>
      <c r="M1129" s="1237"/>
      <c r="N1129" s="1237"/>
      <c r="O1129" s="2024"/>
      <c r="P1129" s="2954"/>
      <c r="Q1129" s="1238"/>
      <c r="R1129" s="1239"/>
    </row>
    <row r="1130" spans="1:18" ht="18.75" customHeight="1">
      <c r="A1130" s="2927"/>
      <c r="B1130" s="1237"/>
      <c r="C1130" s="1237"/>
      <c r="D1130" s="1237"/>
      <c r="E1130" s="1237"/>
      <c r="F1130" s="1237"/>
      <c r="G1130" s="1237"/>
      <c r="H1130" s="1237"/>
      <c r="I1130" s="1237"/>
      <c r="J1130" s="1237"/>
      <c r="K1130" s="1237"/>
      <c r="L1130" s="1237"/>
      <c r="M1130" s="1237"/>
      <c r="N1130" s="1237"/>
      <c r="O1130" s="2024"/>
      <c r="P1130" s="2954"/>
      <c r="Q1130" s="1238"/>
      <c r="R1130" s="1239"/>
    </row>
    <row r="1131" spans="1:18" ht="18.75" customHeight="1">
      <c r="A1131" s="2927"/>
      <c r="B1131" s="1237"/>
      <c r="C1131" s="1237"/>
      <c r="D1131" s="1237"/>
      <c r="E1131" s="1237"/>
      <c r="F1131" s="1237"/>
      <c r="G1131" s="1237"/>
      <c r="H1131" s="1237"/>
      <c r="I1131" s="1237"/>
      <c r="J1131" s="2945"/>
      <c r="K1131" s="2945"/>
      <c r="L1131" s="2945"/>
      <c r="M1131" s="1237"/>
      <c r="N1131" s="1237"/>
      <c r="O1131" s="2024"/>
      <c r="P1131" s="2954"/>
      <c r="Q1131" s="1238"/>
      <c r="R1131" s="1239"/>
    </row>
    <row r="1132" spans="1:18" ht="18.75" customHeight="1">
      <c r="A1132" s="2927"/>
      <c r="B1132" s="1237"/>
      <c r="C1132" s="1237"/>
      <c r="D1132" s="1237"/>
      <c r="E1132" s="1237"/>
      <c r="F1132" s="1237"/>
      <c r="G1132" s="1237"/>
      <c r="H1132" s="1237"/>
      <c r="I1132" s="1237"/>
      <c r="J1132" s="1237"/>
      <c r="K1132" s="1237"/>
      <c r="L1132" s="1237"/>
      <c r="M1132" s="1237"/>
      <c r="N1132" s="1237"/>
      <c r="O1132" s="2024"/>
      <c r="P1132" s="2954"/>
      <c r="Q1132" s="1238"/>
      <c r="R1132" s="1239"/>
    </row>
    <row r="1133" spans="1:18" ht="18.75" customHeight="1">
      <c r="A1133" s="2927"/>
      <c r="B1133" s="1237"/>
      <c r="C1133" s="1237"/>
      <c r="D1133" s="1237"/>
      <c r="E1133" s="1237"/>
      <c r="F1133" s="1237"/>
      <c r="G1133" s="1237"/>
      <c r="H1133" s="1237"/>
      <c r="I1133" s="1237"/>
      <c r="J1133" s="1237"/>
      <c r="K1133" s="1237"/>
      <c r="L1133" s="1237"/>
      <c r="M1133" s="1237"/>
      <c r="N1133" s="1237"/>
      <c r="O1133" s="2024"/>
      <c r="P1133" s="2954"/>
      <c r="Q1133" s="1238"/>
      <c r="R1133" s="1239"/>
    </row>
    <row r="1134" spans="1:18" ht="18.75" customHeight="1">
      <c r="A1134" s="2927"/>
      <c r="B1134" s="1237"/>
      <c r="C1134" s="1237"/>
      <c r="D1134" s="1237"/>
      <c r="E1134" s="1237"/>
      <c r="F1134" s="1237"/>
      <c r="G1134" s="1237"/>
      <c r="H1134" s="1237"/>
      <c r="I1134" s="1237"/>
      <c r="J1134" s="1237"/>
      <c r="K1134" s="1237"/>
      <c r="L1134" s="1237"/>
      <c r="M1134" s="1237"/>
      <c r="N1134" s="1237"/>
      <c r="O1134" s="2024"/>
      <c r="P1134" s="2954"/>
      <c r="Q1134" s="1238"/>
      <c r="R1134" s="1239"/>
    </row>
    <row r="1135" spans="1:18" ht="18.75" customHeight="1">
      <c r="A1135" s="2927"/>
      <c r="B1135" s="1237"/>
      <c r="C1135" s="1237"/>
      <c r="D1135" s="1237"/>
      <c r="E1135" s="1237"/>
      <c r="F1135" s="1237"/>
      <c r="G1135" s="1237"/>
      <c r="H1135" s="1237"/>
      <c r="I1135" s="1237"/>
      <c r="J1135" s="1237"/>
      <c r="K1135" s="1237"/>
      <c r="L1135" s="1237"/>
      <c r="M1135" s="1237"/>
      <c r="N1135" s="1237"/>
      <c r="O1135" s="2024"/>
      <c r="P1135" s="2954"/>
      <c r="Q1135" s="1238"/>
      <c r="R1135" s="1239"/>
    </row>
    <row r="1136" spans="1:18" ht="18.75" customHeight="1">
      <c r="A1136" s="2927"/>
      <c r="B1136" s="1237"/>
      <c r="C1136" s="1237"/>
      <c r="D1136" s="1237"/>
      <c r="E1136" s="1237"/>
      <c r="F1136" s="1237"/>
      <c r="G1136" s="1237"/>
      <c r="H1136" s="1237"/>
      <c r="I1136" s="1237"/>
      <c r="J1136" s="1237"/>
      <c r="K1136" s="1237"/>
      <c r="L1136" s="1237"/>
      <c r="M1136" s="1237"/>
      <c r="N1136" s="1237"/>
      <c r="O1136" s="2024"/>
      <c r="P1136" s="2954"/>
      <c r="Q1136" s="1238"/>
      <c r="R1136" s="1239"/>
    </row>
    <row r="1137" spans="1:18" ht="18.75" customHeight="1">
      <c r="A1137" s="2927"/>
      <c r="B1137" s="1237"/>
      <c r="C1137" s="1237"/>
      <c r="D1137" s="1237"/>
      <c r="E1137" s="1237"/>
      <c r="F1137" s="1237"/>
      <c r="G1137" s="1237"/>
      <c r="H1137" s="1237"/>
      <c r="I1137" s="1237"/>
      <c r="J1137" s="1237"/>
      <c r="K1137" s="1237"/>
      <c r="L1137" s="1237"/>
      <c r="M1137" s="1237"/>
      <c r="N1137" s="1237"/>
      <c r="O1137" s="2024"/>
      <c r="P1137" s="2954"/>
      <c r="Q1137" s="1238"/>
      <c r="R1137" s="1239"/>
    </row>
    <row r="1138" spans="1:18" ht="18.75" customHeight="1">
      <c r="A1138" s="2927"/>
      <c r="B1138" s="1237"/>
      <c r="C1138" s="1237"/>
      <c r="D1138" s="1237"/>
      <c r="E1138" s="1237"/>
      <c r="F1138" s="1237"/>
      <c r="G1138" s="1237"/>
      <c r="H1138" s="1237"/>
      <c r="I1138" s="1237"/>
      <c r="J1138" s="1237"/>
      <c r="K1138" s="1237"/>
      <c r="L1138" s="1237"/>
      <c r="M1138" s="1237"/>
      <c r="N1138" s="1237"/>
      <c r="O1138" s="2024"/>
      <c r="P1138" s="2954"/>
      <c r="Q1138" s="1238"/>
      <c r="R1138" s="1239"/>
    </row>
    <row r="1139" spans="1:18" ht="18.75" customHeight="1">
      <c r="A1139" s="2927"/>
      <c r="B1139" s="1237"/>
      <c r="C1139" s="1237"/>
      <c r="D1139" s="1237"/>
      <c r="E1139" s="1237"/>
      <c r="F1139" s="1237"/>
      <c r="G1139" s="1237"/>
      <c r="H1139" s="1237"/>
      <c r="I1139" s="1237"/>
      <c r="J1139" s="1237"/>
      <c r="K1139" s="1237"/>
      <c r="L1139" s="1237"/>
      <c r="M1139" s="1237"/>
      <c r="N1139" s="1237"/>
      <c r="O1139" s="2024"/>
      <c r="P1139" s="2954"/>
      <c r="Q1139" s="1238"/>
      <c r="R1139" s="1239"/>
    </row>
    <row r="1140" spans="1:18" ht="18.75" customHeight="1">
      <c r="A1140" s="2927"/>
      <c r="B1140" s="1237"/>
      <c r="C1140" s="1237"/>
      <c r="D1140" s="1237"/>
      <c r="E1140" s="1237"/>
      <c r="F1140" s="1237"/>
      <c r="G1140" s="1237"/>
      <c r="H1140" s="1237"/>
      <c r="I1140" s="1237"/>
      <c r="J1140" s="1237"/>
      <c r="K1140" s="1237"/>
      <c r="L1140" s="1237"/>
      <c r="M1140" s="1237"/>
      <c r="N1140" s="1237"/>
      <c r="O1140" s="2024"/>
      <c r="P1140" s="2954"/>
      <c r="Q1140" s="1238"/>
      <c r="R1140" s="1239"/>
    </row>
    <row r="1141" spans="1:18" ht="18.75" customHeight="1">
      <c r="A1141" s="2927"/>
      <c r="B1141" s="1237"/>
      <c r="C1141" s="1237"/>
      <c r="D1141" s="1237"/>
      <c r="E1141" s="1237"/>
      <c r="F1141" s="1237"/>
      <c r="G1141" s="1237"/>
      <c r="H1141" s="1237"/>
      <c r="I1141" s="1237"/>
      <c r="J1141" s="2945"/>
      <c r="K1141" s="2945"/>
      <c r="L1141" s="2945"/>
      <c r="M1141" s="1237"/>
      <c r="N1141" s="1237"/>
      <c r="O1141" s="2024"/>
      <c r="P1141" s="2954"/>
      <c r="Q1141" s="1238"/>
      <c r="R1141" s="1239"/>
    </row>
    <row r="1142" spans="1:18" ht="18.75" customHeight="1">
      <c r="A1142" s="2927"/>
      <c r="B1142" s="1237"/>
      <c r="C1142" s="1237"/>
      <c r="D1142" s="1237"/>
      <c r="E1142" s="1237"/>
      <c r="F1142" s="1237"/>
      <c r="G1142" s="1237"/>
      <c r="H1142" s="1237"/>
      <c r="I1142" s="1237"/>
      <c r="J1142" s="1237"/>
      <c r="K1142" s="1237"/>
      <c r="L1142" s="1237"/>
      <c r="M1142" s="1237"/>
      <c r="N1142" s="1237"/>
      <c r="O1142" s="2024"/>
      <c r="P1142" s="2954"/>
      <c r="Q1142" s="1238"/>
      <c r="R1142" s="1239"/>
    </row>
    <row r="1143" spans="1:18" ht="18.75" customHeight="1">
      <c r="A1143" s="2927"/>
      <c r="B1143" s="1237"/>
      <c r="C1143" s="1237"/>
      <c r="D1143" s="1237"/>
      <c r="E1143" s="1237"/>
      <c r="F1143" s="1237"/>
      <c r="G1143" s="1237"/>
      <c r="H1143" s="1237"/>
      <c r="I1143" s="1237"/>
      <c r="J1143" s="1237"/>
      <c r="K1143" s="1237"/>
      <c r="L1143" s="1237"/>
      <c r="M1143" s="1237"/>
      <c r="N1143" s="1237"/>
      <c r="O1143" s="2024"/>
      <c r="P1143" s="2946"/>
      <c r="Q1143" s="1238"/>
      <c r="R1143" s="1239"/>
    </row>
    <row r="1144" spans="1:18" ht="18.75" customHeight="1">
      <c r="A1144" s="2927"/>
      <c r="B1144" s="1237"/>
      <c r="C1144" s="1237"/>
      <c r="D1144" s="1237"/>
      <c r="E1144" s="1237"/>
      <c r="F1144" s="1237"/>
      <c r="G1144" s="1237"/>
      <c r="H1144" s="1237"/>
      <c r="I1144" s="1237"/>
      <c r="J1144" s="1237"/>
      <c r="K1144" s="1237"/>
      <c r="L1144" s="1237"/>
      <c r="M1144" s="1237"/>
      <c r="N1144" s="1237"/>
      <c r="O1144" s="2024"/>
      <c r="P1144" s="2947"/>
      <c r="Q1144" s="1238"/>
      <c r="R1144" s="1239"/>
    </row>
    <row r="1145" spans="1:18" ht="18.75" customHeight="1">
      <c r="A1145" s="2927"/>
      <c r="B1145" s="1237"/>
      <c r="C1145" s="1237"/>
      <c r="D1145" s="1237"/>
      <c r="E1145" s="1237"/>
      <c r="F1145" s="1237"/>
      <c r="G1145" s="1237"/>
      <c r="H1145" s="1237"/>
      <c r="I1145" s="1237"/>
      <c r="J1145" s="1237"/>
      <c r="K1145" s="1237"/>
      <c r="L1145" s="1237"/>
      <c r="M1145" s="1237"/>
      <c r="N1145" s="1237"/>
      <c r="O1145" s="2024"/>
      <c r="P1145" s="2947"/>
      <c r="Q1145" s="1238"/>
      <c r="R1145" s="1239"/>
    </row>
    <row r="1146" spans="1:18" ht="18.75" customHeight="1">
      <c r="A1146" s="2927"/>
      <c r="B1146" s="1237"/>
      <c r="C1146" s="1237"/>
      <c r="D1146" s="1237"/>
      <c r="E1146" s="1237"/>
      <c r="F1146" s="1237"/>
      <c r="G1146" s="1237"/>
      <c r="H1146" s="1237"/>
      <c r="I1146" s="1237"/>
      <c r="J1146" s="1237"/>
      <c r="K1146" s="1237"/>
      <c r="L1146" s="1237"/>
      <c r="M1146" s="1237"/>
      <c r="N1146" s="1237"/>
      <c r="O1146" s="2024"/>
      <c r="P1146" s="2947"/>
      <c r="Q1146" s="1238"/>
      <c r="R1146" s="1239"/>
    </row>
    <row r="1147" spans="1:18" ht="18.75" customHeight="1">
      <c r="A1147" s="2927"/>
      <c r="B1147" s="1237"/>
      <c r="C1147" s="1237"/>
      <c r="D1147" s="1237"/>
      <c r="E1147" s="1237"/>
      <c r="F1147" s="1237"/>
      <c r="G1147" s="1237"/>
      <c r="H1147" s="1237"/>
      <c r="I1147" s="1237"/>
      <c r="J1147" s="1237"/>
      <c r="K1147" s="1237"/>
      <c r="L1147" s="1237"/>
      <c r="M1147" s="1237"/>
      <c r="N1147" s="1237"/>
      <c r="O1147" s="2024"/>
      <c r="P1147" s="2947"/>
      <c r="Q1147" s="1238"/>
      <c r="R1147" s="1239"/>
    </row>
    <row r="1148" spans="1:18" ht="18.75" customHeight="1">
      <c r="A1148" s="2927"/>
      <c r="B1148" s="1237"/>
      <c r="C1148" s="1237"/>
      <c r="D1148" s="1237"/>
      <c r="E1148" s="1237"/>
      <c r="F1148" s="1237"/>
      <c r="G1148" s="1237"/>
      <c r="H1148" s="1237"/>
      <c r="I1148" s="1237"/>
      <c r="J1148" s="1237"/>
      <c r="K1148" s="1237"/>
      <c r="L1148" s="1237"/>
      <c r="M1148" s="1237"/>
      <c r="N1148" s="1237"/>
      <c r="O1148" s="2024"/>
      <c r="P1148" s="2947"/>
      <c r="Q1148" s="1238"/>
      <c r="R1148" s="1239"/>
    </row>
    <row r="1149" spans="1:18" ht="18.75" customHeight="1">
      <c r="A1149" s="2927"/>
      <c r="B1149" s="1237"/>
      <c r="C1149" s="1237"/>
      <c r="D1149" s="1237"/>
      <c r="E1149" s="1237"/>
      <c r="F1149" s="1237"/>
      <c r="G1149" s="1237"/>
      <c r="H1149" s="1237"/>
      <c r="I1149" s="1237"/>
      <c r="J1149" s="1237"/>
      <c r="K1149" s="1237"/>
      <c r="L1149" s="1237"/>
      <c r="M1149" s="1237"/>
      <c r="N1149" s="1237"/>
      <c r="O1149" s="2024"/>
      <c r="P1149" s="2947"/>
      <c r="Q1149" s="1238"/>
      <c r="R1149" s="1239"/>
    </row>
    <row r="1150" spans="1:18" ht="18.75" customHeight="1">
      <c r="A1150" s="2927"/>
      <c r="B1150" s="1237"/>
      <c r="C1150" s="1237"/>
      <c r="D1150" s="1237"/>
      <c r="E1150" s="1237"/>
      <c r="F1150" s="1237"/>
      <c r="G1150" s="1237"/>
      <c r="H1150" s="1237"/>
      <c r="I1150" s="1237"/>
      <c r="J1150" s="1237"/>
      <c r="K1150" s="1237"/>
      <c r="L1150" s="1237"/>
      <c r="M1150" s="1237"/>
      <c r="N1150" s="1237"/>
      <c r="O1150" s="2024"/>
      <c r="P1150" s="2947"/>
      <c r="Q1150" s="1238"/>
      <c r="R1150" s="1239"/>
    </row>
    <row r="1151" spans="1:18" ht="18.75" customHeight="1">
      <c r="A1151" s="2927"/>
      <c r="B1151" s="1237"/>
      <c r="C1151" s="1237"/>
      <c r="D1151" s="1237"/>
      <c r="E1151" s="1237"/>
      <c r="F1151" s="1237"/>
      <c r="G1151" s="1237"/>
      <c r="H1151" s="1237"/>
      <c r="I1151" s="1237"/>
      <c r="J1151" s="1237"/>
      <c r="K1151" s="1237"/>
      <c r="L1151" s="1237"/>
      <c r="M1151" s="1237"/>
      <c r="N1151" s="1237"/>
      <c r="O1151" s="2024"/>
      <c r="P1151" s="2948"/>
      <c r="Q1151" s="1238"/>
      <c r="R1151" s="1239"/>
    </row>
    <row r="1152" spans="1:18" ht="18.75" customHeight="1">
      <c r="A1152" s="2927"/>
      <c r="B1152" s="1237"/>
      <c r="C1152" s="1237"/>
      <c r="D1152" s="1237"/>
      <c r="E1152" s="1237"/>
      <c r="F1152" s="1237"/>
      <c r="G1152" s="1237"/>
      <c r="H1152" s="1237"/>
      <c r="I1152" s="1237"/>
      <c r="J1152" s="1237"/>
      <c r="K1152" s="1237"/>
      <c r="L1152" s="1237"/>
      <c r="M1152" s="1237"/>
      <c r="N1152" s="1237"/>
      <c r="O1152" s="2024"/>
      <c r="P1152" s="2946"/>
      <c r="Q1152" s="1238"/>
      <c r="R1152" s="1239"/>
    </row>
    <row r="1153" spans="1:18" ht="18.75" customHeight="1">
      <c r="A1153" s="2927"/>
      <c r="B1153" s="1237"/>
      <c r="C1153" s="1237"/>
      <c r="D1153" s="1237"/>
      <c r="E1153" s="1237"/>
      <c r="F1153" s="1237"/>
      <c r="G1153" s="1237"/>
      <c r="H1153" s="1237"/>
      <c r="I1153" s="1237"/>
      <c r="J1153" s="1237"/>
      <c r="K1153" s="1237"/>
      <c r="L1153" s="1237"/>
      <c r="M1153" s="1237"/>
      <c r="N1153" s="1237"/>
      <c r="O1153" s="2024"/>
      <c r="P1153" s="2947"/>
      <c r="Q1153" s="1238"/>
      <c r="R1153" s="1239"/>
    </row>
    <row r="1154" spans="1:18" ht="18.75" customHeight="1">
      <c r="A1154" s="2927"/>
      <c r="B1154" s="1237"/>
      <c r="C1154" s="1237"/>
      <c r="D1154" s="1237"/>
      <c r="E1154" s="1237"/>
      <c r="F1154" s="1237"/>
      <c r="G1154" s="1237"/>
      <c r="H1154" s="1237"/>
      <c r="I1154" s="1237"/>
      <c r="J1154" s="1237"/>
      <c r="K1154" s="1237"/>
      <c r="L1154" s="1237"/>
      <c r="M1154" s="1237"/>
      <c r="N1154" s="1237"/>
      <c r="O1154" s="2024"/>
      <c r="P1154" s="2947"/>
      <c r="Q1154" s="1238"/>
      <c r="R1154" s="1239"/>
    </row>
    <row r="1155" spans="1:18" ht="18.75" customHeight="1">
      <c r="A1155" s="2927"/>
      <c r="B1155" s="1237"/>
      <c r="C1155" s="1237"/>
      <c r="D1155" s="1237"/>
      <c r="E1155" s="1237"/>
      <c r="F1155" s="1237"/>
      <c r="G1155" s="1237"/>
      <c r="H1155" s="1237"/>
      <c r="I1155" s="1237"/>
      <c r="J1155" s="2945"/>
      <c r="K1155" s="2945"/>
      <c r="L1155" s="2945"/>
      <c r="M1155" s="1237"/>
      <c r="N1155" s="1237"/>
      <c r="O1155" s="2024"/>
      <c r="P1155" s="2947"/>
      <c r="Q1155" s="1238"/>
      <c r="R1155" s="1239"/>
    </row>
    <row r="1156" spans="1:18" ht="18.75" customHeight="1">
      <c r="A1156" s="2927"/>
      <c r="B1156" s="1237"/>
      <c r="C1156" s="1237"/>
      <c r="D1156" s="1237"/>
      <c r="E1156" s="1237"/>
      <c r="F1156" s="1237"/>
      <c r="G1156" s="1237"/>
      <c r="H1156" s="1237"/>
      <c r="I1156" s="1237"/>
      <c r="J1156" s="1237"/>
      <c r="K1156" s="1237"/>
      <c r="L1156" s="1237"/>
      <c r="M1156" s="1237"/>
      <c r="N1156" s="1237"/>
      <c r="O1156" s="2024"/>
      <c r="P1156" s="2947"/>
      <c r="Q1156" s="1238"/>
      <c r="R1156" s="1239"/>
    </row>
    <row r="1157" spans="1:18" ht="18.75" customHeight="1">
      <c r="A1157" s="2927"/>
      <c r="B1157" s="1237"/>
      <c r="C1157" s="1237"/>
      <c r="D1157" s="1237"/>
      <c r="E1157" s="1237"/>
      <c r="F1157" s="1237"/>
      <c r="G1157" s="1237"/>
      <c r="H1157" s="1237"/>
      <c r="I1157" s="1237"/>
      <c r="J1157" s="1237"/>
      <c r="K1157" s="1237"/>
      <c r="L1157" s="1237"/>
      <c r="M1157" s="1237"/>
      <c r="N1157" s="1237"/>
      <c r="O1157" s="2024"/>
      <c r="P1157" s="2947"/>
      <c r="Q1157" s="1238"/>
      <c r="R1157" s="1239"/>
    </row>
    <row r="1158" spans="1:18" ht="18.75" customHeight="1">
      <c r="A1158" s="2927"/>
      <c r="B1158" s="1237"/>
      <c r="C1158" s="1237"/>
      <c r="D1158" s="1237"/>
      <c r="E1158" s="1237"/>
      <c r="F1158" s="1237"/>
      <c r="G1158" s="1237"/>
      <c r="H1158" s="1237"/>
      <c r="I1158" s="1237"/>
      <c r="J1158" s="1237"/>
      <c r="K1158" s="1237"/>
      <c r="L1158" s="1237"/>
      <c r="M1158" s="1237"/>
      <c r="N1158" s="1237"/>
      <c r="O1158" s="2024"/>
      <c r="P1158" s="2948"/>
      <c r="Q1158" s="1238"/>
      <c r="R1158" s="1239"/>
    </row>
    <row r="1159" spans="1:18" ht="18.75" customHeight="1">
      <c r="A1159" s="2927"/>
      <c r="B1159" s="1237"/>
      <c r="C1159" s="1237"/>
      <c r="D1159" s="1237"/>
      <c r="E1159" s="1237"/>
      <c r="F1159" s="1237"/>
      <c r="G1159" s="1237"/>
      <c r="H1159" s="1237"/>
      <c r="I1159" s="1237"/>
      <c r="J1159" s="1237"/>
      <c r="K1159" s="1237"/>
      <c r="L1159" s="1237"/>
      <c r="M1159" s="1237"/>
      <c r="N1159" s="1237"/>
      <c r="O1159" s="2024"/>
      <c r="P1159" s="2946"/>
      <c r="Q1159" s="1238"/>
      <c r="R1159" s="1239"/>
    </row>
    <row r="1160" spans="1:18" ht="18.75" customHeight="1">
      <c r="A1160" s="2927"/>
      <c r="B1160" s="1237"/>
      <c r="C1160" s="1237"/>
      <c r="D1160" s="1237"/>
      <c r="E1160" s="1237"/>
      <c r="F1160" s="1237"/>
      <c r="G1160" s="1237"/>
      <c r="H1160" s="1237"/>
      <c r="I1160" s="1237"/>
      <c r="J1160" s="2945"/>
      <c r="K1160" s="2945"/>
      <c r="L1160" s="2945"/>
      <c r="M1160" s="1237"/>
      <c r="N1160" s="1237"/>
      <c r="O1160" s="2024"/>
      <c r="P1160" s="2947"/>
      <c r="Q1160" s="1238"/>
      <c r="R1160" s="1239"/>
    </row>
    <row r="1161" spans="1:18" ht="18.75" customHeight="1">
      <c r="A1161" s="2927"/>
      <c r="B1161" s="1237"/>
      <c r="C1161" s="1237"/>
      <c r="D1161" s="1237"/>
      <c r="E1161" s="1237"/>
      <c r="F1161" s="1237"/>
      <c r="G1161" s="1237"/>
      <c r="H1161" s="1237"/>
      <c r="I1161" s="1237"/>
      <c r="J1161" s="1237"/>
      <c r="K1161" s="1237"/>
      <c r="L1161" s="1237"/>
      <c r="M1161" s="1237"/>
      <c r="N1161" s="1237"/>
      <c r="O1161" s="2024"/>
      <c r="P1161" s="2947"/>
      <c r="Q1161" s="1238"/>
      <c r="R1161" s="1239"/>
    </row>
    <row r="1162" spans="1:18" ht="18.75" customHeight="1">
      <c r="A1162" s="2927"/>
      <c r="B1162" s="1237"/>
      <c r="C1162" s="1237"/>
      <c r="D1162" s="1237"/>
      <c r="E1162" s="1237"/>
      <c r="F1162" s="1237"/>
      <c r="G1162" s="1237"/>
      <c r="H1162" s="1237"/>
      <c r="I1162" s="1237"/>
      <c r="J1162" s="1237"/>
      <c r="K1162" s="1237"/>
      <c r="L1162" s="1237"/>
      <c r="M1162" s="1237"/>
      <c r="N1162" s="1237"/>
      <c r="O1162" s="2024"/>
      <c r="P1162" s="2947"/>
      <c r="Q1162" s="1238"/>
      <c r="R1162" s="1239"/>
    </row>
    <row r="1163" spans="1:18" ht="18.75" customHeight="1">
      <c r="A1163" s="2927"/>
      <c r="B1163" s="1237"/>
      <c r="C1163" s="1237"/>
      <c r="D1163" s="1237"/>
      <c r="E1163" s="1237"/>
      <c r="F1163" s="1237"/>
      <c r="G1163" s="1237"/>
      <c r="H1163" s="1237"/>
      <c r="I1163" s="1237"/>
      <c r="J1163" s="1237"/>
      <c r="K1163" s="1237"/>
      <c r="L1163" s="1237"/>
      <c r="M1163" s="1237"/>
      <c r="N1163" s="1237"/>
      <c r="O1163" s="2024"/>
      <c r="P1163" s="2948"/>
      <c r="Q1163" s="1238"/>
      <c r="R1163" s="1239"/>
    </row>
    <row r="1164" spans="1:18" ht="18.75" customHeight="1">
      <c r="A1164" s="2927"/>
      <c r="B1164" s="1237"/>
      <c r="C1164" s="1237"/>
      <c r="D1164" s="1237"/>
      <c r="E1164" s="1237"/>
      <c r="F1164" s="1237"/>
      <c r="G1164" s="1237"/>
      <c r="H1164" s="1237"/>
      <c r="I1164" s="1237"/>
      <c r="J1164" s="1237"/>
      <c r="K1164" s="1237"/>
      <c r="L1164" s="1237"/>
      <c r="M1164" s="1237"/>
      <c r="N1164" s="1237"/>
      <c r="O1164" s="2024"/>
      <c r="P1164" s="2946"/>
      <c r="Q1164" s="1238"/>
      <c r="R1164" s="1239"/>
    </row>
    <row r="1165" spans="1:18" ht="18.75" customHeight="1">
      <c r="A1165" s="2927"/>
      <c r="B1165" s="1237"/>
      <c r="C1165" s="1237"/>
      <c r="D1165" s="1237"/>
      <c r="E1165" s="1237"/>
      <c r="F1165" s="1237"/>
      <c r="G1165" s="1237"/>
      <c r="H1165" s="1237"/>
      <c r="I1165" s="1237"/>
      <c r="J1165" s="2945"/>
      <c r="K1165" s="2945"/>
      <c r="L1165" s="2945"/>
      <c r="M1165" s="1237"/>
      <c r="N1165" s="1237"/>
      <c r="O1165" s="2024"/>
      <c r="P1165" s="2947"/>
      <c r="Q1165" s="1238"/>
      <c r="R1165" s="1239"/>
    </row>
    <row r="1166" spans="1:18" ht="18.75" customHeight="1">
      <c r="A1166" s="2927"/>
      <c r="B1166" s="1237"/>
      <c r="C1166" s="1237"/>
      <c r="D1166" s="1237"/>
      <c r="E1166" s="1237"/>
      <c r="F1166" s="1237"/>
      <c r="G1166" s="1237"/>
      <c r="H1166" s="1237"/>
      <c r="I1166" s="1237"/>
      <c r="J1166" s="1237"/>
      <c r="K1166" s="1237"/>
      <c r="L1166" s="1237"/>
      <c r="M1166" s="1237"/>
      <c r="N1166" s="1237"/>
      <c r="O1166" s="2024"/>
      <c r="P1166" s="2947"/>
      <c r="Q1166" s="1238"/>
      <c r="R1166" s="1239"/>
    </row>
    <row r="1167" spans="1:18" ht="18.75" customHeight="1">
      <c r="A1167" s="2927"/>
      <c r="B1167" s="1237"/>
      <c r="C1167" s="1237"/>
      <c r="D1167" s="1237"/>
      <c r="E1167" s="1237"/>
      <c r="F1167" s="1237"/>
      <c r="G1167" s="1237"/>
      <c r="H1167" s="1237"/>
      <c r="I1167" s="1237"/>
      <c r="J1167" s="1237"/>
      <c r="K1167" s="1237"/>
      <c r="L1167" s="1237"/>
      <c r="M1167" s="1237"/>
      <c r="N1167" s="1237"/>
      <c r="O1167" s="2024"/>
      <c r="P1167" s="2947"/>
      <c r="Q1167" s="1238"/>
      <c r="R1167" s="1239"/>
    </row>
    <row r="1168" spans="1:18" ht="18.75" customHeight="1">
      <c r="A1168" s="2927"/>
      <c r="B1168" s="1237"/>
      <c r="C1168" s="1237"/>
      <c r="D1168" s="1237"/>
      <c r="E1168" s="1237"/>
      <c r="F1168" s="1237"/>
      <c r="G1168" s="1237"/>
      <c r="H1168" s="1237"/>
      <c r="I1168" s="1237"/>
      <c r="J1168" s="1237"/>
      <c r="K1168" s="1237"/>
      <c r="L1168" s="1237"/>
      <c r="M1168" s="1237"/>
      <c r="N1168" s="1237"/>
      <c r="O1168" s="2024"/>
      <c r="P1168" s="2947"/>
      <c r="Q1168" s="1238"/>
      <c r="R1168" s="1239"/>
    </row>
    <row r="1169" spans="1:18" ht="18.75" customHeight="1">
      <c r="A1169" s="2927"/>
      <c r="B1169" s="1237"/>
      <c r="C1169" s="1237"/>
      <c r="D1169" s="1237"/>
      <c r="E1169" s="1237"/>
      <c r="F1169" s="1237"/>
      <c r="G1169" s="1237"/>
      <c r="H1169" s="1237"/>
      <c r="I1169" s="1237"/>
      <c r="J1169" s="1237"/>
      <c r="K1169" s="1237"/>
      <c r="L1169" s="1237"/>
      <c r="M1169" s="1237"/>
      <c r="N1169" s="1237"/>
      <c r="O1169" s="2024"/>
      <c r="P1169" s="2947"/>
      <c r="Q1169" s="1238"/>
      <c r="R1169" s="1239"/>
    </row>
    <row r="1170" spans="1:18" ht="18.75" customHeight="1">
      <c r="A1170" s="2927"/>
      <c r="B1170" s="1540"/>
      <c r="C1170" s="1540"/>
      <c r="D1170" s="1540"/>
      <c r="E1170" s="1540"/>
      <c r="F1170" s="1540"/>
      <c r="G1170" s="1540"/>
      <c r="H1170" s="1540"/>
      <c r="I1170" s="1540"/>
      <c r="J1170" s="1540"/>
      <c r="K1170" s="1540"/>
      <c r="L1170" s="1540"/>
      <c r="M1170" s="1540"/>
      <c r="N1170" s="1540"/>
      <c r="O1170" s="2025"/>
      <c r="P1170" s="2947"/>
      <c r="Q1170" s="1541"/>
      <c r="R1170" s="1591"/>
    </row>
    <row r="1171" spans="1:18" ht="18.75" customHeight="1">
      <c r="A1171" s="2927"/>
      <c r="B1171" s="2200"/>
      <c r="C1171" s="2200"/>
      <c r="D1171" s="2200"/>
      <c r="E1171" s="2200"/>
      <c r="F1171" s="2200"/>
      <c r="G1171" s="2200"/>
      <c r="H1171" s="2200"/>
      <c r="I1171" s="2200"/>
      <c r="J1171" s="2200"/>
      <c r="K1171" s="2200"/>
      <c r="L1171" s="2200"/>
      <c r="M1171" s="2200"/>
      <c r="N1171" s="2200"/>
      <c r="O1171" s="2201"/>
      <c r="P1171" s="2956"/>
      <c r="Q1171" s="1940"/>
      <c r="R1171" s="1943"/>
    </row>
    <row r="1172" spans="1:18" ht="18.75" customHeight="1">
      <c r="A1172" s="2927"/>
      <c r="B1172" s="1237"/>
      <c r="C1172" s="1237"/>
      <c r="D1172" s="1237"/>
      <c r="E1172" s="1237"/>
      <c r="F1172" s="1237"/>
      <c r="G1172" s="1237"/>
      <c r="H1172" s="1237"/>
      <c r="I1172" s="1237"/>
      <c r="J1172" s="1237"/>
      <c r="K1172" s="1237"/>
      <c r="L1172" s="1237"/>
      <c r="M1172" s="1237"/>
      <c r="N1172" s="1237"/>
      <c r="O1172" s="2024"/>
      <c r="P1172" s="2947"/>
      <c r="Q1172" s="1238"/>
      <c r="R1172" s="1239"/>
    </row>
    <row r="1173" spans="1:18" ht="18.75" customHeight="1">
      <c r="A1173" s="2927"/>
      <c r="B1173" s="1237"/>
      <c r="C1173" s="1237"/>
      <c r="D1173" s="1237"/>
      <c r="E1173" s="1237"/>
      <c r="F1173" s="1237"/>
      <c r="G1173" s="1237"/>
      <c r="H1173" s="1237"/>
      <c r="I1173" s="1237"/>
      <c r="J1173" s="1237"/>
      <c r="K1173" s="1237"/>
      <c r="L1173" s="1237"/>
      <c r="M1173" s="1237"/>
      <c r="N1173" s="1237"/>
      <c r="O1173" s="2024"/>
      <c r="P1173" s="2947"/>
      <c r="Q1173" s="1238"/>
      <c r="R1173" s="1239"/>
    </row>
    <row r="1174" spans="1:18" ht="18.75" customHeight="1">
      <c r="A1174" s="2927"/>
      <c r="B1174" s="1237"/>
      <c r="C1174" s="1237"/>
      <c r="D1174" s="1237"/>
      <c r="E1174" s="1237"/>
      <c r="F1174" s="1237"/>
      <c r="G1174" s="1237"/>
      <c r="H1174" s="1237"/>
      <c r="I1174" s="1237"/>
      <c r="J1174" s="1237"/>
      <c r="K1174" s="1237"/>
      <c r="L1174" s="1237"/>
      <c r="M1174" s="1237"/>
      <c r="N1174" s="1237"/>
      <c r="O1174" s="2024"/>
      <c r="P1174" s="2947"/>
      <c r="Q1174" s="1238"/>
      <c r="R1174" s="1239"/>
    </row>
    <row r="1175" spans="1:18" ht="18.75" customHeight="1">
      <c r="A1175" s="2927"/>
      <c r="B1175" s="1237"/>
      <c r="C1175" s="1237"/>
      <c r="D1175" s="1237"/>
      <c r="E1175" s="1237"/>
      <c r="F1175" s="1237"/>
      <c r="G1175" s="1237"/>
      <c r="H1175" s="1237"/>
      <c r="I1175" s="1237"/>
      <c r="J1175" s="2945"/>
      <c r="K1175" s="2945"/>
      <c r="L1175" s="2945"/>
      <c r="M1175" s="1237"/>
      <c r="N1175" s="1237"/>
      <c r="O1175" s="2024"/>
      <c r="P1175" s="2947"/>
      <c r="Q1175" s="1238"/>
      <c r="R1175" s="1239"/>
    </row>
    <row r="1176" spans="1:18" ht="18.75" customHeight="1">
      <c r="A1176" s="2927"/>
      <c r="B1176" s="1237"/>
      <c r="C1176" s="1237"/>
      <c r="D1176" s="1237"/>
      <c r="E1176" s="1237"/>
      <c r="F1176" s="1237"/>
      <c r="G1176" s="1237"/>
      <c r="H1176" s="1237"/>
      <c r="I1176" s="1237"/>
      <c r="J1176" s="1237"/>
      <c r="K1176" s="1237"/>
      <c r="L1176" s="1237"/>
      <c r="M1176" s="1237"/>
      <c r="N1176" s="1237"/>
      <c r="O1176" s="2024"/>
      <c r="P1176" s="2947"/>
      <c r="Q1176" s="1238"/>
      <c r="R1176" s="1239"/>
    </row>
    <row r="1177" spans="1:18" ht="18.75" customHeight="1" thickBot="1">
      <c r="A1177" s="2928"/>
      <c r="B1177" s="1550"/>
      <c r="C1177" s="1550"/>
      <c r="D1177" s="1550"/>
      <c r="E1177" s="1550"/>
      <c r="F1177" s="1550"/>
      <c r="G1177" s="1550"/>
      <c r="H1177" s="1550"/>
      <c r="I1177" s="1550"/>
      <c r="J1177" s="1550"/>
      <c r="K1177" s="1550"/>
      <c r="L1177" s="1550"/>
      <c r="M1177" s="1550"/>
      <c r="N1177" s="1550"/>
      <c r="O1177" s="2031"/>
      <c r="P1177" s="2957"/>
      <c r="Q1177" s="1551"/>
      <c r="R1177" s="2202"/>
    </row>
    <row r="1178" spans="1:18" ht="18.75" customHeight="1">
      <c r="A1178" s="2926"/>
      <c r="B1178" s="1574"/>
      <c r="C1178" s="1574"/>
      <c r="D1178" s="1574"/>
      <c r="E1178" s="1574"/>
      <c r="F1178" s="1574"/>
      <c r="G1178" s="1574"/>
      <c r="H1178" s="1574"/>
      <c r="I1178" s="1574"/>
      <c r="J1178" s="1574"/>
      <c r="K1178" s="1574"/>
      <c r="L1178" s="1574"/>
      <c r="M1178" s="1574"/>
      <c r="N1178" s="1574"/>
      <c r="O1178" s="2038"/>
      <c r="P1178" s="2948"/>
      <c r="Q1178" s="1575"/>
      <c r="R1178" s="466"/>
    </row>
    <row r="1179" spans="1:18" ht="18.75" customHeight="1">
      <c r="A1179" s="2927"/>
      <c r="B1179" s="1237"/>
      <c r="C1179" s="1237"/>
      <c r="D1179" s="1237"/>
      <c r="E1179" s="1237"/>
      <c r="F1179" s="1237"/>
      <c r="G1179" s="1237"/>
      <c r="H1179" s="1237"/>
      <c r="I1179" s="1237"/>
      <c r="J1179" s="1237"/>
      <c r="K1179" s="1237"/>
      <c r="L1179" s="1237"/>
      <c r="M1179" s="1237"/>
      <c r="N1179" s="1237"/>
      <c r="O1179" s="2024"/>
      <c r="P1179" s="2954"/>
      <c r="Q1179" s="1238"/>
      <c r="R1179" s="1239"/>
    </row>
    <row r="1180" spans="1:18" ht="18.75" customHeight="1">
      <c r="A1180" s="2927"/>
      <c r="B1180" s="1237"/>
      <c r="C1180" s="1237"/>
      <c r="D1180" s="1237"/>
      <c r="E1180" s="1237"/>
      <c r="F1180" s="1237"/>
      <c r="G1180" s="1237"/>
      <c r="H1180" s="1237"/>
      <c r="I1180" s="1237"/>
      <c r="J1180" s="2945"/>
      <c r="K1180" s="2945"/>
      <c r="L1180" s="2945"/>
      <c r="M1180" s="1237"/>
      <c r="N1180" s="1237"/>
      <c r="O1180" s="2024"/>
      <c r="P1180" s="2954"/>
      <c r="Q1180" s="1238"/>
      <c r="R1180" s="1239"/>
    </row>
    <row r="1181" spans="1:18" ht="18.75" customHeight="1">
      <c r="A1181" s="2927"/>
      <c r="B1181" s="1237"/>
      <c r="C1181" s="1237"/>
      <c r="D1181" s="1237"/>
      <c r="E1181" s="1237"/>
      <c r="F1181" s="1237"/>
      <c r="G1181" s="1237"/>
      <c r="H1181" s="1237"/>
      <c r="I1181" s="1237"/>
      <c r="J1181" s="1237"/>
      <c r="K1181" s="1237"/>
      <c r="L1181" s="1237"/>
      <c r="M1181" s="1237"/>
      <c r="N1181" s="1237"/>
      <c r="O1181" s="2024"/>
      <c r="P1181" s="2954"/>
      <c r="Q1181" s="1238"/>
      <c r="R1181" s="1239"/>
    </row>
    <row r="1182" spans="1:18" ht="18.75" customHeight="1">
      <c r="A1182" s="2927"/>
      <c r="B1182" s="1237"/>
      <c r="C1182" s="1237"/>
      <c r="D1182" s="1237"/>
      <c r="E1182" s="1237"/>
      <c r="F1182" s="1237"/>
      <c r="G1182" s="1237"/>
      <c r="H1182" s="1237"/>
      <c r="I1182" s="1237"/>
      <c r="J1182" s="1237"/>
      <c r="K1182" s="1237"/>
      <c r="L1182" s="1237"/>
      <c r="M1182" s="1237"/>
      <c r="N1182" s="1237"/>
      <c r="O1182" s="2024"/>
      <c r="P1182" s="2954"/>
      <c r="Q1182" s="1238"/>
      <c r="R1182" s="1239"/>
    </row>
    <row r="1183" spans="1:18" ht="18.75" customHeight="1">
      <c r="A1183" s="2927"/>
      <c r="B1183" s="1237"/>
      <c r="C1183" s="1237"/>
      <c r="D1183" s="1237"/>
      <c r="E1183" s="1237"/>
      <c r="F1183" s="1237"/>
      <c r="G1183" s="1237"/>
      <c r="H1183" s="1237"/>
      <c r="I1183" s="1237"/>
      <c r="J1183" s="1237"/>
      <c r="K1183" s="1237"/>
      <c r="L1183" s="1237"/>
      <c r="M1183" s="1237"/>
      <c r="N1183" s="1237"/>
      <c r="O1183" s="2024"/>
      <c r="P1183" s="2954"/>
      <c r="Q1183" s="1238"/>
      <c r="R1183" s="1239"/>
    </row>
    <row r="1184" spans="1:18" ht="18.75" customHeight="1">
      <c r="A1184" s="2927"/>
      <c r="B1184" s="1237"/>
      <c r="C1184" s="1237"/>
      <c r="D1184" s="1237"/>
      <c r="E1184" s="1237"/>
      <c r="F1184" s="1237"/>
      <c r="G1184" s="1237"/>
      <c r="H1184" s="1237"/>
      <c r="I1184" s="1237"/>
      <c r="J1184" s="1237"/>
      <c r="K1184" s="1237"/>
      <c r="L1184" s="1237"/>
      <c r="M1184" s="1237"/>
      <c r="N1184" s="1237"/>
      <c r="O1184" s="2024"/>
      <c r="P1184" s="2954"/>
      <c r="Q1184" s="1238"/>
      <c r="R1184" s="1239"/>
    </row>
    <row r="1185" spans="1:18" ht="18.75" customHeight="1">
      <c r="A1185" s="2927"/>
      <c r="B1185" s="1237"/>
      <c r="C1185" s="1237"/>
      <c r="D1185" s="1237"/>
      <c r="E1185" s="1237"/>
      <c r="F1185" s="1237"/>
      <c r="G1185" s="1237"/>
      <c r="H1185" s="1237"/>
      <c r="I1185" s="1237"/>
      <c r="J1185" s="2945"/>
      <c r="K1185" s="2945"/>
      <c r="L1185" s="2945"/>
      <c r="M1185" s="1237"/>
      <c r="N1185" s="1237"/>
      <c r="O1185" s="2024"/>
      <c r="P1185" s="2954"/>
      <c r="Q1185" s="1238"/>
      <c r="R1185" s="1239"/>
    </row>
    <row r="1186" spans="1:18" ht="18.75" customHeight="1">
      <c r="A1186" s="2927"/>
      <c r="B1186" s="1237"/>
      <c r="C1186" s="1237"/>
      <c r="D1186" s="1237"/>
      <c r="E1186" s="1237"/>
      <c r="F1186" s="1237"/>
      <c r="G1186" s="1237"/>
      <c r="H1186" s="1237"/>
      <c r="I1186" s="1237"/>
      <c r="J1186" s="1237"/>
      <c r="K1186" s="1237"/>
      <c r="L1186" s="1237"/>
      <c r="M1186" s="1237"/>
      <c r="N1186" s="1237"/>
      <c r="O1186" s="2024"/>
      <c r="P1186" s="2954"/>
      <c r="Q1186" s="1238"/>
      <c r="R1186" s="1239"/>
    </row>
    <row r="1187" spans="1:18" ht="18.75" customHeight="1">
      <c r="A1187" s="2927"/>
      <c r="B1187" s="1237"/>
      <c r="C1187" s="1237"/>
      <c r="D1187" s="1237"/>
      <c r="E1187" s="1237"/>
      <c r="F1187" s="1237"/>
      <c r="G1187" s="1237"/>
      <c r="H1187" s="1237"/>
      <c r="I1187" s="1237"/>
      <c r="J1187" s="1237"/>
      <c r="K1187" s="1237"/>
      <c r="L1187" s="1237"/>
      <c r="M1187" s="1237"/>
      <c r="N1187" s="1237"/>
      <c r="O1187" s="2024"/>
      <c r="P1187" s="2954"/>
      <c r="Q1187" s="1238"/>
      <c r="R1187" s="1239"/>
    </row>
    <row r="1188" spans="1:18" ht="18.75" customHeight="1">
      <c r="A1188" s="2927"/>
      <c r="B1188" s="1237"/>
      <c r="C1188" s="1237"/>
      <c r="D1188" s="1237"/>
      <c r="E1188" s="1237"/>
      <c r="F1188" s="1237"/>
      <c r="G1188" s="1237"/>
      <c r="H1188" s="1237"/>
      <c r="I1188" s="1237"/>
      <c r="J1188" s="1237"/>
      <c r="K1188" s="1237"/>
      <c r="L1188" s="1237"/>
      <c r="M1188" s="1237"/>
      <c r="N1188" s="1237"/>
      <c r="O1188" s="2024"/>
      <c r="P1188" s="2954"/>
      <c r="Q1188" s="1238"/>
      <c r="R1188" s="1239"/>
    </row>
    <row r="1189" spans="1:18" ht="18.75" customHeight="1">
      <c r="A1189" s="2927"/>
      <c r="B1189" s="1237"/>
      <c r="C1189" s="1237"/>
      <c r="D1189" s="1237"/>
      <c r="E1189" s="1237"/>
      <c r="F1189" s="1237"/>
      <c r="G1189" s="1237"/>
      <c r="H1189" s="1237"/>
      <c r="I1189" s="1237"/>
      <c r="J1189" s="1237"/>
      <c r="K1189" s="1237"/>
      <c r="L1189" s="1237"/>
      <c r="M1189" s="1237"/>
      <c r="N1189" s="1237"/>
      <c r="O1189" s="2024"/>
      <c r="P1189" s="2954"/>
      <c r="Q1189" s="1238"/>
      <c r="R1189" s="1239"/>
    </row>
    <row r="1190" spans="1:18" ht="18.75" customHeight="1">
      <c r="A1190" s="2927"/>
      <c r="B1190" s="1237"/>
      <c r="C1190" s="1237"/>
      <c r="D1190" s="1237"/>
      <c r="E1190" s="1237"/>
      <c r="F1190" s="1237"/>
      <c r="G1190" s="1237"/>
      <c r="H1190" s="1237"/>
      <c r="I1190" s="1237"/>
      <c r="J1190" s="1237"/>
      <c r="K1190" s="1237"/>
      <c r="L1190" s="1237"/>
      <c r="M1190" s="1237"/>
      <c r="N1190" s="1237"/>
      <c r="O1190" s="2024"/>
      <c r="P1190" s="2954"/>
      <c r="Q1190" s="1238"/>
      <c r="R1190" s="1239"/>
    </row>
    <row r="1191" spans="1:18" ht="18.75" customHeight="1">
      <c r="A1191" s="2927"/>
      <c r="B1191" s="1237"/>
      <c r="C1191" s="1237"/>
      <c r="D1191" s="1237"/>
      <c r="E1191" s="1237"/>
      <c r="F1191" s="1237"/>
      <c r="G1191" s="1237"/>
      <c r="H1191" s="1237"/>
      <c r="I1191" s="1237"/>
      <c r="J1191" s="1237"/>
      <c r="K1191" s="1237"/>
      <c r="L1191" s="1237"/>
      <c r="M1191" s="1237"/>
      <c r="N1191" s="1237"/>
      <c r="O1191" s="2024"/>
      <c r="P1191" s="2954"/>
      <c r="Q1191" s="1238"/>
      <c r="R1191" s="1239"/>
    </row>
    <row r="1192" spans="1:18" ht="18.75" customHeight="1">
      <c r="A1192" s="2927"/>
      <c r="B1192" s="1237"/>
      <c r="C1192" s="1237"/>
      <c r="D1192" s="1237"/>
      <c r="E1192" s="1237"/>
      <c r="F1192" s="1237"/>
      <c r="G1192" s="1237"/>
      <c r="H1192" s="1237"/>
      <c r="I1192" s="1237"/>
      <c r="J1192" s="1237"/>
      <c r="K1192" s="1237"/>
      <c r="L1192" s="1237"/>
      <c r="M1192" s="1237"/>
      <c r="N1192" s="1237"/>
      <c r="O1192" s="2024"/>
      <c r="P1192" s="2954"/>
      <c r="Q1192" s="1238"/>
      <c r="R1192" s="1239"/>
    </row>
    <row r="1193" spans="1:18" ht="18.75" customHeight="1">
      <c r="A1193" s="2927"/>
      <c r="B1193" s="1237"/>
      <c r="C1193" s="1237"/>
      <c r="D1193" s="1237"/>
      <c r="E1193" s="1237"/>
      <c r="F1193" s="1237"/>
      <c r="G1193" s="1237"/>
      <c r="H1193" s="1237"/>
      <c r="I1193" s="1237"/>
      <c r="J1193" s="1241"/>
      <c r="K1193" s="1241"/>
      <c r="L1193" s="1241"/>
      <c r="M1193" s="1237"/>
      <c r="N1193" s="1237"/>
      <c r="O1193" s="2024"/>
      <c r="P1193" s="2954"/>
      <c r="Q1193" s="1238"/>
      <c r="R1193" s="1239"/>
    </row>
    <row r="1194" spans="1:18" ht="18.75" customHeight="1">
      <c r="A1194" s="2927"/>
      <c r="B1194" s="1237"/>
      <c r="C1194" s="1237"/>
      <c r="D1194" s="1237"/>
      <c r="E1194" s="1237"/>
      <c r="F1194" s="1237"/>
      <c r="G1194" s="1237"/>
      <c r="H1194" s="1237"/>
      <c r="I1194" s="1237"/>
      <c r="J1194" s="1237"/>
      <c r="K1194" s="1237"/>
      <c r="L1194" s="1237"/>
      <c r="M1194" s="1237"/>
      <c r="N1194" s="1237"/>
      <c r="O1194" s="2024"/>
      <c r="P1194" s="2954"/>
      <c r="Q1194" s="1238"/>
      <c r="R1194" s="1239"/>
    </row>
    <row r="1195" spans="1:18" ht="18.75" customHeight="1">
      <c r="A1195" s="2927"/>
      <c r="B1195" s="1237"/>
      <c r="C1195" s="1237"/>
      <c r="D1195" s="1237"/>
      <c r="E1195" s="1237"/>
      <c r="F1195" s="1237"/>
      <c r="G1195" s="1237"/>
      <c r="H1195" s="1237"/>
      <c r="I1195" s="1237"/>
      <c r="J1195" s="2945"/>
      <c r="K1195" s="2945"/>
      <c r="L1195" s="2945"/>
      <c r="M1195" s="1237"/>
      <c r="N1195" s="1237"/>
      <c r="O1195" s="2024"/>
      <c r="P1195" s="2954"/>
      <c r="Q1195" s="1238"/>
      <c r="R1195" s="1239"/>
    </row>
    <row r="1196" spans="1:18" ht="18.75" customHeight="1">
      <c r="A1196" s="2927"/>
      <c r="B1196" s="1237"/>
      <c r="C1196" s="1237"/>
      <c r="D1196" s="1237"/>
      <c r="E1196" s="1237"/>
      <c r="F1196" s="1237"/>
      <c r="G1196" s="1237"/>
      <c r="H1196" s="1237"/>
      <c r="I1196" s="1237"/>
      <c r="J1196" s="1237"/>
      <c r="K1196" s="1237"/>
      <c r="L1196" s="1237"/>
      <c r="M1196" s="1237"/>
      <c r="N1196" s="1237"/>
      <c r="O1196" s="2024"/>
      <c r="P1196" s="2954"/>
      <c r="Q1196" s="1238"/>
      <c r="R1196" s="1239"/>
    </row>
    <row r="1197" spans="1:18" ht="18.75" customHeight="1">
      <c r="A1197" s="2927"/>
      <c r="B1197" s="1237"/>
      <c r="C1197" s="1237"/>
      <c r="D1197" s="1237"/>
      <c r="E1197" s="1237"/>
      <c r="F1197" s="1237"/>
      <c r="G1197" s="1237"/>
      <c r="H1197" s="1237"/>
      <c r="I1197" s="1237"/>
      <c r="J1197" s="1237"/>
      <c r="K1197" s="1237"/>
      <c r="L1197" s="1237"/>
      <c r="M1197" s="1237"/>
      <c r="N1197" s="1237"/>
      <c r="O1197" s="2024"/>
      <c r="P1197" s="2954"/>
      <c r="Q1197" s="1238"/>
      <c r="R1197" s="1239"/>
    </row>
    <row r="1198" spans="1:18" ht="18.75" customHeight="1">
      <c r="A1198" s="2927"/>
      <c r="B1198" s="1237"/>
      <c r="C1198" s="1237"/>
      <c r="D1198" s="1237"/>
      <c r="E1198" s="1237"/>
      <c r="F1198" s="1237"/>
      <c r="G1198" s="1237"/>
      <c r="H1198" s="1237"/>
      <c r="I1198" s="1237"/>
      <c r="J1198" s="1237"/>
      <c r="K1198" s="1237"/>
      <c r="L1198" s="1237"/>
      <c r="M1198" s="1237"/>
      <c r="N1198" s="1237"/>
      <c r="O1198" s="2024"/>
      <c r="P1198" s="2954"/>
      <c r="Q1198" s="1238"/>
      <c r="R1198" s="1239"/>
    </row>
    <row r="1199" spans="1:18" ht="18.75" customHeight="1">
      <c r="A1199" s="2927"/>
      <c r="B1199" s="1237"/>
      <c r="C1199" s="1237"/>
      <c r="D1199" s="1237"/>
      <c r="E1199" s="1237"/>
      <c r="F1199" s="1237"/>
      <c r="G1199" s="1237"/>
      <c r="H1199" s="1237"/>
      <c r="I1199" s="1237"/>
      <c r="J1199" s="1237"/>
      <c r="K1199" s="1237"/>
      <c r="L1199" s="1237"/>
      <c r="M1199" s="1237"/>
      <c r="N1199" s="1237"/>
      <c r="O1199" s="2024"/>
      <c r="P1199" s="2954"/>
      <c r="Q1199" s="1238"/>
      <c r="R1199" s="1239"/>
    </row>
    <row r="1200" spans="1:18" ht="18.75" customHeight="1">
      <c r="A1200" s="2927"/>
      <c r="B1200" s="1237"/>
      <c r="C1200" s="1237"/>
      <c r="D1200" s="1237"/>
      <c r="E1200" s="1237"/>
      <c r="F1200" s="1237"/>
      <c r="G1200" s="1237"/>
      <c r="H1200" s="1237"/>
      <c r="I1200" s="1237"/>
      <c r="J1200" s="2945"/>
      <c r="K1200" s="2945"/>
      <c r="L1200" s="2945"/>
      <c r="M1200" s="1237"/>
      <c r="N1200" s="1237"/>
      <c r="O1200" s="2024"/>
      <c r="P1200" s="2954"/>
      <c r="Q1200" s="1238"/>
      <c r="R1200" s="1239"/>
    </row>
    <row r="1201" spans="1:18" ht="18.75" customHeight="1">
      <c r="A1201" s="2927"/>
      <c r="B1201" s="1237"/>
      <c r="C1201" s="1237"/>
      <c r="D1201" s="1237"/>
      <c r="E1201" s="1237"/>
      <c r="F1201" s="1237"/>
      <c r="G1201" s="1237"/>
      <c r="H1201" s="1237"/>
      <c r="I1201" s="1237"/>
      <c r="J1201" s="1237"/>
      <c r="K1201" s="1237"/>
      <c r="L1201" s="1241"/>
      <c r="M1201" s="1237"/>
      <c r="N1201" s="1237"/>
      <c r="O1201" s="2024"/>
      <c r="P1201" s="2954"/>
      <c r="Q1201" s="1238"/>
      <c r="R1201" s="1239"/>
    </row>
    <row r="1202" spans="1:18" ht="18.75" customHeight="1">
      <c r="A1202" s="2927"/>
      <c r="B1202" s="1237"/>
      <c r="C1202" s="1237"/>
      <c r="D1202" s="1237"/>
      <c r="E1202" s="1237"/>
      <c r="F1202" s="1237"/>
      <c r="G1202" s="1237"/>
      <c r="H1202" s="1237"/>
      <c r="I1202" s="1237"/>
      <c r="J1202" s="1237"/>
      <c r="K1202" s="1237"/>
      <c r="L1202" s="1237"/>
      <c r="M1202" s="1237"/>
      <c r="N1202" s="1237"/>
      <c r="O1202" s="2024"/>
      <c r="P1202" s="2954"/>
      <c r="Q1202" s="1238"/>
      <c r="R1202" s="1239"/>
    </row>
    <row r="1203" spans="1:18" ht="18.75" customHeight="1">
      <c r="A1203" s="2927"/>
      <c r="B1203" s="1237"/>
      <c r="C1203" s="1237"/>
      <c r="D1203" s="1237"/>
      <c r="E1203" s="1237"/>
      <c r="F1203" s="1237"/>
      <c r="G1203" s="1237"/>
      <c r="H1203" s="1237"/>
      <c r="I1203" s="1237"/>
      <c r="J1203" s="1237"/>
      <c r="K1203" s="1241"/>
      <c r="L1203" s="1241"/>
      <c r="M1203" s="1237"/>
      <c r="N1203" s="1237"/>
      <c r="O1203" s="2024"/>
      <c r="P1203" s="2954"/>
      <c r="Q1203" s="1238"/>
      <c r="R1203" s="1239"/>
    </row>
    <row r="1204" spans="1:18" ht="18.75" customHeight="1">
      <c r="A1204" s="2927"/>
      <c r="B1204" s="1237"/>
      <c r="C1204" s="1237"/>
      <c r="D1204" s="1237"/>
      <c r="E1204" s="1237"/>
      <c r="F1204" s="1237"/>
      <c r="G1204" s="1237"/>
      <c r="H1204" s="1237"/>
      <c r="I1204" s="1237"/>
      <c r="J1204" s="1237"/>
      <c r="K1204" s="1237"/>
      <c r="L1204" s="1237"/>
      <c r="M1204" s="1237"/>
      <c r="N1204" s="1237"/>
      <c r="O1204" s="2024"/>
      <c r="P1204" s="2954"/>
      <c r="Q1204" s="1238"/>
      <c r="R1204" s="1239"/>
    </row>
    <row r="1205" spans="1:18" ht="18.75" customHeight="1">
      <c r="A1205" s="2927"/>
      <c r="B1205" s="1237"/>
      <c r="C1205" s="1237"/>
      <c r="D1205" s="1237"/>
      <c r="E1205" s="1237"/>
      <c r="F1205" s="1237"/>
      <c r="G1205" s="1237"/>
      <c r="H1205" s="1237"/>
      <c r="I1205" s="1237"/>
      <c r="J1205" s="2945"/>
      <c r="K1205" s="2945"/>
      <c r="L1205" s="2945"/>
      <c r="M1205" s="1237"/>
      <c r="N1205" s="1237"/>
      <c r="O1205" s="2024"/>
      <c r="P1205" s="2954"/>
      <c r="Q1205" s="1238"/>
      <c r="R1205" s="1239"/>
    </row>
    <row r="1206" spans="1:18" ht="18.75" customHeight="1">
      <c r="A1206" s="2927"/>
      <c r="B1206" s="1237"/>
      <c r="C1206" s="1237"/>
      <c r="D1206" s="1237"/>
      <c r="E1206" s="1237"/>
      <c r="F1206" s="1237"/>
      <c r="G1206" s="1237"/>
      <c r="H1206" s="1237"/>
      <c r="I1206" s="1237"/>
      <c r="J1206" s="1237"/>
      <c r="K1206" s="1237"/>
      <c r="L1206" s="1237"/>
      <c r="M1206" s="1237"/>
      <c r="N1206" s="1237"/>
      <c r="O1206" s="2024"/>
      <c r="P1206" s="2954"/>
      <c r="Q1206" s="1238"/>
      <c r="R1206" s="1239"/>
    </row>
    <row r="1207" spans="1:18" ht="18.75" customHeight="1">
      <c r="A1207" s="2927"/>
      <c r="B1207" s="1237"/>
      <c r="C1207" s="1237"/>
      <c r="D1207" s="1237"/>
      <c r="E1207" s="1237"/>
      <c r="F1207" s="1237"/>
      <c r="G1207" s="1237"/>
      <c r="H1207" s="1237"/>
      <c r="I1207" s="1237"/>
      <c r="J1207" s="1237"/>
      <c r="K1207" s="1237"/>
      <c r="L1207" s="1237"/>
      <c r="M1207" s="1237"/>
      <c r="N1207" s="1237"/>
      <c r="O1207" s="2024"/>
      <c r="P1207" s="2954"/>
      <c r="Q1207" s="1238"/>
      <c r="R1207" s="1239"/>
    </row>
    <row r="1208" spans="1:18" ht="18.75" customHeight="1">
      <c r="A1208" s="2927"/>
      <c r="B1208" s="1237"/>
      <c r="C1208" s="1237"/>
      <c r="D1208" s="1237"/>
      <c r="E1208" s="1237"/>
      <c r="F1208" s="1237"/>
      <c r="G1208" s="1237"/>
      <c r="H1208" s="1237"/>
      <c r="I1208" s="1237"/>
      <c r="J1208" s="1237"/>
      <c r="K1208" s="1237"/>
      <c r="L1208" s="1237"/>
      <c r="M1208" s="1237"/>
      <c r="N1208" s="1237"/>
      <c r="O1208" s="2024"/>
      <c r="P1208" s="2954"/>
      <c r="Q1208" s="1238"/>
      <c r="R1208" s="1239"/>
    </row>
    <row r="1209" spans="1:18" ht="18.75" customHeight="1">
      <c r="A1209" s="2927"/>
      <c r="B1209" s="1237"/>
      <c r="C1209" s="1237"/>
      <c r="D1209" s="1237"/>
      <c r="E1209" s="1237"/>
      <c r="F1209" s="1237"/>
      <c r="G1209" s="1237"/>
      <c r="H1209" s="1237"/>
      <c r="I1209" s="1237"/>
      <c r="J1209" s="1237"/>
      <c r="K1209" s="1237"/>
      <c r="L1209" s="1237"/>
      <c r="M1209" s="1237"/>
      <c r="N1209" s="1237"/>
      <c r="O1209" s="2024"/>
      <c r="P1209" s="2954"/>
      <c r="Q1209" s="1238"/>
      <c r="R1209" s="1239"/>
    </row>
    <row r="1210" spans="1:18" ht="18.75" customHeight="1">
      <c r="A1210" s="2927"/>
      <c r="B1210" s="1237"/>
      <c r="C1210" s="1237"/>
      <c r="D1210" s="1237"/>
      <c r="E1210" s="1237"/>
      <c r="F1210" s="1237"/>
      <c r="G1210" s="1237"/>
      <c r="H1210" s="1237"/>
      <c r="I1210" s="1237"/>
      <c r="J1210" s="1237"/>
      <c r="K1210" s="1237"/>
      <c r="L1210" s="1237"/>
      <c r="M1210" s="1237"/>
      <c r="N1210" s="1237"/>
      <c r="O1210" s="2024"/>
      <c r="P1210" s="2954"/>
      <c r="Q1210" s="1238"/>
      <c r="R1210" s="1239"/>
    </row>
    <row r="1211" spans="1:18" ht="18.75" customHeight="1">
      <c r="A1211" s="2927"/>
      <c r="B1211" s="1237"/>
      <c r="C1211" s="1237"/>
      <c r="D1211" s="1237"/>
      <c r="E1211" s="1237"/>
      <c r="F1211" s="1237"/>
      <c r="G1211" s="1237"/>
      <c r="H1211" s="1237"/>
      <c r="I1211" s="1237"/>
      <c r="J1211" s="1237"/>
      <c r="K1211" s="1241"/>
      <c r="L1211" s="1241"/>
      <c r="M1211" s="1237"/>
      <c r="N1211" s="1237"/>
      <c r="O1211" s="2024"/>
      <c r="P1211" s="2946"/>
      <c r="Q1211" s="1238"/>
      <c r="R1211" s="1239"/>
    </row>
    <row r="1212" spans="1:18" ht="18.75" customHeight="1">
      <c r="A1212" s="2927"/>
      <c r="B1212" s="1237"/>
      <c r="C1212" s="1237"/>
      <c r="D1212" s="1237"/>
      <c r="E1212" s="1237"/>
      <c r="F1212" s="1237"/>
      <c r="G1212" s="1237"/>
      <c r="H1212" s="1237"/>
      <c r="I1212" s="1237"/>
      <c r="J1212" s="1237"/>
      <c r="K1212" s="1237"/>
      <c r="L1212" s="1237"/>
      <c r="M1212" s="1237"/>
      <c r="N1212" s="1237"/>
      <c r="O1212" s="2024"/>
      <c r="P1212" s="2947"/>
      <c r="Q1212" s="1238"/>
      <c r="R1212" s="1239"/>
    </row>
    <row r="1213" spans="1:18" ht="18.75" customHeight="1">
      <c r="A1213" s="2927"/>
      <c r="B1213" s="1237"/>
      <c r="C1213" s="1237"/>
      <c r="D1213" s="1237"/>
      <c r="E1213" s="1237"/>
      <c r="F1213" s="1237"/>
      <c r="G1213" s="1237"/>
      <c r="H1213" s="1237"/>
      <c r="I1213" s="1237"/>
      <c r="J1213" s="1237"/>
      <c r="K1213" s="1237"/>
      <c r="L1213" s="1237"/>
      <c r="M1213" s="1237"/>
      <c r="N1213" s="1237"/>
      <c r="O1213" s="2024"/>
      <c r="P1213" s="2947"/>
      <c r="Q1213" s="1238"/>
      <c r="R1213" s="1239"/>
    </row>
    <row r="1214" spans="1:18" ht="18.75" customHeight="1">
      <c r="A1214" s="2927"/>
      <c r="B1214" s="1237"/>
      <c r="C1214" s="1237"/>
      <c r="D1214" s="1237"/>
      <c r="E1214" s="1237"/>
      <c r="F1214" s="1237"/>
      <c r="G1214" s="1237"/>
      <c r="H1214" s="1237"/>
      <c r="I1214" s="1237"/>
      <c r="J1214" s="2945"/>
      <c r="K1214" s="2945"/>
      <c r="L1214" s="2945"/>
      <c r="M1214" s="1237"/>
      <c r="N1214" s="1237"/>
      <c r="O1214" s="2024"/>
      <c r="P1214" s="2947"/>
      <c r="Q1214" s="1238"/>
      <c r="R1214" s="1239"/>
    </row>
    <row r="1215" spans="1:18" ht="18.75" customHeight="1">
      <c r="A1215" s="2927"/>
      <c r="B1215" s="1237"/>
      <c r="C1215" s="1237"/>
      <c r="D1215" s="1237"/>
      <c r="E1215" s="1237"/>
      <c r="F1215" s="1237"/>
      <c r="G1215" s="1237"/>
      <c r="H1215" s="1237"/>
      <c r="I1215" s="1237"/>
      <c r="J1215" s="1237"/>
      <c r="K1215" s="1237"/>
      <c r="L1215" s="1237"/>
      <c r="M1215" s="1237"/>
      <c r="N1215" s="1237"/>
      <c r="O1215" s="2024"/>
      <c r="P1215" s="2947"/>
      <c r="Q1215" s="1238"/>
      <c r="R1215" s="1239"/>
    </row>
    <row r="1216" spans="1:18" ht="18.75" customHeight="1">
      <c r="A1216" s="2927"/>
      <c r="B1216" s="1237"/>
      <c r="C1216" s="1237"/>
      <c r="D1216" s="1237"/>
      <c r="E1216" s="1237"/>
      <c r="F1216" s="1237"/>
      <c r="G1216" s="1237"/>
      <c r="H1216" s="1237"/>
      <c r="I1216" s="1237"/>
      <c r="J1216" s="1237"/>
      <c r="K1216" s="1241"/>
      <c r="L1216" s="1241"/>
      <c r="M1216" s="1237"/>
      <c r="N1216" s="1237"/>
      <c r="O1216" s="2024"/>
      <c r="P1216" s="2947"/>
      <c r="Q1216" s="1238"/>
      <c r="R1216" s="1239"/>
    </row>
    <row r="1217" spans="1:18" ht="18.75" customHeight="1">
      <c r="A1217" s="2927"/>
      <c r="B1217" s="1237"/>
      <c r="C1217" s="1237"/>
      <c r="D1217" s="1237"/>
      <c r="E1217" s="1237"/>
      <c r="F1217" s="1237"/>
      <c r="G1217" s="1237"/>
      <c r="H1217" s="1237"/>
      <c r="I1217" s="1237"/>
      <c r="J1217" s="1237"/>
      <c r="K1217" s="1237"/>
      <c r="L1217" s="1237"/>
      <c r="M1217" s="1237"/>
      <c r="N1217" s="1237"/>
      <c r="O1217" s="2024"/>
      <c r="P1217" s="2947"/>
      <c r="Q1217" s="1238"/>
      <c r="R1217" s="1239"/>
    </row>
    <row r="1218" spans="1:18" ht="18.75" customHeight="1">
      <c r="A1218" s="2927"/>
      <c r="B1218" s="1237"/>
      <c r="C1218" s="1237"/>
      <c r="D1218" s="1237"/>
      <c r="E1218" s="1237"/>
      <c r="F1218" s="1237"/>
      <c r="G1218" s="1237"/>
      <c r="H1218" s="1237"/>
      <c r="I1218" s="1237"/>
      <c r="J1218" s="1237"/>
      <c r="K1218" s="1237"/>
      <c r="L1218" s="1237"/>
      <c r="M1218" s="1237"/>
      <c r="N1218" s="1237"/>
      <c r="O1218" s="2024"/>
      <c r="P1218" s="2947"/>
      <c r="Q1218" s="1238"/>
      <c r="R1218" s="1239"/>
    </row>
    <row r="1219" spans="1:18" ht="18.75" customHeight="1">
      <c r="A1219" s="2927"/>
      <c r="B1219" s="1237"/>
      <c r="C1219" s="1237"/>
      <c r="D1219" s="1237"/>
      <c r="E1219" s="1237"/>
      <c r="F1219" s="1237"/>
      <c r="G1219" s="1237"/>
      <c r="H1219" s="1237"/>
      <c r="I1219" s="1237"/>
      <c r="J1219" s="2945"/>
      <c r="K1219" s="2945"/>
      <c r="L1219" s="2945"/>
      <c r="M1219" s="1237"/>
      <c r="N1219" s="1237"/>
      <c r="O1219" s="2024"/>
      <c r="P1219" s="2947"/>
      <c r="Q1219" s="1238"/>
      <c r="R1219" s="1239"/>
    </row>
    <row r="1220" spans="1:18" ht="18.75" customHeight="1">
      <c r="A1220" s="2927"/>
      <c r="B1220" s="1237"/>
      <c r="C1220" s="1237"/>
      <c r="D1220" s="1237"/>
      <c r="E1220" s="1237"/>
      <c r="F1220" s="1237"/>
      <c r="G1220" s="1237"/>
      <c r="H1220" s="1237"/>
      <c r="I1220" s="1237"/>
      <c r="J1220" s="1237"/>
      <c r="K1220" s="1237"/>
      <c r="L1220" s="1237"/>
      <c r="M1220" s="1237"/>
      <c r="N1220" s="1237"/>
      <c r="O1220" s="2024"/>
      <c r="P1220" s="2947"/>
      <c r="Q1220" s="1238"/>
      <c r="R1220" s="1239"/>
    </row>
    <row r="1221" spans="1:18" ht="18.75" customHeight="1">
      <c r="A1221" s="2927"/>
      <c r="B1221" s="1237"/>
      <c r="C1221" s="1237"/>
      <c r="D1221" s="1237"/>
      <c r="E1221" s="1237"/>
      <c r="F1221" s="1237"/>
      <c r="G1221" s="1237"/>
      <c r="H1221" s="1237"/>
      <c r="I1221" s="1237"/>
      <c r="J1221" s="1237"/>
      <c r="K1221" s="1237"/>
      <c r="L1221" s="1237"/>
      <c r="M1221" s="1237"/>
      <c r="N1221" s="1237"/>
      <c r="O1221" s="2024"/>
      <c r="P1221" s="2947"/>
      <c r="Q1221" s="1238"/>
      <c r="R1221" s="1239"/>
    </row>
    <row r="1222" spans="1:18" ht="18.75" customHeight="1">
      <c r="A1222" s="2927"/>
      <c r="B1222" s="1237"/>
      <c r="C1222" s="1237"/>
      <c r="D1222" s="1237"/>
      <c r="E1222" s="1237"/>
      <c r="F1222" s="1237"/>
      <c r="G1222" s="1237"/>
      <c r="H1222" s="1237"/>
      <c r="I1222" s="1237"/>
      <c r="J1222" s="1237"/>
      <c r="K1222" s="1237"/>
      <c r="L1222" s="1237"/>
      <c r="M1222" s="1237"/>
      <c r="N1222" s="1237"/>
      <c r="O1222" s="2024"/>
      <c r="P1222" s="2947"/>
      <c r="Q1222" s="1238"/>
      <c r="R1222" s="1239"/>
    </row>
    <row r="1223" spans="1:18" ht="18.75" customHeight="1">
      <c r="A1223" s="2927"/>
      <c r="B1223" s="1237"/>
      <c r="C1223" s="1237"/>
      <c r="D1223" s="1237"/>
      <c r="E1223" s="1237"/>
      <c r="F1223" s="1237"/>
      <c r="G1223" s="1237"/>
      <c r="H1223" s="1237"/>
      <c r="I1223" s="1237"/>
      <c r="J1223" s="1237"/>
      <c r="K1223" s="1237"/>
      <c r="L1223" s="1237"/>
      <c r="M1223" s="1237"/>
      <c r="N1223" s="1237"/>
      <c r="O1223" s="2024"/>
      <c r="P1223" s="2948"/>
      <c r="Q1223" s="1238"/>
      <c r="R1223" s="1239"/>
    </row>
    <row r="1224" spans="1:18" ht="18.75" customHeight="1">
      <c r="A1224" s="2927"/>
      <c r="B1224" s="1237"/>
      <c r="C1224" s="1237"/>
      <c r="D1224" s="1237"/>
      <c r="E1224" s="1237"/>
      <c r="F1224" s="1237"/>
      <c r="G1224" s="1237"/>
      <c r="H1224" s="1237"/>
      <c r="I1224" s="1237"/>
      <c r="J1224" s="1237"/>
      <c r="K1224" s="1237"/>
      <c r="L1224" s="1237"/>
      <c r="M1224" s="1237"/>
      <c r="N1224" s="1237"/>
      <c r="O1224" s="2024"/>
      <c r="P1224" s="2946"/>
      <c r="Q1224" s="1238"/>
      <c r="R1224" s="1239"/>
    </row>
    <row r="1225" spans="1:18" ht="18.75" customHeight="1">
      <c r="A1225" s="2927"/>
      <c r="B1225" s="1237"/>
      <c r="C1225" s="1237"/>
      <c r="D1225" s="1237"/>
      <c r="E1225" s="1237"/>
      <c r="F1225" s="1237"/>
      <c r="G1225" s="1237"/>
      <c r="H1225" s="1237"/>
      <c r="I1225" s="1237"/>
      <c r="J1225" s="1237"/>
      <c r="K1225" s="1237"/>
      <c r="L1225" s="1237"/>
      <c r="M1225" s="1237"/>
      <c r="N1225" s="1237"/>
      <c r="O1225" s="2024"/>
      <c r="P1225" s="2947"/>
      <c r="Q1225" s="1238"/>
      <c r="R1225" s="1239"/>
    </row>
    <row r="1226" spans="1:18" ht="18.75" customHeight="1">
      <c r="A1226" s="2927"/>
      <c r="B1226" s="1237"/>
      <c r="C1226" s="1237"/>
      <c r="D1226" s="1237"/>
      <c r="E1226" s="1237"/>
      <c r="F1226" s="1237"/>
      <c r="G1226" s="1237"/>
      <c r="H1226" s="1237"/>
      <c r="I1226" s="1237"/>
      <c r="J1226" s="1241"/>
      <c r="K1226" s="1241"/>
      <c r="L1226" s="1241"/>
      <c r="M1226" s="1237"/>
      <c r="N1226" s="1237"/>
      <c r="O1226" s="2024"/>
      <c r="P1226" s="2947"/>
      <c r="Q1226" s="1238"/>
      <c r="R1226" s="1239"/>
    </row>
    <row r="1227" spans="1:18" ht="18.75" customHeight="1">
      <c r="A1227" s="2927"/>
      <c r="B1227" s="1237"/>
      <c r="C1227" s="1237"/>
      <c r="D1227" s="1237"/>
      <c r="E1227" s="1237"/>
      <c r="F1227" s="1237"/>
      <c r="G1227" s="1237"/>
      <c r="H1227" s="1237"/>
      <c r="I1227" s="1237"/>
      <c r="J1227" s="1237"/>
      <c r="K1227" s="1237"/>
      <c r="L1227" s="1237"/>
      <c r="M1227" s="1237"/>
      <c r="N1227" s="1237"/>
      <c r="O1227" s="2024"/>
      <c r="P1227" s="2948"/>
      <c r="Q1227" s="1238"/>
      <c r="R1227" s="1239"/>
    </row>
    <row r="1228" spans="1:18" ht="18.75" customHeight="1">
      <c r="A1228" s="2927"/>
      <c r="B1228" s="1237"/>
      <c r="C1228" s="1237"/>
      <c r="D1228" s="1237"/>
      <c r="E1228" s="1237"/>
      <c r="F1228" s="1237"/>
      <c r="G1228" s="1237"/>
      <c r="H1228" s="1237"/>
      <c r="I1228" s="1237"/>
      <c r="J1228" s="1237"/>
      <c r="K1228" s="1237"/>
      <c r="L1228" s="1237"/>
      <c r="M1228" s="1237"/>
      <c r="N1228" s="1237"/>
      <c r="O1228" s="2024"/>
      <c r="P1228" s="2946"/>
      <c r="Q1228" s="1238"/>
      <c r="R1228" s="1239"/>
    </row>
    <row r="1229" spans="1:18" ht="18.75" customHeight="1">
      <c r="A1229" s="2927"/>
      <c r="B1229" s="1237"/>
      <c r="C1229" s="1237"/>
      <c r="D1229" s="1237"/>
      <c r="E1229" s="1237"/>
      <c r="F1229" s="1237"/>
      <c r="G1229" s="1237"/>
      <c r="H1229" s="1237"/>
      <c r="I1229" s="1237"/>
      <c r="J1229" s="2945"/>
      <c r="K1229" s="2945"/>
      <c r="L1229" s="2945"/>
      <c r="M1229" s="1237"/>
      <c r="N1229" s="1237"/>
      <c r="O1229" s="2024"/>
      <c r="P1229" s="2947"/>
      <c r="Q1229" s="1238"/>
      <c r="R1229" s="1239"/>
    </row>
    <row r="1230" spans="1:18" ht="18.75" customHeight="1">
      <c r="A1230" s="2927"/>
      <c r="B1230" s="1237"/>
      <c r="C1230" s="1237"/>
      <c r="D1230" s="1237"/>
      <c r="E1230" s="1237"/>
      <c r="F1230" s="1237"/>
      <c r="G1230" s="1237"/>
      <c r="H1230" s="1237"/>
      <c r="I1230" s="1237"/>
      <c r="J1230" s="1237"/>
      <c r="K1230" s="1237"/>
      <c r="L1230" s="1237"/>
      <c r="M1230" s="1237"/>
      <c r="N1230" s="1237"/>
      <c r="O1230" s="2024"/>
      <c r="P1230" s="2947"/>
      <c r="Q1230" s="1238"/>
      <c r="R1230" s="1239"/>
    </row>
    <row r="1231" spans="1:18" ht="18.75" customHeight="1">
      <c r="A1231" s="2927"/>
      <c r="B1231" s="1237"/>
      <c r="C1231" s="1237"/>
      <c r="D1231" s="1237"/>
      <c r="E1231" s="1237"/>
      <c r="F1231" s="1237"/>
      <c r="G1231" s="1237"/>
      <c r="H1231" s="1237"/>
      <c r="I1231" s="1237"/>
      <c r="J1231" s="1237"/>
      <c r="K1231" s="1241"/>
      <c r="L1231" s="1241"/>
      <c r="M1231" s="1237"/>
      <c r="N1231" s="1237"/>
      <c r="O1231" s="2024"/>
      <c r="P1231" s="2947"/>
      <c r="Q1231" s="1238"/>
      <c r="R1231" s="1239"/>
    </row>
    <row r="1232" spans="1:18" ht="18.75" customHeight="1">
      <c r="A1232" s="2927"/>
      <c r="B1232" s="1237"/>
      <c r="C1232" s="1237"/>
      <c r="D1232" s="1237"/>
      <c r="E1232" s="1237"/>
      <c r="F1232" s="1237"/>
      <c r="G1232" s="1237"/>
      <c r="H1232" s="1237"/>
      <c r="I1232" s="1237"/>
      <c r="J1232" s="1237"/>
      <c r="K1232" s="1241"/>
      <c r="L1232" s="1241"/>
      <c r="M1232" s="1237"/>
      <c r="N1232" s="1237"/>
      <c r="O1232" s="2024"/>
      <c r="P1232" s="2948"/>
      <c r="Q1232" s="1238"/>
      <c r="R1232" s="1239"/>
    </row>
    <row r="1233" spans="1:18" ht="18.75" customHeight="1">
      <c r="A1233" s="2927"/>
      <c r="B1233" s="1237"/>
      <c r="C1233" s="1237"/>
      <c r="D1233" s="1237"/>
      <c r="E1233" s="1237"/>
      <c r="F1233" s="1237"/>
      <c r="G1233" s="1237"/>
      <c r="H1233" s="1237"/>
      <c r="I1233" s="1237"/>
      <c r="J1233" s="1237"/>
      <c r="K1233" s="1241"/>
      <c r="L1233" s="1241"/>
      <c r="M1233" s="1237"/>
      <c r="N1233" s="1237"/>
      <c r="O1233" s="2024"/>
      <c r="P1233" s="2946"/>
      <c r="Q1233" s="1238"/>
      <c r="R1233" s="1239"/>
    </row>
    <row r="1234" spans="1:18" ht="18.75" customHeight="1">
      <c r="A1234" s="2927"/>
      <c r="B1234" s="1237"/>
      <c r="C1234" s="1237"/>
      <c r="D1234" s="1237"/>
      <c r="E1234" s="1237"/>
      <c r="F1234" s="1237"/>
      <c r="G1234" s="1237"/>
      <c r="H1234" s="1237"/>
      <c r="I1234" s="1237"/>
      <c r="J1234" s="2945"/>
      <c r="K1234" s="2945"/>
      <c r="L1234" s="2945"/>
      <c r="M1234" s="1237"/>
      <c r="N1234" s="1237"/>
      <c r="O1234" s="2024"/>
      <c r="P1234" s="2947"/>
      <c r="Q1234" s="1238"/>
      <c r="R1234" s="1239"/>
    </row>
    <row r="1235" spans="1:18" ht="18.75" customHeight="1">
      <c r="A1235" s="2927"/>
      <c r="B1235" s="1237"/>
      <c r="C1235" s="1237"/>
      <c r="D1235" s="1237"/>
      <c r="E1235" s="1237"/>
      <c r="F1235" s="1237"/>
      <c r="G1235" s="1237"/>
      <c r="H1235" s="1237"/>
      <c r="I1235" s="1237"/>
      <c r="J1235" s="1237"/>
      <c r="K1235" s="1237"/>
      <c r="L1235" s="1237"/>
      <c r="M1235" s="1237"/>
      <c r="N1235" s="1237"/>
      <c r="O1235" s="2024"/>
      <c r="P1235" s="2948"/>
      <c r="Q1235" s="1238"/>
      <c r="R1235" s="1239"/>
    </row>
    <row r="1236" spans="1:18" ht="18.75" customHeight="1">
      <c r="A1236" s="2927"/>
      <c r="B1236" s="1237"/>
      <c r="C1236" s="1237"/>
      <c r="D1236" s="1237"/>
      <c r="E1236" s="1237"/>
      <c r="F1236" s="1237"/>
      <c r="G1236" s="1237"/>
      <c r="H1236" s="1237"/>
      <c r="I1236" s="1237"/>
      <c r="J1236" s="1237"/>
      <c r="K1236" s="1241"/>
      <c r="L1236" s="1241"/>
      <c r="M1236" s="1237"/>
      <c r="N1236" s="1237"/>
      <c r="O1236" s="2024"/>
      <c r="P1236" s="2946"/>
      <c r="Q1236" s="1238"/>
      <c r="R1236" s="1239"/>
    </row>
    <row r="1237" spans="1:18" ht="18.75" customHeight="1">
      <c r="A1237" s="2927"/>
      <c r="B1237" s="1237"/>
      <c r="C1237" s="1237"/>
      <c r="D1237" s="1237"/>
      <c r="E1237" s="1237"/>
      <c r="F1237" s="1237"/>
      <c r="G1237" s="1237"/>
      <c r="H1237" s="1237"/>
      <c r="I1237" s="1237"/>
      <c r="J1237" s="1237"/>
      <c r="K1237" s="1237"/>
      <c r="L1237" s="1237"/>
      <c r="M1237" s="1237"/>
      <c r="N1237" s="1237"/>
      <c r="O1237" s="2024"/>
      <c r="P1237" s="2947"/>
      <c r="Q1237" s="1238"/>
      <c r="R1237" s="1239"/>
    </row>
    <row r="1238" spans="1:18" ht="18.75" customHeight="1">
      <c r="A1238" s="2927"/>
      <c r="B1238" s="1237"/>
      <c r="C1238" s="1237"/>
      <c r="D1238" s="1237"/>
      <c r="E1238" s="1237"/>
      <c r="F1238" s="1237"/>
      <c r="G1238" s="1237"/>
      <c r="H1238" s="1237"/>
      <c r="I1238" s="1237"/>
      <c r="J1238" s="1237"/>
      <c r="K1238" s="1237"/>
      <c r="L1238" s="1237"/>
      <c r="M1238" s="1237"/>
      <c r="N1238" s="1237"/>
      <c r="O1238" s="2024"/>
      <c r="P1238" s="2947"/>
      <c r="Q1238" s="1238"/>
      <c r="R1238" s="1239"/>
    </row>
    <row r="1239" spans="1:18" ht="18.75" customHeight="1">
      <c r="A1239" s="2927"/>
      <c r="B1239" s="1237"/>
      <c r="C1239" s="1237"/>
      <c r="D1239" s="1237"/>
      <c r="E1239" s="1237"/>
      <c r="F1239" s="1237"/>
      <c r="G1239" s="1237"/>
      <c r="H1239" s="1237"/>
      <c r="I1239" s="1237"/>
      <c r="J1239" s="2945"/>
      <c r="K1239" s="2945"/>
      <c r="L1239" s="2945"/>
      <c r="M1239" s="1237"/>
      <c r="N1239" s="1237"/>
      <c r="O1239" s="2024"/>
      <c r="P1239" s="2948"/>
      <c r="Q1239" s="1238"/>
      <c r="R1239" s="1239"/>
    </row>
    <row r="1240" spans="1:18" ht="18.75" customHeight="1">
      <c r="A1240" s="2927"/>
      <c r="B1240" s="1237"/>
      <c r="C1240" s="1237"/>
      <c r="D1240" s="1237"/>
      <c r="E1240" s="1237"/>
      <c r="F1240" s="1237"/>
      <c r="G1240" s="1237"/>
      <c r="H1240" s="1237"/>
      <c r="I1240" s="1237"/>
      <c r="J1240" s="1237"/>
      <c r="K1240" s="1237"/>
      <c r="L1240" s="1237"/>
      <c r="M1240" s="1237"/>
      <c r="N1240" s="1237"/>
      <c r="O1240" s="2024"/>
      <c r="P1240" s="2946"/>
      <c r="Q1240" s="1238"/>
      <c r="R1240" s="1239"/>
    </row>
    <row r="1241" spans="1:18" ht="18.75" customHeight="1">
      <c r="A1241" s="2927"/>
      <c r="B1241" s="1237"/>
      <c r="C1241" s="1237"/>
      <c r="D1241" s="1237"/>
      <c r="E1241" s="1237"/>
      <c r="F1241" s="1237"/>
      <c r="G1241" s="1237"/>
      <c r="H1241" s="1237"/>
      <c r="I1241" s="1237"/>
      <c r="J1241" s="1237"/>
      <c r="K1241" s="1237"/>
      <c r="L1241" s="1237"/>
      <c r="M1241" s="1237"/>
      <c r="N1241" s="1237"/>
      <c r="O1241" s="2024"/>
      <c r="P1241" s="2947"/>
      <c r="Q1241" s="1238"/>
      <c r="R1241" s="1239"/>
    </row>
    <row r="1242" spans="1:18" ht="18.75" customHeight="1">
      <c r="A1242" s="2927"/>
      <c r="B1242" s="1237"/>
      <c r="C1242" s="1237"/>
      <c r="D1242" s="1237"/>
      <c r="E1242" s="1237"/>
      <c r="F1242" s="1237"/>
      <c r="G1242" s="1237"/>
      <c r="H1242" s="1237"/>
      <c r="I1242" s="1237"/>
      <c r="J1242" s="1237"/>
      <c r="K1242" s="1237"/>
      <c r="L1242" s="1237"/>
      <c r="M1242" s="1237"/>
      <c r="N1242" s="1237"/>
      <c r="O1242" s="2024"/>
      <c r="P1242" s="2947"/>
      <c r="Q1242" s="1238"/>
      <c r="R1242" s="1239"/>
    </row>
    <row r="1243" spans="1:18" ht="18.75" customHeight="1">
      <c r="A1243" s="2927"/>
      <c r="B1243" s="1237"/>
      <c r="C1243" s="1237"/>
      <c r="D1243" s="1237"/>
      <c r="E1243" s="1237"/>
      <c r="F1243" s="1237"/>
      <c r="G1243" s="1237"/>
      <c r="H1243" s="1237"/>
      <c r="I1243" s="1237"/>
      <c r="J1243" s="1237"/>
      <c r="K1243" s="1237"/>
      <c r="L1243" s="1237"/>
      <c r="M1243" s="1237"/>
      <c r="N1243" s="1237"/>
      <c r="O1243" s="2024"/>
      <c r="P1243" s="2947"/>
      <c r="Q1243" s="1238"/>
      <c r="R1243" s="1239"/>
    </row>
    <row r="1244" spans="1:18" ht="18.75" customHeight="1">
      <c r="A1244" s="2927"/>
      <c r="B1244" s="1237"/>
      <c r="C1244" s="1237"/>
      <c r="D1244" s="1237"/>
      <c r="E1244" s="1237"/>
      <c r="F1244" s="1237"/>
      <c r="G1244" s="1237"/>
      <c r="H1244" s="1237"/>
      <c r="I1244" s="1237"/>
      <c r="J1244" s="1237"/>
      <c r="K1244" s="1237"/>
      <c r="L1244" s="1237"/>
      <c r="M1244" s="1237"/>
      <c r="N1244" s="1237"/>
      <c r="O1244" s="2024"/>
      <c r="P1244" s="2947"/>
      <c r="Q1244" s="1238"/>
      <c r="R1244" s="1239"/>
    </row>
    <row r="1245" spans="1:18" ht="18.75" customHeight="1">
      <c r="A1245" s="2927"/>
      <c r="B1245" s="1237"/>
      <c r="C1245" s="1237"/>
      <c r="D1245" s="1237"/>
      <c r="E1245" s="1237"/>
      <c r="F1245" s="1237"/>
      <c r="G1245" s="1237"/>
      <c r="H1245" s="1237"/>
      <c r="I1245" s="1237"/>
      <c r="J1245" s="1237"/>
      <c r="K1245" s="1237"/>
      <c r="L1245" s="1237"/>
      <c r="M1245" s="1237"/>
      <c r="N1245" s="1237"/>
      <c r="O1245" s="2024"/>
      <c r="P1245" s="2947"/>
      <c r="Q1245" s="1238"/>
      <c r="R1245" s="1239"/>
    </row>
    <row r="1246" spans="1:18" ht="18.75" customHeight="1">
      <c r="A1246" s="2927"/>
      <c r="B1246" s="1237"/>
      <c r="C1246" s="1237"/>
      <c r="D1246" s="1237"/>
      <c r="E1246" s="1237"/>
      <c r="F1246" s="1237"/>
      <c r="G1246" s="1237"/>
      <c r="H1246" s="1237"/>
      <c r="I1246" s="1237"/>
      <c r="J1246" s="2968"/>
      <c r="K1246" s="2968"/>
      <c r="L1246" s="2968"/>
      <c r="M1246" s="1237"/>
      <c r="N1246" s="1237"/>
      <c r="O1246" s="2024"/>
      <c r="P1246" s="2947"/>
      <c r="Q1246" s="1238"/>
      <c r="R1246" s="1239"/>
    </row>
    <row r="1247" spans="1:18" ht="18.75" customHeight="1">
      <c r="A1247" s="2927"/>
      <c r="B1247" s="1540"/>
      <c r="C1247" s="1540"/>
      <c r="D1247" s="1540"/>
      <c r="E1247" s="1540"/>
      <c r="F1247" s="1540"/>
      <c r="G1247" s="1540"/>
      <c r="H1247" s="1540"/>
      <c r="I1247" s="1540"/>
      <c r="J1247" s="1540"/>
      <c r="K1247" s="1540"/>
      <c r="L1247" s="1540"/>
      <c r="M1247" s="1540"/>
      <c r="N1247" s="1540"/>
      <c r="O1247" s="2025"/>
      <c r="P1247" s="2947"/>
      <c r="Q1247" s="1541"/>
      <c r="R1247" s="1591"/>
    </row>
    <row r="1248" spans="1:18" ht="18.75" customHeight="1">
      <c r="A1248" s="2965"/>
      <c r="B1248" s="2200"/>
      <c r="C1248" s="2200"/>
      <c r="D1248" s="2200"/>
      <c r="E1248" s="2200"/>
      <c r="F1248" s="2200"/>
      <c r="G1248" s="2200"/>
      <c r="H1248" s="2200"/>
      <c r="I1248" s="2200"/>
      <c r="J1248" s="2200"/>
      <c r="K1248" s="2200"/>
      <c r="L1248" s="2200"/>
      <c r="M1248" s="2200"/>
      <c r="N1248" s="2200"/>
      <c r="O1248" s="2201"/>
      <c r="P1248" s="2956"/>
      <c r="Q1248" s="1940"/>
      <c r="R1248" s="1943"/>
    </row>
    <row r="1249" spans="1:18" ht="18.75" customHeight="1">
      <c r="A1249" s="2965"/>
      <c r="B1249" s="1237"/>
      <c r="C1249" s="1237"/>
      <c r="D1249" s="1237"/>
      <c r="E1249" s="1237"/>
      <c r="F1249" s="1237"/>
      <c r="G1249" s="1237"/>
      <c r="H1249" s="1237"/>
      <c r="I1249" s="1237"/>
      <c r="J1249" s="1237"/>
      <c r="K1249" s="1237"/>
      <c r="L1249" s="1237"/>
      <c r="M1249" s="1237"/>
      <c r="N1249" s="1237"/>
      <c r="O1249" s="2024"/>
      <c r="P1249" s="2947"/>
      <c r="Q1249" s="1238"/>
      <c r="R1249" s="1239"/>
    </row>
    <row r="1250" spans="1:18" ht="18.75" customHeight="1">
      <c r="A1250" s="2965"/>
      <c r="B1250" s="1237"/>
      <c r="C1250" s="1237"/>
      <c r="D1250" s="1237"/>
      <c r="E1250" s="1237"/>
      <c r="F1250" s="1237"/>
      <c r="G1250" s="1237"/>
      <c r="H1250" s="1237"/>
      <c r="I1250" s="1237"/>
      <c r="J1250" s="1237"/>
      <c r="K1250" s="1237"/>
      <c r="L1250" s="1237"/>
      <c r="M1250" s="1237"/>
      <c r="N1250" s="1237"/>
      <c r="O1250" s="2024"/>
      <c r="P1250" s="2947"/>
      <c r="Q1250" s="1238"/>
      <c r="R1250" s="1239"/>
    </row>
    <row r="1251" spans="1:18" ht="18.75" customHeight="1" thickBot="1">
      <c r="A1251" s="2966"/>
      <c r="B1251" s="1550"/>
      <c r="C1251" s="1550"/>
      <c r="D1251" s="1550"/>
      <c r="E1251" s="1550"/>
      <c r="F1251" s="1550"/>
      <c r="G1251" s="1550"/>
      <c r="H1251" s="1550"/>
      <c r="I1251" s="1550"/>
      <c r="J1251" s="2967"/>
      <c r="K1251" s="2967"/>
      <c r="L1251" s="2967"/>
      <c r="M1251" s="1550"/>
      <c r="N1251" s="1550"/>
      <c r="O1251" s="2031"/>
      <c r="P1251" s="2957"/>
      <c r="Q1251" s="1551"/>
      <c r="R1251" s="2202"/>
    </row>
    <row r="1252" spans="1:18" ht="18.75" customHeight="1">
      <c r="A1252" s="2926"/>
      <c r="B1252" s="1574"/>
      <c r="C1252" s="1574"/>
      <c r="D1252" s="1574"/>
      <c r="E1252" s="1574"/>
      <c r="F1252" s="1574"/>
      <c r="G1252" s="1574"/>
      <c r="H1252" s="1574"/>
      <c r="I1252" s="1574"/>
      <c r="J1252" s="1574"/>
      <c r="K1252" s="1574"/>
      <c r="L1252" s="1574"/>
      <c r="M1252" s="1574"/>
      <c r="N1252" s="1574"/>
      <c r="O1252" s="2038"/>
      <c r="P1252" s="2948"/>
      <c r="Q1252" s="1575"/>
      <c r="R1252" s="466"/>
    </row>
    <row r="1253" spans="1:18" ht="18.75" customHeight="1">
      <c r="A1253" s="2927"/>
      <c r="B1253" s="1237"/>
      <c r="C1253" s="1237"/>
      <c r="D1253" s="1237"/>
      <c r="E1253" s="1237"/>
      <c r="F1253" s="1237"/>
      <c r="G1253" s="1237"/>
      <c r="H1253" s="1237"/>
      <c r="I1253" s="1237"/>
      <c r="J1253" s="1237"/>
      <c r="K1253" s="1237"/>
      <c r="L1253" s="1237"/>
      <c r="M1253" s="1237"/>
      <c r="N1253" s="1237"/>
      <c r="O1253" s="2024"/>
      <c r="P1253" s="2954"/>
      <c r="Q1253" s="1238"/>
      <c r="R1253" s="1239"/>
    </row>
    <row r="1254" spans="1:18" ht="18.75" customHeight="1">
      <c r="A1254" s="2927"/>
      <c r="B1254" s="1237"/>
      <c r="C1254" s="1237"/>
      <c r="D1254" s="1237"/>
      <c r="E1254" s="1237"/>
      <c r="F1254" s="1237"/>
      <c r="G1254" s="1237"/>
      <c r="H1254" s="1237"/>
      <c r="I1254" s="1237"/>
      <c r="J1254" s="1237"/>
      <c r="K1254" s="1237"/>
      <c r="L1254" s="1237"/>
      <c r="M1254" s="1237"/>
      <c r="N1254" s="1237"/>
      <c r="O1254" s="2024"/>
      <c r="P1254" s="2954"/>
      <c r="Q1254" s="1238"/>
      <c r="R1254" s="1239"/>
    </row>
    <row r="1255" spans="1:18" ht="18.75" customHeight="1">
      <c r="A1255" s="2927"/>
      <c r="B1255" s="1237"/>
      <c r="C1255" s="1237"/>
      <c r="D1255" s="1237"/>
      <c r="E1255" s="1237"/>
      <c r="F1255" s="1237"/>
      <c r="G1255" s="1237"/>
      <c r="H1255" s="1237"/>
      <c r="I1255" s="1237"/>
      <c r="J1255" s="1237"/>
      <c r="K1255" s="1237"/>
      <c r="L1255" s="1237"/>
      <c r="M1255" s="1237"/>
      <c r="N1255" s="1237"/>
      <c r="O1255" s="2024"/>
      <c r="P1255" s="2954"/>
      <c r="Q1255" s="1238"/>
      <c r="R1255" s="1239"/>
    </row>
    <row r="1256" spans="1:18" ht="18.75" customHeight="1">
      <c r="A1256" s="2927"/>
      <c r="B1256" s="1237"/>
      <c r="C1256" s="1237"/>
      <c r="D1256" s="1237"/>
      <c r="E1256" s="1237"/>
      <c r="F1256" s="1237"/>
      <c r="G1256" s="1237"/>
      <c r="H1256" s="1237"/>
      <c r="I1256" s="1237"/>
      <c r="J1256" s="1237"/>
      <c r="K1256" s="1237"/>
      <c r="L1256" s="1237"/>
      <c r="M1256" s="1237"/>
      <c r="N1256" s="1237"/>
      <c r="O1256" s="2024"/>
      <c r="P1256" s="2954"/>
      <c r="Q1256" s="1238"/>
      <c r="R1256" s="1239"/>
    </row>
    <row r="1257" spans="1:18" ht="18.75" customHeight="1">
      <c r="A1257" s="2927"/>
      <c r="B1257" s="1237"/>
      <c r="C1257" s="1237"/>
      <c r="D1257" s="1237"/>
      <c r="E1257" s="1237"/>
      <c r="F1257" s="1237"/>
      <c r="G1257" s="1237"/>
      <c r="H1257" s="1237"/>
      <c r="I1257" s="1237"/>
      <c r="J1257" s="1237"/>
      <c r="K1257" s="1237"/>
      <c r="L1257" s="1237"/>
      <c r="M1257" s="1237"/>
      <c r="N1257" s="1237"/>
      <c r="O1257" s="2024"/>
      <c r="P1257" s="2954"/>
      <c r="Q1257" s="1238"/>
      <c r="R1257" s="1239"/>
    </row>
    <row r="1258" spans="1:18" ht="18.75" customHeight="1">
      <c r="A1258" s="2927"/>
      <c r="B1258" s="1237"/>
      <c r="C1258" s="1237"/>
      <c r="D1258" s="1237"/>
      <c r="E1258" s="1237"/>
      <c r="F1258" s="1237"/>
      <c r="G1258" s="1237"/>
      <c r="H1258" s="1237"/>
      <c r="I1258" s="1237"/>
      <c r="J1258" s="1237"/>
      <c r="K1258" s="1237"/>
      <c r="L1258" s="1237"/>
      <c r="M1258" s="1237"/>
      <c r="N1258" s="1237"/>
      <c r="O1258" s="2024"/>
      <c r="P1258" s="2954"/>
      <c r="Q1258" s="1238"/>
      <c r="R1258" s="1239"/>
    </row>
    <row r="1259" spans="1:18" ht="18.75" customHeight="1">
      <c r="A1259" s="2927"/>
      <c r="B1259" s="1237"/>
      <c r="C1259" s="1237"/>
      <c r="D1259" s="1237"/>
      <c r="E1259" s="1237"/>
      <c r="F1259" s="1237"/>
      <c r="G1259" s="1237"/>
      <c r="H1259" s="1237"/>
      <c r="I1259" s="1237"/>
      <c r="J1259" s="1237"/>
      <c r="K1259" s="1237"/>
      <c r="L1259" s="1237"/>
      <c r="M1259" s="1237"/>
      <c r="N1259" s="1237"/>
      <c r="O1259" s="2024"/>
      <c r="P1259" s="2954"/>
      <c r="Q1259" s="1238"/>
      <c r="R1259" s="1239"/>
    </row>
    <row r="1260" spans="1:18" ht="18.75" customHeight="1">
      <c r="A1260" s="2927"/>
      <c r="B1260" s="1237"/>
      <c r="C1260" s="1237"/>
      <c r="D1260" s="1237"/>
      <c r="E1260" s="1237"/>
      <c r="F1260" s="1237"/>
      <c r="G1260" s="1237"/>
      <c r="H1260" s="1237"/>
      <c r="I1260" s="1237"/>
      <c r="J1260" s="1237"/>
      <c r="K1260" s="1237"/>
      <c r="L1260" s="1237"/>
      <c r="M1260" s="1237"/>
      <c r="N1260" s="1237"/>
      <c r="O1260" s="2024"/>
      <c r="P1260" s="2954"/>
      <c r="Q1260" s="1238"/>
      <c r="R1260" s="1239"/>
    </row>
    <row r="1261" spans="1:18" ht="18.75" customHeight="1">
      <c r="A1261" s="2927"/>
      <c r="B1261" s="1237"/>
      <c r="C1261" s="1237"/>
      <c r="D1261" s="1237"/>
      <c r="E1261" s="1237"/>
      <c r="F1261" s="1237"/>
      <c r="G1261" s="1237"/>
      <c r="H1261" s="1237"/>
      <c r="I1261" s="1237"/>
      <c r="J1261" s="1237"/>
      <c r="K1261" s="1237"/>
      <c r="L1261" s="1237"/>
      <c r="M1261" s="1237"/>
      <c r="N1261" s="1237"/>
      <c r="O1261" s="2024"/>
      <c r="P1261" s="2954"/>
      <c r="Q1261" s="1238"/>
      <c r="R1261" s="1239"/>
    </row>
    <row r="1262" spans="1:18" ht="18.75" customHeight="1">
      <c r="A1262" s="2927"/>
      <c r="B1262" s="1237"/>
      <c r="C1262" s="1237"/>
      <c r="D1262" s="1237"/>
      <c r="E1262" s="1237"/>
      <c r="F1262" s="1237"/>
      <c r="G1262" s="1237"/>
      <c r="H1262" s="1237"/>
      <c r="I1262" s="1237"/>
      <c r="J1262" s="1237"/>
      <c r="K1262" s="1237"/>
      <c r="L1262" s="1237"/>
      <c r="M1262" s="1237"/>
      <c r="N1262" s="1237"/>
      <c r="O1262" s="2024"/>
      <c r="P1262" s="2954"/>
      <c r="Q1262" s="1238"/>
      <c r="R1262" s="1239"/>
    </row>
    <row r="1263" spans="1:18" ht="18.75" customHeight="1">
      <c r="A1263" s="2927"/>
      <c r="B1263" s="1237"/>
      <c r="C1263" s="1237"/>
      <c r="D1263" s="1237"/>
      <c r="E1263" s="1237"/>
      <c r="F1263" s="1237"/>
      <c r="G1263" s="1237"/>
      <c r="H1263" s="1237"/>
      <c r="I1263" s="1237"/>
      <c r="J1263" s="2945"/>
      <c r="K1263" s="2945"/>
      <c r="L1263" s="2945"/>
      <c r="M1263" s="1237"/>
      <c r="N1263" s="1237"/>
      <c r="O1263" s="2024"/>
      <c r="P1263" s="2954"/>
      <c r="Q1263" s="1238"/>
      <c r="R1263" s="1239"/>
    </row>
    <row r="1264" spans="1:18" ht="18.75" customHeight="1">
      <c r="A1264" s="2927"/>
      <c r="B1264" s="1237"/>
      <c r="C1264" s="1237"/>
      <c r="D1264" s="1237"/>
      <c r="E1264" s="1237"/>
      <c r="F1264" s="1237"/>
      <c r="G1264" s="1237"/>
      <c r="H1264" s="1237"/>
      <c r="I1264" s="1237"/>
      <c r="J1264" s="1237"/>
      <c r="K1264" s="1237"/>
      <c r="L1264" s="1237"/>
      <c r="M1264" s="1237"/>
      <c r="N1264" s="1237"/>
      <c r="O1264" s="2024"/>
      <c r="P1264" s="2954"/>
      <c r="Q1264" s="1238"/>
      <c r="R1264" s="1239"/>
    </row>
    <row r="1265" spans="1:18" ht="18.75" customHeight="1">
      <c r="A1265" s="2927"/>
      <c r="B1265" s="1237"/>
      <c r="C1265" s="1237"/>
      <c r="D1265" s="1237"/>
      <c r="E1265" s="1237"/>
      <c r="F1265" s="1237"/>
      <c r="G1265" s="1237"/>
      <c r="H1265" s="1237"/>
      <c r="I1265" s="1237"/>
      <c r="J1265" s="1237"/>
      <c r="K1265" s="1237"/>
      <c r="L1265" s="1237"/>
      <c r="M1265" s="1237"/>
      <c r="N1265" s="1237"/>
      <c r="O1265" s="2024"/>
      <c r="P1265" s="2954"/>
      <c r="Q1265" s="1238"/>
      <c r="R1265" s="1239"/>
    </row>
    <row r="1266" spans="1:18" ht="18.75" customHeight="1">
      <c r="A1266" s="2927"/>
      <c r="B1266" s="1237"/>
      <c r="C1266" s="1237"/>
      <c r="D1266" s="1237"/>
      <c r="E1266" s="1237"/>
      <c r="F1266" s="1237"/>
      <c r="G1266" s="1237"/>
      <c r="H1266" s="1237"/>
      <c r="I1266" s="1237"/>
      <c r="J1266" s="1237"/>
      <c r="K1266" s="1237"/>
      <c r="L1266" s="1237"/>
      <c r="M1266" s="1237"/>
      <c r="N1266" s="1237"/>
      <c r="O1266" s="2024"/>
      <c r="P1266" s="2954"/>
      <c r="Q1266" s="1238"/>
      <c r="R1266" s="1239"/>
    </row>
    <row r="1267" spans="1:18" ht="18.75" customHeight="1">
      <c r="A1267" s="2927"/>
      <c r="B1267" s="1237"/>
      <c r="C1267" s="1237"/>
      <c r="D1267" s="1237"/>
      <c r="E1267" s="1237"/>
      <c r="F1267" s="1237"/>
      <c r="G1267" s="1237"/>
      <c r="H1267" s="1237"/>
      <c r="I1267" s="1237"/>
      <c r="J1267" s="1237"/>
      <c r="K1267" s="1237"/>
      <c r="L1267" s="1237"/>
      <c r="M1267" s="1237"/>
      <c r="N1267" s="1237"/>
      <c r="O1267" s="2024"/>
      <c r="P1267" s="2954"/>
      <c r="Q1267" s="1238"/>
      <c r="R1267" s="1239"/>
    </row>
    <row r="1268" spans="1:18" ht="18.75" customHeight="1">
      <c r="A1268" s="2927"/>
      <c r="B1268" s="1237"/>
      <c r="C1268" s="1237"/>
      <c r="D1268" s="1237"/>
      <c r="E1268" s="1237"/>
      <c r="F1268" s="1237"/>
      <c r="G1268" s="1237"/>
      <c r="H1268" s="1237"/>
      <c r="I1268" s="1237"/>
      <c r="J1268" s="2945"/>
      <c r="K1268" s="2945"/>
      <c r="L1268" s="2945"/>
      <c r="M1268" s="1237"/>
      <c r="N1268" s="1237"/>
      <c r="O1268" s="2024"/>
      <c r="P1268" s="2954"/>
      <c r="Q1268" s="1238"/>
      <c r="R1268" s="1239"/>
    </row>
    <row r="1269" spans="1:18" ht="18.75" customHeight="1">
      <c r="A1269" s="2927"/>
      <c r="B1269" s="1237"/>
      <c r="C1269" s="1237"/>
      <c r="D1269" s="1237"/>
      <c r="E1269" s="1237"/>
      <c r="F1269" s="1237"/>
      <c r="G1269" s="1237"/>
      <c r="H1269" s="1237"/>
      <c r="I1269" s="1237"/>
      <c r="J1269" s="1237"/>
      <c r="K1269" s="1237"/>
      <c r="L1269" s="1237"/>
      <c r="M1269" s="1237"/>
      <c r="N1269" s="1237"/>
      <c r="O1269" s="2024"/>
      <c r="P1269" s="2954"/>
      <c r="Q1269" s="1238"/>
      <c r="R1269" s="1239"/>
    </row>
    <row r="1270" spans="1:18" ht="18.75" customHeight="1">
      <c r="A1270" s="2927"/>
      <c r="B1270" s="1237"/>
      <c r="C1270" s="1237"/>
      <c r="D1270" s="1237"/>
      <c r="E1270" s="1237"/>
      <c r="F1270" s="1237"/>
      <c r="G1270" s="1237"/>
      <c r="H1270" s="1237"/>
      <c r="I1270" s="1237"/>
      <c r="J1270" s="1237"/>
      <c r="K1270" s="1237"/>
      <c r="L1270" s="1237"/>
      <c r="M1270" s="1237"/>
      <c r="N1270" s="1237"/>
      <c r="O1270" s="2024"/>
      <c r="P1270" s="2954"/>
      <c r="Q1270" s="1238"/>
      <c r="R1270" s="1239"/>
    </row>
    <row r="1271" spans="1:18" ht="18.75" customHeight="1">
      <c r="A1271" s="2927"/>
      <c r="B1271" s="1237"/>
      <c r="C1271" s="1237"/>
      <c r="D1271" s="1237"/>
      <c r="E1271" s="1237"/>
      <c r="F1271" s="1237"/>
      <c r="G1271" s="1237"/>
      <c r="H1271" s="1237"/>
      <c r="I1271" s="1237"/>
      <c r="J1271" s="1237"/>
      <c r="K1271" s="1237"/>
      <c r="L1271" s="1237"/>
      <c r="M1271" s="1237"/>
      <c r="N1271" s="1237"/>
      <c r="O1271" s="2024"/>
      <c r="P1271" s="2954"/>
      <c r="Q1271" s="1238"/>
      <c r="R1271" s="1239"/>
    </row>
    <row r="1272" spans="1:18" ht="18.75" customHeight="1">
      <c r="A1272" s="2927"/>
      <c r="B1272" s="1237"/>
      <c r="C1272" s="1237"/>
      <c r="D1272" s="1237"/>
      <c r="E1272" s="1237"/>
      <c r="F1272" s="1237"/>
      <c r="G1272" s="1237"/>
      <c r="H1272" s="1237"/>
      <c r="I1272" s="1237"/>
      <c r="J1272" s="1237"/>
      <c r="K1272" s="1237"/>
      <c r="L1272" s="1237"/>
      <c r="M1272" s="1237"/>
      <c r="N1272" s="1237"/>
      <c r="O1272" s="2024"/>
      <c r="P1272" s="2954"/>
      <c r="Q1272" s="1238"/>
      <c r="R1272" s="1239"/>
    </row>
    <row r="1273" spans="1:18" ht="18.75" customHeight="1">
      <c r="A1273" s="2927"/>
      <c r="B1273" s="1237"/>
      <c r="C1273" s="1237"/>
      <c r="D1273" s="1237"/>
      <c r="E1273" s="1237"/>
      <c r="F1273" s="1237"/>
      <c r="G1273" s="1237"/>
      <c r="H1273" s="1237"/>
      <c r="I1273" s="1237"/>
      <c r="J1273" s="2945"/>
      <c r="K1273" s="2945"/>
      <c r="L1273" s="2945"/>
      <c r="M1273" s="1237"/>
      <c r="N1273" s="1237"/>
      <c r="O1273" s="2024"/>
      <c r="P1273" s="2954"/>
      <c r="Q1273" s="1238"/>
      <c r="R1273" s="1239"/>
    </row>
    <row r="1274" spans="1:18" ht="18.75" customHeight="1">
      <c r="A1274" s="2927"/>
      <c r="B1274" s="1237"/>
      <c r="C1274" s="1237"/>
      <c r="D1274" s="1237"/>
      <c r="E1274" s="1237"/>
      <c r="F1274" s="1237"/>
      <c r="G1274" s="1237"/>
      <c r="H1274" s="1237"/>
      <c r="I1274" s="1237"/>
      <c r="J1274" s="1237"/>
      <c r="K1274" s="1237"/>
      <c r="L1274" s="1237"/>
      <c r="M1274" s="1237"/>
      <c r="N1274" s="1237"/>
      <c r="O1274" s="2024"/>
      <c r="P1274" s="2954"/>
      <c r="Q1274" s="1238"/>
      <c r="R1274" s="1239"/>
    </row>
    <row r="1275" spans="1:18" ht="18.75" customHeight="1">
      <c r="A1275" s="2927"/>
      <c r="B1275" s="1237"/>
      <c r="C1275" s="1237"/>
      <c r="D1275" s="1237"/>
      <c r="E1275" s="1237"/>
      <c r="F1275" s="1237"/>
      <c r="G1275" s="1237"/>
      <c r="H1275" s="1237"/>
      <c r="I1275" s="1237"/>
      <c r="J1275" s="1237"/>
      <c r="K1275" s="1237"/>
      <c r="L1275" s="1237"/>
      <c r="M1275" s="1237"/>
      <c r="N1275" s="1237"/>
      <c r="O1275" s="2024"/>
      <c r="P1275" s="2954"/>
      <c r="Q1275" s="1238"/>
      <c r="R1275" s="1239"/>
    </row>
    <row r="1276" spans="1:18" ht="18.75" customHeight="1">
      <c r="A1276" s="2927"/>
      <c r="B1276" s="1237"/>
      <c r="C1276" s="1237"/>
      <c r="D1276" s="1237"/>
      <c r="E1276" s="1237"/>
      <c r="F1276" s="1237"/>
      <c r="G1276" s="1237"/>
      <c r="H1276" s="1237"/>
      <c r="I1276" s="1237"/>
      <c r="J1276" s="1237"/>
      <c r="K1276" s="1237"/>
      <c r="L1276" s="1237"/>
      <c r="M1276" s="1237"/>
      <c r="N1276" s="1237"/>
      <c r="O1276" s="2024"/>
      <c r="P1276" s="2954"/>
      <c r="Q1276" s="1238"/>
      <c r="R1276" s="1239"/>
    </row>
    <row r="1277" spans="1:18" ht="18.75" customHeight="1">
      <c r="A1277" s="2927"/>
      <c r="B1277" s="1237"/>
      <c r="C1277" s="1237"/>
      <c r="D1277" s="1237"/>
      <c r="E1277" s="1237"/>
      <c r="F1277" s="1237"/>
      <c r="G1277" s="1237"/>
      <c r="H1277" s="1237"/>
      <c r="I1277" s="1237"/>
      <c r="J1277" s="1237"/>
      <c r="K1277" s="1237"/>
      <c r="L1277" s="1237"/>
      <c r="M1277" s="1237"/>
      <c r="N1277" s="1237"/>
      <c r="O1277" s="2024"/>
      <c r="P1277" s="2954"/>
      <c r="Q1277" s="1238"/>
      <c r="R1277" s="1239"/>
    </row>
    <row r="1278" spans="1:18" ht="18.75" customHeight="1">
      <c r="A1278" s="2927"/>
      <c r="B1278" s="1237"/>
      <c r="C1278" s="1237"/>
      <c r="D1278" s="1237"/>
      <c r="E1278" s="1237"/>
      <c r="F1278" s="1237"/>
      <c r="G1278" s="1237"/>
      <c r="H1278" s="1237"/>
      <c r="I1278" s="1237"/>
      <c r="J1278" s="1237"/>
      <c r="K1278" s="1237"/>
      <c r="L1278" s="1237"/>
      <c r="M1278" s="1237"/>
      <c r="N1278" s="1237"/>
      <c r="O1278" s="2024"/>
      <c r="P1278" s="2954"/>
      <c r="Q1278" s="1238"/>
      <c r="R1278" s="1239"/>
    </row>
    <row r="1279" spans="1:18" ht="18.75" customHeight="1">
      <c r="A1279" s="2927"/>
      <c r="B1279" s="1237"/>
      <c r="C1279" s="1237"/>
      <c r="D1279" s="1237"/>
      <c r="E1279" s="1237"/>
      <c r="F1279" s="1237"/>
      <c r="G1279" s="1237"/>
      <c r="H1279" s="1237"/>
      <c r="I1279" s="1237"/>
      <c r="J1279" s="1237"/>
      <c r="K1279" s="1237"/>
      <c r="L1279" s="1237"/>
      <c r="M1279" s="1237"/>
      <c r="N1279" s="1237"/>
      <c r="O1279" s="2024"/>
      <c r="P1279" s="2954"/>
      <c r="Q1279" s="1238"/>
      <c r="R1279" s="1239"/>
    </row>
    <row r="1280" spans="1:18" ht="18.75" customHeight="1">
      <c r="A1280" s="2927"/>
      <c r="B1280" s="1237"/>
      <c r="C1280" s="1237"/>
      <c r="D1280" s="1237"/>
      <c r="E1280" s="1237"/>
      <c r="F1280" s="1237"/>
      <c r="G1280" s="1237"/>
      <c r="H1280" s="1237"/>
      <c r="I1280" s="1237"/>
      <c r="J1280" s="1237"/>
      <c r="K1280" s="1237"/>
      <c r="L1280" s="1237"/>
      <c r="M1280" s="1237"/>
      <c r="N1280" s="1237"/>
      <c r="O1280" s="2024"/>
      <c r="P1280" s="2954"/>
      <c r="Q1280" s="1238"/>
      <c r="R1280" s="1239"/>
    </row>
    <row r="1281" spans="1:18" ht="18.75" customHeight="1">
      <c r="A1281" s="2927"/>
      <c r="B1281" s="1237"/>
      <c r="C1281" s="1237"/>
      <c r="D1281" s="1237"/>
      <c r="E1281" s="1237"/>
      <c r="F1281" s="1237"/>
      <c r="G1281" s="1237"/>
      <c r="H1281" s="1237"/>
      <c r="I1281" s="1237"/>
      <c r="J1281" s="1237"/>
      <c r="K1281" s="1237"/>
      <c r="L1281" s="1237"/>
      <c r="M1281" s="1237"/>
      <c r="N1281" s="1237"/>
      <c r="O1281" s="2024"/>
      <c r="P1281" s="2954"/>
      <c r="Q1281" s="1238"/>
      <c r="R1281" s="1239"/>
    </row>
    <row r="1282" spans="1:18" ht="18.75" customHeight="1">
      <c r="A1282" s="2927"/>
      <c r="B1282" s="1237"/>
      <c r="C1282" s="1237"/>
      <c r="D1282" s="1237"/>
      <c r="E1282" s="1237"/>
      <c r="F1282" s="1237"/>
      <c r="G1282" s="1237"/>
      <c r="H1282" s="1237"/>
      <c r="I1282" s="1237"/>
      <c r="J1282" s="1237"/>
      <c r="K1282" s="1237"/>
      <c r="L1282" s="1237"/>
      <c r="M1282" s="1237"/>
      <c r="N1282" s="1237"/>
      <c r="O1282" s="2024"/>
      <c r="P1282" s="2954"/>
      <c r="Q1282" s="1238"/>
      <c r="R1282" s="1239"/>
    </row>
    <row r="1283" spans="1:18" ht="18.75" customHeight="1">
      <c r="A1283" s="2927"/>
      <c r="B1283" s="1237"/>
      <c r="C1283" s="1237"/>
      <c r="D1283" s="1237"/>
      <c r="E1283" s="1237"/>
      <c r="F1283" s="1237"/>
      <c r="G1283" s="1237"/>
      <c r="H1283" s="1237"/>
      <c r="I1283" s="1237"/>
      <c r="J1283" s="2945"/>
      <c r="K1283" s="2945"/>
      <c r="L1283" s="2945"/>
      <c r="M1283" s="1237"/>
      <c r="N1283" s="1237"/>
      <c r="O1283" s="2024"/>
      <c r="P1283" s="2954"/>
      <c r="Q1283" s="1238"/>
      <c r="R1283" s="1239"/>
    </row>
    <row r="1284" spans="1:18" ht="18.75" customHeight="1">
      <c r="A1284" s="2927"/>
      <c r="B1284" s="1237"/>
      <c r="C1284" s="1237"/>
      <c r="D1284" s="1237"/>
      <c r="E1284" s="1237"/>
      <c r="F1284" s="1237"/>
      <c r="G1284" s="1237"/>
      <c r="H1284" s="1237"/>
      <c r="I1284" s="1237"/>
      <c r="J1284" s="1237"/>
      <c r="K1284" s="1237"/>
      <c r="L1284" s="1237"/>
      <c r="M1284" s="1237"/>
      <c r="N1284" s="1237"/>
      <c r="O1284" s="2024"/>
      <c r="P1284" s="2954"/>
      <c r="Q1284" s="1238"/>
      <c r="R1284" s="1239"/>
    </row>
    <row r="1285" spans="1:18" ht="18.75" customHeight="1">
      <c r="A1285" s="2927"/>
      <c r="B1285" s="1237"/>
      <c r="C1285" s="1237"/>
      <c r="D1285" s="1237"/>
      <c r="E1285" s="1237"/>
      <c r="F1285" s="1237"/>
      <c r="G1285" s="1237"/>
      <c r="H1285" s="1237"/>
      <c r="I1285" s="1237"/>
      <c r="J1285" s="1237"/>
      <c r="K1285" s="1237"/>
      <c r="L1285" s="1237"/>
      <c r="M1285" s="1237"/>
      <c r="N1285" s="1237"/>
      <c r="O1285" s="2024"/>
      <c r="P1285" s="2954"/>
      <c r="Q1285" s="1238"/>
      <c r="R1285" s="1239"/>
    </row>
    <row r="1286" spans="1:18" ht="18.75" customHeight="1">
      <c r="A1286" s="2927"/>
      <c r="B1286" s="1237"/>
      <c r="C1286" s="1237"/>
      <c r="D1286" s="1237"/>
      <c r="E1286" s="1237"/>
      <c r="F1286" s="1237"/>
      <c r="G1286" s="1237"/>
      <c r="H1286" s="1237"/>
      <c r="I1286" s="1237"/>
      <c r="J1286" s="1237"/>
      <c r="K1286" s="1237"/>
      <c r="L1286" s="1237"/>
      <c r="M1286" s="1237"/>
      <c r="N1286" s="1237"/>
      <c r="O1286" s="2024"/>
      <c r="P1286" s="2954"/>
      <c r="Q1286" s="1238"/>
      <c r="R1286" s="1239"/>
    </row>
    <row r="1287" spans="1:18" ht="18.75" customHeight="1">
      <c r="A1287" s="2927"/>
      <c r="B1287" s="1237"/>
      <c r="C1287" s="1237"/>
      <c r="D1287" s="1237"/>
      <c r="E1287" s="1237"/>
      <c r="F1287" s="1237"/>
      <c r="G1287" s="1237"/>
      <c r="H1287" s="1237"/>
      <c r="I1287" s="1237"/>
      <c r="J1287" s="1237"/>
      <c r="K1287" s="1237"/>
      <c r="L1287" s="1237"/>
      <c r="M1287" s="1237"/>
      <c r="N1287" s="1237"/>
      <c r="O1287" s="2024"/>
      <c r="P1287" s="2954"/>
      <c r="Q1287" s="1238"/>
      <c r="R1287" s="1239"/>
    </row>
    <row r="1288" spans="1:18" ht="18.75" customHeight="1">
      <c r="A1288" s="2927"/>
      <c r="B1288" s="1237"/>
      <c r="C1288" s="1237"/>
      <c r="D1288" s="1237"/>
      <c r="E1288" s="1237"/>
      <c r="F1288" s="1237"/>
      <c r="G1288" s="1237"/>
      <c r="H1288" s="1237"/>
      <c r="I1288" s="1237"/>
      <c r="J1288" s="1237"/>
      <c r="K1288" s="1237"/>
      <c r="L1288" s="1237"/>
      <c r="M1288" s="1237"/>
      <c r="N1288" s="1237"/>
      <c r="O1288" s="2024"/>
      <c r="P1288" s="2954"/>
      <c r="Q1288" s="1238"/>
      <c r="R1288" s="1239"/>
    </row>
    <row r="1289" spans="1:18" ht="18.75" customHeight="1">
      <c r="A1289" s="2927"/>
      <c r="B1289" s="1237"/>
      <c r="C1289" s="1237"/>
      <c r="D1289" s="1237"/>
      <c r="E1289" s="1237"/>
      <c r="F1289" s="1237"/>
      <c r="G1289" s="1237"/>
      <c r="H1289" s="1237"/>
      <c r="I1289" s="1237"/>
      <c r="J1289" s="2945"/>
      <c r="K1289" s="2945"/>
      <c r="L1289" s="2945"/>
      <c r="M1289" s="1237"/>
      <c r="N1289" s="1237"/>
      <c r="O1289" s="2024"/>
      <c r="P1289" s="2954"/>
      <c r="Q1289" s="1238"/>
      <c r="R1289" s="1239"/>
    </row>
    <row r="1290" spans="1:18" ht="18.75" customHeight="1">
      <c r="A1290" s="2927"/>
      <c r="B1290" s="1237"/>
      <c r="C1290" s="1237"/>
      <c r="D1290" s="1237"/>
      <c r="E1290" s="1237"/>
      <c r="F1290" s="1237"/>
      <c r="G1290" s="1237"/>
      <c r="H1290" s="1237"/>
      <c r="I1290" s="1237"/>
      <c r="J1290" s="1237"/>
      <c r="K1290" s="1237"/>
      <c r="L1290" s="1237"/>
      <c r="M1290" s="1237"/>
      <c r="N1290" s="1237"/>
      <c r="O1290" s="2024"/>
      <c r="P1290" s="2955"/>
      <c r="Q1290" s="1238"/>
      <c r="R1290" s="1239"/>
    </row>
    <row r="1291" spans="1:18" ht="18.75" customHeight="1">
      <c r="A1291" s="2927"/>
      <c r="B1291" s="1237"/>
      <c r="C1291" s="1237"/>
      <c r="D1291" s="1237"/>
      <c r="E1291" s="1237"/>
      <c r="F1291" s="1237"/>
      <c r="G1291" s="1237"/>
      <c r="H1291" s="1237"/>
      <c r="I1291" s="1237"/>
      <c r="J1291" s="1237"/>
      <c r="K1291" s="1237"/>
      <c r="L1291" s="1237"/>
      <c r="M1291" s="1237"/>
      <c r="N1291" s="1237"/>
      <c r="O1291" s="2024"/>
      <c r="P1291" s="2955"/>
      <c r="Q1291" s="1238"/>
      <c r="R1291" s="1239"/>
    </row>
    <row r="1292" spans="1:18" ht="18.75" customHeight="1">
      <c r="A1292" s="2927"/>
      <c r="B1292" s="1237"/>
      <c r="C1292" s="1237"/>
      <c r="D1292" s="1237"/>
      <c r="E1292" s="1237"/>
      <c r="F1292" s="1237"/>
      <c r="G1292" s="1237"/>
      <c r="H1292" s="1237"/>
      <c r="I1292" s="1237"/>
      <c r="J1292" s="1237"/>
      <c r="K1292" s="1237"/>
      <c r="L1292" s="1237"/>
      <c r="M1292" s="1237"/>
      <c r="N1292" s="1237"/>
      <c r="O1292" s="2024"/>
      <c r="P1292" s="2955"/>
      <c r="Q1292" s="1238"/>
      <c r="R1292" s="1239"/>
    </row>
    <row r="1293" spans="1:18" ht="18.75" customHeight="1">
      <c r="A1293" s="2927"/>
      <c r="B1293" s="1237"/>
      <c r="C1293" s="1237"/>
      <c r="D1293" s="1237"/>
      <c r="E1293" s="1237"/>
      <c r="F1293" s="1237"/>
      <c r="G1293" s="1237"/>
      <c r="H1293" s="1237"/>
      <c r="I1293" s="1237"/>
      <c r="J1293" s="1237"/>
      <c r="K1293" s="1237"/>
      <c r="L1293" s="1237"/>
      <c r="M1293" s="1237"/>
      <c r="N1293" s="1237"/>
      <c r="O1293" s="2024"/>
      <c r="P1293" s="2955"/>
      <c r="Q1293" s="1238"/>
      <c r="R1293" s="1239"/>
    </row>
    <row r="1294" spans="1:18" ht="18.75" customHeight="1">
      <c r="A1294" s="2927"/>
      <c r="B1294" s="1237"/>
      <c r="C1294" s="1237"/>
      <c r="D1294" s="1237"/>
      <c r="E1294" s="1237"/>
      <c r="F1294" s="1237"/>
      <c r="G1294" s="1237"/>
      <c r="H1294" s="1237"/>
      <c r="I1294" s="1237"/>
      <c r="J1294" s="2945"/>
      <c r="K1294" s="2945"/>
      <c r="L1294" s="2945"/>
      <c r="M1294" s="1237"/>
      <c r="N1294" s="1237"/>
      <c r="O1294" s="2024"/>
      <c r="P1294" s="2955"/>
      <c r="Q1294" s="1238"/>
      <c r="R1294" s="1239"/>
    </row>
    <row r="1295" spans="1:18" ht="18.75" customHeight="1">
      <c r="A1295" s="2927"/>
      <c r="B1295" s="1237"/>
      <c r="C1295" s="1237"/>
      <c r="D1295" s="1237"/>
      <c r="E1295" s="1237"/>
      <c r="F1295" s="1237"/>
      <c r="G1295" s="1237"/>
      <c r="H1295" s="1237"/>
      <c r="I1295" s="1237"/>
      <c r="J1295" s="1241"/>
      <c r="K1295" s="1241"/>
      <c r="L1295" s="1241"/>
      <c r="M1295" s="1237"/>
      <c r="N1295" s="1237"/>
      <c r="O1295" s="2024"/>
      <c r="P1295" s="2955"/>
      <c r="Q1295" s="1238"/>
      <c r="R1295" s="1239"/>
    </row>
    <row r="1296" spans="1:18" ht="18.75" customHeight="1">
      <c r="A1296" s="2927"/>
      <c r="B1296" s="1237"/>
      <c r="C1296" s="1237"/>
      <c r="D1296" s="1237"/>
      <c r="E1296" s="1237"/>
      <c r="F1296" s="1237"/>
      <c r="G1296" s="1237"/>
      <c r="H1296" s="1237"/>
      <c r="I1296" s="1237"/>
      <c r="J1296" s="1237"/>
      <c r="K1296" s="1237"/>
      <c r="L1296" s="1237"/>
      <c r="M1296" s="1237"/>
      <c r="N1296" s="1237"/>
      <c r="O1296" s="2024"/>
      <c r="P1296" s="2955"/>
      <c r="Q1296" s="1238"/>
      <c r="R1296" s="1239"/>
    </row>
    <row r="1297" spans="1:18" ht="18.75" customHeight="1">
      <c r="A1297" s="2927"/>
      <c r="B1297" s="1237"/>
      <c r="C1297" s="1237"/>
      <c r="D1297" s="1237"/>
      <c r="E1297" s="1237"/>
      <c r="F1297" s="1237"/>
      <c r="G1297" s="1237"/>
      <c r="H1297" s="1237"/>
      <c r="I1297" s="1237"/>
      <c r="J1297" s="1237"/>
      <c r="K1297" s="1237"/>
      <c r="L1297" s="1237"/>
      <c r="M1297" s="1237"/>
      <c r="N1297" s="1237"/>
      <c r="O1297" s="2024"/>
      <c r="P1297" s="2955"/>
      <c r="Q1297" s="1238"/>
      <c r="R1297" s="1239"/>
    </row>
    <row r="1298" spans="1:18" ht="18.75" customHeight="1">
      <c r="A1298" s="2927"/>
      <c r="B1298" s="1237"/>
      <c r="C1298" s="1237"/>
      <c r="D1298" s="1237"/>
      <c r="E1298" s="1237"/>
      <c r="F1298" s="1237"/>
      <c r="G1298" s="1237"/>
      <c r="H1298" s="1237"/>
      <c r="I1298" s="1237"/>
      <c r="J1298" s="1237"/>
      <c r="K1298" s="1237"/>
      <c r="L1298" s="1237"/>
      <c r="M1298" s="1237"/>
      <c r="N1298" s="1237"/>
      <c r="O1298" s="2024"/>
      <c r="P1298" s="2955"/>
      <c r="Q1298" s="1238"/>
      <c r="R1298" s="1239"/>
    </row>
    <row r="1299" spans="1:18" ht="18.75" customHeight="1">
      <c r="A1299" s="2927"/>
      <c r="B1299" s="1237"/>
      <c r="C1299" s="1237"/>
      <c r="D1299" s="1237"/>
      <c r="E1299" s="1237"/>
      <c r="F1299" s="1237"/>
      <c r="G1299" s="1237"/>
      <c r="H1299" s="1237"/>
      <c r="I1299" s="1237"/>
      <c r="J1299" s="2945"/>
      <c r="K1299" s="2945"/>
      <c r="L1299" s="2945"/>
      <c r="M1299" s="1237"/>
      <c r="N1299" s="1237"/>
      <c r="O1299" s="2024"/>
      <c r="P1299" s="2955"/>
      <c r="Q1299" s="1238"/>
      <c r="R1299" s="1239"/>
    </row>
    <row r="1300" spans="1:18" ht="18.75" customHeight="1">
      <c r="A1300" s="2927"/>
      <c r="B1300" s="1237"/>
      <c r="C1300" s="1237"/>
      <c r="D1300" s="1237"/>
      <c r="E1300" s="1237"/>
      <c r="F1300" s="1237"/>
      <c r="G1300" s="1237"/>
      <c r="H1300" s="1237"/>
      <c r="I1300" s="1237"/>
      <c r="J1300" s="1241"/>
      <c r="K1300" s="1241"/>
      <c r="L1300" s="1241"/>
      <c r="M1300" s="1237"/>
      <c r="N1300" s="1237"/>
      <c r="O1300" s="2024"/>
      <c r="P1300" s="2955"/>
      <c r="Q1300" s="1238"/>
      <c r="R1300" s="1239"/>
    </row>
    <row r="1301" spans="1:18" ht="18.75" customHeight="1">
      <c r="A1301" s="2927"/>
      <c r="B1301" s="1237"/>
      <c r="C1301" s="1237"/>
      <c r="D1301" s="1237"/>
      <c r="E1301" s="1237"/>
      <c r="F1301" s="1237"/>
      <c r="G1301" s="1237"/>
      <c r="H1301" s="1237"/>
      <c r="I1301" s="1237"/>
      <c r="J1301" s="1237"/>
      <c r="K1301" s="1241"/>
      <c r="L1301" s="1241"/>
      <c r="M1301" s="1237"/>
      <c r="N1301" s="1237"/>
      <c r="O1301" s="2024"/>
      <c r="P1301" s="2955"/>
      <c r="Q1301" s="1238"/>
      <c r="R1301" s="1239"/>
    </row>
    <row r="1302" spans="1:18" ht="18.75" customHeight="1">
      <c r="A1302" s="2927"/>
      <c r="B1302" s="1237"/>
      <c r="C1302" s="1237"/>
      <c r="D1302" s="1237"/>
      <c r="E1302" s="1237"/>
      <c r="F1302" s="1237"/>
      <c r="G1302" s="1237"/>
      <c r="H1302" s="1237"/>
      <c r="I1302" s="1237"/>
      <c r="J1302" s="1237"/>
      <c r="K1302" s="1241"/>
      <c r="L1302" s="1241"/>
      <c r="M1302" s="1237"/>
      <c r="N1302" s="1237"/>
      <c r="O1302" s="2024"/>
      <c r="P1302" s="2955"/>
      <c r="Q1302" s="1238"/>
      <c r="R1302" s="1239"/>
    </row>
    <row r="1303" spans="1:18" ht="18.75" customHeight="1">
      <c r="A1303" s="2927"/>
      <c r="B1303" s="1237"/>
      <c r="C1303" s="1237"/>
      <c r="D1303" s="1237"/>
      <c r="E1303" s="1237"/>
      <c r="F1303" s="1237"/>
      <c r="G1303" s="1237"/>
      <c r="H1303" s="1237"/>
      <c r="I1303" s="1237"/>
      <c r="J1303" s="1237"/>
      <c r="K1303" s="1241"/>
      <c r="L1303" s="1241"/>
      <c r="M1303" s="1237"/>
      <c r="N1303" s="1237"/>
      <c r="O1303" s="2024"/>
      <c r="P1303" s="2955"/>
      <c r="Q1303" s="1238"/>
      <c r="R1303" s="1239"/>
    </row>
    <row r="1304" spans="1:18" ht="18.75" customHeight="1">
      <c r="A1304" s="2927"/>
      <c r="B1304" s="1237"/>
      <c r="C1304" s="1237"/>
      <c r="D1304" s="1237"/>
      <c r="E1304" s="1237"/>
      <c r="F1304" s="1237"/>
      <c r="G1304" s="1237"/>
      <c r="H1304" s="1237"/>
      <c r="I1304" s="1237"/>
      <c r="J1304" s="1237"/>
      <c r="K1304" s="1241"/>
      <c r="L1304" s="1241"/>
      <c r="M1304" s="1237"/>
      <c r="N1304" s="1237"/>
      <c r="O1304" s="2024"/>
      <c r="P1304" s="2955"/>
      <c r="Q1304" s="1238"/>
      <c r="R1304" s="1239"/>
    </row>
    <row r="1305" spans="1:18" ht="18.75" customHeight="1">
      <c r="A1305" s="2927"/>
      <c r="B1305" s="1237"/>
      <c r="C1305" s="1237"/>
      <c r="D1305" s="1237"/>
      <c r="E1305" s="1237"/>
      <c r="F1305" s="1237"/>
      <c r="G1305" s="1237"/>
      <c r="H1305" s="1237"/>
      <c r="I1305" s="1237"/>
      <c r="J1305" s="1237"/>
      <c r="K1305" s="1237"/>
      <c r="L1305" s="1237"/>
      <c r="M1305" s="1237"/>
      <c r="N1305" s="1237"/>
      <c r="O1305" s="2024"/>
      <c r="P1305" s="2955"/>
      <c r="Q1305" s="1238"/>
      <c r="R1305" s="1239"/>
    </row>
    <row r="1306" spans="1:18" ht="18.75" customHeight="1">
      <c r="A1306" s="2927"/>
      <c r="B1306" s="1237"/>
      <c r="C1306" s="1237"/>
      <c r="D1306" s="1237"/>
      <c r="E1306" s="1237"/>
      <c r="F1306" s="1237"/>
      <c r="G1306" s="1237"/>
      <c r="H1306" s="1237"/>
      <c r="I1306" s="1237"/>
      <c r="J1306" s="1237"/>
      <c r="K1306" s="1237"/>
      <c r="L1306" s="1237"/>
      <c r="M1306" s="1237"/>
      <c r="N1306" s="1237"/>
      <c r="O1306" s="2024"/>
      <c r="P1306" s="2954"/>
      <c r="Q1306" s="1238"/>
      <c r="R1306" s="1239"/>
    </row>
    <row r="1307" spans="1:18" ht="18.75" customHeight="1">
      <c r="A1307" s="2927"/>
      <c r="B1307" s="1237"/>
      <c r="C1307" s="1237"/>
      <c r="D1307" s="1237"/>
      <c r="E1307" s="1237"/>
      <c r="F1307" s="1237"/>
      <c r="G1307" s="1237"/>
      <c r="H1307" s="1237"/>
      <c r="I1307" s="1237"/>
      <c r="J1307" s="1237"/>
      <c r="K1307" s="1237"/>
      <c r="L1307" s="1237"/>
      <c r="M1307" s="1237"/>
      <c r="N1307" s="1237"/>
      <c r="O1307" s="2024"/>
      <c r="P1307" s="2954"/>
      <c r="Q1307" s="1238"/>
      <c r="R1307" s="1239"/>
    </row>
    <row r="1308" spans="1:18" ht="18.75" customHeight="1">
      <c r="A1308" s="2927"/>
      <c r="B1308" s="1237"/>
      <c r="C1308" s="1237"/>
      <c r="D1308" s="1237"/>
      <c r="E1308" s="1237"/>
      <c r="F1308" s="1237"/>
      <c r="G1308" s="1237"/>
      <c r="H1308" s="1237"/>
      <c r="I1308" s="1237"/>
      <c r="J1308" s="1237"/>
      <c r="K1308" s="1237"/>
      <c r="L1308" s="1237"/>
      <c r="M1308" s="1237"/>
      <c r="N1308" s="1237"/>
      <c r="O1308" s="2024"/>
      <c r="P1308" s="2954"/>
      <c r="Q1308" s="1238"/>
      <c r="R1308" s="1239"/>
    </row>
    <row r="1309" spans="1:18" ht="18.75" customHeight="1">
      <c r="A1309" s="2927"/>
      <c r="B1309" s="1237"/>
      <c r="C1309" s="1237"/>
      <c r="D1309" s="1237"/>
      <c r="E1309" s="1237"/>
      <c r="F1309" s="1237"/>
      <c r="G1309" s="1237"/>
      <c r="H1309" s="1237"/>
      <c r="I1309" s="1237"/>
      <c r="J1309" s="1237"/>
      <c r="K1309" s="1237"/>
      <c r="L1309" s="1237"/>
      <c r="M1309" s="1237"/>
      <c r="N1309" s="1237"/>
      <c r="O1309" s="2024"/>
      <c r="P1309" s="2942"/>
      <c r="Q1309" s="1238"/>
      <c r="R1309" s="1239"/>
    </row>
    <row r="1310" spans="1:18" ht="18.75" customHeight="1">
      <c r="A1310" s="2927"/>
      <c r="B1310" s="1237"/>
      <c r="C1310" s="1237"/>
      <c r="D1310" s="1237"/>
      <c r="E1310" s="1237"/>
      <c r="F1310" s="1237"/>
      <c r="G1310" s="1237"/>
      <c r="H1310" s="1237"/>
      <c r="I1310" s="1237"/>
      <c r="J1310" s="2945"/>
      <c r="K1310" s="2945"/>
      <c r="L1310" s="2945"/>
      <c r="M1310" s="1237"/>
      <c r="N1310" s="1237"/>
      <c r="O1310" s="2024"/>
      <c r="P1310" s="2943"/>
      <c r="Q1310" s="1238"/>
      <c r="R1310" s="1239"/>
    </row>
    <row r="1311" spans="1:18" ht="18.75" customHeight="1">
      <c r="A1311" s="2927"/>
      <c r="B1311" s="1237"/>
      <c r="C1311" s="1237"/>
      <c r="D1311" s="1237"/>
      <c r="E1311" s="1237"/>
      <c r="F1311" s="1237"/>
      <c r="G1311" s="1237"/>
      <c r="H1311" s="1237"/>
      <c r="I1311" s="1237"/>
      <c r="J1311" s="1237"/>
      <c r="K1311" s="1237"/>
      <c r="L1311" s="1237"/>
      <c r="M1311" s="1237"/>
      <c r="N1311" s="1237"/>
      <c r="O1311" s="2024"/>
      <c r="P1311" s="2943"/>
      <c r="Q1311" s="1238"/>
      <c r="R1311" s="1239"/>
    </row>
    <row r="1312" spans="1:18" ht="18.75" customHeight="1">
      <c r="A1312" s="2928"/>
      <c r="B1312" s="1540"/>
      <c r="C1312" s="1540"/>
      <c r="D1312" s="1540"/>
      <c r="E1312" s="1540"/>
      <c r="F1312" s="1540"/>
      <c r="G1312" s="1540"/>
      <c r="H1312" s="1540"/>
      <c r="I1312" s="1540"/>
      <c r="J1312" s="1540"/>
      <c r="K1312" s="1540"/>
      <c r="L1312" s="1540"/>
      <c r="M1312" s="1540"/>
      <c r="N1312" s="1540"/>
      <c r="O1312" s="2025"/>
      <c r="P1312" s="2943"/>
      <c r="Q1312" s="1541"/>
      <c r="R1312" s="1591"/>
    </row>
    <row r="1313" spans="1:18" ht="18.75" customHeight="1">
      <c r="A1313" s="2926"/>
      <c r="B1313" s="1585"/>
      <c r="C1313" s="1585"/>
      <c r="D1313" s="1585"/>
      <c r="E1313" s="1585"/>
      <c r="F1313" s="1585"/>
      <c r="G1313" s="1585"/>
      <c r="H1313" s="1585"/>
      <c r="I1313" s="1585"/>
      <c r="J1313" s="1585"/>
      <c r="K1313" s="1585"/>
      <c r="L1313" s="1585"/>
      <c r="M1313" s="1585"/>
      <c r="N1313" s="1585"/>
      <c r="O1313" s="2026"/>
      <c r="P1313" s="2964"/>
      <c r="Q1313" s="1586"/>
      <c r="R1313" s="1587"/>
    </row>
    <row r="1314" spans="1:18" ht="18.75" customHeight="1">
      <c r="A1314" s="2927"/>
      <c r="B1314" s="1237"/>
      <c r="C1314" s="1237"/>
      <c r="D1314" s="1237"/>
      <c r="E1314" s="1237"/>
      <c r="F1314" s="1237"/>
      <c r="G1314" s="1237"/>
      <c r="H1314" s="1237"/>
      <c r="I1314" s="1237"/>
      <c r="J1314" s="1237"/>
      <c r="K1314" s="1237"/>
      <c r="L1314" s="1237"/>
      <c r="M1314" s="1237"/>
      <c r="N1314" s="1237"/>
      <c r="O1314" s="2024"/>
      <c r="P1314" s="2954"/>
      <c r="Q1314" s="1238"/>
      <c r="R1314" s="1239"/>
    </row>
    <row r="1315" spans="1:18" ht="18.75" customHeight="1">
      <c r="A1315" s="2927"/>
      <c r="B1315" s="1237"/>
      <c r="C1315" s="1237"/>
      <c r="D1315" s="1237"/>
      <c r="E1315" s="1237"/>
      <c r="F1315" s="1237"/>
      <c r="G1315" s="1237"/>
      <c r="H1315" s="1237"/>
      <c r="I1315" s="1237"/>
      <c r="J1315" s="1237"/>
      <c r="K1315" s="1237"/>
      <c r="L1315" s="1237"/>
      <c r="M1315" s="1237"/>
      <c r="N1315" s="1237"/>
      <c r="O1315" s="2024"/>
      <c r="P1315" s="2954"/>
      <c r="Q1315" s="1238"/>
      <c r="R1315" s="1239"/>
    </row>
    <row r="1316" spans="1:18" ht="18.75" customHeight="1">
      <c r="A1316" s="2927"/>
      <c r="B1316" s="1237"/>
      <c r="C1316" s="1237"/>
      <c r="D1316" s="1237"/>
      <c r="E1316" s="1237"/>
      <c r="F1316" s="1237"/>
      <c r="G1316" s="2191"/>
      <c r="H1316" s="1237"/>
      <c r="I1316" s="1237"/>
      <c r="J1316" s="1237"/>
      <c r="K1316" s="1237"/>
      <c r="L1316" s="1237"/>
      <c r="M1316" s="1237"/>
      <c r="N1316" s="1237"/>
      <c r="O1316" s="2024"/>
      <c r="P1316" s="2954"/>
      <c r="Q1316" s="1238"/>
      <c r="R1316" s="1239"/>
    </row>
    <row r="1317" spans="1:18" ht="18.75" customHeight="1">
      <c r="A1317" s="2927"/>
      <c r="B1317" s="1237"/>
      <c r="C1317" s="1237"/>
      <c r="D1317" s="1237"/>
      <c r="E1317" s="1237"/>
      <c r="F1317" s="1237"/>
      <c r="G1317" s="1237"/>
      <c r="H1317" s="1237"/>
      <c r="I1317" s="1237"/>
      <c r="J1317" s="1237"/>
      <c r="K1317" s="1237"/>
      <c r="L1317" s="1237"/>
      <c r="M1317" s="1237"/>
      <c r="N1317" s="1237"/>
      <c r="O1317" s="2024"/>
      <c r="P1317" s="2954"/>
      <c r="Q1317" s="1238"/>
      <c r="R1317" s="1239"/>
    </row>
    <row r="1318" spans="1:18" ht="18.75" customHeight="1">
      <c r="A1318" s="2927"/>
      <c r="B1318" s="1237"/>
      <c r="C1318" s="1237"/>
      <c r="D1318" s="1237"/>
      <c r="E1318" s="1237"/>
      <c r="F1318" s="1237"/>
      <c r="G1318" s="1237"/>
      <c r="H1318" s="1237"/>
      <c r="I1318" s="1237"/>
      <c r="J1318" s="1237"/>
      <c r="K1318" s="1237"/>
      <c r="L1318" s="1237"/>
      <c r="M1318" s="1237"/>
      <c r="N1318" s="1237"/>
      <c r="O1318" s="2024"/>
      <c r="P1318" s="2954"/>
      <c r="Q1318" s="1238"/>
      <c r="R1318" s="1239"/>
    </row>
    <row r="1319" spans="1:18" ht="18.75" customHeight="1">
      <c r="A1319" s="2927"/>
      <c r="B1319" s="1237"/>
      <c r="C1319" s="1237"/>
      <c r="D1319" s="1237"/>
      <c r="E1319" s="1237"/>
      <c r="F1319" s="1237"/>
      <c r="G1319" s="1237"/>
      <c r="H1319" s="1237"/>
      <c r="I1319" s="1237"/>
      <c r="J1319" s="1237"/>
      <c r="K1319" s="1237"/>
      <c r="L1319" s="1237"/>
      <c r="M1319" s="1237"/>
      <c r="N1319" s="1237"/>
      <c r="O1319" s="2024"/>
      <c r="P1319" s="2954"/>
      <c r="Q1319" s="1238"/>
      <c r="R1319" s="1239"/>
    </row>
    <row r="1320" spans="1:18" ht="18.75" customHeight="1">
      <c r="A1320" s="2927"/>
      <c r="B1320" s="1237"/>
      <c r="C1320" s="1237"/>
      <c r="D1320" s="1237"/>
      <c r="E1320" s="1237"/>
      <c r="F1320" s="1237"/>
      <c r="G1320" s="1237"/>
      <c r="H1320" s="1237"/>
      <c r="I1320" s="1237"/>
      <c r="J1320" s="1237"/>
      <c r="K1320" s="1237"/>
      <c r="L1320" s="1237"/>
      <c r="M1320" s="1237"/>
      <c r="N1320" s="1237"/>
      <c r="O1320" s="2024"/>
      <c r="P1320" s="2954"/>
      <c r="Q1320" s="1238"/>
      <c r="R1320" s="1239"/>
    </row>
    <row r="1321" spans="1:18" ht="18.75" customHeight="1">
      <c r="A1321" s="2927"/>
      <c r="B1321" s="1237"/>
      <c r="C1321" s="1237"/>
      <c r="D1321" s="1237"/>
      <c r="E1321" s="1237"/>
      <c r="F1321" s="1237"/>
      <c r="G1321" s="1237"/>
      <c r="H1321" s="1237"/>
      <c r="I1321" s="1237"/>
      <c r="J1321" s="1237"/>
      <c r="K1321" s="1237"/>
      <c r="L1321" s="1237"/>
      <c r="M1321" s="1237"/>
      <c r="N1321" s="1237"/>
      <c r="O1321" s="2024"/>
      <c r="P1321" s="2954"/>
      <c r="Q1321" s="1238"/>
      <c r="R1321" s="1239"/>
    </row>
    <row r="1322" spans="1:18" ht="18.75" customHeight="1">
      <c r="A1322" s="2927"/>
      <c r="B1322" s="1237"/>
      <c r="C1322" s="1237"/>
      <c r="D1322" s="1237"/>
      <c r="E1322" s="1237"/>
      <c r="F1322" s="1237"/>
      <c r="G1322" s="1237"/>
      <c r="H1322" s="1237"/>
      <c r="I1322" s="1237"/>
      <c r="J1322" s="1237"/>
      <c r="K1322" s="1237"/>
      <c r="L1322" s="1237"/>
      <c r="M1322" s="1237"/>
      <c r="N1322" s="1237"/>
      <c r="O1322" s="2024"/>
      <c r="P1322" s="2954"/>
      <c r="Q1322" s="1238"/>
      <c r="R1322" s="1239"/>
    </row>
    <row r="1323" spans="1:18" ht="18.75" customHeight="1">
      <c r="A1323" s="2927"/>
      <c r="B1323" s="1237"/>
      <c r="C1323" s="1237"/>
      <c r="D1323" s="1237"/>
      <c r="E1323" s="1237"/>
      <c r="F1323" s="1237"/>
      <c r="G1323" s="1237"/>
      <c r="H1323" s="1237"/>
      <c r="I1323" s="1237"/>
      <c r="J1323" s="1237"/>
      <c r="K1323" s="1237"/>
      <c r="L1323" s="1237"/>
      <c r="M1323" s="1237"/>
      <c r="N1323" s="1237"/>
      <c r="O1323" s="2024"/>
      <c r="P1323" s="2954"/>
      <c r="Q1323" s="1238"/>
      <c r="R1323" s="1239"/>
    </row>
    <row r="1324" spans="1:18" ht="18.75" customHeight="1">
      <c r="A1324" s="2927"/>
      <c r="B1324" s="1237"/>
      <c r="C1324" s="1237"/>
      <c r="D1324" s="1237"/>
      <c r="E1324" s="1237"/>
      <c r="F1324" s="1237"/>
      <c r="G1324" s="1237"/>
      <c r="H1324" s="1237"/>
      <c r="I1324" s="1237"/>
      <c r="J1324" s="1237"/>
      <c r="K1324" s="1237"/>
      <c r="L1324" s="1237"/>
      <c r="M1324" s="1237"/>
      <c r="N1324" s="1237"/>
      <c r="O1324" s="2024"/>
      <c r="P1324" s="2954"/>
      <c r="Q1324" s="1238"/>
      <c r="R1324" s="1239"/>
    </row>
    <row r="1325" spans="1:18" ht="18.75" customHeight="1">
      <c r="A1325" s="2927"/>
      <c r="B1325" s="1237"/>
      <c r="C1325" s="1237"/>
      <c r="D1325" s="1237"/>
      <c r="E1325" s="1237"/>
      <c r="F1325" s="1237"/>
      <c r="G1325" s="1237"/>
      <c r="H1325" s="1237"/>
      <c r="I1325" s="1237"/>
      <c r="J1325" s="1237"/>
      <c r="K1325" s="1237"/>
      <c r="L1325" s="1237"/>
      <c r="M1325" s="1237"/>
      <c r="N1325" s="1237"/>
      <c r="O1325" s="2024"/>
      <c r="P1325" s="2954"/>
      <c r="Q1325" s="1238"/>
      <c r="R1325" s="1239"/>
    </row>
    <row r="1326" spans="1:18" ht="18.75" customHeight="1">
      <c r="A1326" s="2927"/>
      <c r="B1326" s="1237"/>
      <c r="C1326" s="1237"/>
      <c r="D1326" s="1237"/>
      <c r="E1326" s="1237"/>
      <c r="F1326" s="1237"/>
      <c r="G1326" s="1237"/>
      <c r="H1326" s="1237"/>
      <c r="I1326" s="1237"/>
      <c r="J1326" s="2945"/>
      <c r="K1326" s="2945"/>
      <c r="L1326" s="2945"/>
      <c r="M1326" s="1237"/>
      <c r="N1326" s="1237"/>
      <c r="O1326" s="2024"/>
      <c r="P1326" s="2954"/>
      <c r="Q1326" s="1238"/>
      <c r="R1326" s="1239"/>
    </row>
    <row r="1327" spans="1:18" ht="18.75" customHeight="1">
      <c r="A1327" s="2927"/>
      <c r="B1327" s="1237"/>
      <c r="C1327" s="1237"/>
      <c r="D1327" s="1237"/>
      <c r="E1327" s="1237"/>
      <c r="F1327" s="1237"/>
      <c r="G1327" s="1237"/>
      <c r="H1327" s="1237"/>
      <c r="I1327" s="1237"/>
      <c r="J1327" s="1237"/>
      <c r="K1327" s="1237"/>
      <c r="L1327" s="1237"/>
      <c r="M1327" s="1237"/>
      <c r="N1327" s="1237"/>
      <c r="O1327" s="2024"/>
      <c r="P1327" s="2954"/>
      <c r="Q1327" s="1238"/>
      <c r="R1327" s="1239"/>
    </row>
    <row r="1328" spans="1:18" ht="18.75" customHeight="1">
      <c r="A1328" s="2927"/>
      <c r="B1328" s="1237"/>
      <c r="C1328" s="1237"/>
      <c r="D1328" s="1237"/>
      <c r="E1328" s="1237"/>
      <c r="F1328" s="1237"/>
      <c r="G1328" s="1237"/>
      <c r="H1328" s="1237"/>
      <c r="I1328" s="1237"/>
      <c r="J1328" s="1237"/>
      <c r="K1328" s="1237"/>
      <c r="L1328" s="1237"/>
      <c r="M1328" s="1237"/>
      <c r="N1328" s="1237"/>
      <c r="O1328" s="2024"/>
      <c r="P1328" s="2954"/>
      <c r="Q1328" s="1238"/>
      <c r="R1328" s="1239"/>
    </row>
    <row r="1329" spans="1:18" ht="18.75" customHeight="1">
      <c r="A1329" s="2927"/>
      <c r="B1329" s="1237"/>
      <c r="C1329" s="1237"/>
      <c r="D1329" s="1237"/>
      <c r="E1329" s="1237"/>
      <c r="F1329" s="1237"/>
      <c r="G1329" s="1237"/>
      <c r="H1329" s="1237"/>
      <c r="I1329" s="1237"/>
      <c r="J1329" s="1237"/>
      <c r="K1329" s="1237"/>
      <c r="L1329" s="1237"/>
      <c r="M1329" s="1237"/>
      <c r="N1329" s="1237"/>
      <c r="O1329" s="2024"/>
      <c r="P1329" s="2954"/>
      <c r="Q1329" s="1238"/>
      <c r="R1329" s="1239"/>
    </row>
    <row r="1330" spans="1:18" ht="18.75" customHeight="1">
      <c r="A1330" s="2927"/>
      <c r="B1330" s="1237"/>
      <c r="C1330" s="1237"/>
      <c r="D1330" s="1237"/>
      <c r="E1330" s="1237"/>
      <c r="F1330" s="1237"/>
      <c r="G1330" s="1237"/>
      <c r="H1330" s="1237"/>
      <c r="I1330" s="1237"/>
      <c r="J1330" s="1237"/>
      <c r="K1330" s="1237"/>
      <c r="L1330" s="1237"/>
      <c r="M1330" s="1237"/>
      <c r="N1330" s="1237"/>
      <c r="O1330" s="2024"/>
      <c r="P1330" s="2954"/>
      <c r="Q1330" s="1238"/>
      <c r="R1330" s="1239"/>
    </row>
    <row r="1331" spans="1:18" ht="18.75" customHeight="1">
      <c r="A1331" s="2927"/>
      <c r="B1331" s="1237"/>
      <c r="C1331" s="1237"/>
      <c r="D1331" s="1237"/>
      <c r="E1331" s="1237"/>
      <c r="F1331" s="1237"/>
      <c r="G1331" s="1237"/>
      <c r="H1331" s="1237"/>
      <c r="I1331" s="1237"/>
      <c r="J1331" s="2945"/>
      <c r="K1331" s="2945"/>
      <c r="L1331" s="2945"/>
      <c r="M1331" s="1237"/>
      <c r="N1331" s="1237"/>
      <c r="O1331" s="2024"/>
      <c r="P1331" s="2954"/>
      <c r="Q1331" s="1238"/>
      <c r="R1331" s="1239"/>
    </row>
    <row r="1332" spans="1:18" ht="18.75" customHeight="1">
      <c r="A1332" s="2927"/>
      <c r="B1332" s="1237"/>
      <c r="C1332" s="1237"/>
      <c r="D1332" s="1237"/>
      <c r="E1332" s="1237"/>
      <c r="F1332" s="1237"/>
      <c r="G1332" s="1237"/>
      <c r="H1332" s="1237"/>
      <c r="I1332" s="1237"/>
      <c r="J1332" s="1237"/>
      <c r="K1332" s="1237"/>
      <c r="L1332" s="1237"/>
      <c r="M1332" s="1237"/>
      <c r="N1332" s="1237"/>
      <c r="O1332" s="2024"/>
      <c r="P1332" s="2954"/>
      <c r="Q1332" s="1238"/>
      <c r="R1332" s="1239"/>
    </row>
    <row r="1333" spans="1:18" ht="18.75" customHeight="1">
      <c r="A1333" s="2927"/>
      <c r="B1333" s="1237"/>
      <c r="C1333" s="1237"/>
      <c r="D1333" s="1237"/>
      <c r="E1333" s="1237"/>
      <c r="F1333" s="1237"/>
      <c r="G1333" s="1237"/>
      <c r="H1333" s="1237"/>
      <c r="I1333" s="1237"/>
      <c r="J1333" s="1237"/>
      <c r="K1333" s="1237"/>
      <c r="L1333" s="1237"/>
      <c r="M1333" s="1237"/>
      <c r="N1333" s="1237"/>
      <c r="O1333" s="2024"/>
      <c r="P1333" s="2954"/>
      <c r="Q1333" s="1238"/>
      <c r="R1333" s="1239"/>
    </row>
    <row r="1334" spans="1:18" ht="18.75" customHeight="1">
      <c r="A1334" s="2927"/>
      <c r="B1334" s="1237"/>
      <c r="C1334" s="1237"/>
      <c r="D1334" s="1237"/>
      <c r="E1334" s="1237"/>
      <c r="F1334" s="1237"/>
      <c r="G1334" s="1237"/>
      <c r="H1334" s="1237"/>
      <c r="I1334" s="1237"/>
      <c r="J1334" s="1237"/>
      <c r="K1334" s="1237"/>
      <c r="L1334" s="1237"/>
      <c r="M1334" s="1237"/>
      <c r="N1334" s="1237"/>
      <c r="O1334" s="2024"/>
      <c r="P1334" s="2954"/>
      <c r="Q1334" s="1238"/>
      <c r="R1334" s="1239"/>
    </row>
    <row r="1335" spans="1:18" ht="18.75" customHeight="1">
      <c r="A1335" s="2927"/>
      <c r="B1335" s="1237"/>
      <c r="C1335" s="1237"/>
      <c r="D1335" s="1237"/>
      <c r="E1335" s="1237"/>
      <c r="F1335" s="1237"/>
      <c r="G1335" s="1237"/>
      <c r="H1335" s="1237"/>
      <c r="I1335" s="1237"/>
      <c r="J1335" s="1237"/>
      <c r="K1335" s="1237"/>
      <c r="L1335" s="1237"/>
      <c r="M1335" s="1237"/>
      <c r="N1335" s="1237"/>
      <c r="O1335" s="2024"/>
      <c r="P1335" s="2954"/>
      <c r="Q1335" s="1238"/>
      <c r="R1335" s="1239"/>
    </row>
    <row r="1336" spans="1:18" ht="18.75" customHeight="1">
      <c r="A1336" s="2927"/>
      <c r="B1336" s="1237"/>
      <c r="C1336" s="1237"/>
      <c r="D1336" s="1237"/>
      <c r="E1336" s="1237"/>
      <c r="F1336" s="1237"/>
      <c r="G1336" s="1237"/>
      <c r="H1336" s="1237"/>
      <c r="I1336" s="1237"/>
      <c r="J1336" s="2945"/>
      <c r="K1336" s="2945"/>
      <c r="L1336" s="2945"/>
      <c r="M1336" s="1237"/>
      <c r="N1336" s="1237"/>
      <c r="O1336" s="2024"/>
      <c r="P1336" s="2954"/>
      <c r="Q1336" s="1238"/>
      <c r="R1336" s="1239"/>
    </row>
    <row r="1337" spans="1:18" ht="18.75" customHeight="1">
      <c r="A1337" s="2927"/>
      <c r="B1337" s="1237"/>
      <c r="C1337" s="1237"/>
      <c r="D1337" s="1237"/>
      <c r="E1337" s="1237"/>
      <c r="F1337" s="1237"/>
      <c r="G1337" s="1237"/>
      <c r="H1337" s="1237"/>
      <c r="I1337" s="1237"/>
      <c r="J1337" s="1237"/>
      <c r="K1337" s="1237"/>
      <c r="L1337" s="1237"/>
      <c r="M1337" s="1237"/>
      <c r="N1337" s="1237"/>
      <c r="O1337" s="2024"/>
      <c r="P1337" s="2954"/>
      <c r="Q1337" s="1238"/>
      <c r="R1337" s="1239"/>
    </row>
    <row r="1338" spans="1:18" ht="18.75" customHeight="1">
      <c r="A1338" s="2927"/>
      <c r="B1338" s="1237"/>
      <c r="C1338" s="1237"/>
      <c r="D1338" s="1237"/>
      <c r="E1338" s="1237"/>
      <c r="F1338" s="1237"/>
      <c r="G1338" s="1237"/>
      <c r="H1338" s="1237"/>
      <c r="I1338" s="1237"/>
      <c r="J1338" s="1237"/>
      <c r="K1338" s="1237"/>
      <c r="L1338" s="1237"/>
      <c r="M1338" s="1237"/>
      <c r="N1338" s="1237"/>
      <c r="O1338" s="2024"/>
      <c r="P1338" s="2954"/>
      <c r="Q1338" s="1238"/>
      <c r="R1338" s="1239"/>
    </row>
    <row r="1339" spans="1:18" ht="18.75" customHeight="1">
      <c r="A1339" s="2927"/>
      <c r="B1339" s="1237"/>
      <c r="C1339" s="1237"/>
      <c r="D1339" s="1237"/>
      <c r="E1339" s="1237"/>
      <c r="F1339" s="1237"/>
      <c r="G1339" s="1237"/>
      <c r="H1339" s="1237"/>
      <c r="I1339" s="1237"/>
      <c r="J1339" s="1237"/>
      <c r="K1339" s="1237"/>
      <c r="L1339" s="1237"/>
      <c r="M1339" s="1237"/>
      <c r="N1339" s="1237"/>
      <c r="O1339" s="2024"/>
      <c r="P1339" s="2954"/>
      <c r="Q1339" s="1238"/>
      <c r="R1339" s="1239"/>
    </row>
    <row r="1340" spans="1:18" ht="18.75" customHeight="1">
      <c r="A1340" s="2927"/>
      <c r="B1340" s="1237"/>
      <c r="C1340" s="1237"/>
      <c r="D1340" s="1237"/>
      <c r="E1340" s="1237"/>
      <c r="F1340" s="1237"/>
      <c r="G1340" s="1237"/>
      <c r="H1340" s="1237"/>
      <c r="I1340" s="1237"/>
      <c r="J1340" s="1237"/>
      <c r="K1340" s="1237"/>
      <c r="L1340" s="1237"/>
      <c r="M1340" s="1237"/>
      <c r="N1340" s="1237"/>
      <c r="O1340" s="2024"/>
      <c r="P1340" s="2954"/>
      <c r="Q1340" s="1238"/>
      <c r="R1340" s="1239"/>
    </row>
    <row r="1341" spans="1:18" ht="18.75" customHeight="1">
      <c r="A1341" s="2927"/>
      <c r="B1341" s="1237"/>
      <c r="C1341" s="1237"/>
      <c r="D1341" s="1237"/>
      <c r="E1341" s="1237"/>
      <c r="F1341" s="1237"/>
      <c r="G1341" s="1237"/>
      <c r="H1341" s="1237"/>
      <c r="I1341" s="1237"/>
      <c r="J1341" s="1237"/>
      <c r="K1341" s="1237"/>
      <c r="L1341" s="1237"/>
      <c r="M1341" s="1237"/>
      <c r="N1341" s="1237"/>
      <c r="O1341" s="2024"/>
      <c r="P1341" s="2954"/>
      <c r="Q1341" s="1238"/>
      <c r="R1341" s="1239"/>
    </row>
    <row r="1342" spans="1:18" ht="18.75" customHeight="1">
      <c r="A1342" s="2927"/>
      <c r="B1342" s="1237"/>
      <c r="C1342" s="1237"/>
      <c r="D1342" s="1237"/>
      <c r="E1342" s="1237"/>
      <c r="F1342" s="1237"/>
      <c r="G1342" s="1237"/>
      <c r="H1342" s="1237"/>
      <c r="I1342" s="1237"/>
      <c r="J1342" s="1237"/>
      <c r="K1342" s="1237"/>
      <c r="L1342" s="1237"/>
      <c r="M1342" s="1237"/>
      <c r="N1342" s="1237"/>
      <c r="O1342" s="2024"/>
      <c r="P1342" s="2954"/>
      <c r="Q1342" s="1238"/>
      <c r="R1342" s="1239"/>
    </row>
    <row r="1343" spans="1:18" ht="18.75" customHeight="1">
      <c r="A1343" s="2927"/>
      <c r="B1343" s="1237"/>
      <c r="C1343" s="1237"/>
      <c r="D1343" s="1237"/>
      <c r="E1343" s="1237"/>
      <c r="F1343" s="1237"/>
      <c r="G1343" s="1237"/>
      <c r="H1343" s="1237"/>
      <c r="I1343" s="1237"/>
      <c r="J1343" s="1237"/>
      <c r="K1343" s="1237"/>
      <c r="L1343" s="1237"/>
      <c r="M1343" s="1237"/>
      <c r="N1343" s="1237"/>
      <c r="O1343" s="2024"/>
      <c r="P1343" s="2954"/>
      <c r="Q1343" s="1238"/>
      <c r="R1343" s="1239"/>
    </row>
    <row r="1344" spans="1:18" ht="18.75" customHeight="1">
      <c r="A1344" s="2927"/>
      <c r="B1344" s="1237"/>
      <c r="C1344" s="1237"/>
      <c r="D1344" s="1237"/>
      <c r="E1344" s="1237"/>
      <c r="F1344" s="1237"/>
      <c r="G1344" s="1237"/>
      <c r="H1344" s="1237"/>
      <c r="I1344" s="1237"/>
      <c r="J1344" s="1237"/>
      <c r="K1344" s="1237"/>
      <c r="L1344" s="1237"/>
      <c r="M1344" s="1237"/>
      <c r="N1344" s="1237"/>
      <c r="O1344" s="2024"/>
      <c r="P1344" s="2954"/>
      <c r="Q1344" s="1238"/>
      <c r="R1344" s="1239"/>
    </row>
    <row r="1345" spans="1:18" ht="18.75" customHeight="1">
      <c r="A1345" s="2927"/>
      <c r="B1345" s="1237"/>
      <c r="C1345" s="1237"/>
      <c r="D1345" s="1237"/>
      <c r="E1345" s="1237"/>
      <c r="F1345" s="1237"/>
      <c r="G1345" s="1237"/>
      <c r="H1345" s="1237"/>
      <c r="I1345" s="1237"/>
      <c r="J1345" s="1237"/>
      <c r="K1345" s="1237"/>
      <c r="L1345" s="1237"/>
      <c r="M1345" s="1237"/>
      <c r="N1345" s="1237"/>
      <c r="O1345" s="2024"/>
      <c r="P1345" s="2954"/>
      <c r="Q1345" s="1238"/>
      <c r="R1345" s="1239"/>
    </row>
    <row r="1346" spans="1:18" ht="18.75" customHeight="1">
      <c r="A1346" s="2927"/>
      <c r="B1346" s="1237"/>
      <c r="C1346" s="1237"/>
      <c r="D1346" s="1237"/>
      <c r="E1346" s="1237"/>
      <c r="F1346" s="1237"/>
      <c r="G1346" s="1237"/>
      <c r="H1346" s="1237"/>
      <c r="I1346" s="1237"/>
      <c r="J1346" s="2945"/>
      <c r="K1346" s="2945"/>
      <c r="L1346" s="2945"/>
      <c r="M1346" s="1237"/>
      <c r="N1346" s="1237"/>
      <c r="O1346" s="2024"/>
      <c r="P1346" s="2954"/>
      <c r="Q1346" s="1238"/>
      <c r="R1346" s="1239"/>
    </row>
    <row r="1347" spans="1:18" ht="18.75" customHeight="1">
      <c r="A1347" s="2927"/>
      <c r="B1347" s="1237"/>
      <c r="C1347" s="1237"/>
      <c r="D1347" s="1237"/>
      <c r="E1347" s="1237"/>
      <c r="F1347" s="1237"/>
      <c r="G1347" s="1237"/>
      <c r="H1347" s="1237"/>
      <c r="I1347" s="1237"/>
      <c r="J1347" s="1237"/>
      <c r="K1347" s="1237"/>
      <c r="L1347" s="1237"/>
      <c r="M1347" s="1237"/>
      <c r="N1347" s="1237"/>
      <c r="O1347" s="2024"/>
      <c r="P1347" s="2954"/>
      <c r="Q1347" s="1238"/>
      <c r="R1347" s="1239"/>
    </row>
    <row r="1348" spans="1:18" ht="18.75" customHeight="1">
      <c r="A1348" s="2927"/>
      <c r="B1348" s="1237"/>
      <c r="C1348" s="1237"/>
      <c r="D1348" s="1237"/>
      <c r="E1348" s="1237"/>
      <c r="F1348" s="1237"/>
      <c r="G1348" s="1237"/>
      <c r="H1348" s="1237"/>
      <c r="I1348" s="1237"/>
      <c r="J1348" s="1237"/>
      <c r="K1348" s="1237"/>
      <c r="L1348" s="1237"/>
      <c r="M1348" s="1237"/>
      <c r="N1348" s="1237"/>
      <c r="O1348" s="2024"/>
      <c r="P1348" s="2954"/>
      <c r="Q1348" s="1238"/>
      <c r="R1348" s="1239"/>
    </row>
    <row r="1349" spans="1:18" ht="18.75" customHeight="1">
      <c r="A1349" s="2927"/>
      <c r="B1349" s="1237"/>
      <c r="C1349" s="1237"/>
      <c r="D1349" s="1237"/>
      <c r="E1349" s="1237"/>
      <c r="F1349" s="1237"/>
      <c r="G1349" s="1237"/>
      <c r="H1349" s="1237"/>
      <c r="I1349" s="1237"/>
      <c r="J1349" s="1237"/>
      <c r="K1349" s="1237"/>
      <c r="L1349" s="1237"/>
      <c r="M1349" s="1237"/>
      <c r="N1349" s="1237"/>
      <c r="O1349" s="2024"/>
      <c r="P1349" s="2954"/>
      <c r="Q1349" s="1238"/>
      <c r="R1349" s="1239"/>
    </row>
    <row r="1350" spans="1:18" ht="18.75" customHeight="1">
      <c r="A1350" s="2927"/>
      <c r="B1350" s="1237"/>
      <c r="C1350" s="1237"/>
      <c r="D1350" s="1237"/>
      <c r="E1350" s="1237"/>
      <c r="F1350" s="1237"/>
      <c r="G1350" s="1237"/>
      <c r="H1350" s="1237"/>
      <c r="I1350" s="1237"/>
      <c r="J1350" s="1237"/>
      <c r="K1350" s="1237"/>
      <c r="L1350" s="1237"/>
      <c r="M1350" s="1237"/>
      <c r="N1350" s="1237"/>
      <c r="O1350" s="2024"/>
      <c r="P1350" s="2954"/>
      <c r="Q1350" s="1238"/>
      <c r="R1350" s="1239"/>
    </row>
    <row r="1351" spans="1:18" ht="18.75" customHeight="1">
      <c r="A1351" s="2927"/>
      <c r="B1351" s="1237"/>
      <c r="C1351" s="1237"/>
      <c r="D1351" s="1237"/>
      <c r="E1351" s="1237"/>
      <c r="F1351" s="1237"/>
      <c r="G1351" s="1237"/>
      <c r="H1351" s="1237"/>
      <c r="I1351" s="1237"/>
      <c r="J1351" s="2945"/>
      <c r="K1351" s="2945"/>
      <c r="L1351" s="2945"/>
      <c r="M1351" s="1237"/>
      <c r="N1351" s="1237"/>
      <c r="O1351" s="2024"/>
      <c r="P1351" s="2954"/>
      <c r="Q1351" s="1238"/>
      <c r="R1351" s="1239"/>
    </row>
    <row r="1352" spans="1:18" ht="18.75" customHeight="1">
      <c r="A1352" s="2927"/>
      <c r="B1352" s="1237"/>
      <c r="C1352" s="1237"/>
      <c r="D1352" s="1237"/>
      <c r="E1352" s="1237"/>
      <c r="F1352" s="1237"/>
      <c r="G1352" s="1237"/>
      <c r="H1352" s="1237"/>
      <c r="I1352" s="1237"/>
      <c r="J1352" s="1237"/>
      <c r="K1352" s="1237"/>
      <c r="L1352" s="1237"/>
      <c r="M1352" s="1237"/>
      <c r="N1352" s="1237"/>
      <c r="O1352" s="2024"/>
      <c r="P1352" s="2954"/>
      <c r="Q1352" s="1238"/>
      <c r="R1352" s="1239"/>
    </row>
    <row r="1353" spans="1:18" ht="18.75" customHeight="1">
      <c r="A1353" s="2927"/>
      <c r="B1353" s="1237"/>
      <c r="C1353" s="1237"/>
      <c r="D1353" s="1237"/>
      <c r="E1353" s="1237"/>
      <c r="F1353" s="1237"/>
      <c r="G1353" s="1237"/>
      <c r="H1353" s="1237"/>
      <c r="I1353" s="1237"/>
      <c r="J1353" s="2945"/>
      <c r="K1353" s="2945"/>
      <c r="L1353" s="2945"/>
      <c r="M1353" s="1237"/>
      <c r="N1353" s="1237"/>
      <c r="O1353" s="2024"/>
      <c r="P1353" s="2954"/>
      <c r="Q1353" s="1238"/>
      <c r="R1353" s="1239"/>
    </row>
    <row r="1354" spans="1:18" ht="18.75" customHeight="1">
      <c r="A1354" s="2927"/>
      <c r="B1354" s="1237"/>
      <c r="C1354" s="1237"/>
      <c r="D1354" s="1237"/>
      <c r="E1354" s="1237"/>
      <c r="F1354" s="1237"/>
      <c r="G1354" s="1237"/>
      <c r="H1354" s="1237"/>
      <c r="I1354" s="1237"/>
      <c r="J1354" s="1237"/>
      <c r="K1354" s="1237"/>
      <c r="L1354" s="1237"/>
      <c r="M1354" s="1237"/>
      <c r="N1354" s="1237"/>
      <c r="O1354" s="2024"/>
      <c r="P1354" s="2954"/>
      <c r="Q1354" s="1238"/>
      <c r="R1354" s="1239"/>
    </row>
    <row r="1355" spans="1:18" ht="18.75" customHeight="1">
      <c r="A1355" s="2927"/>
      <c r="B1355" s="1237"/>
      <c r="C1355" s="1237"/>
      <c r="D1355" s="1237"/>
      <c r="E1355" s="1237"/>
      <c r="F1355" s="1237"/>
      <c r="G1355" s="1237"/>
      <c r="H1355" s="1237"/>
      <c r="I1355" s="1237"/>
      <c r="J1355" s="1237"/>
      <c r="K1355" s="1237"/>
      <c r="L1355" s="1237"/>
      <c r="M1355" s="1237"/>
      <c r="N1355" s="1237"/>
      <c r="O1355" s="2024"/>
      <c r="P1355" s="2954"/>
      <c r="Q1355" s="1238"/>
      <c r="R1355" s="1239"/>
    </row>
    <row r="1356" spans="1:18" ht="18.75" customHeight="1">
      <c r="A1356" s="2927"/>
      <c r="B1356" s="1237"/>
      <c r="C1356" s="1237"/>
      <c r="D1356" s="1237"/>
      <c r="E1356" s="1237"/>
      <c r="F1356" s="1237"/>
      <c r="G1356" s="1237"/>
      <c r="H1356" s="1237"/>
      <c r="I1356" s="1237"/>
      <c r="J1356" s="1237"/>
      <c r="K1356" s="1237"/>
      <c r="L1356" s="1237"/>
      <c r="M1356" s="1237"/>
      <c r="N1356" s="1237"/>
      <c r="O1356" s="2024"/>
      <c r="P1356" s="2954"/>
      <c r="Q1356" s="1238"/>
      <c r="R1356" s="1239"/>
    </row>
    <row r="1357" spans="1:18" ht="18.75" customHeight="1">
      <c r="A1357" s="2927"/>
      <c r="B1357" s="1237"/>
      <c r="C1357" s="1237"/>
      <c r="D1357" s="1237"/>
      <c r="E1357" s="1237"/>
      <c r="F1357" s="1237"/>
      <c r="G1357" s="1237"/>
      <c r="H1357" s="1237"/>
      <c r="I1357" s="1237"/>
      <c r="J1357" s="1237"/>
      <c r="K1357" s="1237"/>
      <c r="L1357" s="1237"/>
      <c r="M1357" s="1237"/>
      <c r="N1357" s="1237"/>
      <c r="O1357" s="2024"/>
      <c r="P1357" s="2954"/>
      <c r="Q1357" s="1238"/>
      <c r="R1357" s="1239"/>
    </row>
    <row r="1358" spans="1:18" ht="18.75" customHeight="1">
      <c r="A1358" s="2927"/>
      <c r="B1358" s="1237"/>
      <c r="C1358" s="1237"/>
      <c r="D1358" s="1237"/>
      <c r="E1358" s="1237"/>
      <c r="F1358" s="1237"/>
      <c r="G1358" s="1237"/>
      <c r="H1358" s="1237"/>
      <c r="I1358" s="1237"/>
      <c r="J1358" s="1237"/>
      <c r="K1358" s="1237"/>
      <c r="L1358" s="1237"/>
      <c r="M1358" s="1237"/>
      <c r="N1358" s="1237"/>
      <c r="O1358" s="2024"/>
      <c r="P1358" s="2954"/>
      <c r="Q1358" s="1238"/>
      <c r="R1358" s="1239"/>
    </row>
    <row r="1359" spans="1:18" ht="18.75" customHeight="1">
      <c r="A1359" s="2927"/>
      <c r="B1359" s="1237"/>
      <c r="C1359" s="1237"/>
      <c r="D1359" s="1237"/>
      <c r="E1359" s="1237"/>
      <c r="F1359" s="1237"/>
      <c r="G1359" s="1237"/>
      <c r="H1359" s="1237"/>
      <c r="I1359" s="1237"/>
      <c r="J1359" s="1237"/>
      <c r="K1359" s="1237"/>
      <c r="L1359" s="1237"/>
      <c r="M1359" s="1237"/>
      <c r="N1359" s="1237"/>
      <c r="O1359" s="2024"/>
      <c r="P1359" s="2954"/>
      <c r="Q1359" s="1238"/>
      <c r="R1359" s="1239"/>
    </row>
    <row r="1360" spans="1:18" ht="18.75" customHeight="1">
      <c r="A1360" s="2927"/>
      <c r="B1360" s="1237"/>
      <c r="C1360" s="1237"/>
      <c r="D1360" s="1237"/>
      <c r="E1360" s="1237"/>
      <c r="F1360" s="1237"/>
      <c r="G1360" s="1237"/>
      <c r="H1360" s="1237"/>
      <c r="I1360" s="1237"/>
      <c r="J1360" s="1237"/>
      <c r="K1360" s="1237"/>
      <c r="L1360" s="1237"/>
      <c r="M1360" s="1237"/>
      <c r="N1360" s="1237"/>
      <c r="O1360" s="2024"/>
      <c r="P1360" s="2954"/>
      <c r="Q1360" s="1238"/>
      <c r="R1360" s="1239"/>
    </row>
    <row r="1361" spans="1:18" ht="18.75" customHeight="1">
      <c r="A1361" s="2927"/>
      <c r="B1361" s="1237"/>
      <c r="C1361" s="1237"/>
      <c r="D1361" s="1237"/>
      <c r="E1361" s="1237"/>
      <c r="F1361" s="1237"/>
      <c r="G1361" s="1237"/>
      <c r="H1361" s="1237"/>
      <c r="I1361" s="1237"/>
      <c r="J1361" s="1237"/>
      <c r="K1361" s="1237"/>
      <c r="L1361" s="1237"/>
      <c r="M1361" s="1237"/>
      <c r="N1361" s="1237"/>
      <c r="O1361" s="2024"/>
      <c r="P1361" s="2954"/>
      <c r="Q1361" s="1238"/>
      <c r="R1361" s="1239"/>
    </row>
    <row r="1362" spans="1:18" ht="18.75" customHeight="1">
      <c r="A1362" s="2927"/>
      <c r="B1362" s="1237"/>
      <c r="C1362" s="1237"/>
      <c r="D1362" s="1237"/>
      <c r="E1362" s="1237"/>
      <c r="F1362" s="1237"/>
      <c r="G1362" s="1237"/>
      <c r="H1362" s="1237"/>
      <c r="I1362" s="1237"/>
      <c r="J1362" s="1237"/>
      <c r="K1362" s="1237"/>
      <c r="L1362" s="1237"/>
      <c r="M1362" s="1237"/>
      <c r="N1362" s="1237"/>
      <c r="O1362" s="2024"/>
      <c r="P1362" s="2954"/>
      <c r="Q1362" s="1238"/>
      <c r="R1362" s="1239"/>
    </row>
    <row r="1363" spans="1:18" ht="18.75" customHeight="1">
      <c r="A1363" s="2927"/>
      <c r="B1363" s="1237"/>
      <c r="C1363" s="1237"/>
      <c r="D1363" s="1237"/>
      <c r="E1363" s="1237"/>
      <c r="F1363" s="1237"/>
      <c r="G1363" s="1237"/>
      <c r="H1363" s="1237"/>
      <c r="I1363" s="1237"/>
      <c r="J1363" s="2945"/>
      <c r="K1363" s="2945"/>
      <c r="L1363" s="2945"/>
      <c r="M1363" s="1237"/>
      <c r="N1363" s="1237"/>
      <c r="O1363" s="2024"/>
      <c r="P1363" s="2954"/>
      <c r="Q1363" s="1238"/>
      <c r="R1363" s="1239"/>
    </row>
    <row r="1364" spans="1:18" ht="18.75" customHeight="1">
      <c r="A1364" s="2927"/>
      <c r="B1364" s="1237"/>
      <c r="C1364" s="1237"/>
      <c r="D1364" s="1237"/>
      <c r="E1364" s="1237"/>
      <c r="F1364" s="1237"/>
      <c r="G1364" s="1237"/>
      <c r="H1364" s="1237"/>
      <c r="I1364" s="1237"/>
      <c r="J1364" s="1237"/>
      <c r="K1364" s="1237"/>
      <c r="L1364" s="1237"/>
      <c r="M1364" s="1237"/>
      <c r="N1364" s="1237"/>
      <c r="O1364" s="2024"/>
      <c r="P1364" s="2954"/>
      <c r="Q1364" s="1238"/>
      <c r="R1364" s="1239"/>
    </row>
    <row r="1365" spans="1:18" ht="18.75" customHeight="1">
      <c r="A1365" s="2927"/>
      <c r="B1365" s="1237"/>
      <c r="C1365" s="1237"/>
      <c r="D1365" s="1237"/>
      <c r="E1365" s="1237"/>
      <c r="F1365" s="1237"/>
      <c r="G1365" s="1237"/>
      <c r="H1365" s="1237"/>
      <c r="I1365" s="1237"/>
      <c r="J1365" s="1237"/>
      <c r="K1365" s="1237"/>
      <c r="L1365" s="1237"/>
      <c r="M1365" s="1237"/>
      <c r="N1365" s="1237"/>
      <c r="O1365" s="2024"/>
      <c r="P1365" s="2954"/>
      <c r="Q1365" s="1238"/>
      <c r="R1365" s="1239"/>
    </row>
    <row r="1366" spans="1:18" ht="18.75" customHeight="1">
      <c r="A1366" s="2927"/>
      <c r="B1366" s="1237"/>
      <c r="C1366" s="1237"/>
      <c r="D1366" s="1237"/>
      <c r="E1366" s="1237"/>
      <c r="F1366" s="1237"/>
      <c r="G1366" s="1237"/>
      <c r="H1366" s="1237"/>
      <c r="I1366" s="1237"/>
      <c r="J1366" s="1237"/>
      <c r="K1366" s="1237"/>
      <c r="L1366" s="1237"/>
      <c r="M1366" s="1237"/>
      <c r="N1366" s="1237"/>
      <c r="O1366" s="2024"/>
      <c r="P1366" s="2954"/>
      <c r="Q1366" s="1238"/>
      <c r="R1366" s="1239"/>
    </row>
    <row r="1367" spans="1:18" ht="18.75" customHeight="1">
      <c r="A1367" s="2927"/>
      <c r="B1367" s="1237"/>
      <c r="C1367" s="1237"/>
      <c r="D1367" s="1237"/>
      <c r="E1367" s="1237"/>
      <c r="F1367" s="1237"/>
      <c r="G1367" s="1237"/>
      <c r="H1367" s="1237"/>
      <c r="I1367" s="1237"/>
      <c r="J1367" s="1237"/>
      <c r="K1367" s="1237"/>
      <c r="L1367" s="1237"/>
      <c r="M1367" s="1237"/>
      <c r="N1367" s="1237"/>
      <c r="O1367" s="2024"/>
      <c r="P1367" s="2954"/>
      <c r="Q1367" s="1238"/>
      <c r="R1367" s="1239"/>
    </row>
    <row r="1368" spans="1:18" ht="18.75" customHeight="1">
      <c r="A1368" s="2927"/>
      <c r="B1368" s="1237"/>
      <c r="C1368" s="1237"/>
      <c r="D1368" s="1237"/>
      <c r="E1368" s="1237"/>
      <c r="F1368" s="1237"/>
      <c r="G1368" s="1237"/>
      <c r="H1368" s="1237"/>
      <c r="I1368" s="1237"/>
      <c r="J1368" s="2945"/>
      <c r="K1368" s="2945"/>
      <c r="L1368" s="2945"/>
      <c r="M1368" s="1237"/>
      <c r="N1368" s="1237"/>
      <c r="O1368" s="2024"/>
      <c r="P1368" s="2954"/>
      <c r="Q1368" s="1238"/>
      <c r="R1368" s="1239"/>
    </row>
    <row r="1369" spans="1:18" ht="18.75" customHeight="1">
      <c r="A1369" s="2927"/>
      <c r="B1369" s="1237"/>
      <c r="C1369" s="1237"/>
      <c r="D1369" s="1237"/>
      <c r="E1369" s="1237"/>
      <c r="F1369" s="1237"/>
      <c r="G1369" s="1237"/>
      <c r="H1369" s="1237"/>
      <c r="I1369" s="1237"/>
      <c r="J1369" s="1237"/>
      <c r="K1369" s="1237"/>
      <c r="L1369" s="1237"/>
      <c r="M1369" s="1237"/>
      <c r="N1369" s="1237"/>
      <c r="O1369" s="2024"/>
      <c r="P1369" s="2954"/>
      <c r="Q1369" s="1238"/>
      <c r="R1369" s="1239"/>
    </row>
    <row r="1370" spans="1:18" ht="18.75" customHeight="1">
      <c r="A1370" s="2927"/>
      <c r="B1370" s="1237"/>
      <c r="C1370" s="1237"/>
      <c r="D1370" s="1237"/>
      <c r="E1370" s="1237"/>
      <c r="F1370" s="1237"/>
      <c r="G1370" s="1237"/>
      <c r="H1370" s="1237"/>
      <c r="I1370" s="1237"/>
      <c r="J1370" s="1237"/>
      <c r="K1370" s="1237"/>
      <c r="L1370" s="1237"/>
      <c r="M1370" s="1237"/>
      <c r="N1370" s="1237"/>
      <c r="O1370" s="2024"/>
      <c r="P1370" s="2954"/>
      <c r="Q1370" s="1238"/>
      <c r="R1370" s="1239"/>
    </row>
    <row r="1371" spans="1:18" ht="18.75" customHeight="1">
      <c r="A1371" s="2927"/>
      <c r="B1371" s="1237"/>
      <c r="C1371" s="1237"/>
      <c r="D1371" s="1237"/>
      <c r="E1371" s="1237"/>
      <c r="F1371" s="1237"/>
      <c r="G1371" s="1237"/>
      <c r="H1371" s="1237"/>
      <c r="I1371" s="1237"/>
      <c r="J1371" s="1237"/>
      <c r="K1371" s="1237"/>
      <c r="L1371" s="1237"/>
      <c r="M1371" s="1237"/>
      <c r="N1371" s="1237"/>
      <c r="O1371" s="2024"/>
      <c r="P1371" s="2954"/>
      <c r="Q1371" s="1238"/>
      <c r="R1371" s="1239"/>
    </row>
    <row r="1372" spans="1:18" ht="18.75" customHeight="1">
      <c r="A1372" s="2927"/>
      <c r="B1372" s="1237"/>
      <c r="C1372" s="1237"/>
      <c r="D1372" s="1237"/>
      <c r="E1372" s="1237"/>
      <c r="F1372" s="1237"/>
      <c r="G1372" s="1237"/>
      <c r="H1372" s="1237"/>
      <c r="I1372" s="1237"/>
      <c r="J1372" s="1237"/>
      <c r="K1372" s="1237"/>
      <c r="L1372" s="1237"/>
      <c r="M1372" s="1237"/>
      <c r="N1372" s="1237"/>
      <c r="O1372" s="2024"/>
      <c r="P1372" s="2954"/>
      <c r="Q1372" s="1238"/>
      <c r="R1372" s="1239"/>
    </row>
    <row r="1373" spans="1:18" ht="18.75" customHeight="1">
      <c r="A1373" s="2927"/>
      <c r="B1373" s="1237"/>
      <c r="C1373" s="1237"/>
      <c r="D1373" s="1237"/>
      <c r="E1373" s="1237"/>
      <c r="F1373" s="1237"/>
      <c r="G1373" s="1237"/>
      <c r="H1373" s="1237"/>
      <c r="I1373" s="1237"/>
      <c r="J1373" s="2945"/>
      <c r="K1373" s="2945"/>
      <c r="L1373" s="2945"/>
      <c r="M1373" s="1237"/>
      <c r="N1373" s="1237"/>
      <c r="O1373" s="2024"/>
      <c r="P1373" s="2954"/>
      <c r="Q1373" s="1238"/>
      <c r="R1373" s="1239"/>
    </row>
    <row r="1374" spans="1:18" ht="18.75" customHeight="1">
      <c r="A1374" s="2927"/>
      <c r="B1374" s="1237"/>
      <c r="C1374" s="1237"/>
      <c r="D1374" s="1237"/>
      <c r="E1374" s="1237"/>
      <c r="F1374" s="1237"/>
      <c r="G1374" s="1237"/>
      <c r="H1374" s="1237"/>
      <c r="I1374" s="1237"/>
      <c r="J1374" s="1237"/>
      <c r="K1374" s="1237"/>
      <c r="L1374" s="1237"/>
      <c r="M1374" s="1237"/>
      <c r="N1374" s="1237"/>
      <c r="O1374" s="2024"/>
      <c r="P1374" s="2954"/>
      <c r="Q1374" s="1238"/>
      <c r="R1374" s="1239"/>
    </row>
    <row r="1375" spans="1:18" ht="18.75" customHeight="1">
      <c r="A1375" s="2927"/>
      <c r="B1375" s="1237"/>
      <c r="C1375" s="1237"/>
      <c r="D1375" s="1237"/>
      <c r="E1375" s="1237"/>
      <c r="F1375" s="1237"/>
      <c r="G1375" s="1237"/>
      <c r="H1375" s="1237"/>
      <c r="I1375" s="1237"/>
      <c r="J1375" s="1237"/>
      <c r="K1375" s="1237"/>
      <c r="L1375" s="1237"/>
      <c r="M1375" s="1237"/>
      <c r="N1375" s="1237"/>
      <c r="O1375" s="2024"/>
      <c r="P1375" s="2954"/>
      <c r="Q1375" s="1238"/>
      <c r="R1375" s="1239"/>
    </row>
    <row r="1376" spans="1:18" ht="18.75" customHeight="1">
      <c r="A1376" s="2927"/>
      <c r="B1376" s="1237"/>
      <c r="C1376" s="1237"/>
      <c r="D1376" s="1237"/>
      <c r="E1376" s="1237"/>
      <c r="F1376" s="1237"/>
      <c r="G1376" s="1237"/>
      <c r="H1376" s="1237"/>
      <c r="I1376" s="1237"/>
      <c r="J1376" s="1237"/>
      <c r="K1376" s="1237"/>
      <c r="L1376" s="1237"/>
      <c r="M1376" s="1237"/>
      <c r="N1376" s="1237"/>
      <c r="O1376" s="2024"/>
      <c r="P1376" s="2954"/>
      <c r="Q1376" s="1238"/>
      <c r="R1376" s="1239"/>
    </row>
    <row r="1377" spans="1:18" ht="18.75" customHeight="1">
      <c r="A1377" s="2927"/>
      <c r="B1377" s="1237"/>
      <c r="C1377" s="1237"/>
      <c r="D1377" s="1237"/>
      <c r="E1377" s="1237"/>
      <c r="F1377" s="1237"/>
      <c r="G1377" s="1237"/>
      <c r="H1377" s="1237"/>
      <c r="I1377" s="1237"/>
      <c r="J1377" s="1237"/>
      <c r="K1377" s="1237"/>
      <c r="L1377" s="1237"/>
      <c r="M1377" s="1237"/>
      <c r="N1377" s="1237"/>
      <c r="O1377" s="2024"/>
      <c r="P1377" s="2954"/>
      <c r="Q1377" s="1238"/>
      <c r="R1377" s="1239"/>
    </row>
    <row r="1378" spans="1:18" ht="18.75" customHeight="1">
      <c r="A1378" s="2927"/>
      <c r="B1378" s="1237"/>
      <c r="C1378" s="1237"/>
      <c r="D1378" s="1237"/>
      <c r="E1378" s="1237"/>
      <c r="F1378" s="1237"/>
      <c r="G1378" s="1237"/>
      <c r="H1378" s="1237"/>
      <c r="I1378" s="1237"/>
      <c r="J1378" s="1237"/>
      <c r="K1378" s="1237"/>
      <c r="L1378" s="1237"/>
      <c r="M1378" s="1237"/>
      <c r="N1378" s="1237"/>
      <c r="O1378" s="2024"/>
      <c r="P1378" s="2954"/>
      <c r="Q1378" s="1238"/>
      <c r="R1378" s="1239"/>
    </row>
    <row r="1379" spans="1:18" ht="18.75" customHeight="1">
      <c r="A1379" s="2927"/>
      <c r="B1379" s="1237"/>
      <c r="C1379" s="1237"/>
      <c r="D1379" s="1237"/>
      <c r="E1379" s="1237"/>
      <c r="F1379" s="1237"/>
      <c r="G1379" s="1237"/>
      <c r="H1379" s="1237"/>
      <c r="I1379" s="1237"/>
      <c r="J1379" s="1237"/>
      <c r="K1379" s="1237"/>
      <c r="L1379" s="1237"/>
      <c r="M1379" s="1237"/>
      <c r="N1379" s="1237"/>
      <c r="O1379" s="2024"/>
      <c r="P1379" s="2954"/>
      <c r="Q1379" s="1238"/>
      <c r="R1379" s="1239"/>
    </row>
    <row r="1380" spans="1:18" ht="18.75" customHeight="1">
      <c r="A1380" s="2927"/>
      <c r="B1380" s="1237"/>
      <c r="C1380" s="1237"/>
      <c r="D1380" s="1237"/>
      <c r="E1380" s="1237"/>
      <c r="F1380" s="1237"/>
      <c r="G1380" s="1237"/>
      <c r="H1380" s="1237"/>
      <c r="I1380" s="1237"/>
      <c r="J1380" s="1237"/>
      <c r="K1380" s="1237"/>
      <c r="L1380" s="1237"/>
      <c r="M1380" s="1237"/>
      <c r="N1380" s="1237"/>
      <c r="O1380" s="2024"/>
      <c r="P1380" s="2954"/>
      <c r="Q1380" s="1238"/>
      <c r="R1380" s="1239"/>
    </row>
    <row r="1381" spans="1:18" ht="18.75" customHeight="1">
      <c r="A1381" s="2927"/>
      <c r="B1381" s="1237"/>
      <c r="C1381" s="1237"/>
      <c r="D1381" s="1237"/>
      <c r="E1381" s="1237"/>
      <c r="F1381" s="1237"/>
      <c r="G1381" s="1237"/>
      <c r="H1381" s="1237"/>
      <c r="I1381" s="1237"/>
      <c r="J1381" s="1237"/>
      <c r="K1381" s="1237"/>
      <c r="L1381" s="1237"/>
      <c r="M1381" s="1237"/>
      <c r="N1381" s="1237"/>
      <c r="O1381" s="2024"/>
      <c r="P1381" s="2954"/>
      <c r="Q1381" s="1238"/>
      <c r="R1381" s="1239"/>
    </row>
    <row r="1382" spans="1:18" ht="18.75" customHeight="1">
      <c r="A1382" s="2927"/>
      <c r="B1382" s="1237"/>
      <c r="C1382" s="1237"/>
      <c r="D1382" s="1237"/>
      <c r="E1382" s="1237"/>
      <c r="F1382" s="1237"/>
      <c r="G1382" s="1237"/>
      <c r="H1382" s="1237"/>
      <c r="I1382" s="1237"/>
      <c r="J1382" s="1237"/>
      <c r="K1382" s="1237"/>
      <c r="L1382" s="1237"/>
      <c r="M1382" s="1237"/>
      <c r="N1382" s="1237"/>
      <c r="O1382" s="2024"/>
      <c r="P1382" s="2954"/>
      <c r="Q1382" s="1238"/>
      <c r="R1382" s="1239"/>
    </row>
    <row r="1383" spans="1:18" ht="18.75" customHeight="1">
      <c r="A1383" s="2927"/>
      <c r="B1383" s="1237"/>
      <c r="C1383" s="1237"/>
      <c r="D1383" s="1237"/>
      <c r="E1383" s="1237"/>
      <c r="F1383" s="1237"/>
      <c r="G1383" s="1237"/>
      <c r="H1383" s="1237"/>
      <c r="I1383" s="1237"/>
      <c r="J1383" s="2945"/>
      <c r="K1383" s="2945"/>
      <c r="L1383" s="2945"/>
      <c r="M1383" s="1237"/>
      <c r="N1383" s="1237"/>
      <c r="O1383" s="2024"/>
      <c r="P1383" s="2954"/>
      <c r="Q1383" s="1238"/>
      <c r="R1383" s="1239"/>
    </row>
    <row r="1384" spans="1:18" ht="18.75" customHeight="1">
      <c r="A1384" s="2927"/>
      <c r="B1384" s="1237"/>
      <c r="C1384" s="1237"/>
      <c r="D1384" s="1237"/>
      <c r="E1384" s="1237"/>
      <c r="F1384" s="1237"/>
      <c r="G1384" s="1237"/>
      <c r="H1384" s="1237"/>
      <c r="I1384" s="1237"/>
      <c r="J1384" s="1237"/>
      <c r="K1384" s="1237"/>
      <c r="L1384" s="1237"/>
      <c r="M1384" s="1237"/>
      <c r="N1384" s="1237"/>
      <c r="O1384" s="2024"/>
      <c r="P1384" s="2954"/>
      <c r="Q1384" s="1238"/>
      <c r="R1384" s="1239"/>
    </row>
    <row r="1385" spans="1:18" ht="18.75" customHeight="1">
      <c r="A1385" s="2927"/>
      <c r="B1385" s="1237"/>
      <c r="C1385" s="1237"/>
      <c r="D1385" s="1237"/>
      <c r="E1385" s="1237"/>
      <c r="F1385" s="1237"/>
      <c r="G1385" s="1237"/>
      <c r="H1385" s="1237"/>
      <c r="I1385" s="1237"/>
      <c r="J1385" s="1237"/>
      <c r="K1385" s="1237"/>
      <c r="L1385" s="1237"/>
      <c r="M1385" s="1237"/>
      <c r="N1385" s="1237"/>
      <c r="O1385" s="2024"/>
      <c r="P1385" s="2954"/>
      <c r="Q1385" s="1238"/>
      <c r="R1385" s="1239"/>
    </row>
    <row r="1386" spans="1:18" ht="18.75" customHeight="1">
      <c r="A1386" s="2927"/>
      <c r="B1386" s="1237"/>
      <c r="C1386" s="1237"/>
      <c r="D1386" s="1237"/>
      <c r="E1386" s="1237"/>
      <c r="F1386" s="1237"/>
      <c r="G1386" s="1237"/>
      <c r="H1386" s="1237"/>
      <c r="I1386" s="1237"/>
      <c r="J1386" s="1237"/>
      <c r="K1386" s="1237"/>
      <c r="L1386" s="1237"/>
      <c r="M1386" s="1237"/>
      <c r="N1386" s="1237"/>
      <c r="O1386" s="2024"/>
      <c r="P1386" s="2954"/>
      <c r="Q1386" s="1238"/>
      <c r="R1386" s="1239"/>
    </row>
    <row r="1387" spans="1:18" ht="18.75" customHeight="1">
      <c r="A1387" s="2927"/>
      <c r="B1387" s="1237"/>
      <c r="C1387" s="1237"/>
      <c r="D1387" s="1237"/>
      <c r="E1387" s="1237"/>
      <c r="F1387" s="1237"/>
      <c r="G1387" s="1237"/>
      <c r="H1387" s="1237"/>
      <c r="I1387" s="1237"/>
      <c r="J1387" s="1237"/>
      <c r="K1387" s="1237"/>
      <c r="L1387" s="1237"/>
      <c r="M1387" s="1237"/>
      <c r="N1387" s="1237"/>
      <c r="O1387" s="2024"/>
      <c r="P1387" s="2946"/>
      <c r="Q1387" s="1238"/>
      <c r="R1387" s="1239"/>
    </row>
    <row r="1388" spans="1:18" ht="18.75" customHeight="1">
      <c r="A1388" s="2927"/>
      <c r="B1388" s="1237"/>
      <c r="C1388" s="1237"/>
      <c r="D1388" s="1237"/>
      <c r="E1388" s="1237"/>
      <c r="F1388" s="1237"/>
      <c r="G1388" s="1237"/>
      <c r="H1388" s="1237"/>
      <c r="I1388" s="1237"/>
      <c r="J1388" s="2945"/>
      <c r="K1388" s="2945"/>
      <c r="L1388" s="2945"/>
      <c r="M1388" s="1237"/>
      <c r="N1388" s="1237"/>
      <c r="O1388" s="2024"/>
      <c r="P1388" s="2947"/>
      <c r="Q1388" s="1238"/>
      <c r="R1388" s="1239"/>
    </row>
    <row r="1389" spans="1:18" ht="18.75" customHeight="1">
      <c r="A1389" s="2927"/>
      <c r="B1389" s="1237"/>
      <c r="C1389" s="1237"/>
      <c r="D1389" s="1237"/>
      <c r="E1389" s="1237"/>
      <c r="F1389" s="1237"/>
      <c r="G1389" s="1237"/>
      <c r="H1389" s="1237"/>
      <c r="I1389" s="1237"/>
      <c r="J1389" s="1237"/>
      <c r="K1389" s="1237"/>
      <c r="L1389" s="1237"/>
      <c r="M1389" s="1237"/>
      <c r="N1389" s="1237"/>
      <c r="O1389" s="2024"/>
      <c r="P1389" s="2947"/>
      <c r="Q1389" s="1238"/>
      <c r="R1389" s="1239"/>
    </row>
    <row r="1390" spans="1:18" ht="18.75" customHeight="1">
      <c r="A1390" s="2927"/>
      <c r="B1390" s="1237"/>
      <c r="C1390" s="1237"/>
      <c r="D1390" s="1237"/>
      <c r="E1390" s="1237"/>
      <c r="F1390" s="1237"/>
      <c r="G1390" s="1237"/>
      <c r="H1390" s="1237"/>
      <c r="I1390" s="1237"/>
      <c r="J1390" s="1237"/>
      <c r="K1390" s="1237"/>
      <c r="L1390" s="1237"/>
      <c r="M1390" s="1237"/>
      <c r="N1390" s="1237"/>
      <c r="O1390" s="2024"/>
      <c r="P1390" s="2947"/>
      <c r="Q1390" s="1238"/>
      <c r="R1390" s="1239"/>
    </row>
    <row r="1391" spans="1:18" ht="18.75" customHeight="1">
      <c r="A1391" s="2927"/>
      <c r="B1391" s="1237"/>
      <c r="C1391" s="1237"/>
      <c r="D1391" s="1237"/>
      <c r="E1391" s="1237"/>
      <c r="F1391" s="1237"/>
      <c r="G1391" s="1237"/>
      <c r="H1391" s="1237"/>
      <c r="I1391" s="1237"/>
      <c r="J1391" s="1237"/>
      <c r="K1391" s="1237"/>
      <c r="L1391" s="1237"/>
      <c r="M1391" s="1237"/>
      <c r="N1391" s="1237"/>
      <c r="O1391" s="2024"/>
      <c r="P1391" s="2947"/>
      <c r="Q1391" s="1238"/>
      <c r="R1391" s="1239"/>
    </row>
    <row r="1392" spans="1:18" ht="18.75" customHeight="1">
      <c r="A1392" s="2927"/>
      <c r="B1392" s="1237"/>
      <c r="C1392" s="1237"/>
      <c r="D1392" s="1237"/>
      <c r="E1392" s="1237"/>
      <c r="F1392" s="1237"/>
      <c r="G1392" s="1237"/>
      <c r="H1392" s="1237"/>
      <c r="I1392" s="1237"/>
      <c r="J1392" s="1237"/>
      <c r="K1392" s="1237"/>
      <c r="L1392" s="1237"/>
      <c r="M1392" s="1237"/>
      <c r="N1392" s="1237"/>
      <c r="O1392" s="2024"/>
      <c r="P1392" s="2947"/>
      <c r="Q1392" s="1238"/>
      <c r="R1392" s="1239"/>
    </row>
    <row r="1393" spans="1:18" ht="18.75" customHeight="1">
      <c r="A1393" s="2927"/>
      <c r="B1393" s="1237"/>
      <c r="C1393" s="1237"/>
      <c r="D1393" s="1237"/>
      <c r="E1393" s="1237"/>
      <c r="F1393" s="1237"/>
      <c r="G1393" s="1237"/>
      <c r="H1393" s="1237"/>
      <c r="I1393" s="1237"/>
      <c r="J1393" s="2945"/>
      <c r="K1393" s="2945"/>
      <c r="L1393" s="2945"/>
      <c r="M1393" s="1237"/>
      <c r="N1393" s="1237"/>
      <c r="O1393" s="2024"/>
      <c r="P1393" s="2947"/>
      <c r="Q1393" s="1238"/>
      <c r="R1393" s="1239"/>
    </row>
    <row r="1394" spans="1:18" ht="18.75" customHeight="1">
      <c r="A1394" s="2927"/>
      <c r="B1394" s="1237"/>
      <c r="C1394" s="1237"/>
      <c r="D1394" s="1237"/>
      <c r="E1394" s="1237"/>
      <c r="F1394" s="1237"/>
      <c r="G1394" s="1237"/>
      <c r="H1394" s="1237"/>
      <c r="I1394" s="1237"/>
      <c r="J1394" s="1237"/>
      <c r="K1394" s="1237"/>
      <c r="L1394" s="1237"/>
      <c r="M1394" s="1237"/>
      <c r="N1394" s="1237"/>
      <c r="O1394" s="2024"/>
      <c r="P1394" s="2947"/>
      <c r="Q1394" s="1238"/>
      <c r="R1394" s="1239"/>
    </row>
    <row r="1395" spans="1:18" ht="18.75" customHeight="1">
      <c r="A1395" s="2927"/>
      <c r="B1395" s="1237"/>
      <c r="C1395" s="1237"/>
      <c r="D1395" s="1237"/>
      <c r="E1395" s="1237"/>
      <c r="F1395" s="1237"/>
      <c r="G1395" s="1237"/>
      <c r="H1395" s="1237"/>
      <c r="I1395" s="1237"/>
      <c r="J1395" s="1237"/>
      <c r="K1395" s="1237"/>
      <c r="L1395" s="1237"/>
      <c r="M1395" s="1237"/>
      <c r="N1395" s="1237"/>
      <c r="O1395" s="2024"/>
      <c r="P1395" s="2947"/>
      <c r="Q1395" s="1238"/>
      <c r="R1395" s="1239"/>
    </row>
    <row r="1396" spans="1:18" ht="18.75" customHeight="1">
      <c r="A1396" s="2927"/>
      <c r="B1396" s="1237"/>
      <c r="C1396" s="1237"/>
      <c r="D1396" s="1237"/>
      <c r="E1396" s="1237"/>
      <c r="F1396" s="1237"/>
      <c r="G1396" s="1237"/>
      <c r="H1396" s="1237"/>
      <c r="I1396" s="1237"/>
      <c r="J1396" s="1237"/>
      <c r="K1396" s="1237"/>
      <c r="L1396" s="1237"/>
      <c r="M1396" s="1237"/>
      <c r="N1396" s="1237"/>
      <c r="O1396" s="2024"/>
      <c r="P1396" s="2947"/>
      <c r="Q1396" s="1238"/>
      <c r="R1396" s="1239"/>
    </row>
    <row r="1397" spans="1:18" ht="18.75" customHeight="1">
      <c r="A1397" s="2928"/>
      <c r="B1397" s="1540"/>
      <c r="C1397" s="1540"/>
      <c r="D1397" s="1540"/>
      <c r="E1397" s="1540"/>
      <c r="F1397" s="1540"/>
      <c r="G1397" s="1540"/>
      <c r="H1397" s="1540"/>
      <c r="I1397" s="1540"/>
      <c r="J1397" s="1540"/>
      <c r="K1397" s="1540"/>
      <c r="L1397" s="1540"/>
      <c r="M1397" s="1540"/>
      <c r="N1397" s="1237"/>
      <c r="O1397" s="2025"/>
      <c r="P1397" s="2948"/>
      <c r="Q1397" s="1541"/>
      <c r="R1397" s="1591"/>
    </row>
    <row r="1398" spans="1:18" ht="18.75" customHeight="1">
      <c r="A1398" s="2928"/>
      <c r="B1398" s="1540"/>
      <c r="C1398" s="1540"/>
      <c r="D1398" s="1540"/>
      <c r="E1398" s="1540"/>
      <c r="F1398" s="1540"/>
      <c r="G1398" s="1540"/>
      <c r="H1398" s="1540"/>
      <c r="I1398" s="1540"/>
      <c r="J1398" s="1540"/>
      <c r="K1398" s="1540"/>
      <c r="L1398" s="1540"/>
      <c r="M1398" s="1540"/>
      <c r="N1398" s="1237"/>
      <c r="O1398" s="2025"/>
      <c r="P1398" s="2954"/>
      <c r="Q1398" s="1541"/>
      <c r="R1398" s="1591"/>
    </row>
    <row r="1399" spans="1:18" ht="18.75" customHeight="1">
      <c r="A1399" s="2928"/>
      <c r="B1399" s="1540"/>
      <c r="C1399" s="1540"/>
      <c r="D1399" s="1540"/>
      <c r="E1399" s="1540"/>
      <c r="F1399" s="1540"/>
      <c r="G1399" s="1540"/>
      <c r="H1399" s="1540"/>
      <c r="I1399" s="1540"/>
      <c r="J1399" s="1540"/>
      <c r="K1399" s="1540"/>
      <c r="L1399" s="1540"/>
      <c r="M1399" s="1540"/>
      <c r="N1399" s="1237"/>
      <c r="O1399" s="2025"/>
      <c r="P1399" s="2954"/>
      <c r="Q1399" s="1541"/>
      <c r="R1399" s="1591"/>
    </row>
    <row r="1400" spans="1:18" ht="18.75" customHeight="1">
      <c r="A1400" s="2928"/>
      <c r="B1400" s="1540"/>
      <c r="C1400" s="1540"/>
      <c r="D1400" s="1540"/>
      <c r="E1400" s="1540"/>
      <c r="F1400" s="1540"/>
      <c r="G1400" s="1540"/>
      <c r="H1400" s="1540"/>
      <c r="I1400" s="1540"/>
      <c r="J1400" s="1540"/>
      <c r="K1400" s="1540"/>
      <c r="L1400" s="1540"/>
      <c r="M1400" s="1540"/>
      <c r="N1400" s="1237"/>
      <c r="O1400" s="2025"/>
      <c r="P1400" s="2954"/>
      <c r="Q1400" s="1541"/>
      <c r="R1400" s="1591"/>
    </row>
    <row r="1401" spans="1:18" ht="18.75" customHeight="1">
      <c r="A1401" s="2928"/>
      <c r="B1401" s="1540"/>
      <c r="C1401" s="1540"/>
      <c r="D1401" s="1540"/>
      <c r="E1401" s="1540"/>
      <c r="F1401" s="1540"/>
      <c r="G1401" s="1540"/>
      <c r="H1401" s="1540"/>
      <c r="I1401" s="1540"/>
      <c r="J1401" s="2945"/>
      <c r="K1401" s="2945"/>
      <c r="L1401" s="2945"/>
      <c r="M1401" s="1540"/>
      <c r="N1401" s="1237"/>
      <c r="O1401" s="2025"/>
      <c r="P1401" s="2954"/>
      <c r="Q1401" s="1541"/>
      <c r="R1401" s="1591"/>
    </row>
    <row r="1402" spans="1:18" ht="18.75" customHeight="1">
      <c r="A1402" s="2928"/>
      <c r="B1402" s="1540"/>
      <c r="C1402" s="1540"/>
      <c r="D1402" s="1540"/>
      <c r="E1402" s="1540"/>
      <c r="F1402" s="1540"/>
      <c r="G1402" s="1540"/>
      <c r="H1402" s="1540"/>
      <c r="I1402" s="1540"/>
      <c r="J1402" s="1540"/>
      <c r="K1402" s="1540"/>
      <c r="L1402" s="1540"/>
      <c r="M1402" s="1540"/>
      <c r="N1402" s="1237"/>
      <c r="O1402" s="2025"/>
      <c r="P1402" s="2954"/>
      <c r="Q1402" s="1541"/>
      <c r="R1402" s="1591"/>
    </row>
    <row r="1403" spans="1:18" ht="18.75" customHeight="1">
      <c r="A1403" s="2928"/>
      <c r="B1403" s="1540"/>
      <c r="C1403" s="1540"/>
      <c r="D1403" s="1540"/>
      <c r="E1403" s="1540"/>
      <c r="F1403" s="1540"/>
      <c r="G1403" s="1540"/>
      <c r="H1403" s="1540"/>
      <c r="I1403" s="1540"/>
      <c r="J1403" s="1540"/>
      <c r="K1403" s="1540"/>
      <c r="L1403" s="1540"/>
      <c r="M1403" s="1540"/>
      <c r="N1403" s="1237"/>
      <c r="O1403" s="2025"/>
      <c r="P1403" s="2954"/>
      <c r="Q1403" s="1541"/>
      <c r="R1403" s="1591"/>
    </row>
    <row r="1404" spans="1:18" ht="18.75" customHeight="1">
      <c r="A1404" s="2928"/>
      <c r="B1404" s="1540"/>
      <c r="C1404" s="1540"/>
      <c r="D1404" s="1540"/>
      <c r="E1404" s="1540"/>
      <c r="F1404" s="1540"/>
      <c r="G1404" s="1540"/>
      <c r="H1404" s="1540"/>
      <c r="I1404" s="1540"/>
      <c r="J1404" s="1540"/>
      <c r="K1404" s="1540"/>
      <c r="L1404" s="1540"/>
      <c r="M1404" s="1540"/>
      <c r="N1404" s="1237"/>
      <c r="O1404" s="2025"/>
      <c r="P1404" s="2954"/>
      <c r="Q1404" s="1541"/>
      <c r="R1404" s="1591"/>
    </row>
    <row r="1405" spans="1:18" ht="18.75" customHeight="1">
      <c r="A1405" s="2928"/>
      <c r="B1405" s="1540"/>
      <c r="C1405" s="1540"/>
      <c r="D1405" s="1540"/>
      <c r="E1405" s="1540"/>
      <c r="F1405" s="1540"/>
      <c r="G1405" s="1540"/>
      <c r="H1405" s="1540"/>
      <c r="I1405" s="1540"/>
      <c r="J1405" s="1540"/>
      <c r="K1405" s="1540"/>
      <c r="L1405" s="1540"/>
      <c r="M1405" s="1540"/>
      <c r="N1405" s="1237"/>
      <c r="O1405" s="2025"/>
      <c r="P1405" s="2954"/>
      <c r="Q1405" s="1541"/>
      <c r="R1405" s="1591"/>
    </row>
    <row r="1406" spans="1:18" ht="18.75" customHeight="1">
      <c r="A1406" s="2928"/>
      <c r="B1406" s="1540"/>
      <c r="C1406" s="1540"/>
      <c r="D1406" s="1540"/>
      <c r="E1406" s="1540"/>
      <c r="F1406" s="1540"/>
      <c r="G1406" s="1540"/>
      <c r="H1406" s="1540"/>
      <c r="I1406" s="1540"/>
      <c r="J1406" s="2950"/>
      <c r="K1406" s="2951"/>
      <c r="L1406" s="2952"/>
      <c r="M1406" s="1540"/>
      <c r="N1406" s="1237"/>
      <c r="O1406" s="2025"/>
      <c r="P1406" s="2954"/>
      <c r="Q1406" s="1541"/>
      <c r="R1406" s="1591"/>
    </row>
    <row r="1407" spans="1:18" ht="18.75" customHeight="1">
      <c r="A1407" s="2928"/>
      <c r="B1407" s="1540"/>
      <c r="C1407" s="1540"/>
      <c r="D1407" s="1540"/>
      <c r="E1407" s="1540"/>
      <c r="F1407" s="1540"/>
      <c r="G1407" s="1540"/>
      <c r="H1407" s="1540"/>
      <c r="I1407" s="1540"/>
      <c r="J1407" s="1540"/>
      <c r="K1407" s="1540"/>
      <c r="L1407" s="1540"/>
      <c r="M1407" s="1540"/>
      <c r="N1407" s="1237"/>
      <c r="O1407" s="2025"/>
      <c r="P1407" s="2954"/>
      <c r="Q1407" s="1541"/>
      <c r="R1407" s="1591"/>
    </row>
    <row r="1408" spans="1:18" ht="18.75" customHeight="1" thickBot="1">
      <c r="A1408" s="2928"/>
      <c r="B1408" s="1540"/>
      <c r="C1408" s="1540"/>
      <c r="D1408" s="1540"/>
      <c r="E1408" s="1540"/>
      <c r="F1408" s="1540"/>
      <c r="G1408" s="1540"/>
      <c r="H1408" s="1540"/>
      <c r="I1408" s="1540"/>
      <c r="J1408" s="1540"/>
      <c r="K1408" s="1540"/>
      <c r="L1408" s="1540"/>
      <c r="M1408" s="1540"/>
      <c r="N1408" s="1540"/>
      <c r="O1408" s="2025"/>
      <c r="P1408" s="2969"/>
      <c r="Q1408" s="1541"/>
      <c r="R1408" s="1591"/>
    </row>
    <row r="1409" spans="1:18" ht="18.75" customHeight="1">
      <c r="A1409" s="2926"/>
      <c r="B1409" s="1585"/>
      <c r="C1409" s="1585"/>
      <c r="D1409" s="1585"/>
      <c r="E1409" s="1585"/>
      <c r="F1409" s="1585"/>
      <c r="G1409" s="1585"/>
      <c r="H1409" s="1585"/>
      <c r="I1409" s="1585"/>
      <c r="J1409" s="1585"/>
      <c r="K1409" s="1585"/>
      <c r="L1409" s="1585"/>
      <c r="M1409" s="1585"/>
      <c r="N1409" s="1585"/>
      <c r="O1409" s="2026"/>
      <c r="P1409" s="2947"/>
      <c r="Q1409" s="1586"/>
      <c r="R1409" s="1587"/>
    </row>
    <row r="1410" spans="1:18" ht="18.75" customHeight="1">
      <c r="A1410" s="2927"/>
      <c r="B1410" s="1237"/>
      <c r="C1410" s="1237"/>
      <c r="D1410" s="1237"/>
      <c r="E1410" s="1237"/>
      <c r="F1410" s="1237"/>
      <c r="G1410" s="1237"/>
      <c r="H1410" s="1237"/>
      <c r="I1410" s="1237"/>
      <c r="J1410" s="1237"/>
      <c r="K1410" s="1237"/>
      <c r="L1410" s="1237"/>
      <c r="M1410" s="1237"/>
      <c r="N1410" s="1237"/>
      <c r="O1410" s="2024"/>
      <c r="P1410" s="2947"/>
      <c r="Q1410" s="1238"/>
      <c r="R1410" s="1239"/>
    </row>
    <row r="1411" spans="1:18" ht="18.75" customHeight="1">
      <c r="A1411" s="2927"/>
      <c r="B1411" s="1237"/>
      <c r="C1411" s="1237"/>
      <c r="D1411" s="1237"/>
      <c r="E1411" s="1237"/>
      <c r="F1411" s="1237"/>
      <c r="G1411" s="1237"/>
      <c r="H1411" s="1237"/>
      <c r="I1411" s="1237"/>
      <c r="J1411" s="1237"/>
      <c r="K1411" s="1237"/>
      <c r="L1411" s="1237"/>
      <c r="M1411" s="1237"/>
      <c r="N1411" s="1237"/>
      <c r="O1411" s="2024"/>
      <c r="P1411" s="2947"/>
      <c r="Q1411" s="1238"/>
      <c r="R1411" s="1239"/>
    </row>
    <row r="1412" spans="1:18" ht="18.75" customHeight="1">
      <c r="A1412" s="2927"/>
      <c r="B1412" s="1237"/>
      <c r="C1412" s="1237"/>
      <c r="D1412" s="1237"/>
      <c r="E1412" s="1237"/>
      <c r="F1412" s="1237"/>
      <c r="G1412" s="1237"/>
      <c r="H1412" s="1237"/>
      <c r="I1412" s="1237"/>
      <c r="J1412" s="1237"/>
      <c r="K1412" s="1237"/>
      <c r="L1412" s="1237"/>
      <c r="M1412" s="1237"/>
      <c r="N1412" s="1237"/>
      <c r="O1412" s="2024"/>
      <c r="P1412" s="2947"/>
      <c r="Q1412" s="1238"/>
      <c r="R1412" s="1239"/>
    </row>
    <row r="1413" spans="1:18" ht="18.75" customHeight="1">
      <c r="A1413" s="2927"/>
      <c r="B1413" s="1237"/>
      <c r="C1413" s="1237"/>
      <c r="D1413" s="1237"/>
      <c r="E1413" s="1237"/>
      <c r="F1413" s="1237"/>
      <c r="G1413" s="1237"/>
      <c r="H1413" s="1237"/>
      <c r="I1413" s="1237"/>
      <c r="J1413" s="1237"/>
      <c r="K1413" s="1237"/>
      <c r="L1413" s="1237"/>
      <c r="M1413" s="1237"/>
      <c r="N1413" s="1237"/>
      <c r="O1413" s="2024"/>
      <c r="P1413" s="2947"/>
      <c r="Q1413" s="1238"/>
      <c r="R1413" s="1239"/>
    </row>
    <row r="1414" spans="1:18" ht="18.75" customHeight="1">
      <c r="A1414" s="2927"/>
      <c r="B1414" s="1237"/>
      <c r="C1414" s="1237"/>
      <c r="D1414" s="1237"/>
      <c r="E1414" s="1237"/>
      <c r="F1414" s="1237"/>
      <c r="G1414" s="1237"/>
      <c r="H1414" s="1237"/>
      <c r="I1414" s="1237"/>
      <c r="J1414" s="1237"/>
      <c r="K1414" s="1237"/>
      <c r="L1414" s="1237"/>
      <c r="M1414" s="1237"/>
      <c r="N1414" s="1237"/>
      <c r="O1414" s="2024"/>
      <c r="P1414" s="2947"/>
      <c r="Q1414" s="1238"/>
      <c r="R1414" s="1239"/>
    </row>
    <row r="1415" spans="1:18" ht="18.75" customHeight="1">
      <c r="A1415" s="2927"/>
      <c r="B1415" s="1237"/>
      <c r="C1415" s="1237"/>
      <c r="D1415" s="1237"/>
      <c r="E1415" s="1237"/>
      <c r="F1415" s="1237"/>
      <c r="G1415" s="1237"/>
      <c r="H1415" s="1237"/>
      <c r="I1415" s="1237"/>
      <c r="J1415" s="1237"/>
      <c r="K1415" s="1237"/>
      <c r="L1415" s="1237"/>
      <c r="M1415" s="1237"/>
      <c r="N1415" s="1237"/>
      <c r="O1415" s="2024"/>
      <c r="P1415" s="2948"/>
      <c r="Q1415" s="1238"/>
      <c r="R1415" s="1239"/>
    </row>
    <row r="1416" spans="1:18" ht="18.75" customHeight="1">
      <c r="A1416" s="2927"/>
      <c r="B1416" s="1237"/>
      <c r="C1416" s="1237"/>
      <c r="D1416" s="1237"/>
      <c r="E1416" s="1237"/>
      <c r="F1416" s="1237"/>
      <c r="G1416" s="1237"/>
      <c r="H1416" s="1237"/>
      <c r="I1416" s="1237"/>
      <c r="J1416" s="1237"/>
      <c r="K1416" s="1237"/>
      <c r="L1416" s="1237"/>
      <c r="M1416" s="1237"/>
      <c r="N1416" s="1237"/>
      <c r="O1416" s="2024"/>
      <c r="P1416" s="2946"/>
      <c r="Q1416" s="1238"/>
      <c r="R1416" s="1239"/>
    </row>
    <row r="1417" spans="1:18" ht="18.75" customHeight="1">
      <c r="A1417" s="2927"/>
      <c r="B1417" s="1237"/>
      <c r="C1417" s="1237"/>
      <c r="D1417" s="1237"/>
      <c r="E1417" s="1237"/>
      <c r="F1417" s="1237"/>
      <c r="G1417" s="1237"/>
      <c r="H1417" s="1237"/>
      <c r="I1417" s="1237"/>
      <c r="J1417" s="1237"/>
      <c r="K1417" s="1237"/>
      <c r="L1417" s="1237"/>
      <c r="M1417" s="1237"/>
      <c r="N1417" s="1237"/>
      <c r="O1417" s="2024"/>
      <c r="P1417" s="2947"/>
      <c r="Q1417" s="1238"/>
      <c r="R1417" s="1239"/>
    </row>
    <row r="1418" spans="1:18" ht="18.75" customHeight="1">
      <c r="A1418" s="2927"/>
      <c r="B1418" s="1237"/>
      <c r="C1418" s="1237"/>
      <c r="D1418" s="1237"/>
      <c r="E1418" s="1237"/>
      <c r="F1418" s="1237"/>
      <c r="G1418" s="1237"/>
      <c r="H1418" s="1237"/>
      <c r="I1418" s="1237"/>
      <c r="J1418" s="1237"/>
      <c r="K1418" s="1237"/>
      <c r="L1418" s="1237"/>
      <c r="M1418" s="1237"/>
      <c r="N1418" s="1237"/>
      <c r="O1418" s="2024"/>
      <c r="P1418" s="2947"/>
      <c r="Q1418" s="1238"/>
      <c r="R1418" s="1239"/>
    </row>
    <row r="1419" spans="1:18" ht="18.75" customHeight="1">
      <c r="A1419" s="2927"/>
      <c r="B1419" s="1237"/>
      <c r="C1419" s="1237"/>
      <c r="D1419" s="1237"/>
      <c r="E1419" s="1237"/>
      <c r="F1419" s="1237"/>
      <c r="G1419" s="1237"/>
      <c r="H1419" s="1237"/>
      <c r="I1419" s="1237"/>
      <c r="J1419" s="1237"/>
      <c r="K1419" s="1237"/>
      <c r="L1419" s="1237"/>
      <c r="M1419" s="1237"/>
      <c r="N1419" s="1237"/>
      <c r="O1419" s="2024"/>
      <c r="P1419" s="2947"/>
      <c r="Q1419" s="1238"/>
      <c r="R1419" s="1239"/>
    </row>
    <row r="1420" spans="1:18" ht="18.75" customHeight="1">
      <c r="A1420" s="2927"/>
      <c r="B1420" s="1237"/>
      <c r="C1420" s="1237"/>
      <c r="D1420" s="1237"/>
      <c r="E1420" s="1237"/>
      <c r="F1420" s="1237"/>
      <c r="G1420" s="1237"/>
      <c r="H1420" s="1237"/>
      <c r="I1420" s="1237"/>
      <c r="J1420" s="1237"/>
      <c r="K1420" s="1237"/>
      <c r="L1420" s="1237"/>
      <c r="M1420" s="1237"/>
      <c r="N1420" s="1237"/>
      <c r="O1420" s="2024"/>
      <c r="P1420" s="2947"/>
      <c r="Q1420" s="1238"/>
      <c r="R1420" s="1239"/>
    </row>
    <row r="1421" spans="1:18" ht="18.75" customHeight="1">
      <c r="A1421" s="2927"/>
      <c r="B1421" s="1237"/>
      <c r="C1421" s="1237"/>
      <c r="D1421" s="1237"/>
      <c r="E1421" s="1237"/>
      <c r="F1421" s="1237"/>
      <c r="G1421" s="1237"/>
      <c r="H1421" s="1237"/>
      <c r="I1421" s="1237"/>
      <c r="J1421" s="1237"/>
      <c r="K1421" s="1237"/>
      <c r="L1421" s="1237"/>
      <c r="M1421" s="1237"/>
      <c r="N1421" s="1237"/>
      <c r="O1421" s="2024"/>
      <c r="P1421" s="2947"/>
      <c r="Q1421" s="1238"/>
      <c r="R1421" s="1239"/>
    </row>
    <row r="1422" spans="1:18" ht="18.75" customHeight="1">
      <c r="A1422" s="2927"/>
      <c r="B1422" s="1237"/>
      <c r="C1422" s="1237"/>
      <c r="D1422" s="1237"/>
      <c r="E1422" s="1237"/>
      <c r="F1422" s="1237"/>
      <c r="G1422" s="1237"/>
      <c r="H1422" s="1237"/>
      <c r="I1422" s="1237"/>
      <c r="J1422" s="2945"/>
      <c r="K1422" s="2945"/>
      <c r="L1422" s="2945"/>
      <c r="M1422" s="1237"/>
      <c r="N1422" s="1237"/>
      <c r="O1422" s="2024"/>
      <c r="P1422" s="2947"/>
      <c r="Q1422" s="1238"/>
      <c r="R1422" s="1239"/>
    </row>
    <row r="1423" spans="1:18" ht="18.75" customHeight="1">
      <c r="A1423" s="2927"/>
      <c r="B1423" s="1237"/>
      <c r="C1423" s="1237"/>
      <c r="D1423" s="1237"/>
      <c r="E1423" s="1237"/>
      <c r="F1423" s="1237"/>
      <c r="G1423" s="1237"/>
      <c r="H1423" s="1237"/>
      <c r="I1423" s="1237"/>
      <c r="J1423" s="1237"/>
      <c r="K1423" s="1237"/>
      <c r="L1423" s="1237"/>
      <c r="M1423" s="1237"/>
      <c r="N1423" s="1237"/>
      <c r="O1423" s="2024"/>
      <c r="P1423" s="2947"/>
      <c r="Q1423" s="1238"/>
      <c r="R1423" s="1239"/>
    </row>
    <row r="1424" spans="1:18" ht="18.75" customHeight="1">
      <c r="A1424" s="2927"/>
      <c r="B1424" s="1237"/>
      <c r="C1424" s="1237"/>
      <c r="D1424" s="1237"/>
      <c r="E1424" s="1237"/>
      <c r="F1424" s="1237"/>
      <c r="G1424" s="1237"/>
      <c r="H1424" s="1237"/>
      <c r="I1424" s="1237"/>
      <c r="J1424" s="1237"/>
      <c r="K1424" s="1237"/>
      <c r="L1424" s="1237"/>
      <c r="M1424" s="1237"/>
      <c r="N1424" s="1237"/>
      <c r="O1424" s="2024"/>
      <c r="P1424" s="2947"/>
      <c r="Q1424" s="1238"/>
      <c r="R1424" s="1239"/>
    </row>
    <row r="1425" spans="1:18" ht="18.75" customHeight="1">
      <c r="A1425" s="2927"/>
      <c r="B1425" s="1237"/>
      <c r="C1425" s="1237"/>
      <c r="D1425" s="1237"/>
      <c r="E1425" s="1237"/>
      <c r="F1425" s="1237"/>
      <c r="G1425" s="1237"/>
      <c r="H1425" s="1237"/>
      <c r="I1425" s="1237"/>
      <c r="J1425" s="1237"/>
      <c r="K1425" s="1237"/>
      <c r="L1425" s="1237"/>
      <c r="M1425" s="1237"/>
      <c r="N1425" s="1237"/>
      <c r="O1425" s="2024"/>
      <c r="P1425" s="2947"/>
      <c r="Q1425" s="1238"/>
      <c r="R1425" s="1239"/>
    </row>
    <row r="1426" spans="1:18" ht="18.75" customHeight="1">
      <c r="A1426" s="2927"/>
      <c r="B1426" s="1237"/>
      <c r="C1426" s="1237"/>
      <c r="D1426" s="1237"/>
      <c r="E1426" s="1237"/>
      <c r="F1426" s="1237"/>
      <c r="G1426" s="1237"/>
      <c r="H1426" s="1237"/>
      <c r="I1426" s="1237"/>
      <c r="J1426" s="1237"/>
      <c r="K1426" s="1237"/>
      <c r="L1426" s="1237"/>
      <c r="M1426" s="1237"/>
      <c r="N1426" s="1237"/>
      <c r="O1426" s="2024"/>
      <c r="P1426" s="2947"/>
      <c r="Q1426" s="1238"/>
      <c r="R1426" s="1239"/>
    </row>
    <row r="1427" spans="1:18" ht="18.75" customHeight="1">
      <c r="A1427" s="2927"/>
      <c r="B1427" s="1237"/>
      <c r="C1427" s="1237"/>
      <c r="D1427" s="1237"/>
      <c r="E1427" s="1237"/>
      <c r="F1427" s="1237"/>
      <c r="G1427" s="1237"/>
      <c r="H1427" s="1237"/>
      <c r="I1427" s="1237"/>
      <c r="J1427" s="2945"/>
      <c r="K1427" s="2945"/>
      <c r="L1427" s="2945"/>
      <c r="M1427" s="1237"/>
      <c r="N1427" s="1237"/>
      <c r="O1427" s="2024"/>
      <c r="P1427" s="2948"/>
      <c r="Q1427" s="1238"/>
      <c r="R1427" s="1239"/>
    </row>
    <row r="1428" spans="1:18" ht="18.75" customHeight="1">
      <c r="A1428" s="2927"/>
      <c r="B1428" s="1237"/>
      <c r="C1428" s="1237"/>
      <c r="D1428" s="1237"/>
      <c r="E1428" s="1237"/>
      <c r="F1428" s="1237"/>
      <c r="G1428" s="1237"/>
      <c r="H1428" s="1237"/>
      <c r="I1428" s="1237"/>
      <c r="J1428" s="1237"/>
      <c r="K1428" s="1237"/>
      <c r="L1428" s="1237"/>
      <c r="M1428" s="1237"/>
      <c r="N1428" s="1237"/>
      <c r="O1428" s="2024"/>
      <c r="P1428" s="2946"/>
      <c r="Q1428" s="1238"/>
      <c r="R1428" s="1239"/>
    </row>
    <row r="1429" spans="1:18" ht="18.75" customHeight="1">
      <c r="A1429" s="2927"/>
      <c r="B1429" s="1237"/>
      <c r="C1429" s="1237"/>
      <c r="D1429" s="1237"/>
      <c r="E1429" s="1237"/>
      <c r="F1429" s="1237"/>
      <c r="G1429" s="1237"/>
      <c r="H1429" s="1237"/>
      <c r="I1429" s="1237"/>
      <c r="J1429" s="1237"/>
      <c r="K1429" s="1237"/>
      <c r="L1429" s="1237"/>
      <c r="M1429" s="1237"/>
      <c r="N1429" s="1237"/>
      <c r="O1429" s="2024"/>
      <c r="P1429" s="2947"/>
      <c r="Q1429" s="1238"/>
      <c r="R1429" s="1239"/>
    </row>
    <row r="1430" spans="1:18" ht="18.75" customHeight="1">
      <c r="A1430" s="2927"/>
      <c r="B1430" s="1237"/>
      <c r="C1430" s="1237"/>
      <c r="D1430" s="1237"/>
      <c r="E1430" s="1237"/>
      <c r="F1430" s="1237"/>
      <c r="G1430" s="1237"/>
      <c r="H1430" s="1237"/>
      <c r="I1430" s="1237"/>
      <c r="J1430" s="1237"/>
      <c r="K1430" s="1237"/>
      <c r="L1430" s="1237"/>
      <c r="M1430" s="1237"/>
      <c r="N1430" s="1237"/>
      <c r="O1430" s="2024"/>
      <c r="P1430" s="2948"/>
      <c r="Q1430" s="1238"/>
      <c r="R1430" s="1239"/>
    </row>
    <row r="1431" spans="1:18" ht="18.75" customHeight="1">
      <c r="A1431" s="2927"/>
      <c r="B1431" s="1237"/>
      <c r="C1431" s="1237"/>
      <c r="D1431" s="1237"/>
      <c r="E1431" s="1237"/>
      <c r="F1431" s="1237"/>
      <c r="G1431" s="1237"/>
      <c r="H1431" s="1237"/>
      <c r="I1431" s="1237"/>
      <c r="J1431" s="1237"/>
      <c r="K1431" s="1237"/>
      <c r="L1431" s="1237"/>
      <c r="M1431" s="1237"/>
      <c r="N1431" s="1237"/>
      <c r="O1431" s="2024"/>
      <c r="P1431" s="2946"/>
      <c r="Q1431" s="1238"/>
      <c r="R1431" s="1239"/>
    </row>
    <row r="1432" spans="1:18" ht="18.75" customHeight="1">
      <c r="A1432" s="2927"/>
      <c r="B1432" s="1237"/>
      <c r="C1432" s="1237"/>
      <c r="D1432" s="1237"/>
      <c r="E1432" s="1237"/>
      <c r="F1432" s="1237"/>
      <c r="G1432" s="1237"/>
      <c r="H1432" s="1237"/>
      <c r="I1432" s="1237"/>
      <c r="J1432" s="2945"/>
      <c r="K1432" s="2945"/>
      <c r="L1432" s="2945"/>
      <c r="M1432" s="1237"/>
      <c r="N1432" s="1237"/>
      <c r="O1432" s="2024"/>
      <c r="P1432" s="2947"/>
      <c r="Q1432" s="1238"/>
      <c r="R1432" s="1239"/>
    </row>
    <row r="1433" spans="1:18" ht="18.75" customHeight="1">
      <c r="A1433" s="2927"/>
      <c r="B1433" s="1237"/>
      <c r="C1433" s="1237"/>
      <c r="D1433" s="1237"/>
      <c r="E1433" s="1237"/>
      <c r="F1433" s="1237"/>
      <c r="G1433" s="1237"/>
      <c r="H1433" s="1237"/>
      <c r="I1433" s="1237"/>
      <c r="J1433" s="1237"/>
      <c r="K1433" s="1237"/>
      <c r="L1433" s="1237"/>
      <c r="M1433" s="1237"/>
      <c r="N1433" s="1237"/>
      <c r="O1433" s="2024"/>
      <c r="P1433" s="2947"/>
      <c r="Q1433" s="1238"/>
      <c r="R1433" s="1239"/>
    </row>
    <row r="1434" spans="1:18" ht="18.75" customHeight="1">
      <c r="A1434" s="2927"/>
      <c r="B1434" s="1237"/>
      <c r="C1434" s="1237"/>
      <c r="D1434" s="1237"/>
      <c r="E1434" s="1237"/>
      <c r="F1434" s="1237"/>
      <c r="G1434" s="1237"/>
      <c r="H1434" s="1237"/>
      <c r="I1434" s="1237"/>
      <c r="J1434" s="1237"/>
      <c r="K1434" s="1237"/>
      <c r="L1434" s="1237"/>
      <c r="M1434" s="1237"/>
      <c r="N1434" s="1237"/>
      <c r="O1434" s="2024"/>
      <c r="P1434" s="2947"/>
      <c r="Q1434" s="1238"/>
      <c r="R1434" s="1239"/>
    </row>
    <row r="1435" spans="1:18" ht="18.75" customHeight="1">
      <c r="A1435" s="2927"/>
      <c r="B1435" s="1237"/>
      <c r="C1435" s="1237"/>
      <c r="D1435" s="1237"/>
      <c r="E1435" s="1237"/>
      <c r="F1435" s="1237"/>
      <c r="G1435" s="1237"/>
      <c r="H1435" s="1237"/>
      <c r="I1435" s="1237"/>
      <c r="J1435" s="1237"/>
      <c r="K1435" s="1237"/>
      <c r="L1435" s="1237"/>
      <c r="M1435" s="1237"/>
      <c r="N1435" s="1237"/>
      <c r="O1435" s="2024"/>
      <c r="P1435" s="2947"/>
      <c r="Q1435" s="1238"/>
      <c r="R1435" s="1239"/>
    </row>
    <row r="1436" spans="1:18" ht="18.75" customHeight="1">
      <c r="A1436" s="2927"/>
      <c r="B1436" s="1237"/>
      <c r="C1436" s="1237"/>
      <c r="D1436" s="1237"/>
      <c r="E1436" s="1237"/>
      <c r="F1436" s="1237"/>
      <c r="G1436" s="1237"/>
      <c r="H1436" s="1237"/>
      <c r="I1436" s="1237"/>
      <c r="J1436" s="1237"/>
      <c r="K1436" s="1237"/>
      <c r="L1436" s="1237"/>
      <c r="M1436" s="1237"/>
      <c r="N1436" s="1237"/>
      <c r="O1436" s="2024"/>
      <c r="P1436" s="2948"/>
      <c r="Q1436" s="1238"/>
      <c r="R1436" s="1239"/>
    </row>
    <row r="1437" spans="1:18" ht="18.75" customHeight="1">
      <c r="A1437" s="2927"/>
      <c r="B1437" s="1237"/>
      <c r="C1437" s="1237"/>
      <c r="D1437" s="1237"/>
      <c r="E1437" s="1237"/>
      <c r="F1437" s="1237"/>
      <c r="G1437" s="1237"/>
      <c r="H1437" s="1237"/>
      <c r="I1437" s="1237"/>
      <c r="J1437" s="1237"/>
      <c r="K1437" s="1237"/>
      <c r="L1437" s="1237"/>
      <c r="M1437" s="1237"/>
      <c r="N1437" s="1237"/>
      <c r="O1437" s="2024"/>
      <c r="P1437" s="2946"/>
      <c r="Q1437" s="1238"/>
      <c r="R1437" s="1239"/>
    </row>
    <row r="1438" spans="1:18" ht="18.75" customHeight="1">
      <c r="A1438" s="2927"/>
      <c r="B1438" s="1237"/>
      <c r="C1438" s="1237"/>
      <c r="D1438" s="1237"/>
      <c r="E1438" s="1237"/>
      <c r="F1438" s="1237"/>
      <c r="G1438" s="1237"/>
      <c r="H1438" s="1237"/>
      <c r="I1438" s="1237"/>
      <c r="J1438" s="1237"/>
      <c r="K1438" s="1237"/>
      <c r="L1438" s="1237"/>
      <c r="M1438" s="1237"/>
      <c r="N1438" s="1237"/>
      <c r="O1438" s="2024"/>
      <c r="P1438" s="2947"/>
      <c r="Q1438" s="1238"/>
      <c r="R1438" s="1239"/>
    </row>
    <row r="1439" spans="1:18" ht="18.75" customHeight="1">
      <c r="A1439" s="2927"/>
      <c r="B1439" s="1237"/>
      <c r="C1439" s="1237"/>
      <c r="D1439" s="1237"/>
      <c r="E1439" s="1237"/>
      <c r="F1439" s="1237"/>
      <c r="G1439" s="1237"/>
      <c r="H1439" s="1237"/>
      <c r="I1439" s="1237"/>
      <c r="J1439" s="1237"/>
      <c r="K1439" s="1237"/>
      <c r="L1439" s="1237"/>
      <c r="M1439" s="1237"/>
      <c r="N1439" s="1237"/>
      <c r="O1439" s="2024"/>
      <c r="P1439" s="2947"/>
      <c r="Q1439" s="1238"/>
      <c r="R1439" s="1239"/>
    </row>
    <row r="1440" spans="1:18" ht="18.75" customHeight="1">
      <c r="A1440" s="2927"/>
      <c r="B1440" s="1237"/>
      <c r="C1440" s="1237"/>
      <c r="D1440" s="1237"/>
      <c r="E1440" s="1237"/>
      <c r="F1440" s="1237"/>
      <c r="G1440" s="1237"/>
      <c r="H1440" s="1237"/>
      <c r="I1440" s="1237"/>
      <c r="J1440" s="1237"/>
      <c r="K1440" s="1237"/>
      <c r="L1440" s="1237"/>
      <c r="M1440" s="1237"/>
      <c r="N1440" s="1237"/>
      <c r="O1440" s="2024"/>
      <c r="P1440" s="2947"/>
      <c r="Q1440" s="1238"/>
      <c r="R1440" s="1239"/>
    </row>
    <row r="1441" spans="1:18" ht="18.75" customHeight="1">
      <c r="A1441" s="2927"/>
      <c r="B1441" s="1237"/>
      <c r="C1441" s="1237"/>
      <c r="D1441" s="1237"/>
      <c r="E1441" s="1237"/>
      <c r="F1441" s="1237"/>
      <c r="G1441" s="1237"/>
      <c r="H1441" s="1237"/>
      <c r="I1441" s="1237"/>
      <c r="J1441" s="1237"/>
      <c r="K1441" s="1237"/>
      <c r="L1441" s="1237"/>
      <c r="M1441" s="1237"/>
      <c r="N1441" s="1237"/>
      <c r="O1441" s="2024"/>
      <c r="P1441" s="2947"/>
      <c r="Q1441" s="1238"/>
      <c r="R1441" s="1239"/>
    </row>
    <row r="1442" spans="1:18" ht="18.75" customHeight="1">
      <c r="A1442" s="2927"/>
      <c r="B1442" s="1237"/>
      <c r="C1442" s="1237"/>
      <c r="D1442" s="1237"/>
      <c r="E1442" s="1237"/>
      <c r="F1442" s="1237"/>
      <c r="G1442" s="1237"/>
      <c r="H1442" s="1237"/>
      <c r="I1442" s="1237"/>
      <c r="J1442" s="2945"/>
      <c r="K1442" s="2945"/>
      <c r="L1442" s="2945"/>
      <c r="M1442" s="1237"/>
      <c r="N1442" s="1237"/>
      <c r="O1442" s="2024"/>
      <c r="P1442" s="2947"/>
      <c r="Q1442" s="1238"/>
      <c r="R1442" s="1239"/>
    </row>
    <row r="1443" spans="1:18" ht="18.75" customHeight="1">
      <c r="A1443" s="2927"/>
      <c r="B1443" s="1237"/>
      <c r="C1443" s="1237"/>
      <c r="D1443" s="1237"/>
      <c r="E1443" s="1237"/>
      <c r="F1443" s="1237"/>
      <c r="G1443" s="1237"/>
      <c r="H1443" s="1237"/>
      <c r="I1443" s="1237"/>
      <c r="J1443" s="1237"/>
      <c r="K1443" s="1237"/>
      <c r="L1443" s="1237"/>
      <c r="M1443" s="1237"/>
      <c r="N1443" s="1237"/>
      <c r="O1443" s="2024"/>
      <c r="P1443" s="2948"/>
      <c r="Q1443" s="1238"/>
      <c r="R1443" s="1239"/>
    </row>
    <row r="1444" spans="1:18" ht="18.75" customHeight="1">
      <c r="A1444" s="2927"/>
      <c r="B1444" s="1237"/>
      <c r="C1444" s="1237"/>
      <c r="D1444" s="1237"/>
      <c r="E1444" s="1237"/>
      <c r="F1444" s="1237"/>
      <c r="G1444" s="1237"/>
      <c r="H1444" s="1237"/>
      <c r="I1444" s="1237"/>
      <c r="J1444" s="1237"/>
      <c r="K1444" s="1237"/>
      <c r="L1444" s="1237"/>
      <c r="M1444" s="1237"/>
      <c r="N1444" s="1237"/>
      <c r="O1444" s="2024"/>
      <c r="P1444" s="2946"/>
      <c r="Q1444" s="1238"/>
      <c r="R1444" s="1239"/>
    </row>
    <row r="1445" spans="1:18" ht="18.75" customHeight="1">
      <c r="A1445" s="2927"/>
      <c r="B1445" s="1237"/>
      <c r="C1445" s="1237"/>
      <c r="D1445" s="1237"/>
      <c r="E1445" s="1237"/>
      <c r="F1445" s="1237"/>
      <c r="G1445" s="1237"/>
      <c r="H1445" s="1237"/>
      <c r="I1445" s="1237"/>
      <c r="J1445" s="1237"/>
      <c r="K1445" s="1237"/>
      <c r="L1445" s="1237"/>
      <c r="M1445" s="1237"/>
      <c r="N1445" s="1237"/>
      <c r="O1445" s="2024"/>
      <c r="P1445" s="2947"/>
      <c r="Q1445" s="1238"/>
      <c r="R1445" s="1239"/>
    </row>
    <row r="1446" spans="1:18" ht="18.75" customHeight="1">
      <c r="A1446" s="2927"/>
      <c r="B1446" s="1237"/>
      <c r="C1446" s="1237"/>
      <c r="D1446" s="1237"/>
      <c r="E1446" s="1237"/>
      <c r="F1446" s="1237"/>
      <c r="G1446" s="1237"/>
      <c r="H1446" s="1237"/>
      <c r="I1446" s="1237"/>
      <c r="J1446" s="1237"/>
      <c r="K1446" s="1237"/>
      <c r="L1446" s="1237"/>
      <c r="M1446" s="1237"/>
      <c r="N1446" s="1237"/>
      <c r="O1446" s="2024"/>
      <c r="P1446" s="2947"/>
      <c r="Q1446" s="1238"/>
      <c r="R1446" s="1239"/>
    </row>
    <row r="1447" spans="1:18" ht="18.75" customHeight="1">
      <c r="A1447" s="2927"/>
      <c r="B1447" s="1237"/>
      <c r="C1447" s="1237"/>
      <c r="D1447" s="1237"/>
      <c r="E1447" s="1237"/>
      <c r="F1447" s="1237"/>
      <c r="G1447" s="1237"/>
      <c r="H1447" s="1237"/>
      <c r="I1447" s="1237"/>
      <c r="J1447" s="1237"/>
      <c r="K1447" s="1237"/>
      <c r="L1447" s="1237"/>
      <c r="M1447" s="1237"/>
      <c r="N1447" s="1237"/>
      <c r="O1447" s="2024"/>
      <c r="P1447" s="2947"/>
      <c r="Q1447" s="1238"/>
      <c r="R1447" s="1239"/>
    </row>
    <row r="1448" spans="1:18" ht="18.75" customHeight="1">
      <c r="A1448" s="2927"/>
      <c r="B1448" s="1237"/>
      <c r="C1448" s="1237"/>
      <c r="D1448" s="1237"/>
      <c r="E1448" s="1237"/>
      <c r="F1448" s="1237"/>
      <c r="G1448" s="1237"/>
      <c r="H1448" s="1237"/>
      <c r="I1448" s="1237"/>
      <c r="J1448" s="1237"/>
      <c r="K1448" s="1237"/>
      <c r="L1448" s="1237"/>
      <c r="M1448" s="1237"/>
      <c r="N1448" s="1237"/>
      <c r="O1448" s="2024"/>
      <c r="P1448" s="2947"/>
      <c r="Q1448" s="1238"/>
      <c r="R1448" s="1239"/>
    </row>
    <row r="1449" spans="1:18" ht="18.75" customHeight="1">
      <c r="A1449" s="2927"/>
      <c r="B1449" s="1237"/>
      <c r="C1449" s="1237"/>
      <c r="D1449" s="1237"/>
      <c r="E1449" s="1237"/>
      <c r="F1449" s="1237"/>
      <c r="G1449" s="1237"/>
      <c r="H1449" s="1237"/>
      <c r="I1449" s="1237"/>
      <c r="J1449" s="1237"/>
      <c r="K1449" s="1237"/>
      <c r="L1449" s="1237"/>
      <c r="M1449" s="1237"/>
      <c r="N1449" s="1237"/>
      <c r="O1449" s="2024"/>
      <c r="P1449" s="2948"/>
      <c r="Q1449" s="1238"/>
      <c r="R1449" s="1239"/>
    </row>
    <row r="1450" spans="1:18" ht="18.75" customHeight="1">
      <c r="A1450" s="2927"/>
      <c r="B1450" s="1237"/>
      <c r="C1450" s="1237"/>
      <c r="D1450" s="1237"/>
      <c r="E1450" s="1237"/>
      <c r="F1450" s="1237"/>
      <c r="G1450" s="1237"/>
      <c r="H1450" s="1237"/>
      <c r="I1450" s="1237"/>
      <c r="J1450" s="1237"/>
      <c r="K1450" s="1237"/>
      <c r="L1450" s="1237"/>
      <c r="M1450" s="1237"/>
      <c r="N1450" s="1237"/>
      <c r="O1450" s="2024"/>
      <c r="P1450" s="2946"/>
      <c r="Q1450" s="1238"/>
      <c r="R1450" s="1239"/>
    </row>
    <row r="1451" spans="1:18" ht="18.75" customHeight="1">
      <c r="A1451" s="2927"/>
      <c r="B1451" s="1237"/>
      <c r="C1451" s="1237"/>
      <c r="D1451" s="1237"/>
      <c r="E1451" s="1237"/>
      <c r="F1451" s="1237"/>
      <c r="G1451" s="1237"/>
      <c r="H1451" s="1237"/>
      <c r="I1451" s="1237"/>
      <c r="J1451" s="1237"/>
      <c r="K1451" s="1237"/>
      <c r="L1451" s="1237"/>
      <c r="M1451" s="1237"/>
      <c r="N1451" s="1237"/>
      <c r="O1451" s="2024"/>
      <c r="P1451" s="2947"/>
      <c r="Q1451" s="1238"/>
      <c r="R1451" s="1239"/>
    </row>
    <row r="1452" spans="1:18" ht="18.75" customHeight="1">
      <c r="A1452" s="2927"/>
      <c r="B1452" s="1237"/>
      <c r="C1452" s="1237"/>
      <c r="D1452" s="1237"/>
      <c r="E1452" s="1237"/>
      <c r="F1452" s="1237"/>
      <c r="G1452" s="1237"/>
      <c r="H1452" s="1237"/>
      <c r="I1452" s="1237"/>
      <c r="J1452" s="1237"/>
      <c r="K1452" s="1237"/>
      <c r="L1452" s="1237"/>
      <c r="M1452" s="1237"/>
      <c r="N1452" s="1237"/>
      <c r="O1452" s="2024"/>
      <c r="P1452" s="2947"/>
      <c r="Q1452" s="1238"/>
      <c r="R1452" s="1239"/>
    </row>
    <row r="1453" spans="1:18" ht="18.75" customHeight="1">
      <c r="A1453" s="2927"/>
      <c r="B1453" s="1237"/>
      <c r="C1453" s="1237"/>
      <c r="D1453" s="1237"/>
      <c r="E1453" s="1237"/>
      <c r="F1453" s="1237"/>
      <c r="G1453" s="1237"/>
      <c r="H1453" s="1237"/>
      <c r="I1453" s="1237"/>
      <c r="J1453" s="2945"/>
      <c r="K1453" s="2945"/>
      <c r="L1453" s="2945"/>
      <c r="M1453" s="1237"/>
      <c r="N1453" s="1237"/>
      <c r="O1453" s="2024"/>
      <c r="P1453" s="2947"/>
      <c r="Q1453" s="1238"/>
      <c r="R1453" s="1239"/>
    </row>
    <row r="1454" spans="1:18" ht="18.75" customHeight="1">
      <c r="A1454" s="2927"/>
      <c r="B1454" s="1237"/>
      <c r="C1454" s="1237"/>
      <c r="D1454" s="1237"/>
      <c r="E1454" s="1237"/>
      <c r="F1454" s="1237"/>
      <c r="G1454" s="1237"/>
      <c r="H1454" s="1237"/>
      <c r="I1454" s="1237"/>
      <c r="J1454" s="1237"/>
      <c r="K1454" s="1237"/>
      <c r="L1454" s="1237"/>
      <c r="M1454" s="1237"/>
      <c r="N1454" s="1237"/>
      <c r="O1454" s="2024"/>
      <c r="P1454" s="2947"/>
      <c r="Q1454" s="1238"/>
      <c r="R1454" s="1239"/>
    </row>
    <row r="1455" spans="1:18" ht="18.75" customHeight="1">
      <c r="A1455" s="2927"/>
      <c r="B1455" s="1237"/>
      <c r="C1455" s="1237"/>
      <c r="D1455" s="1237"/>
      <c r="E1455" s="1237"/>
      <c r="F1455" s="1237"/>
      <c r="G1455" s="1237"/>
      <c r="H1455" s="1237"/>
      <c r="I1455" s="1237"/>
      <c r="J1455" s="1237"/>
      <c r="K1455" s="1237"/>
      <c r="L1455" s="1237"/>
      <c r="M1455" s="1237"/>
      <c r="N1455" s="1237"/>
      <c r="O1455" s="2024"/>
      <c r="P1455" s="2947"/>
      <c r="Q1455" s="1238"/>
      <c r="R1455" s="1239"/>
    </row>
    <row r="1456" spans="1:18" ht="18.75" customHeight="1">
      <c r="A1456" s="2927"/>
      <c r="B1456" s="1237"/>
      <c r="C1456" s="1237"/>
      <c r="D1456" s="1237"/>
      <c r="E1456" s="1237"/>
      <c r="F1456" s="1237"/>
      <c r="G1456" s="1237"/>
      <c r="H1456" s="1237"/>
      <c r="I1456" s="1237"/>
      <c r="J1456" s="1237"/>
      <c r="K1456" s="1237"/>
      <c r="L1456" s="1237"/>
      <c r="M1456" s="1237"/>
      <c r="N1456" s="1237"/>
      <c r="O1456" s="2024"/>
      <c r="P1456" s="2947"/>
      <c r="Q1456" s="1238"/>
      <c r="R1456" s="1239"/>
    </row>
    <row r="1457" spans="1:18" ht="18.75" customHeight="1">
      <c r="A1457" s="2927"/>
      <c r="B1457" s="1237"/>
      <c r="C1457" s="1237"/>
      <c r="D1457" s="1237"/>
      <c r="E1457" s="1237"/>
      <c r="F1457" s="1237"/>
      <c r="G1457" s="1237"/>
      <c r="H1457" s="1237"/>
      <c r="I1457" s="1237"/>
      <c r="J1457" s="1237"/>
      <c r="K1457" s="1237"/>
      <c r="L1457" s="1237"/>
      <c r="M1457" s="1237"/>
      <c r="N1457" s="1237"/>
      <c r="O1457" s="2024"/>
      <c r="P1457" s="2947"/>
      <c r="Q1457" s="1238"/>
      <c r="R1457" s="1239"/>
    </row>
    <row r="1458" spans="1:18" ht="18.75" customHeight="1">
      <c r="A1458" s="2927"/>
      <c r="B1458" s="1237"/>
      <c r="C1458" s="1237"/>
      <c r="D1458" s="1237"/>
      <c r="E1458" s="1237"/>
      <c r="F1458" s="1237"/>
      <c r="G1458" s="1237"/>
      <c r="H1458" s="1237"/>
      <c r="I1458" s="1237"/>
      <c r="J1458" s="2945"/>
      <c r="K1458" s="2945"/>
      <c r="L1458" s="2945"/>
      <c r="M1458" s="1237"/>
      <c r="N1458" s="1237"/>
      <c r="O1458" s="2024"/>
      <c r="P1458" s="2948"/>
      <c r="Q1458" s="1238"/>
      <c r="R1458" s="1239"/>
    </row>
    <row r="1459" spans="1:18" ht="18.75" customHeight="1">
      <c r="A1459" s="2927"/>
      <c r="B1459" s="1237"/>
      <c r="C1459" s="1237"/>
      <c r="D1459" s="1237"/>
      <c r="E1459" s="1237"/>
      <c r="F1459" s="1237"/>
      <c r="G1459" s="1237"/>
      <c r="H1459" s="1237"/>
      <c r="I1459" s="1237"/>
      <c r="J1459" s="1237"/>
      <c r="K1459" s="1237"/>
      <c r="L1459" s="1237"/>
      <c r="M1459" s="1237"/>
      <c r="N1459" s="1237"/>
      <c r="O1459" s="2024"/>
      <c r="P1459" s="2946"/>
      <c r="Q1459" s="1238"/>
      <c r="R1459" s="1239"/>
    </row>
    <row r="1460" spans="1:18" ht="18.75" customHeight="1">
      <c r="A1460" s="2927"/>
      <c r="B1460" s="1237"/>
      <c r="C1460" s="1237"/>
      <c r="D1460" s="1237"/>
      <c r="E1460" s="1237"/>
      <c r="F1460" s="1237"/>
      <c r="G1460" s="1237"/>
      <c r="H1460" s="1237"/>
      <c r="I1460" s="1237"/>
      <c r="J1460" s="1237"/>
      <c r="K1460" s="1237"/>
      <c r="L1460" s="1237"/>
      <c r="M1460" s="1237"/>
      <c r="N1460" s="1237"/>
      <c r="O1460" s="2024"/>
      <c r="P1460" s="2947"/>
      <c r="Q1460" s="1238"/>
      <c r="R1460" s="1239"/>
    </row>
    <row r="1461" spans="1:18" ht="18.75" customHeight="1">
      <c r="A1461" s="2927"/>
      <c r="B1461" s="1237"/>
      <c r="C1461" s="1237"/>
      <c r="D1461" s="1237"/>
      <c r="E1461" s="1237"/>
      <c r="F1461" s="1237"/>
      <c r="G1461" s="1237"/>
      <c r="H1461" s="1237"/>
      <c r="I1461" s="1237"/>
      <c r="J1461" s="1237"/>
      <c r="K1461" s="1237"/>
      <c r="L1461" s="1237"/>
      <c r="M1461" s="1237"/>
      <c r="N1461" s="1237"/>
      <c r="O1461" s="2024"/>
      <c r="P1461" s="2947"/>
      <c r="Q1461" s="1238"/>
      <c r="R1461" s="1239"/>
    </row>
    <row r="1462" spans="1:18" ht="18.75" customHeight="1">
      <c r="A1462" s="2927"/>
      <c r="B1462" s="1237"/>
      <c r="C1462" s="1237"/>
      <c r="D1462" s="1237"/>
      <c r="E1462" s="1237"/>
      <c r="F1462" s="1237"/>
      <c r="G1462" s="1237"/>
      <c r="H1462" s="1237"/>
      <c r="I1462" s="1237"/>
      <c r="J1462" s="1237"/>
      <c r="K1462" s="1237"/>
      <c r="L1462" s="1237"/>
      <c r="M1462" s="1237"/>
      <c r="N1462" s="1237"/>
      <c r="O1462" s="2024"/>
      <c r="P1462" s="2947"/>
      <c r="Q1462" s="1238"/>
      <c r="R1462" s="1239"/>
    </row>
    <row r="1463" spans="1:18" ht="18.75" customHeight="1">
      <c r="A1463" s="2927"/>
      <c r="B1463" s="1237"/>
      <c r="C1463" s="1237"/>
      <c r="D1463" s="1237"/>
      <c r="E1463" s="1237"/>
      <c r="F1463" s="1237"/>
      <c r="G1463" s="1237"/>
      <c r="H1463" s="1237"/>
      <c r="I1463" s="1237"/>
      <c r="J1463" s="2945"/>
      <c r="K1463" s="2945"/>
      <c r="L1463" s="2945"/>
      <c r="M1463" s="1237"/>
      <c r="N1463" s="1237"/>
      <c r="O1463" s="2024"/>
      <c r="P1463" s="2947"/>
      <c r="Q1463" s="1238"/>
      <c r="R1463" s="1239"/>
    </row>
    <row r="1464" spans="1:18" ht="18.75" customHeight="1">
      <c r="A1464" s="2927"/>
      <c r="B1464" s="1237"/>
      <c r="C1464" s="1237"/>
      <c r="D1464" s="1237"/>
      <c r="E1464" s="1237"/>
      <c r="F1464" s="1237"/>
      <c r="G1464" s="1237"/>
      <c r="H1464" s="1237"/>
      <c r="I1464" s="1237"/>
      <c r="J1464" s="1237"/>
      <c r="K1464" s="1237"/>
      <c r="L1464" s="1237"/>
      <c r="M1464" s="1237"/>
      <c r="N1464" s="1237"/>
      <c r="O1464" s="2024"/>
      <c r="P1464" s="2947"/>
      <c r="Q1464" s="1238"/>
      <c r="R1464" s="1239"/>
    </row>
    <row r="1465" spans="1:18" ht="18.75" customHeight="1">
      <c r="A1465" s="2927"/>
      <c r="B1465" s="1237"/>
      <c r="C1465" s="1237"/>
      <c r="D1465" s="1237"/>
      <c r="E1465" s="1237"/>
      <c r="F1465" s="1237"/>
      <c r="G1465" s="1237"/>
      <c r="H1465" s="1237"/>
      <c r="I1465" s="1237"/>
      <c r="J1465" s="1237"/>
      <c r="K1465" s="1237"/>
      <c r="L1465" s="1237"/>
      <c r="M1465" s="1237"/>
      <c r="N1465" s="1237"/>
      <c r="O1465" s="2024"/>
      <c r="P1465" s="2947"/>
      <c r="Q1465" s="1238"/>
      <c r="R1465" s="1239"/>
    </row>
    <row r="1466" spans="1:18" ht="18.75" customHeight="1">
      <c r="A1466" s="2927"/>
      <c r="B1466" s="1237"/>
      <c r="C1466" s="1237"/>
      <c r="D1466" s="1237"/>
      <c r="E1466" s="1237"/>
      <c r="F1466" s="1237"/>
      <c r="G1466" s="1237"/>
      <c r="H1466" s="1237"/>
      <c r="I1466" s="1237"/>
      <c r="J1466" s="1237"/>
      <c r="K1466" s="1237"/>
      <c r="L1466" s="1237"/>
      <c r="M1466" s="1237"/>
      <c r="N1466" s="1237"/>
      <c r="O1466" s="2024"/>
      <c r="P1466" s="2947"/>
      <c r="Q1466" s="1238"/>
      <c r="R1466" s="1239"/>
    </row>
    <row r="1467" spans="1:18" ht="18.75" customHeight="1">
      <c r="A1467" s="2927"/>
      <c r="B1467" s="1237"/>
      <c r="C1467" s="1237"/>
      <c r="D1467" s="1237"/>
      <c r="E1467" s="1237"/>
      <c r="F1467" s="1237"/>
      <c r="G1467" s="1237"/>
      <c r="H1467" s="1237"/>
      <c r="I1467" s="1237"/>
      <c r="J1467" s="1237"/>
      <c r="K1467" s="1237"/>
      <c r="L1467" s="1237"/>
      <c r="M1467" s="1237"/>
      <c r="N1467" s="1237"/>
      <c r="O1467" s="2024"/>
      <c r="P1467" s="2947"/>
      <c r="Q1467" s="1238"/>
      <c r="R1467" s="1239"/>
    </row>
    <row r="1468" spans="1:18" ht="18.75" customHeight="1">
      <c r="A1468" s="2927"/>
      <c r="B1468" s="1237"/>
      <c r="C1468" s="1237"/>
      <c r="D1468" s="1237"/>
      <c r="E1468" s="1237"/>
      <c r="F1468" s="1237"/>
      <c r="G1468" s="1237"/>
      <c r="H1468" s="1237"/>
      <c r="I1468" s="1237"/>
      <c r="J1468" s="1237"/>
      <c r="K1468" s="1237"/>
      <c r="L1468" s="1237"/>
      <c r="M1468" s="1237"/>
      <c r="N1468" s="1237"/>
      <c r="O1468" s="2024"/>
      <c r="P1468" s="2948"/>
      <c r="Q1468" s="1238"/>
      <c r="R1468" s="1239"/>
    </row>
    <row r="1469" spans="1:18" ht="18.75" customHeight="1">
      <c r="A1469" s="2927"/>
      <c r="B1469" s="1237"/>
      <c r="C1469" s="1237"/>
      <c r="D1469" s="1237"/>
      <c r="E1469" s="1237"/>
      <c r="F1469" s="1237"/>
      <c r="G1469" s="1237"/>
      <c r="H1469" s="1237"/>
      <c r="I1469" s="1237"/>
      <c r="J1469" s="1237"/>
      <c r="K1469" s="1237"/>
      <c r="L1469" s="1237"/>
      <c r="M1469" s="1237"/>
      <c r="N1469" s="1237"/>
      <c r="O1469" s="2024"/>
      <c r="P1469" s="2946"/>
      <c r="Q1469" s="1238"/>
      <c r="R1469" s="1239"/>
    </row>
    <row r="1470" spans="1:18" ht="18.75" customHeight="1">
      <c r="A1470" s="2927"/>
      <c r="B1470" s="1237"/>
      <c r="C1470" s="1237"/>
      <c r="D1470" s="1237"/>
      <c r="E1470" s="1237"/>
      <c r="F1470" s="1237"/>
      <c r="G1470" s="1237"/>
      <c r="H1470" s="1237"/>
      <c r="I1470" s="1237"/>
      <c r="J1470" s="1237"/>
      <c r="K1470" s="1237"/>
      <c r="L1470" s="1237"/>
      <c r="M1470" s="1237"/>
      <c r="N1470" s="1237"/>
      <c r="O1470" s="2024"/>
      <c r="P1470" s="2948"/>
      <c r="Q1470" s="1238"/>
      <c r="R1470" s="1239"/>
    </row>
    <row r="1471" spans="1:18" ht="18.75" customHeight="1">
      <c r="A1471" s="2927"/>
      <c r="B1471" s="1237"/>
      <c r="C1471" s="1237"/>
      <c r="D1471" s="1237"/>
      <c r="E1471" s="1237"/>
      <c r="F1471" s="1237"/>
      <c r="G1471" s="1237"/>
      <c r="H1471" s="1237"/>
      <c r="I1471" s="1237"/>
      <c r="J1471" s="1237"/>
      <c r="K1471" s="1237"/>
      <c r="L1471" s="1237"/>
      <c r="M1471" s="1237"/>
      <c r="N1471" s="1237"/>
      <c r="O1471" s="2024"/>
      <c r="P1471" s="2946"/>
      <c r="Q1471" s="1238"/>
      <c r="R1471" s="1239"/>
    </row>
    <row r="1472" spans="1:18" ht="18.75" customHeight="1">
      <c r="A1472" s="2927"/>
      <c r="B1472" s="1237"/>
      <c r="C1472" s="1237"/>
      <c r="D1472" s="1237"/>
      <c r="E1472" s="1237"/>
      <c r="F1472" s="1237"/>
      <c r="G1472" s="1237"/>
      <c r="H1472" s="1237"/>
      <c r="I1472" s="1237"/>
      <c r="J1472" s="1237"/>
      <c r="K1472" s="1237"/>
      <c r="L1472" s="1237"/>
      <c r="M1472" s="1237"/>
      <c r="N1472" s="1237"/>
      <c r="O1472" s="2024"/>
      <c r="P1472" s="2947"/>
      <c r="Q1472" s="1238"/>
      <c r="R1472" s="1239"/>
    </row>
    <row r="1473" spans="1:18" ht="18.75" customHeight="1">
      <c r="A1473" s="2927"/>
      <c r="B1473" s="1237"/>
      <c r="C1473" s="1237"/>
      <c r="D1473" s="1237"/>
      <c r="E1473" s="1237"/>
      <c r="F1473" s="1237"/>
      <c r="G1473" s="1237"/>
      <c r="H1473" s="1237"/>
      <c r="I1473" s="1237"/>
      <c r="J1473" s="1237"/>
      <c r="K1473" s="1237"/>
      <c r="L1473" s="1237"/>
      <c r="M1473" s="1237"/>
      <c r="N1473" s="1237"/>
      <c r="O1473" s="2024"/>
      <c r="P1473" s="2947"/>
      <c r="Q1473" s="1238"/>
      <c r="R1473" s="1239"/>
    </row>
    <row r="1474" spans="1:18" ht="18.75" customHeight="1">
      <c r="A1474" s="2927"/>
      <c r="B1474" s="1237"/>
      <c r="C1474" s="1237"/>
      <c r="D1474" s="1237"/>
      <c r="E1474" s="1237"/>
      <c r="F1474" s="1237"/>
      <c r="G1474" s="1237"/>
      <c r="H1474" s="1237"/>
      <c r="I1474" s="1237"/>
      <c r="J1474" s="1237"/>
      <c r="K1474" s="1237"/>
      <c r="L1474" s="1237"/>
      <c r="M1474" s="1237"/>
      <c r="N1474" s="1237"/>
      <c r="O1474" s="2024"/>
      <c r="P1474" s="2948"/>
      <c r="Q1474" s="1238"/>
      <c r="R1474" s="1239"/>
    </row>
    <row r="1475" spans="1:18" ht="18.75" customHeight="1">
      <c r="A1475" s="2927"/>
      <c r="B1475" s="1237"/>
      <c r="C1475" s="1237"/>
      <c r="D1475" s="1237"/>
      <c r="E1475" s="1237"/>
      <c r="F1475" s="1237"/>
      <c r="G1475" s="1237"/>
      <c r="H1475" s="1237"/>
      <c r="I1475" s="1237"/>
      <c r="J1475" s="1237"/>
      <c r="K1475" s="1237"/>
      <c r="L1475" s="1237"/>
      <c r="M1475" s="1237"/>
      <c r="N1475" s="1237"/>
      <c r="O1475" s="2024"/>
      <c r="P1475" s="2946"/>
      <c r="Q1475" s="1238"/>
      <c r="R1475" s="1239"/>
    </row>
    <row r="1476" spans="1:18" ht="18.75" customHeight="1">
      <c r="A1476" s="2927"/>
      <c r="B1476" s="1237"/>
      <c r="C1476" s="1237"/>
      <c r="D1476" s="1237"/>
      <c r="E1476" s="1237"/>
      <c r="F1476" s="1237"/>
      <c r="G1476" s="1237"/>
      <c r="H1476" s="1237"/>
      <c r="I1476" s="1237"/>
      <c r="J1476" s="1237"/>
      <c r="K1476" s="1237"/>
      <c r="L1476" s="1237"/>
      <c r="M1476" s="1237"/>
      <c r="N1476" s="1237"/>
      <c r="O1476" s="2024"/>
      <c r="P1476" s="2947"/>
      <c r="Q1476" s="1238"/>
      <c r="R1476" s="1239"/>
    </row>
    <row r="1477" spans="1:18" ht="18.75" customHeight="1">
      <c r="A1477" s="2927"/>
      <c r="B1477" s="1237"/>
      <c r="C1477" s="1237"/>
      <c r="D1477" s="1237"/>
      <c r="E1477" s="1237"/>
      <c r="F1477" s="1237"/>
      <c r="G1477" s="1237"/>
      <c r="H1477" s="1237"/>
      <c r="I1477" s="1237"/>
      <c r="J1477" s="1237"/>
      <c r="K1477" s="1237"/>
      <c r="L1477" s="1237"/>
      <c r="M1477" s="1237"/>
      <c r="N1477" s="1237"/>
      <c r="O1477" s="2024"/>
      <c r="P1477" s="2947"/>
      <c r="Q1477" s="1238"/>
      <c r="R1477" s="1239"/>
    </row>
    <row r="1478" spans="1:18" ht="18.75" customHeight="1">
      <c r="A1478" s="2927"/>
      <c r="B1478" s="1237"/>
      <c r="C1478" s="1237"/>
      <c r="D1478" s="1237"/>
      <c r="E1478" s="1237"/>
      <c r="F1478" s="1237"/>
      <c r="G1478" s="1237"/>
      <c r="H1478" s="1237"/>
      <c r="I1478" s="1237"/>
      <c r="J1478" s="2945"/>
      <c r="K1478" s="2945"/>
      <c r="L1478" s="2945"/>
      <c r="M1478" s="1237"/>
      <c r="N1478" s="1237"/>
      <c r="O1478" s="2024"/>
      <c r="P1478" s="2947"/>
      <c r="Q1478" s="1238"/>
      <c r="R1478" s="1239"/>
    </row>
    <row r="1479" spans="1:18" ht="18.75" customHeight="1">
      <c r="A1479" s="2927"/>
      <c r="B1479" s="1237"/>
      <c r="C1479" s="1237"/>
      <c r="D1479" s="1237"/>
      <c r="E1479" s="1237"/>
      <c r="F1479" s="1237"/>
      <c r="G1479" s="1237"/>
      <c r="H1479" s="1237"/>
      <c r="I1479" s="1237"/>
      <c r="J1479" s="1237"/>
      <c r="K1479" s="1237"/>
      <c r="L1479" s="1237"/>
      <c r="M1479" s="1237"/>
      <c r="N1479" s="1237"/>
      <c r="O1479" s="2024"/>
      <c r="P1479" s="2948"/>
      <c r="Q1479" s="1238"/>
      <c r="R1479" s="1239"/>
    </row>
    <row r="1480" spans="1:18" ht="18.75" customHeight="1">
      <c r="A1480" s="2927"/>
      <c r="B1480" s="1237"/>
      <c r="C1480" s="1237"/>
      <c r="D1480" s="1237"/>
      <c r="E1480" s="1237"/>
      <c r="F1480" s="1237"/>
      <c r="G1480" s="1237"/>
      <c r="H1480" s="1237"/>
      <c r="I1480" s="1237"/>
      <c r="J1480" s="1237"/>
      <c r="K1480" s="1237"/>
      <c r="L1480" s="1237"/>
      <c r="M1480" s="1237"/>
      <c r="N1480" s="1237"/>
      <c r="O1480" s="2024"/>
      <c r="P1480" s="2946"/>
      <c r="Q1480" s="1238"/>
      <c r="R1480" s="1239"/>
    </row>
    <row r="1481" spans="1:18" ht="18.75" customHeight="1">
      <c r="A1481" s="2927"/>
      <c r="B1481" s="1237"/>
      <c r="C1481" s="1237"/>
      <c r="D1481" s="1237"/>
      <c r="E1481" s="1237"/>
      <c r="F1481" s="1237"/>
      <c r="G1481" s="1237"/>
      <c r="H1481" s="1237"/>
      <c r="I1481" s="1237"/>
      <c r="J1481" s="1237"/>
      <c r="K1481" s="1237"/>
      <c r="L1481" s="1237"/>
      <c r="M1481" s="1237"/>
      <c r="N1481" s="1237"/>
      <c r="O1481" s="2024"/>
      <c r="P1481" s="2947"/>
      <c r="Q1481" s="1238"/>
      <c r="R1481" s="1239"/>
    </row>
    <row r="1482" spans="1:18" ht="18.75" customHeight="1">
      <c r="A1482" s="2927"/>
      <c r="B1482" s="1237"/>
      <c r="C1482" s="1237"/>
      <c r="D1482" s="1237"/>
      <c r="E1482" s="1237"/>
      <c r="F1482" s="1237"/>
      <c r="G1482" s="1237"/>
      <c r="H1482" s="1237"/>
      <c r="I1482" s="1237"/>
      <c r="J1482" s="1237"/>
      <c r="K1482" s="1237"/>
      <c r="L1482" s="1237"/>
      <c r="M1482" s="1237"/>
      <c r="N1482" s="1237"/>
      <c r="O1482" s="2024"/>
      <c r="P1482" s="2947"/>
      <c r="Q1482" s="1238"/>
      <c r="R1482" s="1239"/>
    </row>
    <row r="1483" spans="1:18" ht="18.75" customHeight="1">
      <c r="A1483" s="2927"/>
      <c r="B1483" s="1237"/>
      <c r="C1483" s="1237"/>
      <c r="D1483" s="1237"/>
      <c r="E1483" s="1237"/>
      <c r="F1483" s="1237"/>
      <c r="G1483" s="1237"/>
      <c r="H1483" s="1237"/>
      <c r="I1483" s="1237"/>
      <c r="J1483" s="2945"/>
      <c r="K1483" s="2945"/>
      <c r="L1483" s="2945"/>
      <c r="M1483" s="1237"/>
      <c r="N1483" s="1237"/>
      <c r="O1483" s="2024"/>
      <c r="P1483" s="2947"/>
      <c r="Q1483" s="1238"/>
      <c r="R1483" s="1239"/>
    </row>
    <row r="1484" spans="1:18" ht="18.75" customHeight="1">
      <c r="A1484" s="2927"/>
      <c r="B1484" s="1237"/>
      <c r="C1484" s="1237"/>
      <c r="D1484" s="1237"/>
      <c r="E1484" s="1237"/>
      <c r="F1484" s="1237"/>
      <c r="G1484" s="1237"/>
      <c r="H1484" s="1237"/>
      <c r="I1484" s="1237"/>
      <c r="J1484" s="1237"/>
      <c r="K1484" s="1237"/>
      <c r="L1484" s="1237"/>
      <c r="M1484" s="1237"/>
      <c r="N1484" s="1237"/>
      <c r="O1484" s="2024"/>
      <c r="P1484" s="2948"/>
      <c r="Q1484" s="1238"/>
      <c r="R1484" s="1239"/>
    </row>
    <row r="1485" spans="1:18" ht="18.75" customHeight="1">
      <c r="A1485" s="2927"/>
      <c r="B1485" s="1237"/>
      <c r="C1485" s="1237"/>
      <c r="D1485" s="1237"/>
      <c r="E1485" s="1237"/>
      <c r="F1485" s="1237"/>
      <c r="G1485" s="1237"/>
      <c r="H1485" s="1237"/>
      <c r="I1485" s="1237"/>
      <c r="J1485" s="1237"/>
      <c r="K1485" s="1237"/>
      <c r="L1485" s="1237"/>
      <c r="M1485" s="1237"/>
      <c r="N1485" s="1237"/>
      <c r="O1485" s="2024"/>
      <c r="P1485" s="2946"/>
      <c r="Q1485" s="1238"/>
      <c r="R1485" s="1239"/>
    </row>
    <row r="1486" spans="1:18" ht="18.75" customHeight="1">
      <c r="A1486" s="2927"/>
      <c r="B1486" s="1237"/>
      <c r="C1486" s="1237"/>
      <c r="D1486" s="1237"/>
      <c r="E1486" s="1237"/>
      <c r="F1486" s="1237"/>
      <c r="G1486" s="1237"/>
      <c r="H1486" s="1237"/>
      <c r="I1486" s="1237"/>
      <c r="J1486" s="1237"/>
      <c r="K1486" s="1237"/>
      <c r="L1486" s="1237"/>
      <c r="M1486" s="1237"/>
      <c r="N1486" s="1237"/>
      <c r="O1486" s="2024"/>
      <c r="P1486" s="2947"/>
      <c r="Q1486" s="1238"/>
      <c r="R1486" s="1239"/>
    </row>
    <row r="1487" spans="1:18" ht="18.75" customHeight="1">
      <c r="A1487" s="2927"/>
      <c r="B1487" s="1237"/>
      <c r="C1487" s="1237"/>
      <c r="D1487" s="1237"/>
      <c r="E1487" s="1237"/>
      <c r="F1487" s="1237"/>
      <c r="G1487" s="1237"/>
      <c r="H1487" s="1237"/>
      <c r="I1487" s="1237"/>
      <c r="J1487" s="1237"/>
      <c r="K1487" s="1237"/>
      <c r="L1487" s="1237"/>
      <c r="M1487" s="1237"/>
      <c r="N1487" s="1237"/>
      <c r="O1487" s="2024"/>
      <c r="P1487" s="2947"/>
      <c r="Q1487" s="1238"/>
      <c r="R1487" s="1239"/>
    </row>
    <row r="1488" spans="1:18" ht="18.75" customHeight="1">
      <c r="A1488" s="2927"/>
      <c r="B1488" s="1237"/>
      <c r="C1488" s="1237"/>
      <c r="D1488" s="1237"/>
      <c r="E1488" s="1237"/>
      <c r="F1488" s="1237"/>
      <c r="G1488" s="1237"/>
      <c r="H1488" s="1237"/>
      <c r="I1488" s="1237"/>
      <c r="J1488" s="2945"/>
      <c r="K1488" s="2945"/>
      <c r="L1488" s="2945"/>
      <c r="M1488" s="1237"/>
      <c r="N1488" s="1237"/>
      <c r="O1488" s="2024"/>
      <c r="P1488" s="2947"/>
      <c r="Q1488" s="1238"/>
      <c r="R1488" s="1239"/>
    </row>
    <row r="1489" spans="1:18" ht="18.75" customHeight="1">
      <c r="A1489" s="2927"/>
      <c r="B1489" s="1237"/>
      <c r="C1489" s="1237"/>
      <c r="D1489" s="1237"/>
      <c r="E1489" s="1237"/>
      <c r="F1489" s="1237"/>
      <c r="G1489" s="1237"/>
      <c r="H1489" s="1237"/>
      <c r="I1489" s="1237"/>
      <c r="J1489" s="1237"/>
      <c r="K1489" s="1237"/>
      <c r="L1489" s="1237"/>
      <c r="M1489" s="1237"/>
      <c r="N1489" s="1237"/>
      <c r="O1489" s="2024"/>
      <c r="P1489" s="2947"/>
      <c r="Q1489" s="1238"/>
      <c r="R1489" s="1239"/>
    </row>
    <row r="1490" spans="1:18" ht="18.75" customHeight="1">
      <c r="A1490" s="2927"/>
      <c r="B1490" s="1237"/>
      <c r="C1490" s="1237"/>
      <c r="D1490" s="1237"/>
      <c r="E1490" s="1237"/>
      <c r="F1490" s="1237"/>
      <c r="G1490" s="1237"/>
      <c r="H1490" s="1237"/>
      <c r="I1490" s="1237"/>
      <c r="J1490" s="1237"/>
      <c r="K1490" s="1237"/>
      <c r="L1490" s="1237"/>
      <c r="M1490" s="1237"/>
      <c r="N1490" s="1237"/>
      <c r="O1490" s="2024"/>
      <c r="P1490" s="2947"/>
      <c r="Q1490" s="1238"/>
      <c r="R1490" s="1239"/>
    </row>
    <row r="1491" spans="1:18" ht="18.75" customHeight="1" thickBot="1">
      <c r="A1491" s="2953"/>
      <c r="B1491" s="1610"/>
      <c r="C1491" s="1610"/>
      <c r="D1491" s="1610"/>
      <c r="E1491" s="1610"/>
      <c r="F1491" s="1610"/>
      <c r="G1491" s="1610"/>
      <c r="H1491" s="1610"/>
      <c r="I1491" s="1610"/>
      <c r="J1491" s="1610"/>
      <c r="K1491" s="1610"/>
      <c r="L1491" s="1610"/>
      <c r="M1491" s="1610"/>
      <c r="N1491" s="1610"/>
      <c r="O1491" s="2036"/>
      <c r="P1491" s="2970"/>
      <c r="Q1491" s="1611"/>
      <c r="R1491" s="1612"/>
    </row>
    <row r="1492" spans="1:18" ht="18.75" customHeight="1">
      <c r="A1492" s="2926"/>
      <c r="B1492" s="1585"/>
      <c r="C1492" s="1585"/>
      <c r="D1492" s="1585"/>
      <c r="E1492" s="1585"/>
      <c r="F1492" s="1585"/>
      <c r="G1492" s="1585"/>
      <c r="H1492" s="1585"/>
      <c r="I1492" s="1585"/>
      <c r="J1492" s="1585"/>
      <c r="K1492" s="1585"/>
      <c r="L1492" s="1585"/>
      <c r="M1492" s="1585"/>
      <c r="N1492" s="1585"/>
      <c r="O1492" s="2026"/>
      <c r="P1492" s="2949"/>
      <c r="Q1492" s="1586"/>
      <c r="R1492" s="1587"/>
    </row>
    <row r="1493" spans="1:18" ht="18.75" customHeight="1">
      <c r="A1493" s="2927"/>
      <c r="B1493" s="1237"/>
      <c r="C1493" s="1237"/>
      <c r="D1493" s="1237"/>
      <c r="E1493" s="1237"/>
      <c r="F1493" s="1237"/>
      <c r="G1493" s="1237"/>
      <c r="H1493" s="1237"/>
      <c r="I1493" s="1237"/>
      <c r="J1493" s="1237"/>
      <c r="K1493" s="1237"/>
      <c r="L1493" s="1237"/>
      <c r="M1493" s="1237"/>
      <c r="N1493" s="1574"/>
      <c r="O1493" s="2024"/>
      <c r="P1493" s="2947"/>
      <c r="Q1493" s="1238"/>
      <c r="R1493" s="1239"/>
    </row>
    <row r="1494" spans="1:18" ht="18.75" customHeight="1">
      <c r="A1494" s="2927"/>
      <c r="B1494" s="1237"/>
      <c r="C1494" s="1237"/>
      <c r="D1494" s="1237"/>
      <c r="E1494" s="1237"/>
      <c r="F1494" s="1237"/>
      <c r="G1494" s="1237"/>
      <c r="H1494" s="1237"/>
      <c r="I1494" s="1237"/>
      <c r="J1494" s="1237"/>
      <c r="K1494" s="1237"/>
      <c r="L1494" s="1237"/>
      <c r="M1494" s="1237"/>
      <c r="N1494" s="1574"/>
      <c r="O1494" s="2024"/>
      <c r="P1494" s="2947"/>
      <c r="Q1494" s="1238"/>
      <c r="R1494" s="1239"/>
    </row>
    <row r="1495" spans="1:18" ht="18.75" customHeight="1">
      <c r="A1495" s="2927"/>
      <c r="B1495" s="1237"/>
      <c r="C1495" s="1237"/>
      <c r="D1495" s="1237"/>
      <c r="E1495" s="1237"/>
      <c r="F1495" s="1237"/>
      <c r="G1495" s="1237"/>
      <c r="H1495" s="1237"/>
      <c r="I1495" s="1237"/>
      <c r="J1495" s="1237"/>
      <c r="K1495" s="1237"/>
      <c r="L1495" s="1237"/>
      <c r="M1495" s="1237"/>
      <c r="N1495" s="1237"/>
      <c r="O1495" s="2024"/>
      <c r="P1495" s="2948"/>
      <c r="Q1495" s="1238"/>
      <c r="R1495" s="1239"/>
    </row>
    <row r="1496" spans="1:18" ht="18.75" customHeight="1">
      <c r="A1496" s="2927"/>
      <c r="B1496" s="1237"/>
      <c r="C1496" s="1237"/>
      <c r="D1496" s="1237"/>
      <c r="E1496" s="1237"/>
      <c r="F1496" s="1237"/>
      <c r="G1496" s="1237"/>
      <c r="H1496" s="1237"/>
      <c r="I1496" s="1237"/>
      <c r="J1496" s="1237"/>
      <c r="K1496" s="1237"/>
      <c r="L1496" s="1237"/>
      <c r="M1496" s="1237"/>
      <c r="N1496" s="1237"/>
      <c r="O1496" s="2024"/>
      <c r="P1496" s="2946"/>
      <c r="Q1496" s="1238"/>
      <c r="R1496" s="1239"/>
    </row>
    <row r="1497" spans="1:18" ht="18.75" customHeight="1">
      <c r="A1497" s="2927"/>
      <c r="B1497" s="1237"/>
      <c r="C1497" s="1237"/>
      <c r="D1497" s="1237"/>
      <c r="E1497" s="1237"/>
      <c r="F1497" s="1237"/>
      <c r="G1497" s="1237"/>
      <c r="H1497" s="1237"/>
      <c r="I1497" s="1237"/>
      <c r="J1497" s="1237"/>
      <c r="K1497" s="1237"/>
      <c r="L1497" s="1237"/>
      <c r="M1497" s="1237"/>
      <c r="N1497" s="1237"/>
      <c r="O1497" s="2024"/>
      <c r="P1497" s="2948"/>
      <c r="Q1497" s="1238"/>
      <c r="R1497" s="1239"/>
    </row>
    <row r="1498" spans="1:18" ht="18.75" customHeight="1">
      <c r="A1498" s="2927"/>
      <c r="B1498" s="1237"/>
      <c r="C1498" s="1237"/>
      <c r="D1498" s="1237"/>
      <c r="E1498" s="1237"/>
      <c r="F1498" s="1237"/>
      <c r="G1498" s="1237"/>
      <c r="H1498" s="1237"/>
      <c r="I1498" s="1237"/>
      <c r="J1498" s="1237"/>
      <c r="K1498" s="1237"/>
      <c r="L1498" s="1237"/>
      <c r="M1498" s="1237"/>
      <c r="N1498" s="1237"/>
      <c r="O1498" s="2024"/>
      <c r="P1498" s="2946"/>
      <c r="Q1498" s="1238"/>
      <c r="R1498" s="1239"/>
    </row>
    <row r="1499" spans="1:18" ht="18.75" customHeight="1">
      <c r="A1499" s="2927"/>
      <c r="B1499" s="1237"/>
      <c r="C1499" s="1237"/>
      <c r="D1499" s="1237"/>
      <c r="E1499" s="1237"/>
      <c r="F1499" s="1237"/>
      <c r="G1499" s="1237"/>
      <c r="H1499" s="1237"/>
      <c r="I1499" s="1237"/>
      <c r="J1499" s="1237"/>
      <c r="K1499" s="1237"/>
      <c r="L1499" s="1237"/>
      <c r="M1499" s="1237"/>
      <c r="N1499" s="1237"/>
      <c r="O1499" s="2024"/>
      <c r="P1499" s="2947"/>
      <c r="Q1499" s="1238"/>
      <c r="R1499" s="1239"/>
    </row>
    <row r="1500" spans="1:18" ht="18.75" customHeight="1">
      <c r="A1500" s="2927"/>
      <c r="B1500" s="1237"/>
      <c r="C1500" s="1237"/>
      <c r="D1500" s="1237"/>
      <c r="E1500" s="1237"/>
      <c r="F1500" s="1237"/>
      <c r="G1500" s="1237"/>
      <c r="H1500" s="1237"/>
      <c r="I1500" s="1237"/>
      <c r="J1500" s="2945"/>
      <c r="K1500" s="2945"/>
      <c r="L1500" s="2945"/>
      <c r="M1500" s="1237"/>
      <c r="N1500" s="1237"/>
      <c r="O1500" s="2024"/>
      <c r="P1500" s="2947"/>
      <c r="Q1500" s="1238"/>
      <c r="R1500" s="1239"/>
    </row>
    <row r="1501" spans="1:18" ht="18.75" customHeight="1">
      <c r="A1501" s="2927"/>
      <c r="B1501" s="1237"/>
      <c r="C1501" s="1237"/>
      <c r="D1501" s="1237"/>
      <c r="E1501" s="1237"/>
      <c r="F1501" s="1237"/>
      <c r="G1501" s="1237"/>
      <c r="H1501" s="1237"/>
      <c r="I1501" s="1237"/>
      <c r="J1501" s="1237"/>
      <c r="K1501" s="1237"/>
      <c r="L1501" s="1237"/>
      <c r="M1501" s="1237"/>
      <c r="N1501" s="1237"/>
      <c r="O1501" s="2024"/>
      <c r="P1501" s="2948"/>
      <c r="Q1501" s="1238"/>
      <c r="R1501" s="1239"/>
    </row>
    <row r="1502" spans="1:18" ht="18.75" customHeight="1">
      <c r="A1502" s="2927"/>
      <c r="B1502" s="1237"/>
      <c r="C1502" s="1237"/>
      <c r="D1502" s="1237"/>
      <c r="E1502" s="1237"/>
      <c r="F1502" s="1237"/>
      <c r="G1502" s="1237"/>
      <c r="H1502" s="1237"/>
      <c r="I1502" s="1237"/>
      <c r="J1502" s="1237"/>
      <c r="K1502" s="1237"/>
      <c r="L1502" s="1237"/>
      <c r="M1502" s="1237"/>
      <c r="N1502" s="1237"/>
      <c r="O1502" s="2024"/>
      <c r="P1502" s="2946"/>
      <c r="Q1502" s="1238"/>
      <c r="R1502" s="1239"/>
    </row>
    <row r="1503" spans="1:18" ht="18.75" customHeight="1">
      <c r="A1503" s="2927"/>
      <c r="B1503" s="2267"/>
      <c r="C1503" s="1237"/>
      <c r="D1503" s="1237"/>
      <c r="E1503" s="1237"/>
      <c r="F1503" s="1237"/>
      <c r="G1503" s="1237"/>
      <c r="H1503" s="1237"/>
      <c r="I1503" s="1237"/>
      <c r="J1503" s="1237"/>
      <c r="K1503" s="1237"/>
      <c r="L1503" s="1237"/>
      <c r="M1503" s="1237"/>
      <c r="N1503" s="1237"/>
      <c r="O1503" s="2024"/>
      <c r="P1503" s="2947"/>
      <c r="Q1503" s="1238"/>
      <c r="R1503" s="1239"/>
    </row>
    <row r="1504" spans="1:18" ht="18.75" customHeight="1">
      <c r="A1504" s="2927"/>
      <c r="B1504" s="2267"/>
      <c r="C1504" s="1237"/>
      <c r="D1504" s="1237"/>
      <c r="E1504" s="1237"/>
      <c r="F1504" s="1237"/>
      <c r="G1504" s="1237"/>
      <c r="H1504" s="1237"/>
      <c r="I1504" s="1237"/>
      <c r="J1504" s="2950"/>
      <c r="K1504" s="2951"/>
      <c r="L1504" s="2952"/>
      <c r="M1504" s="1237"/>
      <c r="N1504" s="1237"/>
      <c r="O1504" s="2024"/>
      <c r="P1504" s="2947"/>
      <c r="Q1504" s="1238"/>
      <c r="R1504" s="1239"/>
    </row>
    <row r="1505" spans="1:18" ht="18.75" customHeight="1">
      <c r="A1505" s="2927"/>
      <c r="B1505" s="2267"/>
      <c r="C1505" s="1237"/>
      <c r="D1505" s="1237"/>
      <c r="E1505" s="1237"/>
      <c r="F1505" s="1237"/>
      <c r="G1505" s="1237"/>
      <c r="H1505" s="1237"/>
      <c r="I1505" s="1237"/>
      <c r="J1505" s="1237"/>
      <c r="K1505" s="1237"/>
      <c r="L1505" s="1237"/>
      <c r="M1505" s="1237"/>
      <c r="N1505" s="1237"/>
      <c r="O1505" s="2024"/>
      <c r="P1505" s="2947"/>
      <c r="Q1505" s="1238"/>
      <c r="R1505" s="1239"/>
    </row>
    <row r="1506" spans="1:18" ht="18.75" customHeight="1">
      <c r="A1506" s="2927"/>
      <c r="B1506" s="2267"/>
      <c r="C1506" s="1237"/>
      <c r="D1506" s="1237"/>
      <c r="E1506" s="1237"/>
      <c r="F1506" s="1237"/>
      <c r="G1506" s="1237"/>
      <c r="H1506" s="1237"/>
      <c r="I1506" s="1237"/>
      <c r="J1506" s="1237"/>
      <c r="K1506" s="1237"/>
      <c r="L1506" s="1237"/>
      <c r="M1506" s="1237"/>
      <c r="N1506" s="1237"/>
      <c r="O1506" s="2024"/>
      <c r="P1506" s="2947"/>
      <c r="Q1506" s="1238"/>
      <c r="R1506" s="1239"/>
    </row>
    <row r="1507" spans="1:18" ht="18.75" customHeight="1">
      <c r="A1507" s="2927"/>
      <c r="B1507" s="2267"/>
      <c r="C1507" s="1237"/>
      <c r="D1507" s="1237"/>
      <c r="E1507" s="1237"/>
      <c r="F1507" s="1237"/>
      <c r="G1507" s="1237"/>
      <c r="H1507" s="1237"/>
      <c r="I1507" s="1237"/>
      <c r="J1507" s="1237"/>
      <c r="K1507" s="1237"/>
      <c r="L1507" s="1237"/>
      <c r="M1507" s="1237"/>
      <c r="N1507" s="1237"/>
      <c r="O1507" s="2024"/>
      <c r="P1507" s="2948"/>
      <c r="Q1507" s="1238"/>
      <c r="R1507" s="1239"/>
    </row>
    <row r="1508" spans="1:18" ht="18.75" customHeight="1">
      <c r="A1508" s="2927"/>
      <c r="B1508" s="2267"/>
      <c r="C1508" s="1237"/>
      <c r="D1508" s="1237"/>
      <c r="E1508" s="1237"/>
      <c r="F1508" s="1237"/>
      <c r="G1508" s="1237"/>
      <c r="H1508" s="1237"/>
      <c r="I1508" s="1237"/>
      <c r="J1508" s="1237"/>
      <c r="K1508" s="1237"/>
      <c r="L1508" s="1237"/>
      <c r="M1508" s="1237"/>
      <c r="N1508" s="1237"/>
      <c r="O1508" s="2024"/>
      <c r="P1508" s="2946"/>
      <c r="Q1508" s="1238"/>
      <c r="R1508" s="1239"/>
    </row>
    <row r="1509" spans="1:18" ht="18.75" customHeight="1">
      <c r="A1509" s="2927"/>
      <c r="B1509" s="2267"/>
      <c r="C1509" s="1237"/>
      <c r="D1509" s="1237"/>
      <c r="E1509" s="1237"/>
      <c r="F1509" s="1237"/>
      <c r="G1509" s="1237"/>
      <c r="H1509" s="1237"/>
      <c r="I1509" s="1237"/>
      <c r="J1509" s="2950"/>
      <c r="K1509" s="2951"/>
      <c r="L1509" s="2952"/>
      <c r="M1509" s="1237"/>
      <c r="N1509" s="1237"/>
      <c r="O1509" s="2024"/>
      <c r="P1509" s="2947"/>
      <c r="Q1509" s="1238"/>
      <c r="R1509" s="1239"/>
    </row>
    <row r="1510" spans="1:18" ht="18.75" customHeight="1">
      <c r="A1510" s="2927"/>
      <c r="B1510" s="2267"/>
      <c r="C1510" s="1237"/>
      <c r="D1510" s="1237"/>
      <c r="E1510" s="1237"/>
      <c r="F1510" s="1237"/>
      <c r="G1510" s="1237"/>
      <c r="H1510" s="1237"/>
      <c r="I1510" s="1237"/>
      <c r="J1510" s="1237"/>
      <c r="K1510" s="1237"/>
      <c r="L1510" s="1237"/>
      <c r="M1510" s="1237"/>
      <c r="N1510" s="1237"/>
      <c r="O1510" s="2024"/>
      <c r="P1510" s="2947"/>
      <c r="Q1510" s="1238"/>
      <c r="R1510" s="1239"/>
    </row>
    <row r="1511" spans="1:18" ht="18.75" customHeight="1">
      <c r="A1511" s="2927"/>
      <c r="B1511" s="2267"/>
      <c r="C1511" s="1237"/>
      <c r="D1511" s="1237"/>
      <c r="E1511" s="1237"/>
      <c r="F1511" s="1237"/>
      <c r="G1511" s="1237"/>
      <c r="H1511" s="1237"/>
      <c r="I1511" s="1237"/>
      <c r="J1511" s="1237"/>
      <c r="K1511" s="1237"/>
      <c r="L1511" s="1237"/>
      <c r="M1511" s="1237"/>
      <c r="N1511" s="1237"/>
      <c r="O1511" s="2024"/>
      <c r="P1511" s="2947"/>
      <c r="Q1511" s="1238"/>
      <c r="R1511" s="1239"/>
    </row>
    <row r="1512" spans="1:18" ht="18.75" customHeight="1">
      <c r="A1512" s="2927"/>
      <c r="B1512" s="2267"/>
      <c r="C1512" s="1237"/>
      <c r="D1512" s="1237"/>
      <c r="E1512" s="1237"/>
      <c r="F1512" s="1237"/>
      <c r="G1512" s="1237"/>
      <c r="H1512" s="1237"/>
      <c r="I1512" s="1237"/>
      <c r="J1512" s="1237"/>
      <c r="K1512" s="1237"/>
      <c r="L1512" s="1237"/>
      <c r="M1512" s="1237"/>
      <c r="N1512" s="1237"/>
      <c r="O1512" s="2024"/>
      <c r="P1512" s="2947"/>
      <c r="Q1512" s="1238"/>
      <c r="R1512" s="1239"/>
    </row>
    <row r="1513" spans="1:18" ht="18.75" customHeight="1">
      <c r="A1513" s="2927"/>
      <c r="B1513" s="2267"/>
      <c r="C1513" s="1237"/>
      <c r="D1513" s="1237"/>
      <c r="E1513" s="1237"/>
      <c r="F1513" s="1237"/>
      <c r="G1513" s="1237"/>
      <c r="H1513" s="1237"/>
      <c r="I1513" s="1237"/>
      <c r="J1513" s="1237"/>
      <c r="K1513" s="1237"/>
      <c r="L1513" s="1237"/>
      <c r="M1513" s="1237"/>
      <c r="N1513" s="1237"/>
      <c r="O1513" s="2024"/>
      <c r="P1513" s="2947"/>
      <c r="Q1513" s="1238"/>
      <c r="R1513" s="1239"/>
    </row>
    <row r="1514" spans="1:18" ht="18.75" customHeight="1">
      <c r="A1514" s="2927"/>
      <c r="B1514" s="2267"/>
      <c r="C1514" s="1237"/>
      <c r="D1514" s="1237"/>
      <c r="E1514" s="1237"/>
      <c r="F1514" s="1237"/>
      <c r="G1514" s="1237"/>
      <c r="H1514" s="1237"/>
      <c r="I1514" s="1237"/>
      <c r="J1514" s="2950"/>
      <c r="K1514" s="2951"/>
      <c r="L1514" s="2952"/>
      <c r="M1514" s="1237"/>
      <c r="N1514" s="1237"/>
      <c r="O1514" s="2024"/>
      <c r="P1514" s="2947"/>
      <c r="Q1514" s="1238"/>
      <c r="R1514" s="1239"/>
    </row>
    <row r="1515" spans="1:18" ht="18.75" customHeight="1">
      <c r="A1515" s="2927"/>
      <c r="B1515" s="2267"/>
      <c r="C1515" s="1237"/>
      <c r="D1515" s="1237"/>
      <c r="E1515" s="1237"/>
      <c r="F1515" s="1237"/>
      <c r="G1515" s="1237"/>
      <c r="H1515" s="1237"/>
      <c r="I1515" s="1237"/>
      <c r="J1515" s="1237"/>
      <c r="K1515" s="1237"/>
      <c r="L1515" s="1237"/>
      <c r="M1515" s="1237"/>
      <c r="N1515" s="1237"/>
      <c r="O1515" s="2024"/>
      <c r="P1515" s="2947"/>
      <c r="Q1515" s="1238"/>
      <c r="R1515" s="1239"/>
    </row>
    <row r="1516" spans="1:18" ht="18.75" customHeight="1">
      <c r="A1516" s="2927"/>
      <c r="B1516" s="2267"/>
      <c r="C1516" s="1237"/>
      <c r="D1516" s="1237"/>
      <c r="E1516" s="1237"/>
      <c r="F1516" s="1237"/>
      <c r="G1516" s="1237"/>
      <c r="H1516" s="1237"/>
      <c r="I1516" s="1237"/>
      <c r="J1516" s="1237"/>
      <c r="K1516" s="1237"/>
      <c r="L1516" s="1237"/>
      <c r="M1516" s="1237"/>
      <c r="N1516" s="1237"/>
      <c r="O1516" s="2024"/>
      <c r="P1516" s="2947"/>
      <c r="Q1516" s="1238"/>
      <c r="R1516" s="1239"/>
    </row>
    <row r="1517" spans="1:18" ht="18.75" customHeight="1">
      <c r="A1517" s="2927"/>
      <c r="B1517" s="2267"/>
      <c r="C1517" s="1237"/>
      <c r="D1517" s="1237"/>
      <c r="E1517" s="1237"/>
      <c r="F1517" s="1237"/>
      <c r="G1517" s="1237"/>
      <c r="H1517" s="1237"/>
      <c r="I1517" s="1237"/>
      <c r="J1517" s="1237"/>
      <c r="K1517" s="1237"/>
      <c r="L1517" s="1237"/>
      <c r="M1517" s="1237"/>
      <c r="N1517" s="1237"/>
      <c r="O1517" s="2024"/>
      <c r="P1517" s="2948"/>
      <c r="Q1517" s="1238"/>
      <c r="R1517" s="1239"/>
    </row>
    <row r="1518" spans="1:18" ht="18.75" customHeight="1">
      <c r="A1518" s="2927"/>
      <c r="B1518" s="2267"/>
      <c r="C1518" s="1237"/>
      <c r="D1518" s="1237"/>
      <c r="E1518" s="1237"/>
      <c r="F1518" s="1237"/>
      <c r="G1518" s="1237"/>
      <c r="H1518" s="1237"/>
      <c r="I1518" s="1237"/>
      <c r="J1518" s="1237"/>
      <c r="K1518" s="1237"/>
      <c r="L1518" s="1237"/>
      <c r="M1518" s="1237"/>
      <c r="N1518" s="1237"/>
      <c r="O1518" s="2024"/>
      <c r="P1518" s="2946"/>
      <c r="Q1518" s="1238"/>
      <c r="R1518" s="1239"/>
    </row>
    <row r="1519" spans="1:18" ht="18.75" customHeight="1">
      <c r="A1519" s="2927"/>
      <c r="B1519" s="2267"/>
      <c r="C1519" s="1237"/>
      <c r="D1519" s="1237"/>
      <c r="E1519" s="1237"/>
      <c r="F1519" s="1237"/>
      <c r="G1519" s="1237"/>
      <c r="H1519" s="1237"/>
      <c r="I1519" s="1237"/>
      <c r="J1519" s="1237"/>
      <c r="K1519" s="1237"/>
      <c r="L1519" s="1237"/>
      <c r="M1519" s="1237"/>
      <c r="N1519" s="1237"/>
      <c r="O1519" s="2024"/>
      <c r="P1519" s="2947"/>
      <c r="Q1519" s="1238"/>
      <c r="R1519" s="1239"/>
    </row>
    <row r="1520" spans="1:18" ht="18.75" customHeight="1">
      <c r="A1520" s="2927"/>
      <c r="B1520" s="2267"/>
      <c r="C1520" s="1237"/>
      <c r="D1520" s="1237"/>
      <c r="E1520" s="1237"/>
      <c r="F1520" s="1237"/>
      <c r="G1520" s="1237"/>
      <c r="H1520" s="1237"/>
      <c r="I1520" s="1237"/>
      <c r="J1520" s="1237"/>
      <c r="K1520" s="1237"/>
      <c r="L1520" s="1237"/>
      <c r="M1520" s="1237"/>
      <c r="N1520" s="1237"/>
      <c r="O1520" s="2024"/>
      <c r="P1520" s="2947"/>
      <c r="Q1520" s="1238"/>
      <c r="R1520" s="1239"/>
    </row>
    <row r="1521" spans="1:18" ht="18.75" customHeight="1">
      <c r="A1521" s="2927"/>
      <c r="B1521" s="2267"/>
      <c r="C1521" s="1237"/>
      <c r="D1521" s="1237"/>
      <c r="E1521" s="1237"/>
      <c r="F1521" s="1237"/>
      <c r="G1521" s="1237"/>
      <c r="H1521" s="1237"/>
      <c r="I1521" s="1237"/>
      <c r="J1521" s="1237"/>
      <c r="K1521" s="1237"/>
      <c r="L1521" s="1237"/>
      <c r="M1521" s="1237"/>
      <c r="N1521" s="1237"/>
      <c r="O1521" s="2024"/>
      <c r="P1521" s="2947"/>
      <c r="Q1521" s="1238"/>
      <c r="R1521" s="1239"/>
    </row>
    <row r="1522" spans="1:18" ht="18.75" customHeight="1">
      <c r="A1522" s="2927"/>
      <c r="B1522" s="2267"/>
      <c r="C1522" s="1237"/>
      <c r="D1522" s="1237"/>
      <c r="E1522" s="1237"/>
      <c r="F1522" s="1237"/>
      <c r="G1522" s="1237"/>
      <c r="H1522" s="1237"/>
      <c r="I1522" s="1237"/>
      <c r="J1522" s="1237"/>
      <c r="K1522" s="1237"/>
      <c r="L1522" s="1237"/>
      <c r="M1522" s="1237"/>
      <c r="N1522" s="1237"/>
      <c r="O1522" s="2024"/>
      <c r="P1522" s="2947"/>
      <c r="Q1522" s="1238"/>
      <c r="R1522" s="1239"/>
    </row>
    <row r="1523" spans="1:18" ht="18.75" customHeight="1">
      <c r="A1523" s="2927"/>
      <c r="B1523" s="2267"/>
      <c r="C1523" s="1237"/>
      <c r="D1523" s="1237"/>
      <c r="E1523" s="1237"/>
      <c r="F1523" s="1237"/>
      <c r="G1523" s="1237"/>
      <c r="H1523" s="1237"/>
      <c r="I1523" s="1237"/>
      <c r="J1523" s="1237"/>
      <c r="K1523" s="1237"/>
      <c r="L1523" s="1237"/>
      <c r="M1523" s="1237"/>
      <c r="N1523" s="1237"/>
      <c r="O1523" s="2024"/>
      <c r="P1523" s="2947"/>
      <c r="Q1523" s="1238"/>
      <c r="R1523" s="1239"/>
    </row>
    <row r="1524" spans="1:18" ht="18.75" customHeight="1">
      <c r="A1524" s="2927"/>
      <c r="B1524" s="2267"/>
      <c r="C1524" s="1237"/>
      <c r="D1524" s="1237"/>
      <c r="E1524" s="1237"/>
      <c r="F1524" s="1237"/>
      <c r="G1524" s="1237"/>
      <c r="H1524" s="1237"/>
      <c r="I1524" s="1237"/>
      <c r="J1524" s="2950"/>
      <c r="K1524" s="2951"/>
      <c r="L1524" s="2952"/>
      <c r="M1524" s="1237"/>
      <c r="N1524" s="1237"/>
      <c r="O1524" s="2024"/>
      <c r="P1524" s="2947"/>
      <c r="Q1524" s="1238"/>
      <c r="R1524" s="1239"/>
    </row>
    <row r="1525" spans="1:18" ht="18.75" customHeight="1">
      <c r="A1525" s="2927"/>
      <c r="B1525" s="2267"/>
      <c r="C1525" s="1237"/>
      <c r="D1525" s="1237"/>
      <c r="E1525" s="1237"/>
      <c r="F1525" s="1237"/>
      <c r="G1525" s="1237"/>
      <c r="H1525" s="1237"/>
      <c r="I1525" s="1237"/>
      <c r="J1525" s="1237"/>
      <c r="K1525" s="1237"/>
      <c r="L1525" s="1237"/>
      <c r="M1525" s="1237"/>
      <c r="N1525" s="1237"/>
      <c r="O1525" s="2024"/>
      <c r="P1525" s="2947"/>
      <c r="Q1525" s="1238"/>
      <c r="R1525" s="1239"/>
    </row>
    <row r="1526" spans="1:18" ht="18.75" customHeight="1">
      <c r="A1526" s="2927"/>
      <c r="B1526" s="2267"/>
      <c r="C1526" s="1237"/>
      <c r="D1526" s="1237"/>
      <c r="E1526" s="1237"/>
      <c r="F1526" s="1237"/>
      <c r="G1526" s="1237"/>
      <c r="H1526" s="1237"/>
      <c r="I1526" s="1237"/>
      <c r="J1526" s="1237"/>
      <c r="K1526" s="1237"/>
      <c r="L1526" s="1237"/>
      <c r="M1526" s="1237"/>
      <c r="N1526" s="1237"/>
      <c r="O1526" s="2024"/>
      <c r="P1526" s="2947"/>
      <c r="Q1526" s="1238"/>
      <c r="R1526" s="1239"/>
    </row>
    <row r="1527" spans="1:18" ht="18.75" customHeight="1">
      <c r="A1527" s="2927"/>
      <c r="B1527" s="2267"/>
      <c r="C1527" s="1237"/>
      <c r="D1527" s="1237"/>
      <c r="E1527" s="1237"/>
      <c r="F1527" s="1237"/>
      <c r="G1527" s="1237"/>
      <c r="H1527" s="1237"/>
      <c r="I1527" s="1237"/>
      <c r="J1527" s="1237"/>
      <c r="K1527" s="1237"/>
      <c r="L1527" s="1237"/>
      <c r="M1527" s="1237"/>
      <c r="N1527" s="1237"/>
      <c r="O1527" s="2024"/>
      <c r="P1527" s="2947"/>
      <c r="Q1527" s="1238"/>
      <c r="R1527" s="1239"/>
    </row>
    <row r="1528" spans="1:18" ht="18.75" customHeight="1">
      <c r="A1528" s="2927"/>
      <c r="B1528" s="2267"/>
      <c r="C1528" s="1237"/>
      <c r="D1528" s="1237"/>
      <c r="E1528" s="1237"/>
      <c r="F1528" s="1237"/>
      <c r="G1528" s="1237"/>
      <c r="H1528" s="1237"/>
      <c r="I1528" s="1237"/>
      <c r="J1528" s="1237"/>
      <c r="K1528" s="1237"/>
      <c r="L1528" s="1237"/>
      <c r="M1528" s="1237"/>
      <c r="N1528" s="1237"/>
      <c r="O1528" s="2024"/>
      <c r="P1528" s="2947"/>
      <c r="Q1528" s="1238"/>
      <c r="R1528" s="1239"/>
    </row>
    <row r="1529" spans="1:18" ht="18.75" customHeight="1">
      <c r="A1529" s="2927"/>
      <c r="B1529" s="2267"/>
      <c r="C1529" s="1237"/>
      <c r="D1529" s="1237"/>
      <c r="E1529" s="1237"/>
      <c r="F1529" s="1237"/>
      <c r="G1529" s="1237"/>
      <c r="H1529" s="1237"/>
      <c r="I1529" s="1237"/>
      <c r="J1529" s="2950"/>
      <c r="K1529" s="2951"/>
      <c r="L1529" s="2952"/>
      <c r="M1529" s="1237"/>
      <c r="N1529" s="1237"/>
      <c r="O1529" s="2024"/>
      <c r="P1529" s="2947"/>
      <c r="Q1529" s="1238"/>
      <c r="R1529" s="1239"/>
    </row>
    <row r="1530" spans="1:18" ht="18.75" customHeight="1">
      <c r="A1530" s="2927"/>
      <c r="B1530" s="2267"/>
      <c r="C1530" s="1237"/>
      <c r="D1530" s="1237"/>
      <c r="E1530" s="1237"/>
      <c r="F1530" s="1237"/>
      <c r="G1530" s="1237"/>
      <c r="H1530" s="1237"/>
      <c r="I1530" s="1237"/>
      <c r="J1530" s="1237"/>
      <c r="K1530" s="1237"/>
      <c r="L1530" s="1237"/>
      <c r="M1530" s="1237"/>
      <c r="N1530" s="1237"/>
      <c r="O1530" s="2024"/>
      <c r="P1530" s="2947"/>
      <c r="Q1530" s="1238"/>
      <c r="R1530" s="1239"/>
    </row>
    <row r="1531" spans="1:18" ht="18.75" customHeight="1">
      <c r="A1531" s="2927"/>
      <c r="B1531" s="2267"/>
      <c r="C1531" s="1237"/>
      <c r="D1531" s="1237"/>
      <c r="E1531" s="1237"/>
      <c r="F1531" s="1237"/>
      <c r="G1531" s="1237"/>
      <c r="H1531" s="1237"/>
      <c r="I1531" s="1237"/>
      <c r="J1531" s="1237"/>
      <c r="K1531" s="1237"/>
      <c r="L1531" s="1237"/>
      <c r="M1531" s="1237"/>
      <c r="N1531" s="1237"/>
      <c r="O1531" s="2024"/>
      <c r="P1531" s="2948"/>
      <c r="Q1531" s="1238"/>
      <c r="R1531" s="1239"/>
    </row>
    <row r="1532" spans="1:18" ht="18.75" customHeight="1">
      <c r="A1532" s="2927"/>
      <c r="B1532" s="2267"/>
      <c r="C1532" s="1237"/>
      <c r="D1532" s="1237"/>
      <c r="E1532" s="1237"/>
      <c r="F1532" s="1237"/>
      <c r="G1532" s="1237"/>
      <c r="H1532" s="1237"/>
      <c r="I1532" s="1237"/>
      <c r="J1532" s="1237"/>
      <c r="K1532" s="1237"/>
      <c r="L1532" s="1237"/>
      <c r="M1532" s="1237"/>
      <c r="N1532" s="1237"/>
      <c r="O1532" s="2024"/>
      <c r="P1532" s="2946"/>
      <c r="Q1532" s="1238"/>
      <c r="R1532" s="1239"/>
    </row>
    <row r="1533" spans="1:18" ht="18.75" customHeight="1">
      <c r="A1533" s="2927"/>
      <c r="B1533" s="2267"/>
      <c r="C1533" s="1237"/>
      <c r="D1533" s="1237"/>
      <c r="E1533" s="1237"/>
      <c r="F1533" s="1237"/>
      <c r="G1533" s="1237"/>
      <c r="H1533" s="1237"/>
      <c r="I1533" s="1237"/>
      <c r="J1533" s="1237"/>
      <c r="K1533" s="1237"/>
      <c r="L1533" s="1237"/>
      <c r="M1533" s="1237"/>
      <c r="N1533" s="1237"/>
      <c r="O1533" s="2024"/>
      <c r="P1533" s="2947"/>
      <c r="Q1533" s="1238"/>
      <c r="R1533" s="1239"/>
    </row>
    <row r="1534" spans="1:18" ht="18.75" customHeight="1">
      <c r="A1534" s="2927"/>
      <c r="B1534" s="2267"/>
      <c r="C1534" s="1237"/>
      <c r="D1534" s="1237"/>
      <c r="E1534" s="1237"/>
      <c r="F1534" s="1237"/>
      <c r="G1534" s="1237"/>
      <c r="H1534" s="1237"/>
      <c r="I1534" s="1237"/>
      <c r="J1534" s="2950"/>
      <c r="K1534" s="2951"/>
      <c r="L1534" s="2952"/>
      <c r="M1534" s="1237"/>
      <c r="N1534" s="1237"/>
      <c r="O1534" s="2024"/>
      <c r="P1534" s="2947"/>
      <c r="Q1534" s="1238"/>
      <c r="R1534" s="1239"/>
    </row>
    <row r="1535" spans="1:18" ht="18.75" customHeight="1">
      <c r="A1535" s="2927"/>
      <c r="B1535" s="2267"/>
      <c r="C1535" s="1237"/>
      <c r="D1535" s="1237"/>
      <c r="E1535" s="1237"/>
      <c r="F1535" s="1237"/>
      <c r="G1535" s="1237"/>
      <c r="H1535" s="1237"/>
      <c r="I1535" s="1237"/>
      <c r="J1535" s="1237"/>
      <c r="K1535" s="1237"/>
      <c r="L1535" s="1237"/>
      <c r="M1535" s="1237"/>
      <c r="N1535" s="1237"/>
      <c r="O1535" s="2024"/>
      <c r="P1535" s="2948"/>
      <c r="Q1535" s="1238"/>
      <c r="R1535" s="1239"/>
    </row>
    <row r="1536" spans="1:18" ht="18.75" customHeight="1">
      <c r="A1536" s="2927"/>
      <c r="B1536" s="2267"/>
      <c r="C1536" s="1237"/>
      <c r="D1536" s="1237"/>
      <c r="E1536" s="1237"/>
      <c r="F1536" s="1237"/>
      <c r="G1536" s="1237"/>
      <c r="H1536" s="1237"/>
      <c r="I1536" s="1237"/>
      <c r="J1536" s="1237"/>
      <c r="K1536" s="1237"/>
      <c r="L1536" s="1237"/>
      <c r="M1536" s="1237"/>
      <c r="N1536" s="1237"/>
      <c r="O1536" s="2024"/>
      <c r="P1536" s="2946"/>
      <c r="Q1536" s="1238"/>
      <c r="R1536" s="1239"/>
    </row>
    <row r="1537" spans="1:18" ht="18.75" customHeight="1">
      <c r="A1537" s="2927"/>
      <c r="B1537" s="2267"/>
      <c r="C1537" s="1237"/>
      <c r="D1537" s="1237"/>
      <c r="E1537" s="1237"/>
      <c r="F1537" s="1237"/>
      <c r="G1537" s="1237"/>
      <c r="H1537" s="1237"/>
      <c r="I1537" s="1237"/>
      <c r="J1537" s="1237"/>
      <c r="K1537" s="1237"/>
      <c r="L1537" s="1237"/>
      <c r="M1537" s="1237"/>
      <c r="N1537" s="1237"/>
      <c r="O1537" s="2024"/>
      <c r="P1537" s="2947"/>
      <c r="Q1537" s="1238"/>
      <c r="R1537" s="1239"/>
    </row>
    <row r="1538" spans="1:18" ht="18.75" customHeight="1">
      <c r="A1538" s="2927"/>
      <c r="B1538" s="2267"/>
      <c r="C1538" s="1237"/>
      <c r="D1538" s="1237"/>
      <c r="E1538" s="1237"/>
      <c r="F1538" s="1237"/>
      <c r="G1538" s="1237"/>
      <c r="H1538" s="1237"/>
      <c r="I1538" s="1237"/>
      <c r="J1538" s="1237"/>
      <c r="K1538" s="1237"/>
      <c r="L1538" s="1237"/>
      <c r="M1538" s="1237"/>
      <c r="N1538" s="1237"/>
      <c r="O1538" s="2024"/>
      <c r="P1538" s="2947"/>
      <c r="Q1538" s="1238"/>
      <c r="R1538" s="1239"/>
    </row>
    <row r="1539" spans="1:18" ht="18.75" customHeight="1">
      <c r="A1539" s="2927"/>
      <c r="B1539" s="2267"/>
      <c r="C1539" s="1237"/>
      <c r="D1539" s="1237"/>
      <c r="E1539" s="1237"/>
      <c r="F1539" s="1237"/>
      <c r="G1539" s="1237"/>
      <c r="H1539" s="1237"/>
      <c r="I1539" s="1237"/>
      <c r="J1539" s="2950"/>
      <c r="K1539" s="2951"/>
      <c r="L1539" s="2952"/>
      <c r="M1539" s="1237"/>
      <c r="N1539" s="1237"/>
      <c r="O1539" s="2024"/>
      <c r="P1539" s="2947"/>
      <c r="Q1539" s="1238"/>
      <c r="R1539" s="1239"/>
    </row>
    <row r="1540" spans="1:18" ht="18.75" customHeight="1">
      <c r="A1540" s="2927"/>
      <c r="B1540" s="2267"/>
      <c r="C1540" s="1237"/>
      <c r="D1540" s="1237"/>
      <c r="E1540" s="1237"/>
      <c r="F1540" s="1237"/>
      <c r="G1540" s="1237"/>
      <c r="H1540" s="1237"/>
      <c r="I1540" s="1237"/>
      <c r="J1540" s="1237"/>
      <c r="K1540" s="1237"/>
      <c r="L1540" s="1237"/>
      <c r="M1540" s="1237"/>
      <c r="N1540" s="1237"/>
      <c r="O1540" s="2024"/>
      <c r="P1540" s="2947"/>
      <c r="Q1540" s="1238"/>
      <c r="R1540" s="1239"/>
    </row>
    <row r="1541" spans="1:18" ht="18.75" customHeight="1">
      <c r="A1541" s="2927"/>
      <c r="B1541" s="2267"/>
      <c r="C1541" s="1237"/>
      <c r="D1541" s="1237"/>
      <c r="E1541" s="1237"/>
      <c r="F1541" s="1237"/>
      <c r="G1541" s="1237"/>
      <c r="H1541" s="1237"/>
      <c r="I1541" s="1237"/>
      <c r="J1541" s="1237"/>
      <c r="K1541" s="1237"/>
      <c r="L1541" s="1237"/>
      <c r="M1541" s="1237"/>
      <c r="N1541" s="1237"/>
      <c r="O1541" s="2024"/>
      <c r="P1541" s="2947"/>
      <c r="Q1541" s="1238"/>
      <c r="R1541" s="1239"/>
    </row>
    <row r="1542" spans="1:18" ht="18.75" customHeight="1">
      <c r="A1542" s="2927"/>
      <c r="B1542" s="2267"/>
      <c r="C1542" s="1237"/>
      <c r="D1542" s="1237"/>
      <c r="E1542" s="1237"/>
      <c r="F1542" s="1237"/>
      <c r="G1542" s="1237"/>
      <c r="H1542" s="1237"/>
      <c r="I1542" s="1237"/>
      <c r="J1542" s="1237"/>
      <c r="K1542" s="1237"/>
      <c r="L1542" s="1237"/>
      <c r="M1542" s="1237"/>
      <c r="N1542" s="1237"/>
      <c r="O1542" s="2024"/>
      <c r="P1542" s="2948"/>
      <c r="Q1542" s="1238"/>
      <c r="R1542" s="1239"/>
    </row>
    <row r="1543" spans="1:18" ht="18.75" customHeight="1">
      <c r="A1543" s="2927"/>
      <c r="B1543" s="2267"/>
      <c r="C1543" s="1237"/>
      <c r="D1543" s="1237"/>
      <c r="E1543" s="1237"/>
      <c r="F1543" s="1237"/>
      <c r="G1543" s="1237"/>
      <c r="H1543" s="1237"/>
      <c r="I1543" s="1237"/>
      <c r="J1543" s="1237"/>
      <c r="K1543" s="1237"/>
      <c r="L1543" s="1237"/>
      <c r="M1543" s="1237"/>
      <c r="N1543" s="1237"/>
      <c r="O1543" s="2024"/>
      <c r="P1543" s="2946"/>
      <c r="Q1543" s="1238"/>
      <c r="R1543" s="1239"/>
    </row>
    <row r="1544" spans="1:18" ht="18.75" customHeight="1">
      <c r="A1544" s="2927"/>
      <c r="B1544" s="2267"/>
      <c r="C1544" s="1237"/>
      <c r="D1544" s="1237"/>
      <c r="E1544" s="1237"/>
      <c r="F1544" s="1237"/>
      <c r="G1544" s="1237"/>
      <c r="H1544" s="1237"/>
      <c r="I1544" s="1237"/>
      <c r="J1544" s="2950"/>
      <c r="K1544" s="2951"/>
      <c r="L1544" s="2952"/>
      <c r="M1544" s="1237"/>
      <c r="N1544" s="1237"/>
      <c r="O1544" s="2024"/>
      <c r="P1544" s="2947"/>
      <c r="Q1544" s="1238"/>
      <c r="R1544" s="1239"/>
    </row>
    <row r="1545" spans="1:18" ht="18.75" customHeight="1">
      <c r="A1545" s="2927"/>
      <c r="B1545" s="2267"/>
      <c r="C1545" s="1237"/>
      <c r="D1545" s="1237"/>
      <c r="E1545" s="1237"/>
      <c r="F1545" s="1237"/>
      <c r="G1545" s="1237"/>
      <c r="H1545" s="1237"/>
      <c r="I1545" s="1237"/>
      <c r="J1545" s="1237"/>
      <c r="K1545" s="1237"/>
      <c r="L1545" s="1237"/>
      <c r="M1545" s="1237"/>
      <c r="N1545" s="1237"/>
      <c r="O1545" s="2024"/>
      <c r="P1545" s="2947"/>
      <c r="Q1545" s="1238"/>
      <c r="R1545" s="1239"/>
    </row>
    <row r="1546" spans="1:18" ht="18.75" customHeight="1">
      <c r="A1546" s="2927"/>
      <c r="B1546" s="2267"/>
      <c r="C1546" s="1237"/>
      <c r="D1546" s="1237"/>
      <c r="E1546" s="1237"/>
      <c r="F1546" s="1237"/>
      <c r="G1546" s="1237"/>
      <c r="H1546" s="1237"/>
      <c r="I1546" s="1237"/>
      <c r="J1546" s="1237"/>
      <c r="K1546" s="1237"/>
      <c r="L1546" s="1237"/>
      <c r="M1546" s="1237"/>
      <c r="N1546" s="1237"/>
      <c r="O1546" s="2024"/>
      <c r="P1546" s="2947"/>
      <c r="Q1546" s="1238"/>
      <c r="R1546" s="1239"/>
    </row>
    <row r="1547" spans="1:18" ht="18.75" customHeight="1">
      <c r="A1547" s="2927"/>
      <c r="B1547" s="2267"/>
      <c r="C1547" s="1237"/>
      <c r="D1547" s="1237"/>
      <c r="E1547" s="1237"/>
      <c r="F1547" s="1237"/>
      <c r="G1547" s="1237"/>
      <c r="H1547" s="1237"/>
      <c r="I1547" s="1237"/>
      <c r="J1547" s="1237"/>
      <c r="K1547" s="1237"/>
      <c r="L1547" s="1237"/>
      <c r="M1547" s="1237"/>
      <c r="N1547" s="1237"/>
      <c r="O1547" s="2024"/>
      <c r="P1547" s="2947"/>
      <c r="Q1547" s="1238"/>
      <c r="R1547" s="1239"/>
    </row>
    <row r="1548" spans="1:18" ht="18.75" customHeight="1">
      <c r="A1548" s="2927"/>
      <c r="B1548" s="2267"/>
      <c r="C1548" s="1237"/>
      <c r="D1548" s="1237"/>
      <c r="E1548" s="1237"/>
      <c r="F1548" s="1237"/>
      <c r="G1548" s="1237"/>
      <c r="H1548" s="1237"/>
      <c r="I1548" s="1237"/>
      <c r="J1548" s="1237"/>
      <c r="K1548" s="1237"/>
      <c r="L1548" s="1237"/>
      <c r="M1548" s="1237"/>
      <c r="N1548" s="1237"/>
      <c r="O1548" s="2024"/>
      <c r="P1548" s="2947"/>
      <c r="Q1548" s="1238"/>
      <c r="R1548" s="1239"/>
    </row>
    <row r="1549" spans="1:18" ht="18.75" customHeight="1">
      <c r="A1549" s="2927"/>
      <c r="B1549" s="2267"/>
      <c r="C1549" s="1237"/>
      <c r="D1549" s="1237"/>
      <c r="E1549" s="1237"/>
      <c r="F1549" s="1237"/>
      <c r="G1549" s="1237"/>
      <c r="H1549" s="1237"/>
      <c r="I1549" s="1237"/>
      <c r="J1549" s="1237"/>
      <c r="K1549" s="1237"/>
      <c r="L1549" s="1237"/>
      <c r="M1549" s="1237"/>
      <c r="N1549" s="1237"/>
      <c r="O1549" s="2024"/>
      <c r="P1549" s="2947"/>
      <c r="Q1549" s="1238"/>
      <c r="R1549" s="1239"/>
    </row>
    <row r="1550" spans="1:18" ht="18.75" customHeight="1">
      <c r="A1550" s="2927"/>
      <c r="B1550" s="2267"/>
      <c r="C1550" s="1237"/>
      <c r="D1550" s="1237"/>
      <c r="E1550" s="1237"/>
      <c r="F1550" s="1237"/>
      <c r="G1550" s="1237"/>
      <c r="H1550" s="1237"/>
      <c r="I1550" s="1237"/>
      <c r="J1550" s="1237"/>
      <c r="K1550" s="1237"/>
      <c r="L1550" s="1237"/>
      <c r="M1550" s="1237"/>
      <c r="N1550" s="1237"/>
      <c r="O1550" s="2024"/>
      <c r="P1550" s="2948"/>
      <c r="Q1550" s="1238"/>
      <c r="R1550" s="1239"/>
    </row>
    <row r="1551" spans="1:18" ht="18.75" customHeight="1">
      <c r="A1551" s="2927"/>
      <c r="B1551" s="2267"/>
      <c r="C1551" s="1237"/>
      <c r="D1551" s="1237"/>
      <c r="E1551" s="1237"/>
      <c r="F1551" s="1237"/>
      <c r="G1551" s="1237"/>
      <c r="H1551" s="1237"/>
      <c r="I1551" s="1237"/>
      <c r="J1551" s="1237"/>
      <c r="K1551" s="1237"/>
      <c r="L1551" s="1237"/>
      <c r="M1551" s="1237"/>
      <c r="N1551" s="1237"/>
      <c r="O1551" s="2024"/>
      <c r="P1551" s="2946"/>
      <c r="Q1551" s="1238"/>
      <c r="R1551" s="1239"/>
    </row>
    <row r="1552" spans="1:18" ht="18.75" customHeight="1">
      <c r="A1552" s="2927"/>
      <c r="B1552" s="2267"/>
      <c r="C1552" s="1237"/>
      <c r="D1552" s="1237"/>
      <c r="E1552" s="1237"/>
      <c r="F1552" s="1237"/>
      <c r="G1552" s="1237"/>
      <c r="H1552" s="1237"/>
      <c r="I1552" s="1237"/>
      <c r="J1552" s="1237"/>
      <c r="K1552" s="1237"/>
      <c r="L1552" s="1237"/>
      <c r="M1552" s="1237"/>
      <c r="N1552" s="1237"/>
      <c r="O1552" s="2024"/>
      <c r="P1552" s="2947"/>
      <c r="Q1552" s="1238"/>
      <c r="R1552" s="1239"/>
    </row>
    <row r="1553" spans="1:18" ht="18.75" customHeight="1">
      <c r="A1553" s="2927"/>
      <c r="B1553" s="2267"/>
      <c r="C1553" s="1237"/>
      <c r="D1553" s="1237"/>
      <c r="E1553" s="1237"/>
      <c r="F1553" s="1237"/>
      <c r="G1553" s="1237"/>
      <c r="H1553" s="1237"/>
      <c r="I1553" s="1237"/>
      <c r="J1553" s="1237"/>
      <c r="K1553" s="1237"/>
      <c r="L1553" s="1237"/>
      <c r="M1553" s="1237"/>
      <c r="N1553" s="1237"/>
      <c r="O1553" s="2024"/>
      <c r="P1553" s="2947"/>
      <c r="Q1553" s="1238"/>
      <c r="R1553" s="1239"/>
    </row>
    <row r="1554" spans="1:18" ht="18.75" customHeight="1">
      <c r="A1554" s="2927"/>
      <c r="B1554" s="2267"/>
      <c r="C1554" s="1237"/>
      <c r="D1554" s="1237"/>
      <c r="E1554" s="1237"/>
      <c r="F1554" s="1237"/>
      <c r="G1554" s="1237"/>
      <c r="H1554" s="1237"/>
      <c r="I1554" s="1237"/>
      <c r="J1554" s="2950"/>
      <c r="K1554" s="2951"/>
      <c r="L1554" s="2952"/>
      <c r="M1554" s="1237"/>
      <c r="N1554" s="1237"/>
      <c r="O1554" s="2024"/>
      <c r="P1554" s="2947"/>
      <c r="Q1554" s="1238"/>
      <c r="R1554" s="1239"/>
    </row>
    <row r="1555" spans="1:18" ht="18.75" customHeight="1">
      <c r="A1555" s="2927"/>
      <c r="B1555" s="2267"/>
      <c r="C1555" s="1237"/>
      <c r="D1555" s="1237"/>
      <c r="E1555" s="1237"/>
      <c r="F1555" s="1237"/>
      <c r="G1555" s="1237"/>
      <c r="H1555" s="1237"/>
      <c r="I1555" s="1237"/>
      <c r="J1555" s="1237"/>
      <c r="K1555" s="1237"/>
      <c r="L1555" s="1237"/>
      <c r="M1555" s="1237"/>
      <c r="N1555" s="1237"/>
      <c r="O1555" s="2024"/>
      <c r="P1555" s="2947"/>
      <c r="Q1555" s="1238"/>
      <c r="R1555" s="1239"/>
    </row>
    <row r="1556" spans="1:18" ht="18.75" customHeight="1">
      <c r="A1556" s="2927"/>
      <c r="B1556" s="2267"/>
      <c r="C1556" s="1237"/>
      <c r="D1556" s="1237"/>
      <c r="E1556" s="1237"/>
      <c r="F1556" s="1237"/>
      <c r="G1556" s="1237"/>
      <c r="H1556" s="1237"/>
      <c r="I1556" s="1237"/>
      <c r="J1556" s="1237"/>
      <c r="K1556" s="1237"/>
      <c r="L1556" s="1237"/>
      <c r="M1556" s="1237"/>
      <c r="N1556" s="1237"/>
      <c r="O1556" s="2024"/>
      <c r="P1556" s="2948"/>
      <c r="Q1556" s="1238"/>
      <c r="R1556" s="1239"/>
    </row>
    <row r="1557" spans="1:18" ht="18.75" customHeight="1">
      <c r="A1557" s="2927"/>
      <c r="B1557" s="2267"/>
      <c r="C1557" s="1237"/>
      <c r="D1557" s="1237"/>
      <c r="E1557" s="1237"/>
      <c r="F1557" s="1237"/>
      <c r="G1557" s="1237"/>
      <c r="H1557" s="1237"/>
      <c r="I1557" s="1237"/>
      <c r="J1557" s="1237"/>
      <c r="K1557" s="1237"/>
      <c r="L1557" s="1237"/>
      <c r="M1557" s="1237"/>
      <c r="N1557" s="1237"/>
      <c r="O1557" s="2024"/>
      <c r="P1557" s="2946"/>
      <c r="Q1557" s="1238"/>
      <c r="R1557" s="1239"/>
    </row>
    <row r="1558" spans="1:18" ht="18.75" customHeight="1">
      <c r="A1558" s="2927"/>
      <c r="B1558" s="2267"/>
      <c r="C1558" s="1237"/>
      <c r="D1558" s="1237"/>
      <c r="E1558" s="1237"/>
      <c r="F1558" s="1237"/>
      <c r="G1558" s="1237"/>
      <c r="H1558" s="1237"/>
      <c r="I1558" s="1237"/>
      <c r="J1558" s="1237"/>
      <c r="K1558" s="1237"/>
      <c r="L1558" s="1237"/>
      <c r="M1558" s="1237"/>
      <c r="N1558" s="1237"/>
      <c r="O1558" s="2024"/>
      <c r="P1558" s="2947"/>
      <c r="Q1558" s="1238"/>
      <c r="R1558" s="1239"/>
    </row>
    <row r="1559" spans="1:18" ht="18.75" customHeight="1">
      <c r="A1559" s="2927"/>
      <c r="B1559" s="2267"/>
      <c r="C1559" s="1237"/>
      <c r="D1559" s="1237"/>
      <c r="E1559" s="1237"/>
      <c r="F1559" s="1237"/>
      <c r="G1559" s="1237"/>
      <c r="H1559" s="1237"/>
      <c r="I1559" s="1237"/>
      <c r="J1559" s="2950"/>
      <c r="K1559" s="2951"/>
      <c r="L1559" s="2952"/>
      <c r="M1559" s="1237"/>
      <c r="N1559" s="1237"/>
      <c r="O1559" s="2024"/>
      <c r="P1559" s="2947"/>
      <c r="Q1559" s="1238"/>
      <c r="R1559" s="1239"/>
    </row>
    <row r="1560" spans="1:18" ht="18.75" customHeight="1">
      <c r="A1560" s="2927"/>
      <c r="B1560" s="2267"/>
      <c r="C1560" s="1237"/>
      <c r="D1560" s="1237"/>
      <c r="E1560" s="1237"/>
      <c r="F1560" s="1237"/>
      <c r="G1560" s="1237"/>
      <c r="H1560" s="1237"/>
      <c r="I1560" s="1237"/>
      <c r="J1560" s="1237"/>
      <c r="K1560" s="1237"/>
      <c r="L1560" s="1237"/>
      <c r="M1560" s="1237"/>
      <c r="N1560" s="1237"/>
      <c r="O1560" s="2024"/>
      <c r="P1560" s="2947"/>
      <c r="Q1560" s="1238"/>
      <c r="R1560" s="1239"/>
    </row>
    <row r="1561" spans="1:18" ht="18.75" customHeight="1">
      <c r="A1561" s="2927"/>
      <c r="B1561" s="2267"/>
      <c r="C1561" s="1237"/>
      <c r="D1561" s="1237"/>
      <c r="E1561" s="1237"/>
      <c r="F1561" s="1237"/>
      <c r="G1561" s="1237"/>
      <c r="H1561" s="1237"/>
      <c r="I1561" s="1237"/>
      <c r="J1561" s="1237"/>
      <c r="K1561" s="1237"/>
      <c r="L1561" s="1237"/>
      <c r="M1561" s="1237"/>
      <c r="N1561" s="1237"/>
      <c r="O1561" s="2024"/>
      <c r="P1561" s="2947"/>
      <c r="Q1561" s="1238"/>
      <c r="R1561" s="1239"/>
    </row>
    <row r="1562" spans="1:18" ht="18.75" customHeight="1">
      <c r="A1562" s="2927"/>
      <c r="B1562" s="2267"/>
      <c r="C1562" s="1237"/>
      <c r="D1562" s="1237"/>
      <c r="E1562" s="1237"/>
      <c r="F1562" s="1237"/>
      <c r="G1562" s="1237"/>
      <c r="H1562" s="1237"/>
      <c r="I1562" s="1237"/>
      <c r="J1562" s="1237"/>
      <c r="K1562" s="1237"/>
      <c r="L1562" s="1237"/>
      <c r="M1562" s="1237"/>
      <c r="N1562" s="1237"/>
      <c r="O1562" s="2024"/>
      <c r="P1562" s="2947"/>
      <c r="Q1562" s="1238"/>
      <c r="R1562" s="1239"/>
    </row>
    <row r="1563" spans="1:18" ht="18.75" customHeight="1">
      <c r="A1563" s="2927"/>
      <c r="B1563" s="2267"/>
      <c r="C1563" s="1237"/>
      <c r="D1563" s="1237"/>
      <c r="E1563" s="1237"/>
      <c r="F1563" s="1237"/>
      <c r="G1563" s="1237"/>
      <c r="H1563" s="1237"/>
      <c r="I1563" s="1237"/>
      <c r="J1563" s="1237"/>
      <c r="K1563" s="1237"/>
      <c r="L1563" s="1237"/>
      <c r="M1563" s="1237"/>
      <c r="N1563" s="1237"/>
      <c r="O1563" s="2024"/>
      <c r="P1563" s="2947"/>
      <c r="Q1563" s="1238"/>
      <c r="R1563" s="1239"/>
    </row>
    <row r="1564" spans="1:18" ht="18.75" customHeight="1">
      <c r="A1564" s="2927"/>
      <c r="B1564" s="2267"/>
      <c r="C1564" s="1237"/>
      <c r="D1564" s="1237"/>
      <c r="E1564" s="1237"/>
      <c r="F1564" s="1237"/>
      <c r="G1564" s="1237"/>
      <c r="H1564" s="1237"/>
      <c r="I1564" s="1237"/>
      <c r="J1564" s="2950"/>
      <c r="K1564" s="2951"/>
      <c r="L1564" s="2952"/>
      <c r="M1564" s="1237"/>
      <c r="N1564" s="1237"/>
      <c r="O1564" s="2024"/>
      <c r="P1564" s="2948"/>
      <c r="Q1564" s="1238"/>
      <c r="R1564" s="1239"/>
    </row>
    <row r="1565" spans="1:18" ht="18.75" customHeight="1">
      <c r="A1565" s="2927"/>
      <c r="B1565" s="2267"/>
      <c r="C1565" s="1237"/>
      <c r="D1565" s="1237"/>
      <c r="E1565" s="1237"/>
      <c r="F1565" s="1237"/>
      <c r="G1565" s="1237"/>
      <c r="H1565" s="1237"/>
      <c r="I1565" s="1237"/>
      <c r="J1565" s="1237"/>
      <c r="K1565" s="1237"/>
      <c r="L1565" s="1237"/>
      <c r="M1565" s="1237"/>
      <c r="N1565" s="1237"/>
      <c r="O1565" s="2024"/>
      <c r="P1565" s="2946"/>
      <c r="Q1565" s="1238"/>
      <c r="R1565" s="1239"/>
    </row>
    <row r="1566" spans="1:18" ht="18.75" customHeight="1">
      <c r="A1566" s="2927"/>
      <c r="B1566" s="2267"/>
      <c r="C1566" s="1237"/>
      <c r="D1566" s="1237"/>
      <c r="E1566" s="1237"/>
      <c r="F1566" s="1237"/>
      <c r="G1566" s="1237"/>
      <c r="H1566" s="1237"/>
      <c r="I1566" s="1237"/>
      <c r="J1566" s="1237"/>
      <c r="K1566" s="1237"/>
      <c r="L1566" s="1237"/>
      <c r="M1566" s="1237"/>
      <c r="N1566" s="1237"/>
      <c r="O1566" s="2024"/>
      <c r="P1566" s="2947"/>
      <c r="Q1566" s="1238"/>
      <c r="R1566" s="1239"/>
    </row>
    <row r="1567" spans="1:18" ht="18.75" customHeight="1">
      <c r="A1567" s="2927"/>
      <c r="B1567" s="2267"/>
      <c r="C1567" s="1237"/>
      <c r="D1567" s="1237"/>
      <c r="E1567" s="1237"/>
      <c r="F1567" s="1237"/>
      <c r="G1567" s="1237"/>
      <c r="H1567" s="1237"/>
      <c r="I1567" s="1237"/>
      <c r="J1567" s="1237"/>
      <c r="K1567" s="1237"/>
      <c r="L1567" s="1237"/>
      <c r="M1567" s="1237"/>
      <c r="N1567" s="1237"/>
      <c r="O1567" s="2024"/>
      <c r="P1567" s="2947"/>
      <c r="Q1567" s="1238"/>
      <c r="R1567" s="1239"/>
    </row>
    <row r="1568" spans="1:18" ht="18.75" customHeight="1">
      <c r="A1568" s="2927"/>
      <c r="B1568" s="2267"/>
      <c r="C1568" s="1237"/>
      <c r="D1568" s="1237"/>
      <c r="E1568" s="1237"/>
      <c r="F1568" s="1237"/>
      <c r="G1568" s="1237"/>
      <c r="H1568" s="1237"/>
      <c r="I1568" s="1237"/>
      <c r="J1568" s="1237"/>
      <c r="K1568" s="1237"/>
      <c r="L1568" s="1237"/>
      <c r="M1568" s="1237"/>
      <c r="N1568" s="1237"/>
      <c r="O1568" s="2024"/>
      <c r="P1568" s="2947"/>
      <c r="Q1568" s="1238"/>
      <c r="R1568" s="1239"/>
    </row>
    <row r="1569" spans="1:18" ht="18.75" customHeight="1">
      <c r="A1569" s="2927"/>
      <c r="B1569" s="2267"/>
      <c r="C1569" s="1237"/>
      <c r="D1569" s="1237"/>
      <c r="E1569" s="1237"/>
      <c r="F1569" s="1237"/>
      <c r="G1569" s="1237"/>
      <c r="H1569" s="1237"/>
      <c r="I1569" s="1237"/>
      <c r="J1569" s="1237"/>
      <c r="K1569" s="1237"/>
      <c r="L1569" s="1237"/>
      <c r="M1569" s="1237"/>
      <c r="N1569" s="1237"/>
      <c r="O1569" s="2024"/>
      <c r="P1569" s="2947"/>
      <c r="Q1569" s="1238"/>
      <c r="R1569" s="1239"/>
    </row>
    <row r="1570" spans="1:18" ht="18.75" customHeight="1">
      <c r="A1570" s="2927"/>
      <c r="B1570" s="2267"/>
      <c r="C1570" s="1237"/>
      <c r="D1570" s="1237"/>
      <c r="E1570" s="1237"/>
      <c r="F1570" s="1237"/>
      <c r="G1570" s="1237"/>
      <c r="H1570" s="1237"/>
      <c r="I1570" s="1237"/>
      <c r="J1570" s="1237"/>
      <c r="K1570" s="1237"/>
      <c r="L1570" s="1237"/>
      <c r="M1570" s="1237"/>
      <c r="N1570" s="1237"/>
      <c r="O1570" s="2024"/>
      <c r="P1570" s="2947"/>
      <c r="Q1570" s="1238"/>
      <c r="R1570" s="1239"/>
    </row>
    <row r="1571" spans="1:18" ht="18.75" customHeight="1">
      <c r="A1571" s="2927"/>
      <c r="B1571" s="2267"/>
      <c r="C1571" s="1237"/>
      <c r="D1571" s="1237"/>
      <c r="E1571" s="1237"/>
      <c r="F1571" s="1237"/>
      <c r="G1571" s="1237"/>
      <c r="H1571" s="1237"/>
      <c r="I1571" s="1237"/>
      <c r="J1571" s="1237"/>
      <c r="K1571" s="1237"/>
      <c r="L1571" s="1237"/>
      <c r="M1571" s="1237"/>
      <c r="N1571" s="1237"/>
      <c r="O1571" s="2024"/>
      <c r="P1571" s="2947"/>
      <c r="Q1571" s="1238"/>
      <c r="R1571" s="1239"/>
    </row>
    <row r="1572" spans="1:18" ht="18.75" customHeight="1">
      <c r="A1572" s="2927"/>
      <c r="B1572" s="2267"/>
      <c r="C1572" s="1237"/>
      <c r="D1572" s="1237"/>
      <c r="E1572" s="1237"/>
      <c r="F1572" s="1237"/>
      <c r="G1572" s="1237"/>
      <c r="H1572" s="1237"/>
      <c r="I1572" s="1237"/>
      <c r="J1572" s="1237"/>
      <c r="K1572" s="1237"/>
      <c r="L1572" s="1237"/>
      <c r="M1572" s="1237"/>
      <c r="N1572" s="1237"/>
      <c r="O1572" s="2024"/>
      <c r="P1572" s="2947"/>
      <c r="Q1572" s="1238"/>
      <c r="R1572" s="1239"/>
    </row>
    <row r="1573" spans="1:18" ht="18.75" customHeight="1">
      <c r="A1573" s="2927"/>
      <c r="B1573" s="2267"/>
      <c r="C1573" s="1237"/>
      <c r="D1573" s="1237"/>
      <c r="E1573" s="1237"/>
      <c r="F1573" s="1237"/>
      <c r="G1573" s="1237"/>
      <c r="H1573" s="1237"/>
      <c r="I1573" s="1237"/>
      <c r="J1573" s="1237"/>
      <c r="K1573" s="1237"/>
      <c r="L1573" s="1237"/>
      <c r="M1573" s="1237"/>
      <c r="N1573" s="1237"/>
      <c r="O1573" s="2024"/>
      <c r="P1573" s="2947"/>
      <c r="Q1573" s="1238"/>
      <c r="R1573" s="1239"/>
    </row>
    <row r="1574" spans="1:18" ht="18.75" customHeight="1">
      <c r="A1574" s="2927"/>
      <c r="B1574" s="2267"/>
      <c r="C1574" s="1237"/>
      <c r="D1574" s="1237"/>
      <c r="E1574" s="1237"/>
      <c r="F1574" s="1237"/>
      <c r="G1574" s="1237"/>
      <c r="H1574" s="1237"/>
      <c r="I1574" s="1237"/>
      <c r="J1574" s="2950"/>
      <c r="K1574" s="2951"/>
      <c r="L1574" s="2952"/>
      <c r="M1574" s="1237"/>
      <c r="N1574" s="1237"/>
      <c r="O1574" s="2024"/>
      <c r="P1574" s="2947"/>
      <c r="Q1574" s="1238"/>
      <c r="R1574" s="1239"/>
    </row>
    <row r="1575" spans="1:18" ht="18.75" customHeight="1">
      <c r="A1575" s="2927"/>
      <c r="B1575" s="2267"/>
      <c r="C1575" s="1237"/>
      <c r="D1575" s="1237"/>
      <c r="E1575" s="1237"/>
      <c r="F1575" s="1237"/>
      <c r="G1575" s="1237"/>
      <c r="H1575" s="1237"/>
      <c r="I1575" s="1237"/>
      <c r="J1575" s="1237"/>
      <c r="K1575" s="1237"/>
      <c r="L1575" s="1237"/>
      <c r="M1575" s="1237"/>
      <c r="N1575" s="1237"/>
      <c r="O1575" s="2024"/>
      <c r="P1575" s="2948"/>
      <c r="Q1575" s="1238"/>
      <c r="R1575" s="1239"/>
    </row>
    <row r="1576" spans="1:18" ht="18.75" customHeight="1">
      <c r="A1576" s="2927"/>
      <c r="B1576" s="2267"/>
      <c r="C1576" s="1237"/>
      <c r="D1576" s="1237"/>
      <c r="E1576" s="1237"/>
      <c r="F1576" s="1237"/>
      <c r="G1576" s="1237"/>
      <c r="H1576" s="1237"/>
      <c r="I1576" s="1237"/>
      <c r="J1576" s="1237"/>
      <c r="K1576" s="1237"/>
      <c r="L1576" s="1237"/>
      <c r="M1576" s="1237"/>
      <c r="N1576" s="1237"/>
      <c r="O1576" s="2024"/>
      <c r="P1576" s="2946"/>
      <c r="Q1576" s="1238"/>
      <c r="R1576" s="1239"/>
    </row>
    <row r="1577" spans="1:18" ht="18.75" customHeight="1">
      <c r="A1577" s="2927"/>
      <c r="B1577" s="2267"/>
      <c r="C1577" s="1237"/>
      <c r="D1577" s="1237"/>
      <c r="E1577" s="1237"/>
      <c r="F1577" s="1237"/>
      <c r="G1577" s="1237"/>
      <c r="H1577" s="1237"/>
      <c r="I1577" s="1237"/>
      <c r="J1577" s="1237"/>
      <c r="K1577" s="1237"/>
      <c r="L1577" s="1237"/>
      <c r="M1577" s="1237"/>
      <c r="N1577" s="1237"/>
      <c r="O1577" s="2024"/>
      <c r="P1577" s="2947"/>
      <c r="Q1577" s="1238"/>
      <c r="R1577" s="1239"/>
    </row>
    <row r="1578" spans="1:18" ht="18.75" customHeight="1">
      <c r="A1578" s="2927"/>
      <c r="B1578" s="2267"/>
      <c r="C1578" s="1237"/>
      <c r="D1578" s="1237"/>
      <c r="E1578" s="1237"/>
      <c r="F1578" s="1237"/>
      <c r="G1578" s="1237"/>
      <c r="H1578" s="1237"/>
      <c r="I1578" s="1237"/>
      <c r="J1578" s="1237"/>
      <c r="K1578" s="1237"/>
      <c r="L1578" s="1237"/>
      <c r="M1578" s="1237"/>
      <c r="N1578" s="1237"/>
      <c r="O1578" s="2024"/>
      <c r="P1578" s="2947"/>
      <c r="Q1578" s="1238"/>
      <c r="R1578" s="1239"/>
    </row>
    <row r="1579" spans="1:18" ht="18.75" customHeight="1">
      <c r="A1579" s="2927"/>
      <c r="B1579" s="2267"/>
      <c r="C1579" s="1237"/>
      <c r="D1579" s="1237"/>
      <c r="E1579" s="1237"/>
      <c r="F1579" s="1237"/>
      <c r="G1579" s="1237"/>
      <c r="H1579" s="1237"/>
      <c r="I1579" s="1237"/>
      <c r="J1579" s="2950"/>
      <c r="K1579" s="2951"/>
      <c r="L1579" s="2952"/>
      <c r="M1579" s="1237"/>
      <c r="N1579" s="1237"/>
      <c r="O1579" s="2024"/>
      <c r="P1579" s="2947"/>
      <c r="Q1579" s="1238"/>
      <c r="R1579" s="1239"/>
    </row>
    <row r="1580" spans="1:18" ht="18.75" customHeight="1">
      <c r="A1580" s="2927"/>
      <c r="B1580" s="2267"/>
      <c r="C1580" s="1237"/>
      <c r="D1580" s="1237"/>
      <c r="E1580" s="1237"/>
      <c r="F1580" s="1237"/>
      <c r="G1580" s="1237"/>
      <c r="H1580" s="1237"/>
      <c r="I1580" s="1237"/>
      <c r="J1580" s="1237"/>
      <c r="K1580" s="1237"/>
      <c r="L1580" s="1237"/>
      <c r="M1580" s="1237"/>
      <c r="N1580" s="1237"/>
      <c r="O1580" s="2024"/>
      <c r="P1580" s="2947"/>
      <c r="Q1580" s="1238"/>
      <c r="R1580" s="1239"/>
    </row>
    <row r="1581" spans="1:18" ht="18.75" customHeight="1" thickBot="1">
      <c r="A1581" s="2928"/>
      <c r="B1581" s="2268"/>
      <c r="C1581" s="1540"/>
      <c r="D1581" s="1540"/>
      <c r="E1581" s="1540"/>
      <c r="F1581" s="1540"/>
      <c r="G1581" s="1540"/>
      <c r="H1581" s="1540"/>
      <c r="I1581" s="1540"/>
      <c r="J1581" s="1540"/>
      <c r="K1581" s="1540"/>
      <c r="L1581" s="1540"/>
      <c r="M1581" s="1540"/>
      <c r="N1581" s="1540"/>
      <c r="O1581" s="2025"/>
      <c r="P1581" s="2947"/>
      <c r="Q1581" s="1541"/>
      <c r="R1581" s="1591"/>
    </row>
    <row r="1582" spans="1:18" ht="18.75" customHeight="1">
      <c r="A1582" s="2926"/>
      <c r="B1582" s="1585"/>
      <c r="C1582" s="1585"/>
      <c r="D1582" s="1585"/>
      <c r="E1582" s="1585"/>
      <c r="F1582" s="1585"/>
      <c r="G1582" s="1585"/>
      <c r="H1582" s="1585"/>
      <c r="I1582" s="1585"/>
      <c r="J1582" s="1585"/>
      <c r="K1582" s="1585"/>
      <c r="L1582" s="1585"/>
      <c r="M1582" s="1585"/>
      <c r="N1582" s="1585"/>
      <c r="O1582" s="2026"/>
      <c r="P1582" s="2949"/>
      <c r="Q1582" s="1586"/>
      <c r="R1582" s="1587"/>
    </row>
    <row r="1583" spans="1:18" ht="18.75" customHeight="1">
      <c r="A1583" s="2927"/>
      <c r="B1583" s="1237"/>
      <c r="C1583" s="1237"/>
      <c r="D1583" s="1237"/>
      <c r="E1583" s="1237"/>
      <c r="F1583" s="1237"/>
      <c r="G1583" s="1237"/>
      <c r="H1583" s="1237"/>
      <c r="I1583" s="1237"/>
      <c r="J1583" s="1237"/>
      <c r="K1583" s="1237"/>
      <c r="L1583" s="1237"/>
      <c r="M1583" s="1237"/>
      <c r="N1583" s="1237"/>
      <c r="O1583" s="2024"/>
      <c r="P1583" s="2947"/>
      <c r="Q1583" s="1238"/>
      <c r="R1583" s="1239"/>
    </row>
    <row r="1584" spans="1:18" ht="18.75" customHeight="1">
      <c r="A1584" s="2927"/>
      <c r="B1584" s="1237"/>
      <c r="C1584" s="1237"/>
      <c r="D1584" s="1237"/>
      <c r="E1584" s="1237"/>
      <c r="F1584" s="1237"/>
      <c r="G1584" s="1237"/>
      <c r="H1584" s="1237"/>
      <c r="I1584" s="1237"/>
      <c r="J1584" s="1237"/>
      <c r="K1584" s="1237"/>
      <c r="L1584" s="1237"/>
      <c r="M1584" s="1237"/>
      <c r="N1584" s="1237"/>
      <c r="O1584" s="2024"/>
      <c r="P1584" s="2948"/>
      <c r="Q1584" s="1238"/>
      <c r="R1584" s="1239"/>
    </row>
    <row r="1585" spans="1:18" ht="18.75" customHeight="1">
      <c r="A1585" s="2927"/>
      <c r="B1585" s="1237"/>
      <c r="C1585" s="1237"/>
      <c r="D1585" s="1237"/>
      <c r="E1585" s="1237"/>
      <c r="F1585" s="1237"/>
      <c r="G1585" s="1237"/>
      <c r="H1585" s="1237"/>
      <c r="I1585" s="1237"/>
      <c r="J1585" s="2945"/>
      <c r="K1585" s="2945"/>
      <c r="L1585" s="2945"/>
      <c r="M1585" s="1237"/>
      <c r="N1585" s="1237"/>
      <c r="O1585" s="2024"/>
      <c r="P1585" s="2027"/>
      <c r="Q1585" s="1238"/>
      <c r="R1585" s="1239"/>
    </row>
    <row r="1586" spans="1:18" ht="18.75" customHeight="1">
      <c r="A1586" s="2927"/>
      <c r="B1586" s="1237"/>
      <c r="C1586" s="1237"/>
      <c r="D1586" s="1237"/>
      <c r="E1586" s="1237"/>
      <c r="F1586" s="1237"/>
      <c r="G1586" s="1237"/>
      <c r="H1586" s="1237"/>
      <c r="I1586" s="1237"/>
      <c r="J1586" s="1237"/>
      <c r="K1586" s="1237"/>
      <c r="L1586" s="1237"/>
      <c r="M1586" s="1237"/>
      <c r="N1586" s="1237"/>
      <c r="O1586" s="2024"/>
      <c r="P1586" s="2946"/>
      <c r="Q1586" s="1238"/>
      <c r="R1586" s="1239"/>
    </row>
    <row r="1587" spans="1:18" ht="18.75" customHeight="1">
      <c r="A1587" s="2927"/>
      <c r="B1587" s="1237"/>
      <c r="C1587" s="1237"/>
      <c r="D1587" s="1237"/>
      <c r="E1587" s="1237"/>
      <c r="F1587" s="1237"/>
      <c r="G1587" s="1237"/>
      <c r="H1587" s="1237"/>
      <c r="I1587" s="1237"/>
      <c r="J1587" s="1237"/>
      <c r="K1587" s="1237"/>
      <c r="L1587" s="1237"/>
      <c r="M1587" s="1237"/>
      <c r="N1587" s="1237"/>
      <c r="O1587" s="2024"/>
      <c r="P1587" s="2947"/>
      <c r="Q1587" s="1238"/>
      <c r="R1587" s="1239"/>
    </row>
    <row r="1588" spans="1:18" ht="18.75" customHeight="1">
      <c r="A1588" s="2927"/>
      <c r="B1588" s="1237"/>
      <c r="C1588" s="1237"/>
      <c r="D1588" s="1237"/>
      <c r="E1588" s="1237"/>
      <c r="F1588" s="1237"/>
      <c r="G1588" s="1237"/>
      <c r="H1588" s="1237"/>
      <c r="I1588" s="1237"/>
      <c r="J1588" s="1237"/>
      <c r="K1588" s="1237"/>
      <c r="L1588" s="1237"/>
      <c r="M1588" s="1237"/>
      <c r="N1588" s="1237"/>
      <c r="O1588" s="2024"/>
      <c r="P1588" s="2947"/>
      <c r="Q1588" s="1238"/>
      <c r="R1588" s="1239"/>
    </row>
    <row r="1589" spans="1:18" ht="18.75" customHeight="1">
      <c r="A1589" s="2927"/>
      <c r="B1589" s="1237"/>
      <c r="C1589" s="1237"/>
      <c r="D1589" s="1237"/>
      <c r="E1589" s="1237"/>
      <c r="F1589" s="1237"/>
      <c r="G1589" s="1237"/>
      <c r="H1589" s="1237"/>
      <c r="I1589" s="1237"/>
      <c r="J1589" s="1237"/>
      <c r="K1589" s="1237"/>
      <c r="L1589" s="1237"/>
      <c r="M1589" s="1237"/>
      <c r="N1589" s="1237"/>
      <c r="O1589" s="2024"/>
      <c r="P1589" s="2948"/>
      <c r="Q1589" s="1238"/>
      <c r="R1589" s="1239"/>
    </row>
    <row r="1590" spans="1:18" ht="18.75" customHeight="1">
      <c r="A1590" s="2927"/>
      <c r="B1590" s="1237"/>
      <c r="C1590" s="1237"/>
      <c r="D1590" s="1237"/>
      <c r="E1590" s="1237"/>
      <c r="F1590" s="1237"/>
      <c r="G1590" s="1237"/>
      <c r="H1590" s="1237"/>
      <c r="I1590" s="1237"/>
      <c r="J1590" s="1237"/>
      <c r="K1590" s="1237"/>
      <c r="L1590" s="1237"/>
      <c r="M1590" s="1237"/>
      <c r="N1590" s="1237"/>
      <c r="O1590" s="2024"/>
      <c r="P1590" s="2946"/>
      <c r="Q1590" s="1238"/>
      <c r="R1590" s="1239"/>
    </row>
    <row r="1591" spans="1:18" ht="18.75" customHeight="1">
      <c r="A1591" s="2927"/>
      <c r="B1591" s="1237"/>
      <c r="C1591" s="1237"/>
      <c r="D1591" s="1237"/>
      <c r="E1591" s="1237"/>
      <c r="F1591" s="1237"/>
      <c r="G1591" s="1237"/>
      <c r="H1591" s="1237"/>
      <c r="I1591" s="1237"/>
      <c r="J1591" s="1237"/>
      <c r="K1591" s="1237"/>
      <c r="L1591" s="1237"/>
      <c r="M1591" s="1237"/>
      <c r="N1591" s="1237"/>
      <c r="O1591" s="2024"/>
      <c r="P1591" s="2947"/>
      <c r="Q1591" s="1238"/>
      <c r="R1591" s="1239"/>
    </row>
    <row r="1592" spans="1:18" ht="18.75" customHeight="1">
      <c r="A1592" s="2927"/>
      <c r="B1592" s="1237"/>
      <c r="C1592" s="1237"/>
      <c r="D1592" s="1237"/>
      <c r="E1592" s="1237"/>
      <c r="F1592" s="1237"/>
      <c r="G1592" s="1237"/>
      <c r="H1592" s="1237"/>
      <c r="I1592" s="1237"/>
      <c r="J1592" s="1237"/>
      <c r="K1592" s="1237"/>
      <c r="L1592" s="1237"/>
      <c r="M1592" s="1237"/>
      <c r="N1592" s="1237"/>
      <c r="O1592" s="2024"/>
      <c r="P1592" s="2948"/>
      <c r="Q1592" s="1238"/>
      <c r="R1592" s="1239"/>
    </row>
    <row r="1593" spans="1:18" ht="18.75" customHeight="1">
      <c r="A1593" s="2927"/>
      <c r="B1593" s="1237"/>
      <c r="C1593" s="1237"/>
      <c r="D1593" s="1237"/>
      <c r="E1593" s="1237"/>
      <c r="F1593" s="1237"/>
      <c r="G1593" s="1237"/>
      <c r="H1593" s="1237"/>
      <c r="I1593" s="1237"/>
      <c r="J1593" s="1237"/>
      <c r="K1593" s="1237"/>
      <c r="L1593" s="1237"/>
      <c r="M1593" s="1237"/>
      <c r="N1593" s="1237"/>
      <c r="O1593" s="2024"/>
      <c r="P1593" s="2946"/>
      <c r="Q1593" s="1238"/>
      <c r="R1593" s="1239"/>
    </row>
    <row r="1594" spans="1:18" ht="18.75" customHeight="1">
      <c r="A1594" s="2927"/>
      <c r="B1594" s="1237"/>
      <c r="C1594" s="1237"/>
      <c r="D1594" s="1237"/>
      <c r="E1594" s="1237"/>
      <c r="F1594" s="1237"/>
      <c r="G1594" s="1237"/>
      <c r="H1594" s="1237"/>
      <c r="I1594" s="1237"/>
      <c r="J1594" s="1237"/>
      <c r="K1594" s="1237"/>
      <c r="L1594" s="1237"/>
      <c r="M1594" s="1237"/>
      <c r="N1594" s="1237"/>
      <c r="O1594" s="2024"/>
      <c r="P1594" s="2947"/>
      <c r="Q1594" s="1238"/>
      <c r="R1594" s="1239"/>
    </row>
    <row r="1595" spans="1:18" ht="18.75" customHeight="1">
      <c r="A1595" s="2927"/>
      <c r="B1595" s="1237"/>
      <c r="C1595" s="1237"/>
      <c r="D1595" s="1237"/>
      <c r="E1595" s="1237"/>
      <c r="F1595" s="1237"/>
      <c r="G1595" s="1237"/>
      <c r="H1595" s="1237"/>
      <c r="I1595" s="1237"/>
      <c r="J1595" s="2945"/>
      <c r="K1595" s="2945"/>
      <c r="L1595" s="2945"/>
      <c r="M1595" s="1237"/>
      <c r="N1595" s="1237"/>
      <c r="O1595" s="2024"/>
      <c r="P1595" s="2947"/>
      <c r="Q1595" s="1238"/>
      <c r="R1595" s="1239"/>
    </row>
    <row r="1596" spans="1:18" ht="18.75" customHeight="1">
      <c r="A1596" s="2927"/>
      <c r="B1596" s="1237"/>
      <c r="C1596" s="1237"/>
      <c r="D1596" s="1237"/>
      <c r="E1596" s="1237"/>
      <c r="F1596" s="1237"/>
      <c r="G1596" s="1237"/>
      <c r="H1596" s="1237"/>
      <c r="I1596" s="1237"/>
      <c r="J1596" s="1237"/>
      <c r="K1596" s="1237"/>
      <c r="L1596" s="1237"/>
      <c r="M1596" s="1237"/>
      <c r="N1596" s="1237"/>
      <c r="O1596" s="2024"/>
      <c r="P1596" s="2947"/>
      <c r="Q1596" s="1238"/>
      <c r="R1596" s="1239"/>
    </row>
    <row r="1597" spans="1:18" ht="18.75" customHeight="1">
      <c r="A1597" s="2927"/>
      <c r="B1597" s="1237"/>
      <c r="C1597" s="1237"/>
      <c r="D1597" s="1237"/>
      <c r="E1597" s="1237"/>
      <c r="F1597" s="1237"/>
      <c r="G1597" s="1237"/>
      <c r="H1597" s="1237"/>
      <c r="I1597" s="1237"/>
      <c r="J1597" s="1237"/>
      <c r="K1597" s="1237"/>
      <c r="L1597" s="1237"/>
      <c r="M1597" s="1237"/>
      <c r="N1597" s="1237"/>
      <c r="O1597" s="2024"/>
      <c r="P1597" s="2947"/>
      <c r="Q1597" s="1238"/>
      <c r="R1597" s="1239"/>
    </row>
    <row r="1598" spans="1:18" ht="18.75" customHeight="1">
      <c r="A1598" s="2927"/>
      <c r="B1598" s="1237"/>
      <c r="C1598" s="1237"/>
      <c r="D1598" s="1237"/>
      <c r="E1598" s="1237"/>
      <c r="F1598" s="1237"/>
      <c r="G1598" s="1237"/>
      <c r="H1598" s="1237"/>
      <c r="I1598" s="1237"/>
      <c r="J1598" s="1237"/>
      <c r="K1598" s="1237"/>
      <c r="L1598" s="1237"/>
      <c r="M1598" s="1237"/>
      <c r="N1598" s="1237"/>
      <c r="O1598" s="2024"/>
      <c r="P1598" s="2948"/>
      <c r="Q1598" s="1238"/>
      <c r="R1598" s="1239"/>
    </row>
    <row r="1599" spans="1:18" ht="18.75" customHeight="1">
      <c r="A1599" s="2927"/>
      <c r="B1599" s="1237"/>
      <c r="C1599" s="1237"/>
      <c r="D1599" s="1237"/>
      <c r="E1599" s="1237"/>
      <c r="F1599" s="1237"/>
      <c r="G1599" s="1237"/>
      <c r="H1599" s="1237"/>
      <c r="I1599" s="1237"/>
      <c r="J1599" s="1237"/>
      <c r="K1599" s="1237"/>
      <c r="L1599" s="1237"/>
      <c r="M1599" s="1237"/>
      <c r="N1599" s="1237"/>
      <c r="O1599" s="2024"/>
      <c r="P1599" s="2946"/>
      <c r="Q1599" s="1238"/>
      <c r="R1599" s="1239"/>
    </row>
    <row r="1600" spans="1:18" ht="18.75" customHeight="1">
      <c r="A1600" s="2927"/>
      <c r="B1600" s="1237"/>
      <c r="C1600" s="1237"/>
      <c r="D1600" s="1237"/>
      <c r="E1600" s="1237"/>
      <c r="F1600" s="1237"/>
      <c r="G1600" s="1237"/>
      <c r="H1600" s="1237"/>
      <c r="I1600" s="1237"/>
      <c r="J1600" s="1237"/>
      <c r="K1600" s="1237"/>
      <c r="L1600" s="1237"/>
      <c r="M1600" s="1237"/>
      <c r="N1600" s="1237"/>
      <c r="O1600" s="2024"/>
      <c r="P1600" s="2947"/>
      <c r="Q1600" s="1238"/>
      <c r="R1600" s="1239"/>
    </row>
    <row r="1601" spans="1:18" ht="18.75" customHeight="1">
      <c r="A1601" s="2927"/>
      <c r="B1601" s="1237"/>
      <c r="C1601" s="1237"/>
      <c r="D1601" s="1237"/>
      <c r="E1601" s="1237"/>
      <c r="F1601" s="1237"/>
      <c r="G1601" s="1237"/>
      <c r="H1601" s="1237"/>
      <c r="I1601" s="1237"/>
      <c r="J1601" s="1237"/>
      <c r="K1601" s="1237"/>
      <c r="L1601" s="1237"/>
      <c r="M1601" s="1237"/>
      <c r="N1601" s="1237"/>
      <c r="O1601" s="2024"/>
      <c r="P1601" s="2947"/>
      <c r="Q1601" s="1238"/>
      <c r="R1601" s="1239"/>
    </row>
    <row r="1602" spans="1:18" ht="18.75" customHeight="1">
      <c r="A1602" s="2927"/>
      <c r="B1602" s="1237"/>
      <c r="C1602" s="1237"/>
      <c r="D1602" s="1237"/>
      <c r="E1602" s="1237"/>
      <c r="F1602" s="1237"/>
      <c r="G1602" s="1237"/>
      <c r="H1602" s="1237"/>
      <c r="I1602" s="1237"/>
      <c r="J1602" s="1237"/>
      <c r="K1602" s="1237"/>
      <c r="L1602" s="1237"/>
      <c r="M1602" s="1237"/>
      <c r="N1602" s="1237"/>
      <c r="O1602" s="2024"/>
      <c r="P1602" s="2948"/>
      <c r="Q1602" s="1238"/>
      <c r="R1602" s="1239"/>
    </row>
    <row r="1603" spans="1:18" ht="18.75" customHeight="1">
      <c r="A1603" s="2927"/>
      <c r="B1603" s="1237"/>
      <c r="C1603" s="1237"/>
      <c r="D1603" s="1237"/>
      <c r="E1603" s="1237"/>
      <c r="F1603" s="1237"/>
      <c r="G1603" s="1237"/>
      <c r="H1603" s="1237"/>
      <c r="I1603" s="1237"/>
      <c r="J1603" s="1237"/>
      <c r="K1603" s="1237"/>
      <c r="L1603" s="1237"/>
      <c r="M1603" s="1237"/>
      <c r="N1603" s="1237"/>
      <c r="O1603" s="2024"/>
      <c r="P1603" s="2946"/>
      <c r="Q1603" s="1238"/>
      <c r="R1603" s="1239"/>
    </row>
    <row r="1604" spans="1:18" ht="18.75" customHeight="1">
      <c r="A1604" s="2927"/>
      <c r="B1604" s="1237"/>
      <c r="C1604" s="1237"/>
      <c r="D1604" s="1237"/>
      <c r="E1604" s="1237"/>
      <c r="F1604" s="1237"/>
      <c r="G1604" s="1237"/>
      <c r="H1604" s="1237"/>
      <c r="I1604" s="1237"/>
      <c r="J1604" s="1237"/>
      <c r="K1604" s="1237"/>
      <c r="L1604" s="1237"/>
      <c r="M1604" s="1237"/>
      <c r="N1604" s="1237"/>
      <c r="O1604" s="2024"/>
      <c r="P1604" s="2947"/>
      <c r="Q1604" s="1238"/>
      <c r="R1604" s="1239"/>
    </row>
    <row r="1605" spans="1:18" ht="18.75" customHeight="1">
      <c r="A1605" s="2927"/>
      <c r="B1605" s="1237"/>
      <c r="C1605" s="1237"/>
      <c r="D1605" s="1237"/>
      <c r="E1605" s="1237"/>
      <c r="F1605" s="1237"/>
      <c r="G1605" s="1237"/>
      <c r="H1605" s="1237"/>
      <c r="I1605" s="1237"/>
      <c r="J1605" s="2945"/>
      <c r="K1605" s="2945"/>
      <c r="L1605" s="2945"/>
      <c r="M1605" s="1237"/>
      <c r="N1605" s="1237"/>
      <c r="O1605" s="2024"/>
      <c r="P1605" s="2947"/>
      <c r="Q1605" s="1238"/>
      <c r="R1605" s="1239"/>
    </row>
    <row r="1606" spans="1:18" ht="18.75" customHeight="1">
      <c r="A1606" s="2927"/>
      <c r="B1606" s="1237"/>
      <c r="C1606" s="1237"/>
      <c r="D1606" s="1237"/>
      <c r="E1606" s="1237"/>
      <c r="F1606" s="1237"/>
      <c r="G1606" s="1237"/>
      <c r="H1606" s="1237"/>
      <c r="I1606" s="1237"/>
      <c r="J1606" s="1237"/>
      <c r="K1606" s="1237"/>
      <c r="L1606" s="1237"/>
      <c r="M1606" s="1237"/>
      <c r="N1606" s="1237"/>
      <c r="O1606" s="2024"/>
      <c r="P1606" s="2947"/>
      <c r="Q1606" s="1238"/>
      <c r="R1606" s="1239"/>
    </row>
    <row r="1607" spans="1:18" ht="18.75" customHeight="1">
      <c r="A1607" s="2927"/>
      <c r="B1607" s="1237"/>
      <c r="C1607" s="1237"/>
      <c r="D1607" s="1237"/>
      <c r="E1607" s="1237"/>
      <c r="F1607" s="1237"/>
      <c r="G1607" s="1237"/>
      <c r="H1607" s="1237"/>
      <c r="I1607" s="1237"/>
      <c r="J1607" s="1237"/>
      <c r="K1607" s="1237"/>
      <c r="L1607" s="1237"/>
      <c r="M1607" s="1237"/>
      <c r="N1607" s="1237"/>
      <c r="O1607" s="2024"/>
      <c r="P1607" s="2947"/>
      <c r="Q1607" s="1238"/>
      <c r="R1607" s="1239"/>
    </row>
    <row r="1608" spans="1:18" ht="18.75" customHeight="1">
      <c r="A1608" s="2927"/>
      <c r="B1608" s="1237"/>
      <c r="C1608" s="1237"/>
      <c r="D1608" s="1237"/>
      <c r="E1608" s="1237"/>
      <c r="F1608" s="1237"/>
      <c r="G1608" s="1237"/>
      <c r="H1608" s="1237"/>
      <c r="I1608" s="1237"/>
      <c r="J1608" s="1237"/>
      <c r="K1608" s="1237"/>
      <c r="L1608" s="1237"/>
      <c r="M1608" s="1237"/>
      <c r="N1608" s="1237"/>
      <c r="O1608" s="2024"/>
      <c r="P1608" s="2948"/>
      <c r="Q1608" s="1238"/>
      <c r="R1608" s="1239"/>
    </row>
    <row r="1609" spans="1:18" ht="18.75" customHeight="1">
      <c r="A1609" s="2927"/>
      <c r="B1609" s="1237"/>
      <c r="C1609" s="1237"/>
      <c r="D1609" s="1237"/>
      <c r="E1609" s="1237"/>
      <c r="F1609" s="1237"/>
      <c r="G1609" s="1237"/>
      <c r="H1609" s="1237"/>
      <c r="I1609" s="1237"/>
      <c r="J1609" s="1237"/>
      <c r="K1609" s="1237"/>
      <c r="L1609" s="1237"/>
      <c r="M1609" s="1237"/>
      <c r="N1609" s="1237"/>
      <c r="O1609" s="2024"/>
      <c r="P1609" s="2946"/>
      <c r="Q1609" s="1238"/>
      <c r="R1609" s="1239"/>
    </row>
    <row r="1610" spans="1:18" ht="18.75" customHeight="1">
      <c r="A1610" s="2927"/>
      <c r="B1610" s="1237"/>
      <c r="C1610" s="1237"/>
      <c r="D1610" s="1237"/>
      <c r="E1610" s="1237"/>
      <c r="F1610" s="1237"/>
      <c r="G1610" s="1237"/>
      <c r="H1610" s="1237"/>
      <c r="I1610" s="1237"/>
      <c r="J1610" s="2945"/>
      <c r="K1610" s="2945"/>
      <c r="L1610" s="2945"/>
      <c r="M1610" s="1237"/>
      <c r="N1610" s="1237"/>
      <c r="O1610" s="2024"/>
      <c r="P1610" s="2947"/>
      <c r="Q1610" s="1238"/>
      <c r="R1610" s="1239"/>
    </row>
    <row r="1611" spans="1:18" ht="18.75" customHeight="1">
      <c r="A1611" s="2927"/>
      <c r="B1611" s="1237"/>
      <c r="C1611" s="1237"/>
      <c r="D1611" s="1237"/>
      <c r="E1611" s="1237"/>
      <c r="F1611" s="1237"/>
      <c r="G1611" s="1237"/>
      <c r="H1611" s="1237"/>
      <c r="I1611" s="1237"/>
      <c r="J1611" s="1237"/>
      <c r="K1611" s="1237"/>
      <c r="L1611" s="1237"/>
      <c r="M1611" s="1237"/>
      <c r="N1611" s="1237"/>
      <c r="O1611" s="2024"/>
      <c r="P1611" s="2947"/>
      <c r="Q1611" s="1238"/>
      <c r="R1611" s="1239"/>
    </row>
    <row r="1612" spans="1:18" ht="18.75" customHeight="1">
      <c r="A1612" s="2927"/>
      <c r="B1612" s="1237"/>
      <c r="C1612" s="1237"/>
      <c r="D1612" s="1237"/>
      <c r="E1612" s="1237"/>
      <c r="F1612" s="1237"/>
      <c r="G1612" s="1237"/>
      <c r="H1612" s="1237"/>
      <c r="I1612" s="1237"/>
      <c r="J1612" s="1237"/>
      <c r="K1612" s="1237"/>
      <c r="L1612" s="1237"/>
      <c r="M1612" s="1237"/>
      <c r="N1612" s="1237"/>
      <c r="O1612" s="2024"/>
      <c r="P1612" s="2947"/>
      <c r="Q1612" s="1238"/>
      <c r="R1612" s="1239"/>
    </row>
    <row r="1613" spans="1:18" ht="18.75" customHeight="1">
      <c r="A1613" s="2927"/>
      <c r="B1613" s="1237"/>
      <c r="C1613" s="1237"/>
      <c r="D1613" s="1237"/>
      <c r="E1613" s="1237"/>
      <c r="F1613" s="1237"/>
      <c r="G1613" s="1237"/>
      <c r="H1613" s="1237"/>
      <c r="I1613" s="1237"/>
      <c r="J1613" s="1237"/>
      <c r="K1613" s="1237"/>
      <c r="L1613" s="1237"/>
      <c r="M1613" s="1237"/>
      <c r="N1613" s="1237"/>
      <c r="O1613" s="2024"/>
      <c r="P1613" s="2947"/>
      <c r="Q1613" s="1238"/>
      <c r="R1613" s="1239"/>
    </row>
    <row r="1614" spans="1:18" ht="18.75" customHeight="1">
      <c r="A1614" s="2927"/>
      <c r="B1614" s="1237"/>
      <c r="C1614" s="1237"/>
      <c r="D1614" s="1237"/>
      <c r="E1614" s="1237"/>
      <c r="F1614" s="1237"/>
      <c r="G1614" s="1237"/>
      <c r="H1614" s="1237"/>
      <c r="I1614" s="1237"/>
      <c r="J1614" s="1237"/>
      <c r="K1614" s="1237"/>
      <c r="L1614" s="1237"/>
      <c r="M1614" s="1237"/>
      <c r="N1614" s="1237"/>
      <c r="O1614" s="2024"/>
      <c r="P1614" s="2947"/>
      <c r="Q1614" s="1238"/>
      <c r="R1614" s="1239"/>
    </row>
    <row r="1615" spans="1:18" ht="18.75" customHeight="1">
      <c r="A1615" s="2927"/>
      <c r="B1615" s="1237"/>
      <c r="C1615" s="1237"/>
      <c r="D1615" s="1237"/>
      <c r="E1615" s="1237"/>
      <c r="F1615" s="1237"/>
      <c r="G1615" s="1237"/>
      <c r="H1615" s="1237"/>
      <c r="I1615" s="1237"/>
      <c r="J1615" s="2945"/>
      <c r="K1615" s="2945"/>
      <c r="L1615" s="2945"/>
      <c r="M1615" s="1237"/>
      <c r="N1615" s="1237"/>
      <c r="O1615" s="2024"/>
      <c r="P1615" s="2073"/>
      <c r="Q1615" s="1238"/>
      <c r="R1615" s="1239"/>
    </row>
    <row r="1616" spans="1:18" ht="18.75" customHeight="1">
      <c r="A1616" s="2927"/>
      <c r="B1616" s="1237"/>
      <c r="C1616" s="1237"/>
      <c r="D1616" s="1237"/>
      <c r="E1616" s="1237"/>
      <c r="F1616" s="1237"/>
      <c r="G1616" s="1237"/>
      <c r="H1616" s="1237"/>
      <c r="I1616" s="1237"/>
      <c r="J1616" s="1237"/>
      <c r="K1616" s="1237"/>
      <c r="L1616" s="1237"/>
      <c r="M1616" s="1237"/>
      <c r="N1616" s="1237"/>
      <c r="O1616" s="2024"/>
      <c r="P1616" s="2947"/>
      <c r="Q1616" s="1238"/>
      <c r="R1616" s="1239"/>
    </row>
    <row r="1617" spans="1:18" ht="18.75" customHeight="1">
      <c r="A1617" s="2927"/>
      <c r="B1617" s="1237"/>
      <c r="C1617" s="1237"/>
      <c r="D1617" s="1237"/>
      <c r="E1617" s="1237"/>
      <c r="F1617" s="1237"/>
      <c r="G1617" s="1237"/>
      <c r="H1617" s="1237"/>
      <c r="I1617" s="1237"/>
      <c r="J1617" s="1237"/>
      <c r="K1617" s="1237"/>
      <c r="L1617" s="1237"/>
      <c r="M1617" s="1237"/>
      <c r="N1617" s="1237"/>
      <c r="O1617" s="2024"/>
      <c r="P1617" s="2947"/>
      <c r="Q1617" s="1238"/>
      <c r="R1617" s="1239"/>
    </row>
    <row r="1618" spans="1:18" ht="18.75" customHeight="1">
      <c r="A1618" s="2927"/>
      <c r="B1618" s="1237"/>
      <c r="C1618" s="1237"/>
      <c r="D1618" s="1237"/>
      <c r="E1618" s="1237"/>
      <c r="F1618" s="1237"/>
      <c r="G1618" s="1237"/>
      <c r="H1618" s="1237"/>
      <c r="I1618" s="1237"/>
      <c r="J1618" s="1237"/>
      <c r="K1618" s="1237"/>
      <c r="L1618" s="1237"/>
      <c r="M1618" s="1237"/>
      <c r="N1618" s="1237"/>
      <c r="O1618" s="2024"/>
      <c r="P1618" s="2948"/>
      <c r="Q1618" s="1238"/>
      <c r="R1618" s="1239"/>
    </row>
    <row r="1619" spans="1:18" ht="18.75" customHeight="1">
      <c r="A1619" s="2927"/>
      <c r="B1619" s="1237"/>
      <c r="C1619" s="1237"/>
      <c r="D1619" s="1237"/>
      <c r="E1619" s="1237"/>
      <c r="F1619" s="1237"/>
      <c r="G1619" s="1237"/>
      <c r="H1619" s="1237"/>
      <c r="I1619" s="1237"/>
      <c r="J1619" s="1237"/>
      <c r="K1619" s="1237"/>
      <c r="L1619" s="1237"/>
      <c r="M1619" s="1237"/>
      <c r="N1619" s="1237"/>
      <c r="O1619" s="2024"/>
      <c r="P1619" s="2946"/>
      <c r="Q1619" s="1238"/>
      <c r="R1619" s="1239"/>
    </row>
    <row r="1620" spans="1:18" ht="18.75" customHeight="1">
      <c r="A1620" s="2927"/>
      <c r="B1620" s="1237"/>
      <c r="C1620" s="1237"/>
      <c r="D1620" s="1237"/>
      <c r="E1620" s="1237"/>
      <c r="F1620" s="1237"/>
      <c r="G1620" s="1237"/>
      <c r="H1620" s="1237"/>
      <c r="I1620" s="1237"/>
      <c r="J1620" s="1237"/>
      <c r="K1620" s="1237"/>
      <c r="L1620" s="1237"/>
      <c r="M1620" s="1237"/>
      <c r="N1620" s="1237"/>
      <c r="O1620" s="2024"/>
      <c r="P1620" s="2947"/>
      <c r="Q1620" s="1238"/>
      <c r="R1620" s="1239"/>
    </row>
    <row r="1621" spans="1:18" ht="18.75" customHeight="1">
      <c r="A1621" s="2927"/>
      <c r="B1621" s="1237"/>
      <c r="C1621" s="1237"/>
      <c r="D1621" s="1237"/>
      <c r="E1621" s="1237"/>
      <c r="F1621" s="1237"/>
      <c r="G1621" s="1237"/>
      <c r="H1621" s="1237"/>
      <c r="I1621" s="1237"/>
      <c r="J1621" s="2945"/>
      <c r="K1621" s="2945"/>
      <c r="L1621" s="2945"/>
      <c r="M1621" s="1237"/>
      <c r="N1621" s="1237"/>
      <c r="O1621" s="2024"/>
      <c r="P1621" s="2947"/>
      <c r="Q1621" s="1238"/>
      <c r="R1621" s="1239"/>
    </row>
    <row r="1622" spans="1:18" ht="18.75" customHeight="1">
      <c r="A1622" s="2927"/>
      <c r="B1622" s="1237"/>
      <c r="C1622" s="1237"/>
      <c r="D1622" s="1237"/>
      <c r="E1622" s="1237"/>
      <c r="F1622" s="1237"/>
      <c r="G1622" s="1237"/>
      <c r="H1622" s="1237"/>
      <c r="I1622" s="1237"/>
      <c r="J1622" s="1237"/>
      <c r="K1622" s="1237"/>
      <c r="L1622" s="1237"/>
      <c r="M1622" s="1237"/>
      <c r="N1622" s="1237"/>
      <c r="O1622" s="2024"/>
      <c r="P1622" s="2947"/>
      <c r="Q1622" s="1238"/>
      <c r="R1622" s="1239"/>
    </row>
    <row r="1623" spans="1:18" ht="18.75" customHeight="1">
      <c r="A1623" s="2927"/>
      <c r="B1623" s="1237"/>
      <c r="C1623" s="1237"/>
      <c r="D1623" s="1237"/>
      <c r="E1623" s="1237"/>
      <c r="F1623" s="1237"/>
      <c r="G1623" s="1237"/>
      <c r="H1623" s="1237"/>
      <c r="I1623" s="1237"/>
      <c r="J1623" s="1237"/>
      <c r="K1623" s="1237"/>
      <c r="L1623" s="1237"/>
      <c r="M1623" s="1237"/>
      <c r="N1623" s="1237"/>
      <c r="O1623" s="2024"/>
      <c r="P1623" s="2948"/>
      <c r="Q1623" s="1238"/>
      <c r="R1623" s="1239"/>
    </row>
    <row r="1624" spans="1:18" ht="18.75" customHeight="1">
      <c r="A1624" s="2927"/>
      <c r="B1624" s="1237"/>
      <c r="C1624" s="1237"/>
      <c r="D1624" s="1237"/>
      <c r="E1624" s="1237"/>
      <c r="F1624" s="1237"/>
      <c r="G1624" s="1237"/>
      <c r="H1624" s="1237"/>
      <c r="I1624" s="1237"/>
      <c r="J1624" s="1237"/>
      <c r="K1624" s="1237"/>
      <c r="L1624" s="1237"/>
      <c r="M1624" s="1237"/>
      <c r="N1624" s="1237"/>
      <c r="O1624" s="2024"/>
      <c r="P1624" s="2946"/>
      <c r="Q1624" s="1238"/>
      <c r="R1624" s="1239"/>
    </row>
    <row r="1625" spans="1:18" ht="18.75" customHeight="1">
      <c r="A1625" s="2927"/>
      <c r="B1625" s="1237"/>
      <c r="C1625" s="1237"/>
      <c r="D1625" s="1237"/>
      <c r="E1625" s="1237"/>
      <c r="F1625" s="1237"/>
      <c r="G1625" s="1237"/>
      <c r="H1625" s="1237"/>
      <c r="I1625" s="1237"/>
      <c r="J1625" s="1237"/>
      <c r="K1625" s="1237"/>
      <c r="L1625" s="1237"/>
      <c r="M1625" s="1237"/>
      <c r="N1625" s="1237"/>
      <c r="O1625" s="2024"/>
      <c r="P1625" s="2947"/>
      <c r="Q1625" s="1238"/>
      <c r="R1625" s="1239"/>
    </row>
    <row r="1626" spans="1:18" ht="18.75" customHeight="1">
      <c r="A1626" s="2927"/>
      <c r="B1626" s="1237"/>
      <c r="C1626" s="1237"/>
      <c r="D1626" s="1237"/>
      <c r="E1626" s="1237"/>
      <c r="F1626" s="1237"/>
      <c r="G1626" s="1237"/>
      <c r="H1626" s="1237"/>
      <c r="I1626" s="1237"/>
      <c r="J1626" s="1237"/>
      <c r="K1626" s="1237"/>
      <c r="L1626" s="1237"/>
      <c r="M1626" s="1237"/>
      <c r="N1626" s="1237"/>
      <c r="O1626" s="2024"/>
      <c r="P1626" s="2947"/>
      <c r="Q1626" s="1238"/>
      <c r="R1626" s="1239"/>
    </row>
    <row r="1627" spans="1:18" ht="18.75" customHeight="1">
      <c r="A1627" s="2927"/>
      <c r="B1627" s="1237"/>
      <c r="C1627" s="1237"/>
      <c r="D1627" s="1237"/>
      <c r="E1627" s="1237"/>
      <c r="F1627" s="1237"/>
      <c r="G1627" s="1237"/>
      <c r="H1627" s="1237"/>
      <c r="I1627" s="1237"/>
      <c r="J1627" s="1237"/>
      <c r="K1627" s="1237"/>
      <c r="L1627" s="1237"/>
      <c r="M1627" s="1237"/>
      <c r="N1627" s="1237"/>
      <c r="O1627" s="2024"/>
      <c r="P1627" s="2948"/>
      <c r="Q1627" s="1238"/>
      <c r="R1627" s="1239"/>
    </row>
    <row r="1628" spans="1:18" ht="18.75" customHeight="1">
      <c r="A1628" s="2927"/>
      <c r="B1628" s="1237"/>
      <c r="C1628" s="1237"/>
      <c r="D1628" s="1237"/>
      <c r="E1628" s="1237"/>
      <c r="F1628" s="1237"/>
      <c r="G1628" s="1237"/>
      <c r="H1628" s="1237"/>
      <c r="I1628" s="1237"/>
      <c r="J1628" s="1237"/>
      <c r="K1628" s="1237"/>
      <c r="L1628" s="1237"/>
      <c r="M1628" s="1237"/>
      <c r="N1628" s="1237"/>
      <c r="O1628" s="2024"/>
      <c r="P1628" s="2946"/>
      <c r="Q1628" s="1238"/>
      <c r="R1628" s="1239"/>
    </row>
    <row r="1629" spans="1:18" ht="18.75" customHeight="1">
      <c r="A1629" s="2927"/>
      <c r="B1629" s="1237"/>
      <c r="C1629" s="1237"/>
      <c r="D1629" s="1237"/>
      <c r="E1629" s="1237"/>
      <c r="F1629" s="1237"/>
      <c r="G1629" s="1237"/>
      <c r="H1629" s="1237"/>
      <c r="I1629" s="1237"/>
      <c r="J1629" s="1237"/>
      <c r="K1629" s="1237"/>
      <c r="L1629" s="1237"/>
      <c r="M1629" s="1237"/>
      <c r="N1629" s="1237"/>
      <c r="O1629" s="2024"/>
      <c r="P1629" s="2947"/>
      <c r="Q1629" s="1238"/>
      <c r="R1629" s="1239"/>
    </row>
    <row r="1630" spans="1:18" ht="18.75" customHeight="1">
      <c r="A1630" s="2927"/>
      <c r="B1630" s="1237"/>
      <c r="C1630" s="1237"/>
      <c r="D1630" s="1237"/>
      <c r="E1630" s="1237"/>
      <c r="F1630" s="1237"/>
      <c r="G1630" s="1237"/>
      <c r="H1630" s="1237"/>
      <c r="I1630" s="1237"/>
      <c r="J1630" s="1237"/>
      <c r="K1630" s="1237"/>
      <c r="L1630" s="1237"/>
      <c r="M1630" s="1237"/>
      <c r="N1630" s="1237"/>
      <c r="O1630" s="2024"/>
      <c r="P1630" s="2947"/>
      <c r="Q1630" s="1238"/>
      <c r="R1630" s="1239"/>
    </row>
    <row r="1631" spans="1:18" ht="18.75" customHeight="1">
      <c r="A1631" s="2927"/>
      <c r="B1631" s="1237"/>
      <c r="C1631" s="1237"/>
      <c r="D1631" s="1237"/>
      <c r="E1631" s="1237"/>
      <c r="F1631" s="1237"/>
      <c r="G1631" s="1237"/>
      <c r="H1631" s="1237"/>
      <c r="I1631" s="1237"/>
      <c r="J1631" s="1237"/>
      <c r="K1631" s="1237"/>
      <c r="L1631" s="1237"/>
      <c r="M1631" s="1237"/>
      <c r="N1631" s="1237"/>
      <c r="O1631" s="2024"/>
      <c r="P1631" s="2948"/>
      <c r="Q1631" s="1238"/>
      <c r="R1631" s="1239"/>
    </row>
    <row r="1632" spans="1:18" ht="18.75" customHeight="1">
      <c r="A1632" s="2927"/>
      <c r="B1632" s="1237"/>
      <c r="C1632" s="1237"/>
      <c r="D1632" s="1237"/>
      <c r="E1632" s="1237"/>
      <c r="F1632" s="1237"/>
      <c r="G1632" s="1237"/>
      <c r="H1632" s="1237"/>
      <c r="I1632" s="1237"/>
      <c r="J1632" s="2945"/>
      <c r="K1632" s="2945"/>
      <c r="L1632" s="2945"/>
      <c r="M1632" s="1237"/>
      <c r="N1632" s="1237"/>
      <c r="O1632" s="2024"/>
      <c r="P1632" s="2027"/>
      <c r="Q1632" s="1238"/>
      <c r="R1632" s="1239"/>
    </row>
    <row r="1633" spans="1:20" ht="18.75" customHeight="1">
      <c r="A1633" s="2927"/>
      <c r="B1633" s="1237"/>
      <c r="C1633" s="1237"/>
      <c r="D1633" s="1237"/>
      <c r="E1633" s="1237"/>
      <c r="F1633" s="1237"/>
      <c r="G1633" s="1237"/>
      <c r="H1633" s="1237"/>
      <c r="I1633" s="1237"/>
      <c r="J1633" s="1237"/>
      <c r="K1633" s="1237"/>
      <c r="L1633" s="1237"/>
      <c r="M1633" s="1237"/>
      <c r="N1633" s="1237"/>
      <c r="O1633" s="2024"/>
      <c r="P1633" s="2946"/>
      <c r="Q1633" s="1238"/>
      <c r="R1633" s="1239"/>
    </row>
    <row r="1634" spans="1:20" ht="18.75" customHeight="1">
      <c r="A1634" s="2927"/>
      <c r="B1634" s="1237"/>
      <c r="C1634" s="1237"/>
      <c r="D1634" s="1237"/>
      <c r="E1634" s="1237"/>
      <c r="F1634" s="1237"/>
      <c r="G1634" s="1237"/>
      <c r="H1634" s="1237"/>
      <c r="I1634" s="1237"/>
      <c r="J1634" s="1237"/>
      <c r="K1634" s="1237"/>
      <c r="L1634" s="1237"/>
      <c r="M1634" s="1237"/>
      <c r="N1634" s="1237"/>
      <c r="O1634" s="2024"/>
      <c r="P1634" s="2947"/>
      <c r="Q1634" s="1238"/>
      <c r="R1634" s="1239"/>
    </row>
    <row r="1635" spans="1:20" ht="18.75" customHeight="1">
      <c r="A1635" s="2927"/>
      <c r="B1635" s="1237"/>
      <c r="C1635" s="1237"/>
      <c r="D1635" s="1237"/>
      <c r="E1635" s="1237"/>
      <c r="F1635" s="1237"/>
      <c r="G1635" s="1237"/>
      <c r="H1635" s="1237"/>
      <c r="I1635" s="1237"/>
      <c r="J1635" s="1237"/>
      <c r="K1635" s="1237"/>
      <c r="L1635" s="1237"/>
      <c r="M1635" s="1237"/>
      <c r="N1635" s="1237"/>
      <c r="O1635" s="2024"/>
      <c r="P1635" s="2947"/>
      <c r="Q1635" s="1238"/>
      <c r="R1635" s="1239"/>
    </row>
    <row r="1636" spans="1:20" ht="18.75" customHeight="1">
      <c r="A1636" s="2927"/>
      <c r="B1636" s="1237"/>
      <c r="C1636" s="1237"/>
      <c r="D1636" s="1237"/>
      <c r="E1636" s="1237"/>
      <c r="F1636" s="1237"/>
      <c r="G1636" s="1237"/>
      <c r="H1636" s="1237"/>
      <c r="I1636" s="1237"/>
      <c r="J1636" s="1237"/>
      <c r="K1636" s="1237"/>
      <c r="L1636" s="1237"/>
      <c r="M1636" s="1237"/>
      <c r="N1636" s="1237"/>
      <c r="O1636" s="2024"/>
      <c r="P1636" s="2948"/>
      <c r="Q1636" s="1238"/>
      <c r="R1636" s="1239"/>
    </row>
    <row r="1637" spans="1:20" ht="18.75" customHeight="1">
      <c r="A1637" s="2927"/>
      <c r="B1637" s="1237"/>
      <c r="C1637" s="1237"/>
      <c r="D1637" s="1237"/>
      <c r="E1637" s="1237"/>
      <c r="F1637" s="1237"/>
      <c r="G1637" s="1237"/>
      <c r="H1637" s="1237"/>
      <c r="I1637" s="1237"/>
      <c r="J1637" s="2945"/>
      <c r="K1637" s="2945"/>
      <c r="L1637" s="2945"/>
      <c r="M1637" s="1237"/>
      <c r="N1637" s="1237"/>
      <c r="O1637" s="2024"/>
      <c r="P1637" s="2027"/>
      <c r="Q1637" s="1238"/>
      <c r="R1637" s="1239"/>
    </row>
    <row r="1638" spans="1:20" ht="18.75" customHeight="1">
      <c r="A1638" s="2927"/>
      <c r="B1638" s="1237"/>
      <c r="C1638" s="1237"/>
      <c r="D1638" s="1237"/>
      <c r="E1638" s="1237"/>
      <c r="F1638" s="1237"/>
      <c r="G1638" s="1237"/>
      <c r="H1638" s="1237"/>
      <c r="I1638" s="1237"/>
      <c r="J1638" s="1237"/>
      <c r="K1638" s="1237"/>
      <c r="L1638" s="1237"/>
      <c r="M1638" s="1237"/>
      <c r="N1638" s="1237"/>
      <c r="O1638" s="2032"/>
      <c r="P1638" s="2946"/>
      <c r="Q1638" s="1238"/>
      <c r="R1638" s="1239"/>
    </row>
    <row r="1639" spans="1:20" ht="18.75" customHeight="1">
      <c r="A1639" s="2927"/>
      <c r="B1639" s="1237"/>
      <c r="C1639" s="1237"/>
      <c r="D1639" s="1237"/>
      <c r="E1639" s="1237"/>
      <c r="F1639" s="1237"/>
      <c r="G1639" s="1237"/>
      <c r="H1639" s="1237"/>
      <c r="I1639" s="1237"/>
      <c r="J1639" s="1237"/>
      <c r="K1639" s="1237"/>
      <c r="L1639" s="1237"/>
      <c r="M1639" s="1237"/>
      <c r="N1639" s="1237"/>
      <c r="O1639" s="2032"/>
      <c r="P1639" s="2947"/>
      <c r="Q1639" s="1238"/>
      <c r="R1639" s="1239"/>
    </row>
    <row r="1640" spans="1:20" ht="18.75" customHeight="1">
      <c r="A1640" s="2927"/>
      <c r="B1640" s="1237"/>
      <c r="C1640" s="1237"/>
      <c r="D1640" s="1237"/>
      <c r="E1640" s="1237"/>
      <c r="F1640" s="1237"/>
      <c r="G1640" s="1237"/>
      <c r="H1640" s="1237"/>
      <c r="I1640" s="1237"/>
      <c r="J1640" s="1237"/>
      <c r="K1640" s="1237"/>
      <c r="L1640" s="1237"/>
      <c r="M1640" s="1237"/>
      <c r="N1640" s="1237"/>
      <c r="O1640" s="2032"/>
      <c r="P1640" s="2947"/>
      <c r="Q1640" s="1238"/>
      <c r="R1640" s="1239"/>
    </row>
    <row r="1641" spans="1:20" ht="18.75" customHeight="1">
      <c r="A1641" s="2927"/>
      <c r="B1641" s="1237"/>
      <c r="C1641" s="1237"/>
      <c r="D1641" s="1237"/>
      <c r="E1641" s="1237"/>
      <c r="F1641" s="1237"/>
      <c r="G1641" s="1237"/>
      <c r="H1641" s="1237"/>
      <c r="I1641" s="1237"/>
      <c r="J1641" s="1237"/>
      <c r="K1641" s="1237"/>
      <c r="L1641" s="1237"/>
      <c r="M1641" s="1237"/>
      <c r="N1641" s="1237"/>
      <c r="O1641" s="2032"/>
      <c r="P1641" s="2947"/>
      <c r="Q1641" s="1238"/>
      <c r="R1641" s="1239"/>
    </row>
    <row r="1642" spans="1:20" ht="18.75" customHeight="1">
      <c r="A1642" s="2927"/>
      <c r="B1642" s="1237"/>
      <c r="C1642" s="1237"/>
      <c r="D1642" s="1237"/>
      <c r="E1642" s="1237"/>
      <c r="F1642" s="1237"/>
      <c r="G1642" s="1237"/>
      <c r="H1642" s="1237"/>
      <c r="I1642" s="1237"/>
      <c r="J1642" s="2945"/>
      <c r="K1642" s="2945"/>
      <c r="L1642" s="2945"/>
      <c r="M1642" s="1237"/>
      <c r="N1642" s="1237"/>
      <c r="O1642" s="2032"/>
      <c r="P1642" s="2947"/>
      <c r="Q1642" s="1238"/>
      <c r="R1642" s="1239"/>
    </row>
    <row r="1643" spans="1:20" ht="18.75" customHeight="1">
      <c r="A1643" s="2927"/>
      <c r="B1643" s="1237"/>
      <c r="C1643" s="1237"/>
      <c r="D1643" s="1237"/>
      <c r="E1643" s="1237"/>
      <c r="F1643" s="1237"/>
      <c r="G1643" s="1237"/>
      <c r="H1643" s="1237"/>
      <c r="I1643" s="1237"/>
      <c r="J1643" s="1237"/>
      <c r="K1643" s="1237"/>
      <c r="L1643" s="1237"/>
      <c r="M1643" s="1237"/>
      <c r="N1643" s="1237"/>
      <c r="O1643" s="2032"/>
      <c r="P1643" s="2947"/>
      <c r="Q1643" s="1238"/>
      <c r="R1643" s="1239"/>
    </row>
    <row r="1644" spans="1:20" ht="18.75" customHeight="1">
      <c r="A1644" s="2927"/>
      <c r="B1644" s="1237"/>
      <c r="C1644" s="1237"/>
      <c r="D1644" s="1237"/>
      <c r="E1644" s="1237"/>
      <c r="F1644" s="1237"/>
      <c r="G1644" s="1237"/>
      <c r="H1644" s="1237"/>
      <c r="I1644" s="1237"/>
      <c r="J1644" s="1237"/>
      <c r="K1644" s="1237"/>
      <c r="L1644" s="1237"/>
      <c r="M1644" s="1237"/>
      <c r="N1644" s="1237"/>
      <c r="O1644" s="2032"/>
      <c r="P1644" s="2947"/>
      <c r="Q1644" s="1238"/>
      <c r="R1644" s="1239"/>
    </row>
    <row r="1645" spans="1:20" ht="18.75" customHeight="1">
      <c r="A1645" s="2927"/>
      <c r="B1645" s="1237"/>
      <c r="C1645" s="1237"/>
      <c r="D1645" s="1237"/>
      <c r="E1645" s="1237"/>
      <c r="F1645" s="1237"/>
      <c r="G1645" s="1237"/>
      <c r="H1645" s="1237"/>
      <c r="I1645" s="1237"/>
      <c r="J1645" s="1237"/>
      <c r="K1645" s="1237"/>
      <c r="L1645" s="1237"/>
      <c r="M1645" s="1237"/>
      <c r="N1645" s="1237"/>
      <c r="O1645" s="2032"/>
      <c r="P1645" s="2947"/>
      <c r="Q1645" s="1238"/>
      <c r="R1645" s="1239"/>
    </row>
    <row r="1646" spans="1:20" ht="18.75" customHeight="1">
      <c r="A1646" s="2927"/>
      <c r="B1646" s="1237"/>
      <c r="C1646" s="1237"/>
      <c r="D1646" s="1237"/>
      <c r="E1646" s="1237"/>
      <c r="F1646" s="1237"/>
      <c r="G1646" s="1237"/>
      <c r="H1646" s="1237"/>
      <c r="I1646" s="1237"/>
      <c r="J1646" s="1237"/>
      <c r="K1646" s="1237"/>
      <c r="L1646" s="1237"/>
      <c r="M1646" s="1237"/>
      <c r="N1646" s="1237"/>
      <c r="O1646" s="2032"/>
      <c r="P1646" s="2947"/>
      <c r="Q1646" s="1238"/>
      <c r="R1646" s="1239"/>
    </row>
    <row r="1647" spans="1:20" ht="18.75" customHeight="1">
      <c r="A1647" s="2927"/>
      <c r="B1647" s="1237"/>
      <c r="C1647" s="1237"/>
      <c r="D1647" s="1237"/>
      <c r="E1647" s="1237"/>
      <c r="F1647" s="1237"/>
      <c r="G1647" s="1237"/>
      <c r="H1647" s="1237"/>
      <c r="I1647" s="1237"/>
      <c r="J1647" s="1237"/>
      <c r="K1647" s="1237"/>
      <c r="L1647" s="1237"/>
      <c r="M1647" s="1237"/>
      <c r="N1647" s="1237"/>
      <c r="O1647" s="2032"/>
      <c r="P1647" s="2973"/>
      <c r="Q1647" s="1238"/>
      <c r="R1647" s="1239"/>
      <c r="T1647" s="718"/>
    </row>
    <row r="1648" spans="1:20" ht="18.75" customHeight="1">
      <c r="A1648" s="2927"/>
      <c r="B1648" s="1237"/>
      <c r="C1648" s="1237"/>
      <c r="D1648" s="1237"/>
      <c r="E1648" s="1237"/>
      <c r="F1648" s="1237"/>
      <c r="G1648" s="1237"/>
      <c r="H1648" s="1237"/>
      <c r="I1648" s="1237"/>
      <c r="J1648" s="1237"/>
      <c r="K1648" s="1237"/>
      <c r="L1648" s="1237"/>
      <c r="M1648" s="1237"/>
      <c r="N1648" s="1237"/>
      <c r="O1648" s="2035"/>
      <c r="P1648" s="2971"/>
      <c r="Q1648" s="1525"/>
      <c r="R1648" s="1239"/>
    </row>
    <row r="1649" spans="1:20" ht="18.75" customHeight="1">
      <c r="A1649" s="2927"/>
      <c r="B1649" s="1237"/>
      <c r="C1649" s="1237"/>
      <c r="D1649" s="1237"/>
      <c r="E1649" s="1237"/>
      <c r="F1649" s="1237"/>
      <c r="G1649" s="1237"/>
      <c r="H1649" s="1237"/>
      <c r="I1649" s="1237"/>
      <c r="J1649" s="1237"/>
      <c r="K1649" s="1237"/>
      <c r="L1649" s="1237"/>
      <c r="M1649" s="1237"/>
      <c r="N1649" s="1237"/>
      <c r="O1649" s="2035"/>
      <c r="P1649" s="2971"/>
      <c r="Q1649" s="1525"/>
      <c r="R1649" s="1239"/>
    </row>
    <row r="1650" spans="1:20" ht="18.75" customHeight="1" thickBot="1">
      <c r="A1650" s="2928"/>
      <c r="B1650" s="1540"/>
      <c r="C1650" s="1540"/>
      <c r="D1650" s="1540"/>
      <c r="E1650" s="1540"/>
      <c r="F1650" s="1540"/>
      <c r="G1650" s="1540"/>
      <c r="H1650" s="1540"/>
      <c r="I1650" s="1540"/>
      <c r="J1650" s="1540"/>
      <c r="K1650" s="1540"/>
      <c r="L1650" s="1540"/>
      <c r="M1650" s="1540"/>
      <c r="N1650" s="1540"/>
      <c r="O1650" s="2247"/>
      <c r="P1650" s="2972"/>
      <c r="Q1650" s="2059"/>
      <c r="R1650" s="1591"/>
    </row>
    <row r="1651" spans="1:20" ht="18.75" customHeight="1">
      <c r="A1651" s="2926"/>
      <c r="B1651" s="1585"/>
      <c r="C1651" s="1585"/>
      <c r="D1651" s="1585"/>
      <c r="E1651" s="1585"/>
      <c r="F1651" s="1585"/>
      <c r="G1651" s="1585"/>
      <c r="H1651" s="1585"/>
      <c r="I1651" s="1585"/>
      <c r="J1651" s="1585"/>
      <c r="K1651" s="1585"/>
      <c r="L1651" s="1585"/>
      <c r="M1651" s="1585"/>
      <c r="N1651" s="1585"/>
      <c r="O1651" s="2026"/>
      <c r="P1651" s="2949"/>
      <c r="Q1651" s="1586"/>
      <c r="R1651" s="1587"/>
    </row>
    <row r="1652" spans="1:20" ht="18.75" customHeight="1">
      <c r="A1652" s="2927"/>
      <c r="B1652" s="1237"/>
      <c r="C1652" s="1237"/>
      <c r="D1652" s="1237"/>
      <c r="E1652" s="1237"/>
      <c r="F1652" s="1237"/>
      <c r="G1652" s="1237"/>
      <c r="H1652" s="1237"/>
      <c r="I1652" s="1237"/>
      <c r="J1652" s="1237"/>
      <c r="K1652" s="1237"/>
      <c r="L1652" s="1237"/>
      <c r="M1652" s="1237"/>
      <c r="N1652" s="1237"/>
      <c r="O1652" s="2024"/>
      <c r="P1652" s="2947"/>
      <c r="Q1652" s="1238"/>
      <c r="R1652" s="1239"/>
    </row>
    <row r="1653" spans="1:20" ht="18.75" customHeight="1">
      <c r="A1653" s="2927"/>
      <c r="B1653" s="1237"/>
      <c r="C1653" s="1237"/>
      <c r="D1653" s="1237"/>
      <c r="E1653" s="1237"/>
      <c r="F1653" s="1237"/>
      <c r="G1653" s="1237"/>
      <c r="H1653" s="1237"/>
      <c r="I1653" s="1237"/>
      <c r="J1653" s="1237"/>
      <c r="K1653" s="1237"/>
      <c r="L1653" s="1237"/>
      <c r="M1653" s="1237"/>
      <c r="N1653" s="1237"/>
      <c r="O1653" s="2024"/>
      <c r="P1653" s="2947"/>
      <c r="Q1653" s="1238"/>
      <c r="R1653" s="1239"/>
    </row>
    <row r="1654" spans="1:20" ht="18.75" customHeight="1">
      <c r="A1654" s="2927"/>
      <c r="B1654" s="1237"/>
      <c r="C1654" s="1237"/>
      <c r="D1654" s="1237"/>
      <c r="E1654" s="1237"/>
      <c r="F1654" s="1237"/>
      <c r="G1654" s="1237"/>
      <c r="H1654" s="1237"/>
      <c r="I1654" s="1237"/>
      <c r="J1654" s="1237"/>
      <c r="K1654" s="1237"/>
      <c r="L1654" s="1237"/>
      <c r="M1654" s="1237"/>
      <c r="N1654" s="1237"/>
      <c r="O1654" s="2024"/>
      <c r="P1654" s="2947"/>
      <c r="Q1654" s="1238"/>
      <c r="R1654" s="1239"/>
    </row>
    <row r="1655" spans="1:20" ht="18.75" customHeight="1">
      <c r="A1655" s="2927"/>
      <c r="B1655" s="1237"/>
      <c r="C1655" s="1237"/>
      <c r="D1655" s="1237"/>
      <c r="E1655" s="1237"/>
      <c r="F1655" s="1237"/>
      <c r="G1655" s="1237"/>
      <c r="H1655" s="1237"/>
      <c r="I1655" s="1237"/>
      <c r="J1655" s="1237"/>
      <c r="K1655" s="1237"/>
      <c r="L1655" s="1237"/>
      <c r="M1655" s="1237"/>
      <c r="N1655" s="1237"/>
      <c r="O1655" s="2024"/>
      <c r="P1655" s="2947"/>
      <c r="Q1655" s="1238"/>
      <c r="R1655" s="1239"/>
    </row>
    <row r="1656" spans="1:20" ht="18.75" customHeight="1">
      <c r="A1656" s="2927"/>
      <c r="B1656" s="1237"/>
      <c r="C1656" s="1237"/>
      <c r="D1656" s="1237"/>
      <c r="E1656" s="1237"/>
      <c r="F1656" s="1237"/>
      <c r="G1656" s="1237"/>
      <c r="H1656" s="1237"/>
      <c r="I1656" s="1237"/>
      <c r="J1656" s="1237"/>
      <c r="K1656" s="1237"/>
      <c r="L1656" s="1237"/>
      <c r="M1656" s="1237"/>
      <c r="N1656" s="1237"/>
      <c r="O1656" s="2024"/>
      <c r="P1656" s="2947"/>
      <c r="Q1656" s="1238"/>
      <c r="R1656" s="1239"/>
    </row>
    <row r="1657" spans="1:20" ht="18.75" customHeight="1">
      <c r="A1657" s="2927"/>
      <c r="B1657" s="1237"/>
      <c r="C1657" s="1237"/>
      <c r="D1657" s="1237"/>
      <c r="E1657" s="1237"/>
      <c r="F1657" s="1237"/>
      <c r="G1657" s="1237"/>
      <c r="H1657" s="1237"/>
      <c r="I1657" s="1237"/>
      <c r="J1657" s="1237"/>
      <c r="K1657" s="1237"/>
      <c r="L1657" s="1237"/>
      <c r="M1657" s="1237"/>
      <c r="N1657" s="1237"/>
      <c r="O1657" s="2024"/>
      <c r="P1657" s="2948"/>
      <c r="Q1657" s="1238"/>
      <c r="R1657" s="1239"/>
    </row>
    <row r="1658" spans="1:20" ht="18.75" customHeight="1">
      <c r="A1658" s="2927"/>
      <c r="B1658" s="1237"/>
      <c r="C1658" s="1237"/>
      <c r="D1658" s="1237"/>
      <c r="E1658" s="1237"/>
      <c r="F1658" s="1237"/>
      <c r="G1658" s="1237"/>
      <c r="H1658" s="1237"/>
      <c r="I1658" s="1237"/>
      <c r="J1658" s="1237"/>
      <c r="K1658" s="1237"/>
      <c r="L1658" s="1237"/>
      <c r="M1658" s="1237"/>
      <c r="N1658" s="1237"/>
      <c r="O1658" s="2024"/>
      <c r="P1658" s="2946"/>
      <c r="Q1658" s="1238"/>
      <c r="R1658" s="1239"/>
    </row>
    <row r="1659" spans="1:20" ht="18.75" customHeight="1">
      <c r="A1659" s="2927"/>
      <c r="B1659" s="1237"/>
      <c r="C1659" s="1237"/>
      <c r="D1659" s="1237"/>
      <c r="E1659" s="1237"/>
      <c r="F1659" s="1237"/>
      <c r="G1659" s="1237"/>
      <c r="H1659" s="1237"/>
      <c r="I1659" s="1237"/>
      <c r="J1659" s="1237"/>
      <c r="K1659" s="1237"/>
      <c r="L1659" s="1237"/>
      <c r="M1659" s="1237"/>
      <c r="N1659" s="1237"/>
      <c r="O1659" s="2024"/>
      <c r="P1659" s="2947"/>
      <c r="Q1659" s="1238"/>
      <c r="R1659" s="1239"/>
    </row>
    <row r="1660" spans="1:20" ht="18.75" customHeight="1">
      <c r="A1660" s="2927"/>
      <c r="B1660" s="1237"/>
      <c r="C1660" s="1237"/>
      <c r="D1660" s="1237"/>
      <c r="E1660" s="1237"/>
      <c r="F1660" s="1237"/>
      <c r="G1660" s="1237"/>
      <c r="H1660" s="1237"/>
      <c r="I1660" s="1237"/>
      <c r="J1660" s="1237"/>
      <c r="K1660" s="1237"/>
      <c r="L1660" s="1237"/>
      <c r="M1660" s="1237"/>
      <c r="N1660" s="1237"/>
      <c r="O1660" s="2024"/>
      <c r="P1660" s="2947"/>
      <c r="Q1660" s="1238"/>
      <c r="R1660" s="1239"/>
      <c r="T1660" s="1981"/>
    </row>
    <row r="1661" spans="1:20" ht="18.75" customHeight="1">
      <c r="A1661" s="2927"/>
      <c r="B1661" s="1237"/>
      <c r="C1661" s="1237"/>
      <c r="D1661" s="1237"/>
      <c r="E1661" s="1237"/>
      <c r="F1661" s="1237"/>
      <c r="G1661" s="1237"/>
      <c r="H1661" s="1237"/>
      <c r="I1661" s="1237"/>
      <c r="J1661" s="1237"/>
      <c r="K1661" s="1237"/>
      <c r="L1661" s="1237"/>
      <c r="M1661" s="1237"/>
      <c r="N1661" s="1237"/>
      <c r="O1661" s="2024"/>
      <c r="P1661" s="2947"/>
      <c r="Q1661" s="1238"/>
      <c r="R1661" s="1239"/>
    </row>
    <row r="1662" spans="1:20" ht="18.75" customHeight="1">
      <c r="A1662" s="2927"/>
      <c r="B1662" s="1237"/>
      <c r="C1662" s="1237"/>
      <c r="D1662" s="1237"/>
      <c r="E1662" s="1237"/>
      <c r="F1662" s="1237"/>
      <c r="G1662" s="1237"/>
      <c r="H1662" s="1237"/>
      <c r="I1662" s="1237"/>
      <c r="J1662" s="1237"/>
      <c r="K1662" s="1237"/>
      <c r="L1662" s="1237"/>
      <c r="M1662" s="1237"/>
      <c r="N1662" s="1237"/>
      <c r="O1662" s="2024"/>
      <c r="P1662" s="2947"/>
      <c r="Q1662" s="1238"/>
      <c r="R1662" s="1239"/>
    </row>
    <row r="1663" spans="1:20" ht="18.75" customHeight="1">
      <c r="A1663" s="2927"/>
      <c r="B1663" s="1237"/>
      <c r="C1663" s="1237"/>
      <c r="D1663" s="1237"/>
      <c r="E1663" s="1237"/>
      <c r="F1663" s="1237"/>
      <c r="G1663" s="1237"/>
      <c r="H1663" s="1237"/>
      <c r="I1663" s="1237"/>
      <c r="J1663" s="1237"/>
      <c r="K1663" s="1237"/>
      <c r="L1663" s="1237"/>
      <c r="M1663" s="1237"/>
      <c r="N1663" s="1237"/>
      <c r="O1663" s="2024"/>
      <c r="P1663" s="2947"/>
      <c r="Q1663" s="1238"/>
      <c r="R1663" s="1239"/>
    </row>
    <row r="1664" spans="1:20" ht="18.75" customHeight="1">
      <c r="A1664" s="2927"/>
      <c r="B1664" s="1237"/>
      <c r="C1664" s="1237"/>
      <c r="D1664" s="1237"/>
      <c r="E1664" s="1237"/>
      <c r="F1664" s="1237"/>
      <c r="G1664" s="1237"/>
      <c r="H1664" s="1237"/>
      <c r="I1664" s="1237"/>
      <c r="J1664" s="1237"/>
      <c r="K1664" s="1237"/>
      <c r="L1664" s="1237"/>
      <c r="M1664" s="1237"/>
      <c r="N1664" s="1237"/>
      <c r="O1664" s="2024"/>
      <c r="P1664" s="2947"/>
      <c r="Q1664" s="1238"/>
      <c r="R1664" s="1239"/>
    </row>
    <row r="1665" spans="1:18" ht="18.75" customHeight="1">
      <c r="A1665" s="2927"/>
      <c r="B1665" s="1237"/>
      <c r="C1665" s="1237"/>
      <c r="D1665" s="1237"/>
      <c r="E1665" s="1237"/>
      <c r="F1665" s="1237"/>
      <c r="G1665" s="1237"/>
      <c r="H1665" s="1237"/>
      <c r="I1665" s="1237"/>
      <c r="J1665" s="2945"/>
      <c r="K1665" s="2945"/>
      <c r="L1665" s="2945"/>
      <c r="M1665" s="1237"/>
      <c r="N1665" s="1237"/>
      <c r="O1665" s="2024"/>
      <c r="P1665" s="2947"/>
      <c r="Q1665" s="1238"/>
      <c r="R1665" s="1239"/>
    </row>
    <row r="1666" spans="1:18" ht="18.75" customHeight="1">
      <c r="A1666" s="2927"/>
      <c r="B1666" s="1237"/>
      <c r="C1666" s="1237"/>
      <c r="D1666" s="1237"/>
      <c r="E1666" s="1237"/>
      <c r="F1666" s="1237"/>
      <c r="G1666" s="1237"/>
      <c r="H1666" s="1237"/>
      <c r="I1666" s="1237"/>
      <c r="J1666" s="1237"/>
      <c r="K1666" s="1237"/>
      <c r="L1666" s="1237"/>
      <c r="M1666" s="1237"/>
      <c r="N1666" s="1237"/>
      <c r="O1666" s="2024"/>
      <c r="P1666" s="2947"/>
      <c r="Q1666" s="1238"/>
      <c r="R1666" s="1239"/>
    </row>
    <row r="1667" spans="1:18" ht="18.75" customHeight="1">
      <c r="A1667" s="2927"/>
      <c r="B1667" s="1237"/>
      <c r="C1667" s="1237"/>
      <c r="D1667" s="1237"/>
      <c r="E1667" s="1237"/>
      <c r="F1667" s="1237"/>
      <c r="G1667" s="1237"/>
      <c r="H1667" s="1237"/>
      <c r="I1667" s="1237"/>
      <c r="J1667" s="1237"/>
      <c r="K1667" s="1237"/>
      <c r="L1667" s="1237"/>
      <c r="M1667" s="1237"/>
      <c r="N1667" s="1237"/>
      <c r="O1667" s="2024"/>
      <c r="P1667" s="2948"/>
      <c r="Q1667" s="1238"/>
      <c r="R1667" s="1239"/>
    </row>
    <row r="1668" spans="1:18" ht="18.75" customHeight="1">
      <c r="A1668" s="2927"/>
      <c r="B1668" s="1237"/>
      <c r="C1668" s="1237"/>
      <c r="D1668" s="1237"/>
      <c r="E1668" s="1237"/>
      <c r="F1668" s="1237"/>
      <c r="G1668" s="1237"/>
      <c r="H1668" s="1237"/>
      <c r="I1668" s="1237"/>
      <c r="J1668" s="1237"/>
      <c r="K1668" s="1237"/>
      <c r="L1668" s="1237"/>
      <c r="M1668" s="1237"/>
      <c r="N1668" s="1237"/>
      <c r="O1668" s="2024"/>
      <c r="P1668" s="2946"/>
      <c r="Q1668" s="1238"/>
      <c r="R1668" s="1239"/>
    </row>
    <row r="1669" spans="1:18" ht="18.75" customHeight="1">
      <c r="A1669" s="2927"/>
      <c r="B1669" s="1237"/>
      <c r="C1669" s="1237"/>
      <c r="D1669" s="1237"/>
      <c r="E1669" s="1237"/>
      <c r="F1669" s="1237"/>
      <c r="G1669" s="1237"/>
      <c r="H1669" s="1237"/>
      <c r="I1669" s="1237"/>
      <c r="J1669" s="1237"/>
      <c r="K1669" s="1237"/>
      <c r="L1669" s="1237"/>
      <c r="M1669" s="1237"/>
      <c r="N1669" s="1237"/>
      <c r="O1669" s="2024"/>
      <c r="P1669" s="2947"/>
      <c r="Q1669" s="1238"/>
      <c r="R1669" s="1239"/>
    </row>
    <row r="1670" spans="1:18" ht="18.75" customHeight="1">
      <c r="A1670" s="2927"/>
      <c r="B1670" s="1237"/>
      <c r="C1670" s="1237"/>
      <c r="D1670" s="1237"/>
      <c r="E1670" s="1237"/>
      <c r="F1670" s="1237"/>
      <c r="G1670" s="1237"/>
      <c r="H1670" s="1237"/>
      <c r="I1670" s="1237"/>
      <c r="J1670" s="2945"/>
      <c r="K1670" s="2945"/>
      <c r="L1670" s="2945"/>
      <c r="M1670" s="1237"/>
      <c r="N1670" s="1237"/>
      <c r="O1670" s="2024"/>
      <c r="P1670" s="2947"/>
      <c r="Q1670" s="1238"/>
      <c r="R1670" s="1239"/>
    </row>
    <row r="1671" spans="1:18" ht="18.75" customHeight="1">
      <c r="A1671" s="2927"/>
      <c r="B1671" s="1237"/>
      <c r="C1671" s="1237"/>
      <c r="D1671" s="1237"/>
      <c r="E1671" s="1237"/>
      <c r="F1671" s="1237"/>
      <c r="G1671" s="1237"/>
      <c r="H1671" s="1237"/>
      <c r="I1671" s="1237"/>
      <c r="J1671" s="1237"/>
      <c r="K1671" s="1237"/>
      <c r="L1671" s="1237"/>
      <c r="M1671" s="1237"/>
      <c r="N1671" s="1237"/>
      <c r="O1671" s="2024"/>
      <c r="P1671" s="2947"/>
      <c r="Q1671" s="1238"/>
      <c r="R1671" s="1239"/>
    </row>
    <row r="1672" spans="1:18" ht="18.75" customHeight="1">
      <c r="A1672" s="2927"/>
      <c r="B1672" s="1237"/>
      <c r="C1672" s="1237"/>
      <c r="D1672" s="1237"/>
      <c r="E1672" s="1237"/>
      <c r="F1672" s="1237"/>
      <c r="G1672" s="1237"/>
      <c r="H1672" s="1237"/>
      <c r="I1672" s="1237"/>
      <c r="J1672" s="1237"/>
      <c r="K1672" s="1237"/>
      <c r="L1672" s="1237"/>
      <c r="M1672" s="1237"/>
      <c r="N1672" s="1237"/>
      <c r="O1672" s="2024"/>
      <c r="P1672" s="2947"/>
      <c r="Q1672" s="1238"/>
      <c r="R1672" s="1239"/>
    </row>
    <row r="1673" spans="1:18" ht="18.75" customHeight="1">
      <c r="A1673" s="2927"/>
      <c r="B1673" s="1237"/>
      <c r="C1673" s="1237"/>
      <c r="D1673" s="1237"/>
      <c r="E1673" s="1237"/>
      <c r="F1673" s="1237"/>
      <c r="G1673" s="1237"/>
      <c r="H1673" s="1237"/>
      <c r="I1673" s="1237"/>
      <c r="J1673" s="1237"/>
      <c r="K1673" s="1237"/>
      <c r="L1673" s="1237"/>
      <c r="M1673" s="1237"/>
      <c r="N1673" s="1237"/>
      <c r="O1673" s="2024"/>
      <c r="P1673" s="2947"/>
      <c r="Q1673" s="1238"/>
      <c r="R1673" s="1239"/>
    </row>
    <row r="1674" spans="1:18" ht="18.75" customHeight="1">
      <c r="A1674" s="2927"/>
      <c r="B1674" s="1237"/>
      <c r="C1674" s="1237"/>
      <c r="D1674" s="1237"/>
      <c r="E1674" s="1237"/>
      <c r="F1674" s="1237"/>
      <c r="G1674" s="1237"/>
      <c r="H1674" s="1237"/>
      <c r="I1674" s="1237"/>
      <c r="J1674" s="1237"/>
      <c r="K1674" s="1237"/>
      <c r="L1674" s="1237"/>
      <c r="M1674" s="1237"/>
      <c r="N1674" s="1237"/>
      <c r="O1674" s="2024"/>
      <c r="P1674" s="2947"/>
      <c r="Q1674" s="1238"/>
      <c r="R1674" s="1239"/>
    </row>
    <row r="1675" spans="1:18" ht="18.75" customHeight="1">
      <c r="A1675" s="2927"/>
      <c r="B1675" s="1237"/>
      <c r="C1675" s="1237"/>
      <c r="D1675" s="1237"/>
      <c r="E1675" s="1237"/>
      <c r="F1675" s="1237"/>
      <c r="G1675" s="1237"/>
      <c r="H1675" s="1237"/>
      <c r="I1675" s="1237"/>
      <c r="J1675" s="2945"/>
      <c r="K1675" s="2945"/>
      <c r="L1675" s="2945"/>
      <c r="M1675" s="1237"/>
      <c r="N1675" s="1237"/>
      <c r="O1675" s="2024"/>
      <c r="P1675" s="2948"/>
      <c r="Q1675" s="1238"/>
      <c r="R1675" s="1239"/>
    </row>
    <row r="1676" spans="1:18" ht="18.75" customHeight="1">
      <c r="A1676" s="2927"/>
      <c r="B1676" s="1237"/>
      <c r="C1676" s="1237"/>
      <c r="D1676" s="1237"/>
      <c r="E1676" s="1237"/>
      <c r="F1676" s="1237"/>
      <c r="G1676" s="1237"/>
      <c r="H1676" s="1237"/>
      <c r="I1676" s="1237"/>
      <c r="J1676" s="1237"/>
      <c r="K1676" s="1237"/>
      <c r="L1676" s="1237"/>
      <c r="M1676" s="1237"/>
      <c r="N1676" s="1237"/>
      <c r="O1676" s="2024"/>
      <c r="P1676" s="2946"/>
      <c r="Q1676" s="1238"/>
      <c r="R1676" s="1239"/>
    </row>
    <row r="1677" spans="1:18" ht="18.75" customHeight="1">
      <c r="A1677" s="2927"/>
      <c r="B1677" s="1237"/>
      <c r="C1677" s="1237"/>
      <c r="D1677" s="1237"/>
      <c r="E1677" s="1237"/>
      <c r="F1677" s="1237"/>
      <c r="G1677" s="1237"/>
      <c r="H1677" s="1237"/>
      <c r="I1677" s="1237"/>
      <c r="J1677" s="1237"/>
      <c r="K1677" s="1237"/>
      <c r="L1677" s="1237"/>
      <c r="M1677" s="1237"/>
      <c r="N1677" s="1237"/>
      <c r="O1677" s="2024"/>
      <c r="P1677" s="2947"/>
      <c r="Q1677" s="1238"/>
      <c r="R1677" s="1239"/>
    </row>
    <row r="1678" spans="1:18" ht="18.75" customHeight="1">
      <c r="A1678" s="2927"/>
      <c r="B1678" s="1237"/>
      <c r="C1678" s="1237"/>
      <c r="D1678" s="1237"/>
      <c r="E1678" s="1237"/>
      <c r="F1678" s="1237"/>
      <c r="G1678" s="1237"/>
      <c r="H1678" s="1237"/>
      <c r="I1678" s="1237"/>
      <c r="J1678" s="1237"/>
      <c r="K1678" s="1237"/>
      <c r="L1678" s="1237"/>
      <c r="M1678" s="1237"/>
      <c r="N1678" s="1237"/>
      <c r="O1678" s="2024"/>
      <c r="P1678" s="2947"/>
      <c r="Q1678" s="1238"/>
      <c r="R1678" s="1239"/>
    </row>
    <row r="1679" spans="1:18" ht="18.75" customHeight="1">
      <c r="A1679" s="2927"/>
      <c r="B1679" s="1237"/>
      <c r="C1679" s="1237"/>
      <c r="D1679" s="1237"/>
      <c r="E1679" s="1237"/>
      <c r="F1679" s="1237"/>
      <c r="G1679" s="1237"/>
      <c r="H1679" s="1237"/>
      <c r="I1679" s="1237"/>
      <c r="J1679" s="1237"/>
      <c r="K1679" s="1237"/>
      <c r="L1679" s="1237"/>
      <c r="M1679" s="1237"/>
      <c r="N1679" s="1237"/>
      <c r="O1679" s="2024"/>
      <c r="P1679" s="2947"/>
      <c r="Q1679" s="1238"/>
      <c r="R1679" s="1239"/>
    </row>
    <row r="1680" spans="1:18" ht="18.75" customHeight="1">
      <c r="A1680" s="2927"/>
      <c r="B1680" s="1237"/>
      <c r="C1680" s="1237"/>
      <c r="D1680" s="1237"/>
      <c r="E1680" s="1237"/>
      <c r="F1680" s="1237"/>
      <c r="G1680" s="1237"/>
      <c r="H1680" s="1237"/>
      <c r="I1680" s="1237"/>
      <c r="J1680" s="1237"/>
      <c r="K1680" s="1237"/>
      <c r="L1680" s="1237"/>
      <c r="M1680" s="1237"/>
      <c r="N1680" s="1237"/>
      <c r="O1680" s="2024"/>
      <c r="P1680" s="2947"/>
      <c r="Q1680" s="1238"/>
      <c r="R1680" s="1239"/>
    </row>
    <row r="1681" spans="1:18" ht="18.75" customHeight="1">
      <c r="A1681" s="2927"/>
      <c r="B1681" s="1237"/>
      <c r="C1681" s="1237"/>
      <c r="D1681" s="1237"/>
      <c r="E1681" s="1237"/>
      <c r="F1681" s="1237"/>
      <c r="G1681" s="1237"/>
      <c r="H1681" s="1237"/>
      <c r="I1681" s="1237"/>
      <c r="J1681" s="1237"/>
      <c r="K1681" s="1237"/>
      <c r="L1681" s="1237"/>
      <c r="M1681" s="1237"/>
      <c r="N1681" s="1237"/>
      <c r="O1681" s="2024"/>
      <c r="P1681" s="2947"/>
      <c r="Q1681" s="1238"/>
      <c r="R1681" s="1239"/>
    </row>
    <row r="1682" spans="1:18" ht="18.75" customHeight="1">
      <c r="A1682" s="2927"/>
      <c r="B1682" s="1237"/>
      <c r="C1682" s="1237"/>
      <c r="D1682" s="1237"/>
      <c r="E1682" s="1237"/>
      <c r="F1682" s="1237"/>
      <c r="G1682" s="1237"/>
      <c r="H1682" s="1237"/>
      <c r="I1682" s="1237"/>
      <c r="J1682" s="1237"/>
      <c r="K1682" s="1237"/>
      <c r="L1682" s="1237"/>
      <c r="M1682" s="1237"/>
      <c r="N1682" s="1237"/>
      <c r="O1682" s="2024"/>
      <c r="P1682" s="2947"/>
      <c r="Q1682" s="1238"/>
      <c r="R1682" s="1239"/>
    </row>
    <row r="1683" spans="1:18" ht="18.75" customHeight="1">
      <c r="A1683" s="2927"/>
      <c r="B1683" s="1237"/>
      <c r="C1683" s="1237"/>
      <c r="D1683" s="1237"/>
      <c r="E1683" s="1237"/>
      <c r="F1683" s="1237"/>
      <c r="G1683" s="1237"/>
      <c r="H1683" s="1237"/>
      <c r="I1683" s="1237"/>
      <c r="J1683" s="1237"/>
      <c r="K1683" s="1237"/>
      <c r="L1683" s="1237"/>
      <c r="M1683" s="1237"/>
      <c r="N1683" s="1237"/>
      <c r="O1683" s="2024"/>
      <c r="P1683" s="2947"/>
      <c r="Q1683" s="1238"/>
      <c r="R1683" s="1239"/>
    </row>
    <row r="1684" spans="1:18" ht="18.75" customHeight="1">
      <c r="A1684" s="2927"/>
      <c r="B1684" s="1237"/>
      <c r="C1684" s="1237"/>
      <c r="D1684" s="1237"/>
      <c r="E1684" s="1237"/>
      <c r="F1684" s="1237"/>
      <c r="G1684" s="1237"/>
      <c r="H1684" s="1237"/>
      <c r="I1684" s="1237"/>
      <c r="J1684" s="1237"/>
      <c r="K1684" s="1237"/>
      <c r="L1684" s="1237"/>
      <c r="M1684" s="1237"/>
      <c r="N1684" s="1237"/>
      <c r="O1684" s="2024"/>
      <c r="P1684" s="2947"/>
      <c r="Q1684" s="1238"/>
      <c r="R1684" s="1239"/>
    </row>
    <row r="1685" spans="1:18" ht="18.75" customHeight="1">
      <c r="A1685" s="2927"/>
      <c r="B1685" s="1237"/>
      <c r="C1685" s="1237"/>
      <c r="D1685" s="1237"/>
      <c r="E1685" s="1237"/>
      <c r="F1685" s="1237"/>
      <c r="G1685" s="1237"/>
      <c r="H1685" s="1237"/>
      <c r="I1685" s="1237"/>
      <c r="J1685" s="2945"/>
      <c r="K1685" s="2945"/>
      <c r="L1685" s="2945"/>
      <c r="M1685" s="1237"/>
      <c r="N1685" s="1237"/>
      <c r="O1685" s="2024"/>
      <c r="P1685" s="2947"/>
      <c r="Q1685" s="1238"/>
      <c r="R1685" s="1239"/>
    </row>
    <row r="1686" spans="1:18" ht="18.75" customHeight="1">
      <c r="A1686" s="2927"/>
      <c r="B1686" s="1237"/>
      <c r="C1686" s="1237"/>
      <c r="D1686" s="1237"/>
      <c r="E1686" s="1237"/>
      <c r="F1686" s="1237"/>
      <c r="G1686" s="1237"/>
      <c r="H1686" s="1237"/>
      <c r="I1686" s="1237"/>
      <c r="J1686" s="1237"/>
      <c r="K1686" s="1237"/>
      <c r="L1686" s="1237"/>
      <c r="M1686" s="1237"/>
      <c r="N1686" s="1237"/>
      <c r="O1686" s="2024"/>
      <c r="P1686" s="2947"/>
      <c r="Q1686" s="1238"/>
      <c r="R1686" s="1239"/>
    </row>
    <row r="1687" spans="1:18" ht="18.75" customHeight="1">
      <c r="A1687" s="2927"/>
      <c r="B1687" s="1237"/>
      <c r="C1687" s="1237"/>
      <c r="D1687" s="1237"/>
      <c r="E1687" s="1237"/>
      <c r="F1687" s="1237"/>
      <c r="G1687" s="1237"/>
      <c r="H1687" s="1237"/>
      <c r="I1687" s="1237"/>
      <c r="J1687" s="1237"/>
      <c r="K1687" s="1237"/>
      <c r="L1687" s="1237"/>
      <c r="M1687" s="1237"/>
      <c r="N1687" s="1237"/>
      <c r="O1687" s="2024"/>
      <c r="P1687" s="2948"/>
      <c r="Q1687" s="1238"/>
      <c r="R1687" s="1239"/>
    </row>
    <row r="1688" spans="1:18" ht="18.75" customHeight="1">
      <c r="A1688" s="2927"/>
      <c r="B1688" s="1237"/>
      <c r="C1688" s="1237"/>
      <c r="D1688" s="1237"/>
      <c r="E1688" s="1237"/>
      <c r="F1688" s="1237"/>
      <c r="G1688" s="1237"/>
      <c r="H1688" s="1237"/>
      <c r="I1688" s="1237"/>
      <c r="J1688" s="1237"/>
      <c r="K1688" s="1237"/>
      <c r="L1688" s="1237"/>
      <c r="M1688" s="1237"/>
      <c r="N1688" s="1237"/>
      <c r="O1688" s="2024"/>
      <c r="P1688" s="2946"/>
      <c r="Q1688" s="1238"/>
      <c r="R1688" s="1239"/>
    </row>
    <row r="1689" spans="1:18" ht="18.75" customHeight="1">
      <c r="A1689" s="2927"/>
      <c r="B1689" s="1237"/>
      <c r="C1689" s="1237"/>
      <c r="D1689" s="1237"/>
      <c r="E1689" s="1237"/>
      <c r="F1689" s="1237"/>
      <c r="G1689" s="1237"/>
      <c r="H1689" s="1237"/>
      <c r="I1689" s="1237"/>
      <c r="J1689" s="1237"/>
      <c r="K1689" s="1237"/>
      <c r="L1689" s="1237"/>
      <c r="M1689" s="1237"/>
      <c r="N1689" s="1237"/>
      <c r="O1689" s="2024"/>
      <c r="P1689" s="2947"/>
      <c r="Q1689" s="1238"/>
      <c r="R1689" s="1239"/>
    </row>
    <row r="1690" spans="1:18" ht="18.75" customHeight="1">
      <c r="A1690" s="2927"/>
      <c r="B1690" s="1237"/>
      <c r="C1690" s="1237"/>
      <c r="D1690" s="1237"/>
      <c r="E1690" s="1237"/>
      <c r="F1690" s="1237"/>
      <c r="G1690" s="1237"/>
      <c r="H1690" s="1237"/>
      <c r="I1690" s="1237"/>
      <c r="J1690" s="2945"/>
      <c r="K1690" s="2945"/>
      <c r="L1690" s="2945"/>
      <c r="M1690" s="1237"/>
      <c r="N1690" s="1237"/>
      <c r="O1690" s="2024"/>
      <c r="P1690" s="2947"/>
      <c r="Q1690" s="1238"/>
      <c r="R1690" s="1239"/>
    </row>
    <row r="1691" spans="1:18" ht="18.75" customHeight="1">
      <c r="A1691" s="2927"/>
      <c r="B1691" s="1237"/>
      <c r="C1691" s="1237"/>
      <c r="D1691" s="1237"/>
      <c r="E1691" s="1237"/>
      <c r="F1691" s="1237"/>
      <c r="G1691" s="1237"/>
      <c r="H1691" s="1237"/>
      <c r="I1691" s="1237"/>
      <c r="J1691" s="1237"/>
      <c r="K1691" s="1237"/>
      <c r="L1691" s="1237"/>
      <c r="M1691" s="1237"/>
      <c r="N1691" s="1237"/>
      <c r="O1691" s="2024"/>
      <c r="P1691" s="2947"/>
      <c r="Q1691" s="1238"/>
      <c r="R1691" s="1239"/>
    </row>
    <row r="1692" spans="1:18" ht="18.75" customHeight="1">
      <c r="A1692" s="2927"/>
      <c r="B1692" s="1237"/>
      <c r="C1692" s="1237"/>
      <c r="D1692" s="1237"/>
      <c r="E1692" s="1237"/>
      <c r="F1692" s="1237"/>
      <c r="G1692" s="1237"/>
      <c r="H1692" s="1237"/>
      <c r="I1692" s="1237"/>
      <c r="J1692" s="1237"/>
      <c r="K1692" s="1237"/>
      <c r="L1692" s="1237"/>
      <c r="M1692" s="1237"/>
      <c r="N1692" s="1237"/>
      <c r="O1692" s="2024"/>
      <c r="P1692" s="2948"/>
      <c r="Q1692" s="1238"/>
      <c r="R1692" s="1239"/>
    </row>
    <row r="1693" spans="1:18" ht="18.75" customHeight="1">
      <c r="A1693" s="2927"/>
      <c r="B1693" s="1237"/>
      <c r="C1693" s="1237"/>
      <c r="D1693" s="1237"/>
      <c r="E1693" s="1237"/>
      <c r="F1693" s="1237"/>
      <c r="G1693" s="1237"/>
      <c r="H1693" s="1237"/>
      <c r="I1693" s="1237"/>
      <c r="J1693" s="1237"/>
      <c r="K1693" s="1237"/>
      <c r="L1693" s="1237"/>
      <c r="M1693" s="1237"/>
      <c r="N1693" s="1237"/>
      <c r="O1693" s="2024"/>
      <c r="P1693" s="2946"/>
      <c r="Q1693" s="1238"/>
      <c r="R1693" s="1239"/>
    </row>
    <row r="1694" spans="1:18" ht="18.75" customHeight="1">
      <c r="A1694" s="2927"/>
      <c r="B1694" s="1237"/>
      <c r="C1694" s="1237"/>
      <c r="D1694" s="1237"/>
      <c r="E1694" s="1237"/>
      <c r="F1694" s="1237"/>
      <c r="G1694" s="1237"/>
      <c r="H1694" s="1237"/>
      <c r="I1694" s="1237"/>
      <c r="J1694" s="2945"/>
      <c r="K1694" s="2945"/>
      <c r="L1694" s="2945"/>
      <c r="M1694" s="1237"/>
      <c r="N1694" s="1237"/>
      <c r="O1694" s="2024"/>
      <c r="P1694" s="2947"/>
      <c r="Q1694" s="1238"/>
      <c r="R1694" s="1239"/>
    </row>
    <row r="1695" spans="1:18" ht="18.75" customHeight="1">
      <c r="A1695" s="2927"/>
      <c r="B1695" s="1237"/>
      <c r="C1695" s="1237"/>
      <c r="D1695" s="1237"/>
      <c r="E1695" s="1237"/>
      <c r="F1695" s="1237"/>
      <c r="G1695" s="1237"/>
      <c r="H1695" s="1237"/>
      <c r="I1695" s="1237"/>
      <c r="J1695" s="1237"/>
      <c r="K1695" s="1237"/>
      <c r="L1695" s="1237"/>
      <c r="M1695" s="1237"/>
      <c r="N1695" s="1237"/>
      <c r="O1695" s="2024"/>
      <c r="P1695" s="2947"/>
      <c r="Q1695" s="1238"/>
      <c r="R1695" s="1239"/>
    </row>
    <row r="1696" spans="1:18" ht="18.75" customHeight="1">
      <c r="A1696" s="2927"/>
      <c r="B1696" s="1237"/>
      <c r="C1696" s="1237"/>
      <c r="D1696" s="1237"/>
      <c r="E1696" s="1237"/>
      <c r="F1696" s="1237"/>
      <c r="G1696" s="1237"/>
      <c r="H1696" s="1237"/>
      <c r="I1696" s="1237"/>
      <c r="J1696" s="1237"/>
      <c r="K1696" s="1237"/>
      <c r="L1696" s="1237"/>
      <c r="M1696" s="1237"/>
      <c r="N1696" s="1237"/>
      <c r="O1696" s="2024"/>
      <c r="P1696" s="2947"/>
      <c r="Q1696" s="1238"/>
      <c r="R1696" s="1239"/>
    </row>
    <row r="1697" spans="1:18" ht="18.75" customHeight="1">
      <c r="A1697" s="2927"/>
      <c r="B1697" s="1237"/>
      <c r="C1697" s="1237"/>
      <c r="D1697" s="1237"/>
      <c r="E1697" s="1237"/>
      <c r="F1697" s="1237"/>
      <c r="G1697" s="1237"/>
      <c r="H1697" s="1237"/>
      <c r="I1697" s="1237"/>
      <c r="J1697" s="1237"/>
      <c r="K1697" s="1237"/>
      <c r="L1697" s="1237"/>
      <c r="M1697" s="1237"/>
      <c r="N1697" s="1237"/>
      <c r="O1697" s="2024"/>
      <c r="P1697" s="2948"/>
      <c r="Q1697" s="1238"/>
      <c r="R1697" s="1239"/>
    </row>
    <row r="1698" spans="1:18" ht="18.75" customHeight="1">
      <c r="A1698" s="2927"/>
      <c r="B1698" s="1237"/>
      <c r="C1698" s="1237"/>
      <c r="D1698" s="1237"/>
      <c r="E1698" s="1237"/>
      <c r="F1698" s="1237"/>
      <c r="G1698" s="1237"/>
      <c r="H1698" s="1237"/>
      <c r="I1698" s="1237"/>
      <c r="J1698" s="1237"/>
      <c r="K1698" s="1237"/>
      <c r="L1698" s="1237"/>
      <c r="M1698" s="1237"/>
      <c r="N1698" s="1237"/>
      <c r="O1698" s="2024"/>
      <c r="P1698" s="2946"/>
      <c r="Q1698" s="1238"/>
      <c r="R1698" s="1239"/>
    </row>
    <row r="1699" spans="1:18" ht="18.75" customHeight="1">
      <c r="A1699" s="2927"/>
      <c r="B1699" s="1237"/>
      <c r="C1699" s="1237"/>
      <c r="D1699" s="1237"/>
      <c r="E1699" s="1237"/>
      <c r="F1699" s="1237"/>
      <c r="G1699" s="1237"/>
      <c r="H1699" s="1237"/>
      <c r="I1699" s="1237"/>
      <c r="J1699" s="2945"/>
      <c r="K1699" s="2945"/>
      <c r="L1699" s="2945"/>
      <c r="M1699" s="1237"/>
      <c r="N1699" s="1237"/>
      <c r="O1699" s="2024"/>
      <c r="P1699" s="2947"/>
      <c r="Q1699" s="1238"/>
      <c r="R1699" s="1239"/>
    </row>
    <row r="1700" spans="1:18" ht="18.75" customHeight="1">
      <c r="A1700" s="2927"/>
      <c r="B1700" s="1237"/>
      <c r="C1700" s="1237"/>
      <c r="D1700" s="1237"/>
      <c r="E1700" s="1237"/>
      <c r="F1700" s="1237"/>
      <c r="G1700" s="1237"/>
      <c r="H1700" s="1237"/>
      <c r="I1700" s="1237"/>
      <c r="J1700" s="1237"/>
      <c r="K1700" s="1237"/>
      <c r="L1700" s="1237"/>
      <c r="M1700" s="1237"/>
      <c r="N1700" s="1237"/>
      <c r="O1700" s="2024"/>
      <c r="P1700" s="2947"/>
      <c r="Q1700" s="1238"/>
      <c r="R1700" s="1239"/>
    </row>
    <row r="1701" spans="1:18" ht="18.75" customHeight="1">
      <c r="A1701" s="2927"/>
      <c r="B1701" s="1237"/>
      <c r="C1701" s="1237"/>
      <c r="D1701" s="1237"/>
      <c r="E1701" s="1237"/>
      <c r="F1701" s="1237"/>
      <c r="G1701" s="1237"/>
      <c r="H1701" s="1237"/>
      <c r="I1701" s="1237"/>
      <c r="J1701" s="1237"/>
      <c r="K1701" s="1237"/>
      <c r="L1701" s="1237"/>
      <c r="M1701" s="1237"/>
      <c r="N1701" s="1237"/>
      <c r="O1701" s="2024"/>
      <c r="P1701" s="2947"/>
      <c r="Q1701" s="1238"/>
      <c r="R1701" s="1239"/>
    </row>
    <row r="1702" spans="1:18" ht="18.75" customHeight="1">
      <c r="A1702" s="2927"/>
      <c r="B1702" s="1237"/>
      <c r="C1702" s="1237"/>
      <c r="D1702" s="1237"/>
      <c r="E1702" s="1237"/>
      <c r="F1702" s="1237"/>
      <c r="G1702" s="1237"/>
      <c r="H1702" s="1237"/>
      <c r="I1702" s="1237"/>
      <c r="J1702" s="1237"/>
      <c r="K1702" s="1237"/>
      <c r="L1702" s="1237"/>
      <c r="M1702" s="1237"/>
      <c r="N1702" s="1237"/>
      <c r="O1702" s="2024"/>
      <c r="P1702" s="2948"/>
      <c r="Q1702" s="1238"/>
      <c r="R1702" s="1239"/>
    </row>
    <row r="1703" spans="1:18" ht="18.75" customHeight="1">
      <c r="A1703" s="2927"/>
      <c r="B1703" s="1237"/>
      <c r="C1703" s="1237"/>
      <c r="D1703" s="1237"/>
      <c r="E1703" s="1237"/>
      <c r="F1703" s="1237"/>
      <c r="G1703" s="1237"/>
      <c r="H1703" s="1237"/>
      <c r="I1703" s="1237"/>
      <c r="J1703" s="1237"/>
      <c r="K1703" s="1237"/>
      <c r="L1703" s="1237"/>
      <c r="M1703" s="1237"/>
      <c r="N1703" s="1237"/>
      <c r="O1703" s="2024"/>
      <c r="P1703" s="2946"/>
      <c r="Q1703" s="1238"/>
      <c r="R1703" s="1239"/>
    </row>
    <row r="1704" spans="1:18" ht="18.75" customHeight="1">
      <c r="A1704" s="2927"/>
      <c r="B1704" s="1237"/>
      <c r="C1704" s="1237"/>
      <c r="D1704" s="1237"/>
      <c r="E1704" s="1237"/>
      <c r="F1704" s="1237"/>
      <c r="G1704" s="1237"/>
      <c r="H1704" s="1237"/>
      <c r="I1704" s="1237"/>
      <c r="J1704" s="2945"/>
      <c r="K1704" s="2945"/>
      <c r="L1704" s="2945"/>
      <c r="M1704" s="1237"/>
      <c r="N1704" s="1237"/>
      <c r="O1704" s="2024"/>
      <c r="P1704" s="2947"/>
      <c r="Q1704" s="1238"/>
      <c r="R1704" s="1239"/>
    </row>
    <row r="1705" spans="1:18" ht="18.75" customHeight="1">
      <c r="A1705" s="2927"/>
      <c r="B1705" s="1237"/>
      <c r="C1705" s="1237"/>
      <c r="D1705" s="1237"/>
      <c r="E1705" s="1237"/>
      <c r="F1705" s="1237"/>
      <c r="G1705" s="1237"/>
      <c r="H1705" s="1237"/>
      <c r="I1705" s="1237"/>
      <c r="J1705" s="1237"/>
      <c r="K1705" s="1237"/>
      <c r="L1705" s="1237"/>
      <c r="M1705" s="1237"/>
      <c r="N1705" s="1237"/>
      <c r="O1705" s="2024"/>
      <c r="P1705" s="2947"/>
      <c r="Q1705" s="1238"/>
      <c r="R1705" s="1239"/>
    </row>
    <row r="1706" spans="1:18" ht="18.75" customHeight="1">
      <c r="A1706" s="2927"/>
      <c r="B1706" s="1237"/>
      <c r="C1706" s="1237"/>
      <c r="D1706" s="1237"/>
      <c r="E1706" s="1237"/>
      <c r="F1706" s="1237"/>
      <c r="G1706" s="1237"/>
      <c r="H1706" s="1237"/>
      <c r="I1706" s="1237"/>
      <c r="J1706" s="1237"/>
      <c r="K1706" s="1237"/>
      <c r="L1706" s="1237"/>
      <c r="M1706" s="1237"/>
      <c r="N1706" s="1237"/>
      <c r="O1706" s="2024"/>
      <c r="P1706" s="2947"/>
      <c r="Q1706" s="1238"/>
      <c r="R1706" s="1239"/>
    </row>
    <row r="1707" spans="1:18" ht="18.75" customHeight="1">
      <c r="A1707" s="2927"/>
      <c r="B1707" s="1237"/>
      <c r="C1707" s="1237"/>
      <c r="D1707" s="1237"/>
      <c r="E1707" s="1237"/>
      <c r="F1707" s="1237"/>
      <c r="G1707" s="1237"/>
      <c r="H1707" s="1237"/>
      <c r="I1707" s="1237"/>
      <c r="J1707" s="1237"/>
      <c r="K1707" s="1237"/>
      <c r="L1707" s="1237"/>
      <c r="M1707" s="1237"/>
      <c r="N1707" s="1237"/>
      <c r="O1707" s="2024"/>
      <c r="P1707" s="2947"/>
      <c r="Q1707" s="1238"/>
      <c r="R1707" s="1239"/>
    </row>
    <row r="1708" spans="1:18" ht="18.75" customHeight="1">
      <c r="A1708" s="2927"/>
      <c r="B1708" s="1237"/>
      <c r="C1708" s="1237"/>
      <c r="D1708" s="1237"/>
      <c r="E1708" s="1237"/>
      <c r="F1708" s="1237"/>
      <c r="G1708" s="1237"/>
      <c r="H1708" s="1237"/>
      <c r="I1708" s="1237"/>
      <c r="J1708" s="1237"/>
      <c r="K1708" s="1237"/>
      <c r="L1708" s="1237"/>
      <c r="M1708" s="1237"/>
      <c r="N1708" s="1237"/>
      <c r="O1708" s="2024"/>
      <c r="P1708" s="2947"/>
      <c r="Q1708" s="1238"/>
      <c r="R1708" s="1239"/>
    </row>
    <row r="1709" spans="1:18" ht="18.75" customHeight="1">
      <c r="A1709" s="2927"/>
      <c r="B1709" s="1237"/>
      <c r="C1709" s="1237"/>
      <c r="D1709" s="1237"/>
      <c r="E1709" s="1237"/>
      <c r="F1709" s="1237"/>
      <c r="G1709" s="1237"/>
      <c r="H1709" s="1237"/>
      <c r="I1709" s="1237"/>
      <c r="J1709" s="1237"/>
      <c r="K1709" s="1237"/>
      <c r="L1709" s="1237"/>
      <c r="M1709" s="1237"/>
      <c r="N1709" s="1237"/>
      <c r="O1709" s="2024"/>
      <c r="P1709" s="2947"/>
      <c r="Q1709" s="1238"/>
      <c r="R1709" s="1239"/>
    </row>
    <row r="1710" spans="1:18" ht="18.75" customHeight="1">
      <c r="A1710" s="2927"/>
      <c r="B1710" s="1237"/>
      <c r="C1710" s="1237"/>
      <c r="D1710" s="1237"/>
      <c r="E1710" s="1237"/>
      <c r="F1710" s="1237"/>
      <c r="G1710" s="1237"/>
      <c r="H1710" s="1237"/>
      <c r="I1710" s="1237"/>
      <c r="J1710" s="1237"/>
      <c r="K1710" s="1237"/>
      <c r="L1710" s="1237"/>
      <c r="M1710" s="1237"/>
      <c r="N1710" s="1237"/>
      <c r="O1710" s="2024"/>
      <c r="P1710" s="2947"/>
      <c r="Q1710" s="1238"/>
      <c r="R1710" s="1239"/>
    </row>
    <row r="1711" spans="1:18" ht="18.75" customHeight="1">
      <c r="A1711" s="2927"/>
      <c r="B1711" s="1237"/>
      <c r="C1711" s="1237"/>
      <c r="D1711" s="1237"/>
      <c r="E1711" s="1237"/>
      <c r="F1711" s="1237"/>
      <c r="G1711" s="1237"/>
      <c r="H1711" s="1237"/>
      <c r="I1711" s="1237"/>
      <c r="J1711" s="1237"/>
      <c r="K1711" s="1237"/>
      <c r="L1711" s="1237"/>
      <c r="M1711" s="1237"/>
      <c r="N1711" s="1237"/>
      <c r="O1711" s="2024"/>
      <c r="P1711" s="2947"/>
      <c r="Q1711" s="1238"/>
      <c r="R1711" s="1239"/>
    </row>
    <row r="1712" spans="1:18" ht="18.75" customHeight="1">
      <c r="A1712" s="2927"/>
      <c r="B1712" s="1237"/>
      <c r="C1712" s="1237"/>
      <c r="D1712" s="1237"/>
      <c r="E1712" s="1237"/>
      <c r="F1712" s="1237"/>
      <c r="G1712" s="1237"/>
      <c r="H1712" s="1237"/>
      <c r="I1712" s="1237"/>
      <c r="J1712" s="1237"/>
      <c r="K1712" s="1237"/>
      <c r="L1712" s="1237"/>
      <c r="M1712" s="1237"/>
      <c r="N1712" s="1237"/>
      <c r="O1712" s="2024"/>
      <c r="P1712" s="2947"/>
      <c r="Q1712" s="1238"/>
      <c r="R1712" s="1239"/>
    </row>
    <row r="1713" spans="1:19" ht="18.75" customHeight="1">
      <c r="A1713" s="2927"/>
      <c r="B1713" s="1237"/>
      <c r="C1713" s="1237"/>
      <c r="D1713" s="1237"/>
      <c r="E1713" s="1237"/>
      <c r="F1713" s="1237"/>
      <c r="G1713" s="1237"/>
      <c r="H1713" s="1237"/>
      <c r="I1713" s="1237"/>
      <c r="J1713" s="1237"/>
      <c r="K1713" s="1237"/>
      <c r="L1713" s="1237"/>
      <c r="M1713" s="1237"/>
      <c r="N1713" s="1237"/>
      <c r="O1713" s="2024"/>
      <c r="P1713" s="2947"/>
      <c r="Q1713" s="1238"/>
      <c r="R1713" s="1239"/>
    </row>
    <row r="1714" spans="1:19" ht="18.75" customHeight="1">
      <c r="A1714" s="2927"/>
      <c r="B1714" s="1237"/>
      <c r="C1714" s="1237"/>
      <c r="D1714" s="1237"/>
      <c r="E1714" s="1237"/>
      <c r="F1714" s="1237"/>
      <c r="G1714" s="1237"/>
      <c r="H1714" s="1237"/>
      <c r="I1714" s="1237"/>
      <c r="J1714" s="2945"/>
      <c r="K1714" s="2945"/>
      <c r="L1714" s="2945"/>
      <c r="M1714" s="1237"/>
      <c r="N1714" s="1237"/>
      <c r="O1714" s="2024"/>
      <c r="P1714" s="2947"/>
      <c r="Q1714" s="1238"/>
      <c r="R1714" s="1239"/>
    </row>
    <row r="1715" spans="1:19" ht="18.75" customHeight="1">
      <c r="A1715" s="2927"/>
      <c r="B1715" s="1237"/>
      <c r="C1715" s="1237"/>
      <c r="D1715" s="1237"/>
      <c r="E1715" s="1237"/>
      <c r="F1715" s="1237"/>
      <c r="G1715" s="1237"/>
      <c r="H1715" s="1237"/>
      <c r="I1715" s="1237"/>
      <c r="J1715" s="1237"/>
      <c r="K1715" s="1237"/>
      <c r="L1715" s="1237"/>
      <c r="M1715" s="1237"/>
      <c r="N1715" s="1237"/>
      <c r="O1715" s="2024"/>
      <c r="P1715" s="2947"/>
      <c r="Q1715" s="1238"/>
      <c r="R1715" s="1239"/>
    </row>
    <row r="1716" spans="1:19" ht="18.75" customHeight="1">
      <c r="A1716" s="2927"/>
      <c r="B1716" s="1237"/>
      <c r="C1716" s="1237"/>
      <c r="D1716" s="1237"/>
      <c r="E1716" s="1237"/>
      <c r="F1716" s="1237"/>
      <c r="G1716" s="1237"/>
      <c r="H1716" s="1237"/>
      <c r="I1716" s="1237"/>
      <c r="J1716" s="1237"/>
      <c r="K1716" s="1237"/>
      <c r="L1716" s="1237"/>
      <c r="M1716" s="1237"/>
      <c r="N1716" s="1237"/>
      <c r="O1716" s="2024"/>
      <c r="P1716" s="2947"/>
      <c r="Q1716" s="1238"/>
      <c r="R1716" s="1239"/>
    </row>
    <row r="1717" spans="1:19" ht="18.75" customHeight="1">
      <c r="A1717" s="2927"/>
      <c r="B1717" s="1237"/>
      <c r="C1717" s="1237"/>
      <c r="D1717" s="1237"/>
      <c r="E1717" s="1237"/>
      <c r="F1717" s="1237"/>
      <c r="G1717" s="1237"/>
      <c r="H1717" s="1237"/>
      <c r="I1717" s="1237"/>
      <c r="J1717" s="1237"/>
      <c r="K1717" s="1237"/>
      <c r="L1717" s="1237"/>
      <c r="M1717" s="1237"/>
      <c r="N1717" s="1237"/>
      <c r="O1717" s="2024"/>
      <c r="P1717" s="2948"/>
      <c r="Q1717" s="1238"/>
      <c r="R1717" s="1239"/>
    </row>
    <row r="1718" spans="1:19" ht="18.75" customHeight="1">
      <c r="A1718" s="2927"/>
      <c r="B1718" s="1237"/>
      <c r="C1718" s="1237"/>
      <c r="D1718" s="1237"/>
      <c r="E1718" s="1237"/>
      <c r="F1718" s="1237"/>
      <c r="G1718" s="1237"/>
      <c r="H1718" s="1237"/>
      <c r="I1718" s="1237"/>
      <c r="J1718" s="1237"/>
      <c r="K1718" s="1237"/>
      <c r="L1718" s="1237"/>
      <c r="M1718" s="1237"/>
      <c r="N1718" s="1237"/>
      <c r="O1718" s="2024"/>
      <c r="P1718" s="2946"/>
      <c r="Q1718" s="1238"/>
      <c r="R1718" s="1239"/>
    </row>
    <row r="1719" spans="1:19" ht="18.75" customHeight="1">
      <c r="A1719" s="2927"/>
      <c r="B1719" s="1237"/>
      <c r="C1719" s="1237"/>
      <c r="D1719" s="1237"/>
      <c r="E1719" s="1237"/>
      <c r="F1719" s="1237"/>
      <c r="G1719" s="1237"/>
      <c r="H1719" s="1237"/>
      <c r="I1719" s="1237"/>
      <c r="J1719" s="2945"/>
      <c r="K1719" s="2945"/>
      <c r="L1719" s="2945"/>
      <c r="M1719" s="1237"/>
      <c r="N1719" s="1237"/>
      <c r="O1719" s="2024"/>
      <c r="P1719" s="2947"/>
      <c r="Q1719" s="1238"/>
      <c r="R1719" s="1239"/>
    </row>
    <row r="1720" spans="1:19" ht="18.75" customHeight="1">
      <c r="A1720" s="2927"/>
      <c r="B1720" s="1237"/>
      <c r="C1720" s="1237"/>
      <c r="D1720" s="1237"/>
      <c r="E1720" s="1237"/>
      <c r="F1720" s="1237"/>
      <c r="G1720" s="1237"/>
      <c r="H1720" s="1237"/>
      <c r="I1720" s="1237"/>
      <c r="J1720" s="1237"/>
      <c r="K1720" s="1237"/>
      <c r="L1720" s="1237"/>
      <c r="M1720" s="1237"/>
      <c r="N1720" s="1237"/>
      <c r="O1720" s="2024"/>
      <c r="P1720" s="2947"/>
      <c r="Q1720" s="1238"/>
      <c r="R1720" s="1239"/>
    </row>
    <row r="1721" spans="1:19" ht="18.75" customHeight="1">
      <c r="A1721" s="2927"/>
      <c r="B1721" s="1237"/>
      <c r="C1721" s="1237"/>
      <c r="D1721" s="1237"/>
      <c r="E1721" s="1237"/>
      <c r="F1721" s="1237"/>
      <c r="G1721" s="1237"/>
      <c r="H1721" s="1237"/>
      <c r="I1721" s="1237"/>
      <c r="J1721" s="1237"/>
      <c r="K1721" s="1237"/>
      <c r="L1721" s="1237"/>
      <c r="M1721" s="1237"/>
      <c r="N1721" s="1237"/>
      <c r="O1721" s="2024"/>
      <c r="P1721" s="2947"/>
      <c r="Q1721" s="1238"/>
      <c r="R1721" s="1239"/>
    </row>
    <row r="1722" spans="1:19" ht="18.75" customHeight="1">
      <c r="A1722" s="2927"/>
      <c r="B1722" s="1237"/>
      <c r="C1722" s="1237"/>
      <c r="D1722" s="1237"/>
      <c r="E1722" s="1237"/>
      <c r="F1722" s="1237"/>
      <c r="G1722" s="1237"/>
      <c r="H1722" s="1237"/>
      <c r="I1722" s="1237"/>
      <c r="J1722" s="1237"/>
      <c r="K1722" s="1237"/>
      <c r="L1722" s="1237"/>
      <c r="M1722" s="1237"/>
      <c r="N1722" s="1237"/>
      <c r="O1722" s="2024"/>
      <c r="P1722" s="2947"/>
      <c r="Q1722" s="1238"/>
      <c r="R1722" s="1239"/>
      <c r="S1722" s="31" t="s">
        <v>195</v>
      </c>
    </row>
    <row r="1723" spans="1:19" ht="18.75" customHeight="1">
      <c r="A1723" s="2927"/>
      <c r="B1723" s="1237"/>
      <c r="C1723" s="1237"/>
      <c r="D1723" s="1237"/>
      <c r="E1723" s="1237"/>
      <c r="F1723" s="1237"/>
      <c r="G1723" s="1237"/>
      <c r="H1723" s="1237"/>
      <c r="I1723" s="1237"/>
      <c r="J1723" s="1237"/>
      <c r="K1723" s="1237"/>
      <c r="L1723" s="1237"/>
      <c r="M1723" s="1237"/>
      <c r="N1723" s="1237"/>
      <c r="O1723" s="2024"/>
      <c r="P1723" s="2947"/>
      <c r="Q1723" s="1238"/>
      <c r="R1723" s="1239"/>
    </row>
    <row r="1724" spans="1:19" ht="18.75" customHeight="1">
      <c r="A1724" s="2927"/>
      <c r="B1724" s="1237"/>
      <c r="C1724" s="1237"/>
      <c r="D1724" s="1237"/>
      <c r="E1724" s="1237"/>
      <c r="F1724" s="1237"/>
      <c r="G1724" s="1237"/>
      <c r="H1724" s="1237"/>
      <c r="I1724" s="1237"/>
      <c r="J1724" s="2945"/>
      <c r="K1724" s="2945"/>
      <c r="L1724" s="2945"/>
      <c r="M1724" s="1237"/>
      <c r="N1724" s="1237"/>
      <c r="O1724" s="2024"/>
      <c r="P1724" s="2948"/>
      <c r="Q1724" s="1238"/>
      <c r="R1724" s="1239"/>
    </row>
    <row r="1725" spans="1:19" ht="18.75" customHeight="1">
      <c r="A1725" s="2927"/>
      <c r="B1725" s="1237"/>
      <c r="C1725" s="1237"/>
      <c r="D1725" s="1237"/>
      <c r="E1725" s="1237"/>
      <c r="F1725" s="1237"/>
      <c r="G1725" s="1237"/>
      <c r="H1725" s="1237"/>
      <c r="I1725" s="1237"/>
      <c r="J1725" s="1237"/>
      <c r="K1725" s="1237"/>
      <c r="L1725" s="1237"/>
      <c r="M1725" s="1237"/>
      <c r="N1725" s="1237"/>
      <c r="O1725" s="2024"/>
      <c r="P1725" s="2946"/>
      <c r="Q1725" s="1238"/>
      <c r="R1725" s="1239"/>
    </row>
    <row r="1726" spans="1:19" ht="18.75" customHeight="1">
      <c r="A1726" s="2927"/>
      <c r="B1726" s="1237"/>
      <c r="C1726" s="1237"/>
      <c r="D1726" s="1237"/>
      <c r="E1726" s="1237"/>
      <c r="F1726" s="1237"/>
      <c r="G1726" s="1237"/>
      <c r="H1726" s="1237"/>
      <c r="I1726" s="1237"/>
      <c r="J1726" s="1237"/>
      <c r="K1726" s="1237"/>
      <c r="L1726" s="1237"/>
      <c r="M1726" s="1237"/>
      <c r="N1726" s="1237"/>
      <c r="O1726" s="2024"/>
      <c r="P1726" s="2947"/>
      <c r="Q1726" s="1238"/>
      <c r="R1726" s="1239"/>
    </row>
    <row r="1727" spans="1:19" ht="18.75" customHeight="1">
      <c r="A1727" s="2927"/>
      <c r="B1727" s="1237"/>
      <c r="C1727" s="1237"/>
      <c r="D1727" s="1237"/>
      <c r="E1727" s="1237"/>
      <c r="F1727" s="1237"/>
      <c r="G1727" s="1237"/>
      <c r="H1727" s="1237"/>
      <c r="I1727" s="1237"/>
      <c r="J1727" s="1237"/>
      <c r="K1727" s="1237"/>
      <c r="L1727" s="1237"/>
      <c r="M1727" s="1237"/>
      <c r="N1727" s="1237"/>
      <c r="O1727" s="2024"/>
      <c r="P1727" s="2947"/>
      <c r="Q1727" s="1238"/>
      <c r="R1727" s="1239"/>
    </row>
    <row r="1728" spans="1:19" ht="18.75" customHeight="1">
      <c r="A1728" s="2927"/>
      <c r="B1728" s="1237"/>
      <c r="C1728" s="1237"/>
      <c r="D1728" s="1237"/>
      <c r="E1728" s="1237"/>
      <c r="F1728" s="1237"/>
      <c r="G1728" s="1237"/>
      <c r="H1728" s="1237"/>
      <c r="I1728" s="1237"/>
      <c r="J1728" s="1237"/>
      <c r="K1728" s="1237"/>
      <c r="L1728" s="1237"/>
      <c r="M1728" s="1237"/>
      <c r="N1728" s="1237"/>
      <c r="O1728" s="2024"/>
      <c r="P1728" s="2948"/>
      <c r="Q1728" s="1238"/>
      <c r="R1728" s="1239"/>
    </row>
    <row r="1729" spans="1:18" ht="18.75" customHeight="1">
      <c r="A1729" s="2927"/>
      <c r="B1729" s="1237"/>
      <c r="C1729" s="1237"/>
      <c r="D1729" s="1237"/>
      <c r="E1729" s="1237"/>
      <c r="F1729" s="1237"/>
      <c r="G1729" s="1237"/>
      <c r="H1729" s="1237"/>
      <c r="I1729" s="1237"/>
      <c r="J1729" s="1237"/>
      <c r="K1729" s="1237"/>
      <c r="L1729" s="1237"/>
      <c r="M1729" s="1237"/>
      <c r="N1729" s="1237"/>
      <c r="O1729" s="2024"/>
      <c r="P1729" s="2946"/>
      <c r="Q1729" s="1238"/>
      <c r="R1729" s="1239"/>
    </row>
    <row r="1730" spans="1:18" ht="18.75" customHeight="1">
      <c r="A1730" s="2927"/>
      <c r="B1730" s="1237"/>
      <c r="C1730" s="1237"/>
      <c r="D1730" s="1237"/>
      <c r="E1730" s="1237"/>
      <c r="F1730" s="1237"/>
      <c r="G1730" s="1237"/>
      <c r="H1730" s="1237"/>
      <c r="I1730" s="1237"/>
      <c r="J1730" s="1237"/>
      <c r="K1730" s="1237"/>
      <c r="L1730" s="1237"/>
      <c r="M1730" s="1237"/>
      <c r="N1730" s="1237"/>
      <c r="O1730" s="2024"/>
      <c r="P1730" s="2947"/>
      <c r="Q1730" s="1238"/>
      <c r="R1730" s="1239"/>
    </row>
    <row r="1731" spans="1:18" ht="18.75" customHeight="1">
      <c r="A1731" s="2927"/>
      <c r="B1731" s="1237"/>
      <c r="C1731" s="1237"/>
      <c r="D1731" s="1237"/>
      <c r="E1731" s="1237"/>
      <c r="F1731" s="1237"/>
      <c r="G1731" s="1237"/>
      <c r="H1731" s="1237"/>
      <c r="I1731" s="1237"/>
      <c r="J1731" s="1237"/>
      <c r="K1731" s="1237"/>
      <c r="L1731" s="1237"/>
      <c r="M1731" s="1237"/>
      <c r="N1731" s="1237"/>
      <c r="O1731" s="2024"/>
      <c r="P1731" s="2947"/>
      <c r="Q1731" s="1238"/>
      <c r="R1731" s="1239"/>
    </row>
    <row r="1732" spans="1:18" ht="18.75" customHeight="1" thickBot="1">
      <c r="A1732" s="2928"/>
      <c r="B1732" s="1540"/>
      <c r="C1732" s="1540"/>
      <c r="D1732" s="1540"/>
      <c r="E1732" s="1540"/>
      <c r="F1732" s="1540"/>
      <c r="G1732" s="1540"/>
      <c r="H1732" s="1540"/>
      <c r="I1732" s="1540"/>
      <c r="J1732" s="1540"/>
      <c r="K1732" s="1540"/>
      <c r="L1732" s="1540"/>
      <c r="M1732" s="1540"/>
      <c r="N1732" s="1540"/>
      <c r="O1732" s="2025"/>
      <c r="P1732" s="2947"/>
      <c r="Q1732" s="1541"/>
      <c r="R1732" s="1591"/>
    </row>
    <row r="1733" spans="1:18" ht="18.75" customHeight="1">
      <c r="A1733" s="2926"/>
      <c r="B1733" s="1585"/>
      <c r="C1733" s="1585"/>
      <c r="D1733" s="1585"/>
      <c r="E1733" s="1585"/>
      <c r="F1733" s="1585"/>
      <c r="G1733" s="1585"/>
      <c r="H1733" s="1585"/>
      <c r="I1733" s="1585"/>
      <c r="J1733" s="1585"/>
      <c r="K1733" s="1585"/>
      <c r="L1733" s="1585"/>
      <c r="M1733" s="1585"/>
      <c r="N1733" s="1585"/>
      <c r="O1733" s="2026"/>
      <c r="P1733" s="2964"/>
      <c r="Q1733" s="1586"/>
      <c r="R1733" s="1587"/>
    </row>
    <row r="1734" spans="1:18" ht="18.75" customHeight="1">
      <c r="A1734" s="2927"/>
      <c r="B1734" s="1237"/>
      <c r="C1734" s="1237"/>
      <c r="D1734" s="1237"/>
      <c r="E1734" s="1237"/>
      <c r="F1734" s="1237"/>
      <c r="G1734" s="1237"/>
      <c r="H1734" s="1237"/>
      <c r="I1734" s="1237"/>
      <c r="J1734" s="1237"/>
      <c r="K1734" s="1237"/>
      <c r="L1734" s="1237"/>
      <c r="M1734" s="1237"/>
      <c r="N1734" s="1237"/>
      <c r="O1734" s="2024"/>
      <c r="P1734" s="2954"/>
      <c r="Q1734" s="1238"/>
      <c r="R1734" s="1239"/>
    </row>
    <row r="1735" spans="1:18" ht="18.75" customHeight="1">
      <c r="A1735" s="2927"/>
      <c r="B1735" s="1237"/>
      <c r="C1735" s="1237"/>
      <c r="D1735" s="1237"/>
      <c r="E1735" s="1237"/>
      <c r="F1735" s="1237"/>
      <c r="G1735" s="1237"/>
      <c r="H1735" s="1237"/>
      <c r="I1735" s="1237"/>
      <c r="J1735" s="1237"/>
      <c r="K1735" s="1237"/>
      <c r="L1735" s="1237"/>
      <c r="M1735" s="1237"/>
      <c r="N1735" s="1237"/>
      <c r="O1735" s="2024"/>
      <c r="P1735" s="2954"/>
      <c r="Q1735" s="1238"/>
      <c r="R1735" s="1239"/>
    </row>
    <row r="1736" spans="1:18" ht="18.75" customHeight="1">
      <c r="A1736" s="2927"/>
      <c r="B1736" s="1237"/>
      <c r="C1736" s="1237"/>
      <c r="D1736" s="1237"/>
      <c r="E1736" s="1237"/>
      <c r="F1736" s="1237"/>
      <c r="G1736" s="1237"/>
      <c r="H1736" s="1237"/>
      <c r="I1736" s="1237"/>
      <c r="J1736" s="1237"/>
      <c r="K1736" s="1237"/>
      <c r="L1736" s="1237"/>
      <c r="M1736" s="1237"/>
      <c r="N1736" s="1237"/>
      <c r="O1736" s="2024"/>
      <c r="P1736" s="2954"/>
      <c r="Q1736" s="1238"/>
      <c r="R1736" s="1239"/>
    </row>
    <row r="1737" spans="1:18" ht="18.75" customHeight="1">
      <c r="A1737" s="2927"/>
      <c r="B1737" s="1237"/>
      <c r="C1737" s="1237"/>
      <c r="D1737" s="1237"/>
      <c r="E1737" s="1237"/>
      <c r="F1737" s="1237"/>
      <c r="G1737" s="1237"/>
      <c r="H1737" s="1237"/>
      <c r="I1737" s="1237"/>
      <c r="J1737" s="2945"/>
      <c r="K1737" s="2945"/>
      <c r="L1737" s="2945"/>
      <c r="M1737" s="1237"/>
      <c r="N1737" s="1237"/>
      <c r="O1737" s="2024"/>
      <c r="P1737" s="2954"/>
      <c r="Q1737" s="1238"/>
      <c r="R1737" s="1239"/>
    </row>
    <row r="1738" spans="1:18" ht="18.75" customHeight="1">
      <c r="A1738" s="2927"/>
      <c r="B1738" s="1237"/>
      <c r="C1738" s="1237"/>
      <c r="D1738" s="1237"/>
      <c r="E1738" s="1237"/>
      <c r="F1738" s="1237"/>
      <c r="G1738" s="1237"/>
      <c r="H1738" s="1237"/>
      <c r="I1738" s="1237"/>
      <c r="J1738" s="1237"/>
      <c r="K1738" s="1237"/>
      <c r="L1738" s="1237"/>
      <c r="M1738" s="1237"/>
      <c r="N1738" s="1237"/>
      <c r="O1738" s="2024"/>
      <c r="P1738" s="2954"/>
      <c r="Q1738" s="1238"/>
      <c r="R1738" s="1239"/>
    </row>
    <row r="1739" spans="1:18" ht="18.75" customHeight="1">
      <c r="A1739" s="2927"/>
      <c r="B1739" s="1237"/>
      <c r="C1739" s="1237"/>
      <c r="D1739" s="1237"/>
      <c r="E1739" s="1237"/>
      <c r="F1739" s="1237"/>
      <c r="G1739" s="1237"/>
      <c r="H1739" s="1237"/>
      <c r="I1739" s="1237"/>
      <c r="J1739" s="1237"/>
      <c r="K1739" s="1237"/>
      <c r="L1739" s="1237"/>
      <c r="M1739" s="1237"/>
      <c r="N1739" s="1237"/>
      <c r="O1739" s="2024"/>
      <c r="P1739" s="2954"/>
      <c r="Q1739" s="1238"/>
      <c r="R1739" s="1239"/>
    </row>
    <row r="1740" spans="1:18" ht="18.75" customHeight="1">
      <c r="A1740" s="2927"/>
      <c r="B1740" s="1237"/>
      <c r="C1740" s="1237"/>
      <c r="D1740" s="1237"/>
      <c r="E1740" s="1237"/>
      <c r="F1740" s="1237"/>
      <c r="G1740" s="1237"/>
      <c r="H1740" s="1237"/>
      <c r="I1740" s="1237"/>
      <c r="J1740" s="1237"/>
      <c r="K1740" s="1237"/>
      <c r="L1740" s="1237"/>
      <c r="M1740" s="1237"/>
      <c r="N1740" s="1237"/>
      <c r="O1740" s="2024"/>
      <c r="P1740" s="2954"/>
      <c r="Q1740" s="1238"/>
      <c r="R1740" s="1239"/>
    </row>
    <row r="1741" spans="1:18" ht="18.75" customHeight="1">
      <c r="A1741" s="2927"/>
      <c r="B1741" s="1237"/>
      <c r="C1741" s="1237"/>
      <c r="D1741" s="1237"/>
      <c r="E1741" s="1237"/>
      <c r="F1741" s="1237"/>
      <c r="G1741" s="1237"/>
      <c r="H1741" s="1237"/>
      <c r="I1741" s="1237"/>
      <c r="J1741" s="1237"/>
      <c r="K1741" s="1237"/>
      <c r="L1741" s="1237"/>
      <c r="M1741" s="1237"/>
      <c r="N1741" s="1237"/>
      <c r="O1741" s="2024"/>
      <c r="P1741" s="2954"/>
      <c r="Q1741" s="1238"/>
      <c r="R1741" s="1239"/>
    </row>
    <row r="1742" spans="1:18" ht="18.75" customHeight="1">
      <c r="A1742" s="2927"/>
      <c r="B1742" s="1237"/>
      <c r="C1742" s="1237"/>
      <c r="D1742" s="1237"/>
      <c r="E1742" s="1237"/>
      <c r="F1742" s="1237"/>
      <c r="G1742" s="1237"/>
      <c r="H1742" s="1237"/>
      <c r="I1742" s="1237"/>
      <c r="J1742" s="2945"/>
      <c r="K1742" s="2945"/>
      <c r="L1742" s="2945"/>
      <c r="M1742" s="1237"/>
      <c r="N1742" s="1237"/>
      <c r="O1742" s="2024"/>
      <c r="P1742" s="2954"/>
      <c r="Q1742" s="1238"/>
      <c r="R1742" s="1239"/>
    </row>
    <row r="1743" spans="1:18" ht="18.75" customHeight="1">
      <c r="A1743" s="2927"/>
      <c r="B1743" s="1237"/>
      <c r="C1743" s="1237"/>
      <c r="D1743" s="1237"/>
      <c r="E1743" s="1237"/>
      <c r="F1743" s="1237"/>
      <c r="G1743" s="1237"/>
      <c r="H1743" s="1237"/>
      <c r="I1743" s="1237"/>
      <c r="J1743" s="1237"/>
      <c r="K1743" s="1237"/>
      <c r="L1743" s="1237"/>
      <c r="M1743" s="1237"/>
      <c r="N1743" s="1237"/>
      <c r="O1743" s="2024"/>
      <c r="P1743" s="2954"/>
      <c r="Q1743" s="1238"/>
      <c r="R1743" s="1239"/>
    </row>
    <row r="1744" spans="1:18" ht="18.75" customHeight="1">
      <c r="A1744" s="2927"/>
      <c r="B1744" s="1237"/>
      <c r="C1744" s="1237"/>
      <c r="D1744" s="1237"/>
      <c r="E1744" s="1237"/>
      <c r="F1744" s="1237"/>
      <c r="G1744" s="1237"/>
      <c r="H1744" s="1237"/>
      <c r="I1744" s="1237"/>
      <c r="J1744" s="1237"/>
      <c r="K1744" s="1237"/>
      <c r="L1744" s="1237"/>
      <c r="M1744" s="1237"/>
      <c r="N1744" s="1237"/>
      <c r="O1744" s="2024"/>
      <c r="P1744" s="2954"/>
      <c r="Q1744" s="1238"/>
      <c r="R1744" s="1239"/>
    </row>
    <row r="1745" spans="1:18" ht="18.75" customHeight="1">
      <c r="A1745" s="2927"/>
      <c r="B1745" s="1237"/>
      <c r="C1745" s="1237"/>
      <c r="D1745" s="1237"/>
      <c r="E1745" s="1237"/>
      <c r="F1745" s="1237"/>
      <c r="G1745" s="1237"/>
      <c r="H1745" s="1237"/>
      <c r="I1745" s="1237"/>
      <c r="J1745" s="1237"/>
      <c r="K1745" s="1237"/>
      <c r="L1745" s="1237"/>
      <c r="M1745" s="1237"/>
      <c r="N1745" s="1237"/>
      <c r="O1745" s="2024"/>
      <c r="P1745" s="2954"/>
      <c r="Q1745" s="1238"/>
      <c r="R1745" s="1239"/>
    </row>
    <row r="1746" spans="1:18" ht="18.75" customHeight="1">
      <c r="A1746" s="2927"/>
      <c r="B1746" s="1237"/>
      <c r="C1746" s="1237"/>
      <c r="D1746" s="1237"/>
      <c r="E1746" s="1237"/>
      <c r="F1746" s="1237"/>
      <c r="G1746" s="1237"/>
      <c r="H1746" s="1237"/>
      <c r="I1746" s="1237"/>
      <c r="J1746" s="1237"/>
      <c r="K1746" s="1237"/>
      <c r="L1746" s="1237"/>
      <c r="M1746" s="1237"/>
      <c r="N1746" s="1237"/>
      <c r="O1746" s="2024"/>
      <c r="P1746" s="2954"/>
      <c r="Q1746" s="1238"/>
      <c r="R1746" s="1239"/>
    </row>
    <row r="1747" spans="1:18" ht="18.75" customHeight="1">
      <c r="A1747" s="2927"/>
      <c r="B1747" s="1237"/>
      <c r="C1747" s="1237"/>
      <c r="D1747" s="1237"/>
      <c r="E1747" s="1237"/>
      <c r="F1747" s="1237"/>
      <c r="G1747" s="1237"/>
      <c r="H1747" s="1237"/>
      <c r="I1747" s="1237"/>
      <c r="J1747" s="2945"/>
      <c r="K1747" s="2945"/>
      <c r="L1747" s="2945"/>
      <c r="M1747" s="1237"/>
      <c r="N1747" s="1237"/>
      <c r="O1747" s="2024"/>
      <c r="P1747" s="2954"/>
      <c r="Q1747" s="1238"/>
      <c r="R1747" s="1239"/>
    </row>
    <row r="1748" spans="1:18" ht="18.75" customHeight="1">
      <c r="A1748" s="2927"/>
      <c r="B1748" s="1237"/>
      <c r="C1748" s="1237"/>
      <c r="D1748" s="1237"/>
      <c r="E1748" s="1237"/>
      <c r="F1748" s="1237"/>
      <c r="G1748" s="1237"/>
      <c r="H1748" s="1237"/>
      <c r="I1748" s="1237"/>
      <c r="J1748" s="1237"/>
      <c r="K1748" s="1237"/>
      <c r="L1748" s="1237"/>
      <c r="M1748" s="1237"/>
      <c r="N1748" s="1237"/>
      <c r="O1748" s="2024"/>
      <c r="P1748" s="2954"/>
      <c r="Q1748" s="1238"/>
      <c r="R1748" s="1239"/>
    </row>
    <row r="1749" spans="1:18" ht="18.75" customHeight="1">
      <c r="A1749" s="2927"/>
      <c r="B1749" s="1237"/>
      <c r="C1749" s="1237"/>
      <c r="D1749" s="1237"/>
      <c r="E1749" s="1237"/>
      <c r="F1749" s="1237"/>
      <c r="G1749" s="1237"/>
      <c r="H1749" s="1237"/>
      <c r="I1749" s="1237"/>
      <c r="J1749" s="1237"/>
      <c r="K1749" s="1237"/>
      <c r="L1749" s="1237"/>
      <c r="M1749" s="1237"/>
      <c r="N1749" s="1237"/>
      <c r="O1749" s="2024"/>
      <c r="P1749" s="2954"/>
      <c r="Q1749" s="1238"/>
      <c r="R1749" s="1239"/>
    </row>
    <row r="1750" spans="1:18" ht="18.75" customHeight="1">
      <c r="A1750" s="2927"/>
      <c r="B1750" s="1237"/>
      <c r="C1750" s="1237"/>
      <c r="D1750" s="1237"/>
      <c r="E1750" s="1237"/>
      <c r="F1750" s="1237"/>
      <c r="G1750" s="1237"/>
      <c r="H1750" s="1237"/>
      <c r="I1750" s="1237"/>
      <c r="J1750" s="1237"/>
      <c r="K1750" s="1237"/>
      <c r="L1750" s="1237"/>
      <c r="M1750" s="1237"/>
      <c r="N1750" s="1237"/>
      <c r="O1750" s="2024"/>
      <c r="P1750" s="2954"/>
      <c r="Q1750" s="1238"/>
      <c r="R1750" s="1239"/>
    </row>
    <row r="1751" spans="1:18" ht="18.75" customHeight="1">
      <c r="A1751" s="2927"/>
      <c r="B1751" s="1237"/>
      <c r="C1751" s="1237"/>
      <c r="D1751" s="1237"/>
      <c r="E1751" s="1237"/>
      <c r="F1751" s="1237"/>
      <c r="G1751" s="1237"/>
      <c r="H1751" s="1237"/>
      <c r="I1751" s="1237"/>
      <c r="J1751" s="1237"/>
      <c r="K1751" s="1237"/>
      <c r="L1751" s="1237"/>
      <c r="M1751" s="1237"/>
      <c r="N1751" s="1237"/>
      <c r="O1751" s="2024"/>
      <c r="P1751" s="2954"/>
      <c r="Q1751" s="1238"/>
      <c r="R1751" s="1239"/>
    </row>
    <row r="1752" spans="1:18" ht="18.75" customHeight="1">
      <c r="A1752" s="2927"/>
      <c r="B1752" s="1237"/>
      <c r="C1752" s="1237"/>
      <c r="D1752" s="1237"/>
      <c r="E1752" s="1237"/>
      <c r="F1752" s="1237"/>
      <c r="G1752" s="1237"/>
      <c r="H1752" s="1237"/>
      <c r="I1752" s="1237"/>
      <c r="J1752" s="1237"/>
      <c r="K1752" s="1237"/>
      <c r="L1752" s="1237"/>
      <c r="M1752" s="1237"/>
      <c r="N1752" s="1237"/>
      <c r="O1752" s="2024"/>
      <c r="P1752" s="2954"/>
      <c r="Q1752" s="1238"/>
      <c r="R1752" s="1239"/>
    </row>
    <row r="1753" spans="1:18" ht="18.75" customHeight="1">
      <c r="A1753" s="2927"/>
      <c r="B1753" s="1237"/>
      <c r="C1753" s="1237"/>
      <c r="D1753" s="1237"/>
      <c r="E1753" s="1237"/>
      <c r="F1753" s="1237"/>
      <c r="G1753" s="1237"/>
      <c r="H1753" s="1237"/>
      <c r="I1753" s="1237"/>
      <c r="J1753" s="1237"/>
      <c r="K1753" s="1237"/>
      <c r="L1753" s="1237"/>
      <c r="M1753" s="1237"/>
      <c r="N1753" s="1237"/>
      <c r="O1753" s="2024"/>
      <c r="P1753" s="2954"/>
      <c r="Q1753" s="1238"/>
      <c r="R1753" s="1239"/>
    </row>
    <row r="1754" spans="1:18" ht="18.75" customHeight="1">
      <c r="A1754" s="2927"/>
      <c r="B1754" s="1237"/>
      <c r="C1754" s="1237"/>
      <c r="D1754" s="1237"/>
      <c r="E1754" s="1237"/>
      <c r="F1754" s="1237"/>
      <c r="G1754" s="1237"/>
      <c r="H1754" s="1237"/>
      <c r="I1754" s="1237"/>
      <c r="J1754" s="1237"/>
      <c r="K1754" s="1237"/>
      <c r="L1754" s="1237"/>
      <c r="M1754" s="1237"/>
      <c r="N1754" s="1237"/>
      <c r="O1754" s="2024"/>
      <c r="P1754" s="2954"/>
      <c r="Q1754" s="1238"/>
      <c r="R1754" s="1239"/>
    </row>
    <row r="1755" spans="1:18" ht="18.75" customHeight="1">
      <c r="A1755" s="2927"/>
      <c r="B1755" s="1237"/>
      <c r="C1755" s="1237"/>
      <c r="D1755" s="1237"/>
      <c r="E1755" s="1237"/>
      <c r="F1755" s="1237"/>
      <c r="G1755" s="1237"/>
      <c r="H1755" s="1237"/>
      <c r="I1755" s="1237"/>
      <c r="J1755" s="1237"/>
      <c r="K1755" s="1237"/>
      <c r="L1755" s="1237"/>
      <c r="M1755" s="1237"/>
      <c r="N1755" s="1237"/>
      <c r="O1755" s="2024"/>
      <c r="P1755" s="2954"/>
      <c r="Q1755" s="1238"/>
      <c r="R1755" s="1239"/>
    </row>
    <row r="1756" spans="1:18" ht="18.75" customHeight="1">
      <c r="A1756" s="2927"/>
      <c r="B1756" s="1237"/>
      <c r="C1756" s="1237"/>
      <c r="D1756" s="1237"/>
      <c r="E1756" s="1237"/>
      <c r="F1756" s="1237"/>
      <c r="G1756" s="1237"/>
      <c r="H1756" s="1237"/>
      <c r="I1756" s="1237"/>
      <c r="J1756" s="1237"/>
      <c r="K1756" s="1237"/>
      <c r="L1756" s="1237"/>
      <c r="M1756" s="1237"/>
      <c r="N1756" s="1237"/>
      <c r="O1756" s="2024"/>
      <c r="P1756" s="2954"/>
      <c r="Q1756" s="1238"/>
      <c r="R1756" s="1239"/>
    </row>
    <row r="1757" spans="1:18" ht="18.75" customHeight="1">
      <c r="A1757" s="2927"/>
      <c r="B1757" s="1237"/>
      <c r="C1757" s="1237"/>
      <c r="D1757" s="1237"/>
      <c r="E1757" s="1237"/>
      <c r="F1757" s="1237"/>
      <c r="G1757" s="1237"/>
      <c r="H1757" s="1237"/>
      <c r="I1757" s="1237"/>
      <c r="J1757" s="2945"/>
      <c r="K1757" s="2945"/>
      <c r="L1757" s="2945"/>
      <c r="M1757" s="1237"/>
      <c r="N1757" s="1237"/>
      <c r="O1757" s="2024"/>
      <c r="P1757" s="2954"/>
      <c r="Q1757" s="1238"/>
      <c r="R1757" s="1239"/>
    </row>
    <row r="1758" spans="1:18" ht="18.75" customHeight="1">
      <c r="A1758" s="2927"/>
      <c r="B1758" s="1237"/>
      <c r="C1758" s="1237"/>
      <c r="D1758" s="1237"/>
      <c r="E1758" s="1237"/>
      <c r="F1758" s="1237"/>
      <c r="G1758" s="1237"/>
      <c r="H1758" s="1237"/>
      <c r="I1758" s="1237"/>
      <c r="J1758" s="1237"/>
      <c r="K1758" s="1237"/>
      <c r="L1758" s="1237"/>
      <c r="M1758" s="1237"/>
      <c r="N1758" s="1237"/>
      <c r="O1758" s="2024"/>
      <c r="P1758" s="2954"/>
      <c r="Q1758" s="1238"/>
      <c r="R1758" s="1239"/>
    </row>
    <row r="1759" spans="1:18" ht="18.75" customHeight="1">
      <c r="A1759" s="2927"/>
      <c r="B1759" s="1237"/>
      <c r="C1759" s="1237"/>
      <c r="D1759" s="1237"/>
      <c r="E1759" s="1237"/>
      <c r="F1759" s="1237"/>
      <c r="G1759" s="1237"/>
      <c r="H1759" s="1237"/>
      <c r="I1759" s="1237"/>
      <c r="J1759" s="1237"/>
      <c r="K1759" s="1237"/>
      <c r="L1759" s="1237"/>
      <c r="M1759" s="1237"/>
      <c r="N1759" s="1237"/>
      <c r="O1759" s="2024"/>
      <c r="P1759" s="2954"/>
      <c r="Q1759" s="1238"/>
      <c r="R1759" s="1239"/>
    </row>
    <row r="1760" spans="1:18" ht="18.75" customHeight="1">
      <c r="A1760" s="2927"/>
      <c r="B1760" s="1237"/>
      <c r="C1760" s="1237"/>
      <c r="D1760" s="1237"/>
      <c r="E1760" s="1237"/>
      <c r="F1760" s="1237"/>
      <c r="G1760" s="1237"/>
      <c r="H1760" s="1237"/>
      <c r="I1760" s="1237"/>
      <c r="J1760" s="1237"/>
      <c r="K1760" s="1237"/>
      <c r="L1760" s="1237"/>
      <c r="M1760" s="1237"/>
      <c r="N1760" s="1237"/>
      <c r="O1760" s="2024"/>
      <c r="P1760" s="2954"/>
      <c r="Q1760" s="1238"/>
      <c r="R1760" s="1239"/>
    </row>
    <row r="1761" spans="1:18" ht="18.75" customHeight="1">
      <c r="A1761" s="2927"/>
      <c r="B1761" s="1237"/>
      <c r="C1761" s="1237"/>
      <c r="D1761" s="1237"/>
      <c r="E1761" s="1237"/>
      <c r="F1761" s="1237"/>
      <c r="G1761" s="1237"/>
      <c r="H1761" s="1237"/>
      <c r="I1761" s="1237"/>
      <c r="J1761" s="1237"/>
      <c r="K1761" s="1237"/>
      <c r="L1761" s="1237"/>
      <c r="M1761" s="1237"/>
      <c r="N1761" s="1237"/>
      <c r="O1761" s="2024"/>
      <c r="P1761" s="2954"/>
      <c r="Q1761" s="1238"/>
      <c r="R1761" s="1239"/>
    </row>
    <row r="1762" spans="1:18" ht="18.75" customHeight="1">
      <c r="A1762" s="2927"/>
      <c r="B1762" s="1237"/>
      <c r="C1762" s="1237"/>
      <c r="D1762" s="1237"/>
      <c r="E1762" s="1237"/>
      <c r="F1762" s="1237"/>
      <c r="G1762" s="1237"/>
      <c r="H1762" s="1237"/>
      <c r="I1762" s="1237"/>
      <c r="J1762" s="2945"/>
      <c r="K1762" s="2945"/>
      <c r="L1762" s="2945"/>
      <c r="M1762" s="1237"/>
      <c r="N1762" s="1237"/>
      <c r="O1762" s="2024"/>
      <c r="P1762" s="2954"/>
      <c r="Q1762" s="1238"/>
      <c r="R1762" s="1239"/>
    </row>
    <row r="1763" spans="1:18" ht="18.75" customHeight="1">
      <c r="A1763" s="2927"/>
      <c r="B1763" s="1237"/>
      <c r="C1763" s="1237"/>
      <c r="D1763" s="1237"/>
      <c r="E1763" s="1237"/>
      <c r="F1763" s="1237"/>
      <c r="G1763" s="1237"/>
      <c r="H1763" s="1237"/>
      <c r="I1763" s="1237"/>
      <c r="J1763" s="1237"/>
      <c r="K1763" s="1237"/>
      <c r="L1763" s="1237"/>
      <c r="M1763" s="1237"/>
      <c r="N1763" s="1237"/>
      <c r="O1763" s="2024"/>
      <c r="P1763" s="2954"/>
      <c r="Q1763" s="1238"/>
      <c r="R1763" s="1239"/>
    </row>
    <row r="1764" spans="1:18" ht="18.75" customHeight="1">
      <c r="A1764" s="2927"/>
      <c r="B1764" s="1237"/>
      <c r="C1764" s="1237"/>
      <c r="D1764" s="1237"/>
      <c r="E1764" s="1237"/>
      <c r="F1764" s="1237"/>
      <c r="G1764" s="1237"/>
      <c r="H1764" s="1237"/>
      <c r="I1764" s="1237"/>
      <c r="J1764" s="1237"/>
      <c r="K1764" s="1237"/>
      <c r="L1764" s="1237"/>
      <c r="M1764" s="1237"/>
      <c r="N1764" s="1237"/>
      <c r="O1764" s="2024"/>
      <c r="P1764" s="2954"/>
      <c r="Q1764" s="1238"/>
      <c r="R1764" s="1239"/>
    </row>
    <row r="1765" spans="1:18" ht="18.75" customHeight="1">
      <c r="A1765" s="2927"/>
      <c r="B1765" s="1237"/>
      <c r="C1765" s="1237"/>
      <c r="D1765" s="1237"/>
      <c r="E1765" s="1237"/>
      <c r="F1765" s="1237"/>
      <c r="G1765" s="1237"/>
      <c r="H1765" s="1237"/>
      <c r="I1765" s="1237"/>
      <c r="J1765" s="1237"/>
      <c r="K1765" s="1237"/>
      <c r="L1765" s="1237"/>
      <c r="M1765" s="1237"/>
      <c r="N1765" s="1237"/>
      <c r="O1765" s="2024"/>
      <c r="P1765" s="2954"/>
      <c r="Q1765" s="1238"/>
      <c r="R1765" s="1239"/>
    </row>
    <row r="1766" spans="1:18" ht="18.75" customHeight="1">
      <c r="A1766" s="2927"/>
      <c r="B1766" s="1237"/>
      <c r="C1766" s="1237"/>
      <c r="D1766" s="1237"/>
      <c r="E1766" s="1237"/>
      <c r="F1766" s="1237"/>
      <c r="G1766" s="1237"/>
      <c r="H1766" s="1237"/>
      <c r="I1766" s="1237"/>
      <c r="J1766" s="1237"/>
      <c r="K1766" s="1237"/>
      <c r="L1766" s="1237"/>
      <c r="M1766" s="1237"/>
      <c r="N1766" s="1237"/>
      <c r="O1766" s="2024"/>
      <c r="P1766" s="2954"/>
      <c r="Q1766" s="1238"/>
      <c r="R1766" s="1239"/>
    </row>
    <row r="1767" spans="1:18" ht="18.75" customHeight="1">
      <c r="A1767" s="2927"/>
      <c r="B1767" s="1237"/>
      <c r="C1767" s="1237"/>
      <c r="D1767" s="1237"/>
      <c r="E1767" s="1237"/>
      <c r="F1767" s="1237"/>
      <c r="G1767" s="1237"/>
      <c r="H1767" s="1237"/>
      <c r="I1767" s="1237"/>
      <c r="J1767" s="2945"/>
      <c r="K1767" s="2945"/>
      <c r="L1767" s="2945"/>
      <c r="M1767" s="1237"/>
      <c r="N1767" s="1237"/>
      <c r="O1767" s="2024"/>
      <c r="P1767" s="2954"/>
      <c r="Q1767" s="1238"/>
      <c r="R1767" s="1239"/>
    </row>
    <row r="1768" spans="1:18" ht="18.75" customHeight="1">
      <c r="A1768" s="2927"/>
      <c r="B1768" s="1237"/>
      <c r="C1768" s="1237"/>
      <c r="D1768" s="1237"/>
      <c r="E1768" s="1237"/>
      <c r="F1768" s="1237"/>
      <c r="G1768" s="1237"/>
      <c r="H1768" s="1237"/>
      <c r="I1768" s="1237"/>
      <c r="J1768" s="1237"/>
      <c r="K1768" s="1237"/>
      <c r="L1768" s="1237"/>
      <c r="M1768" s="1237"/>
      <c r="N1768" s="1237"/>
      <c r="O1768" s="2024"/>
      <c r="P1768" s="2954"/>
      <c r="Q1768" s="1238"/>
      <c r="R1768" s="1239"/>
    </row>
    <row r="1769" spans="1:18" ht="18.75" customHeight="1">
      <c r="A1769" s="2927"/>
      <c r="B1769" s="1237"/>
      <c r="C1769" s="1237"/>
      <c r="D1769" s="1237"/>
      <c r="E1769" s="1237"/>
      <c r="F1769" s="1237"/>
      <c r="G1769" s="1237"/>
      <c r="H1769" s="1237"/>
      <c r="I1769" s="1237"/>
      <c r="J1769" s="1237"/>
      <c r="K1769" s="1237"/>
      <c r="L1769" s="1237"/>
      <c r="M1769" s="1237"/>
      <c r="N1769" s="1237"/>
      <c r="O1769" s="2024"/>
      <c r="P1769" s="2954"/>
      <c r="Q1769" s="1238"/>
      <c r="R1769" s="1239"/>
    </row>
    <row r="1770" spans="1:18" ht="18.75" customHeight="1">
      <c r="A1770" s="2927"/>
      <c r="B1770" s="1237"/>
      <c r="C1770" s="1237"/>
      <c r="D1770" s="1237"/>
      <c r="E1770" s="1237"/>
      <c r="F1770" s="1237"/>
      <c r="G1770" s="1237"/>
      <c r="H1770" s="1237"/>
      <c r="I1770" s="1237"/>
      <c r="J1770" s="1237"/>
      <c r="K1770" s="1237"/>
      <c r="L1770" s="1237"/>
      <c r="M1770" s="1237"/>
      <c r="N1770" s="1237"/>
      <c r="O1770" s="2024"/>
      <c r="P1770" s="2954"/>
      <c r="Q1770" s="1238"/>
      <c r="R1770" s="1239"/>
    </row>
    <row r="1771" spans="1:18" ht="18.75" customHeight="1">
      <c r="A1771" s="2927"/>
      <c r="B1771" s="1237"/>
      <c r="C1771" s="1237"/>
      <c r="D1771" s="1237"/>
      <c r="E1771" s="1237"/>
      <c r="F1771" s="1237"/>
      <c r="G1771" s="1237"/>
      <c r="H1771" s="1237"/>
      <c r="I1771" s="1237"/>
      <c r="J1771" s="1237"/>
      <c r="K1771" s="1237"/>
      <c r="L1771" s="1237"/>
      <c r="M1771" s="1237"/>
      <c r="N1771" s="1237"/>
      <c r="O1771" s="2024"/>
      <c r="P1771" s="2954"/>
      <c r="Q1771" s="1238"/>
      <c r="R1771" s="1239"/>
    </row>
    <row r="1772" spans="1:18" ht="18.75" customHeight="1">
      <c r="A1772" s="2927"/>
      <c r="B1772" s="1237"/>
      <c r="C1772" s="1237"/>
      <c r="D1772" s="1237"/>
      <c r="E1772" s="1237"/>
      <c r="F1772" s="1237"/>
      <c r="G1772" s="1237"/>
      <c r="H1772" s="1237"/>
      <c r="I1772" s="1237"/>
      <c r="J1772" s="1237"/>
      <c r="K1772" s="1237"/>
      <c r="L1772" s="1237"/>
      <c r="M1772" s="1237"/>
      <c r="N1772" s="1237"/>
      <c r="O1772" s="2024"/>
      <c r="P1772" s="2954"/>
      <c r="Q1772" s="1238"/>
      <c r="R1772" s="1239"/>
    </row>
    <row r="1773" spans="1:18" ht="18.75" customHeight="1">
      <c r="A1773" s="2927"/>
      <c r="B1773" s="1237"/>
      <c r="C1773" s="1237"/>
      <c r="D1773" s="1237"/>
      <c r="E1773" s="1237"/>
      <c r="F1773" s="1237"/>
      <c r="G1773" s="1237"/>
      <c r="H1773" s="1237"/>
      <c r="I1773" s="1237"/>
      <c r="J1773" s="1237"/>
      <c r="K1773" s="1237"/>
      <c r="L1773" s="1237"/>
      <c r="M1773" s="1237"/>
      <c r="N1773" s="1237"/>
      <c r="O1773" s="2024"/>
      <c r="P1773" s="2954"/>
      <c r="Q1773" s="1238"/>
      <c r="R1773" s="1239"/>
    </row>
    <row r="1774" spans="1:18" ht="18.75" customHeight="1">
      <c r="A1774" s="2927"/>
      <c r="B1774" s="1237"/>
      <c r="C1774" s="1237"/>
      <c r="D1774" s="1237"/>
      <c r="E1774" s="1237"/>
      <c r="F1774" s="1237"/>
      <c r="G1774" s="1237"/>
      <c r="H1774" s="1237"/>
      <c r="I1774" s="1237"/>
      <c r="J1774" s="1237"/>
      <c r="K1774" s="1237"/>
      <c r="L1774" s="1237"/>
      <c r="M1774" s="1237"/>
      <c r="N1774" s="1237"/>
      <c r="O1774" s="2024"/>
      <c r="P1774" s="2954"/>
      <c r="Q1774" s="1238"/>
      <c r="R1774" s="1239"/>
    </row>
    <row r="1775" spans="1:18" ht="18.75" customHeight="1">
      <c r="A1775" s="2927"/>
      <c r="B1775" s="1237"/>
      <c r="C1775" s="1237"/>
      <c r="D1775" s="1237"/>
      <c r="E1775" s="1237"/>
      <c r="F1775" s="1237"/>
      <c r="G1775" s="1237"/>
      <c r="H1775" s="1237"/>
      <c r="I1775" s="1237"/>
      <c r="J1775" s="1237"/>
      <c r="K1775" s="1237"/>
      <c r="L1775" s="1237"/>
      <c r="M1775" s="1237"/>
      <c r="N1775" s="1237"/>
      <c r="O1775" s="2024"/>
      <c r="P1775" s="2954"/>
      <c r="Q1775" s="1238"/>
      <c r="R1775" s="1239"/>
    </row>
    <row r="1776" spans="1:18" ht="18.75" customHeight="1">
      <c r="A1776" s="2927"/>
      <c r="B1776" s="1237"/>
      <c r="C1776" s="1237"/>
      <c r="D1776" s="1237"/>
      <c r="E1776" s="1237"/>
      <c r="F1776" s="1237"/>
      <c r="G1776" s="1237"/>
      <c r="H1776" s="1237"/>
      <c r="I1776" s="1237"/>
      <c r="J1776" s="1237"/>
      <c r="K1776" s="1237"/>
      <c r="L1776" s="1237"/>
      <c r="M1776" s="1237"/>
      <c r="N1776" s="1237"/>
      <c r="O1776" s="2024"/>
      <c r="P1776" s="2954"/>
      <c r="Q1776" s="1238"/>
      <c r="R1776" s="1239"/>
    </row>
    <row r="1777" spans="1:18" ht="18.75" customHeight="1">
      <c r="A1777" s="2927"/>
      <c r="B1777" s="1237"/>
      <c r="C1777" s="1237"/>
      <c r="D1777" s="1237"/>
      <c r="E1777" s="1237"/>
      <c r="F1777" s="1237"/>
      <c r="G1777" s="1237"/>
      <c r="H1777" s="1237"/>
      <c r="I1777" s="1237"/>
      <c r="J1777" s="2945"/>
      <c r="K1777" s="2945"/>
      <c r="L1777" s="2945"/>
      <c r="M1777" s="1237"/>
      <c r="N1777" s="1237"/>
      <c r="O1777" s="2024"/>
      <c r="P1777" s="2954"/>
      <c r="Q1777" s="1238"/>
      <c r="R1777" s="1239"/>
    </row>
    <row r="1778" spans="1:18" ht="18.75" customHeight="1">
      <c r="A1778" s="2927"/>
      <c r="B1778" s="1237"/>
      <c r="C1778" s="1237"/>
      <c r="D1778" s="1237"/>
      <c r="E1778" s="1237"/>
      <c r="F1778" s="1237"/>
      <c r="G1778" s="1237"/>
      <c r="H1778" s="1237"/>
      <c r="I1778" s="1237"/>
      <c r="J1778" s="1237"/>
      <c r="K1778" s="1237"/>
      <c r="L1778" s="1237"/>
      <c r="M1778" s="1237"/>
      <c r="N1778" s="1237"/>
      <c r="O1778" s="2024"/>
      <c r="P1778" s="2954"/>
      <c r="Q1778" s="1238"/>
      <c r="R1778" s="1239"/>
    </row>
    <row r="1779" spans="1:18" ht="18.75" customHeight="1">
      <c r="A1779" s="2927"/>
      <c r="B1779" s="1237"/>
      <c r="C1779" s="1237"/>
      <c r="D1779" s="1237"/>
      <c r="E1779" s="1237"/>
      <c r="F1779" s="1237"/>
      <c r="G1779" s="1237"/>
      <c r="H1779" s="1237"/>
      <c r="I1779" s="1237"/>
      <c r="J1779" s="1237"/>
      <c r="K1779" s="1237"/>
      <c r="L1779" s="1237"/>
      <c r="M1779" s="1237"/>
      <c r="N1779" s="1237"/>
      <c r="O1779" s="2024"/>
      <c r="P1779" s="2954"/>
      <c r="Q1779" s="1238"/>
      <c r="R1779" s="1239"/>
    </row>
    <row r="1780" spans="1:18" ht="18.75" customHeight="1">
      <c r="A1780" s="2927"/>
      <c r="B1780" s="1237"/>
      <c r="C1780" s="1237"/>
      <c r="D1780" s="1237"/>
      <c r="E1780" s="1237"/>
      <c r="F1780" s="1237"/>
      <c r="G1780" s="1237"/>
      <c r="H1780" s="1237"/>
      <c r="I1780" s="1237"/>
      <c r="J1780" s="1237"/>
      <c r="K1780" s="1237"/>
      <c r="L1780" s="1237"/>
      <c r="M1780" s="1237"/>
      <c r="N1780" s="1237"/>
      <c r="O1780" s="2024"/>
      <c r="P1780" s="2954"/>
      <c r="Q1780" s="1238"/>
      <c r="R1780" s="1239"/>
    </row>
    <row r="1781" spans="1:18" ht="18.75" customHeight="1">
      <c r="A1781" s="2927"/>
      <c r="B1781" s="1237"/>
      <c r="C1781" s="1237"/>
      <c r="D1781" s="1237"/>
      <c r="E1781" s="1237"/>
      <c r="F1781" s="1237"/>
      <c r="G1781" s="1237"/>
      <c r="H1781" s="1237"/>
      <c r="I1781" s="1237"/>
      <c r="J1781" s="1237"/>
      <c r="K1781" s="1237"/>
      <c r="L1781" s="1237"/>
      <c r="M1781" s="1237"/>
      <c r="N1781" s="1237"/>
      <c r="O1781" s="2024"/>
      <c r="P1781" s="2954"/>
      <c r="Q1781" s="1238"/>
      <c r="R1781" s="1239"/>
    </row>
    <row r="1782" spans="1:18" ht="18.75" customHeight="1">
      <c r="A1782" s="2927"/>
      <c r="B1782" s="1237"/>
      <c r="C1782" s="1237"/>
      <c r="D1782" s="1237"/>
      <c r="E1782" s="1237"/>
      <c r="F1782" s="1237"/>
      <c r="G1782" s="1237"/>
      <c r="H1782" s="1237"/>
      <c r="I1782" s="1237"/>
      <c r="J1782" s="1237"/>
      <c r="K1782" s="1237"/>
      <c r="L1782" s="1237"/>
      <c r="M1782" s="1237"/>
      <c r="N1782" s="1237"/>
      <c r="O1782" s="2024"/>
      <c r="P1782" s="2954"/>
      <c r="Q1782" s="1238"/>
      <c r="R1782" s="1239"/>
    </row>
    <row r="1783" spans="1:18" ht="18.75" customHeight="1">
      <c r="A1783" s="2927"/>
      <c r="B1783" s="1237"/>
      <c r="C1783" s="1237"/>
      <c r="D1783" s="1237"/>
      <c r="E1783" s="1237"/>
      <c r="F1783" s="1237"/>
      <c r="G1783" s="1237"/>
      <c r="H1783" s="1237"/>
      <c r="I1783" s="1237"/>
      <c r="J1783" s="2945"/>
      <c r="K1783" s="2945"/>
      <c r="L1783" s="2945"/>
      <c r="M1783" s="1237"/>
      <c r="N1783" s="1237"/>
      <c r="O1783" s="2024"/>
      <c r="P1783" s="2954"/>
      <c r="Q1783" s="1238"/>
      <c r="R1783" s="1239"/>
    </row>
    <row r="1784" spans="1:18" ht="18.75" customHeight="1">
      <c r="A1784" s="2927"/>
      <c r="B1784" s="1237"/>
      <c r="C1784" s="1237"/>
      <c r="D1784" s="1237"/>
      <c r="E1784" s="1237"/>
      <c r="F1784" s="1237"/>
      <c r="G1784" s="1237"/>
      <c r="H1784" s="1237"/>
      <c r="I1784" s="1237"/>
      <c r="J1784" s="1237"/>
      <c r="K1784" s="1237"/>
      <c r="L1784" s="1237"/>
      <c r="M1784" s="1237"/>
      <c r="N1784" s="1237"/>
      <c r="O1784" s="2024"/>
      <c r="P1784" s="2954"/>
      <c r="Q1784" s="1238"/>
      <c r="R1784" s="1239"/>
    </row>
    <row r="1785" spans="1:18" ht="18.75" customHeight="1">
      <c r="A1785" s="2927"/>
      <c r="B1785" s="1237"/>
      <c r="C1785" s="1237"/>
      <c r="D1785" s="1237"/>
      <c r="E1785" s="1237"/>
      <c r="F1785" s="1237"/>
      <c r="G1785" s="1237"/>
      <c r="H1785" s="1237"/>
      <c r="I1785" s="1237"/>
      <c r="J1785" s="1237"/>
      <c r="K1785" s="1237"/>
      <c r="L1785" s="1237"/>
      <c r="M1785" s="1237"/>
      <c r="N1785" s="1237"/>
      <c r="O1785" s="2024"/>
      <c r="P1785" s="2954"/>
      <c r="Q1785" s="1238"/>
      <c r="R1785" s="1239"/>
    </row>
    <row r="1786" spans="1:18" ht="18.75" customHeight="1">
      <c r="A1786" s="2927"/>
      <c r="B1786" s="1237"/>
      <c r="C1786" s="1237"/>
      <c r="D1786" s="1237"/>
      <c r="E1786" s="1237"/>
      <c r="F1786" s="1237"/>
      <c r="G1786" s="1237"/>
      <c r="H1786" s="1237"/>
      <c r="I1786" s="1237"/>
      <c r="J1786" s="1237"/>
      <c r="K1786" s="1237"/>
      <c r="L1786" s="1237"/>
      <c r="M1786" s="1237"/>
      <c r="N1786" s="1237"/>
      <c r="O1786" s="2024"/>
      <c r="P1786" s="2954"/>
      <c r="Q1786" s="1238"/>
      <c r="R1786" s="1239"/>
    </row>
    <row r="1787" spans="1:18" ht="18.75" customHeight="1">
      <c r="A1787" s="2927"/>
      <c r="B1787" s="1237"/>
      <c r="C1787" s="1237"/>
      <c r="D1787" s="1237"/>
      <c r="E1787" s="1237"/>
      <c r="F1787" s="1237"/>
      <c r="G1787" s="1237"/>
      <c r="H1787" s="1237"/>
      <c r="I1787" s="1237"/>
      <c r="J1787" s="1237"/>
      <c r="K1787" s="1237"/>
      <c r="L1787" s="1237"/>
      <c r="M1787" s="1237"/>
      <c r="N1787" s="1237"/>
      <c r="O1787" s="2024"/>
      <c r="P1787" s="2954"/>
      <c r="Q1787" s="1238"/>
      <c r="R1787" s="1239"/>
    </row>
    <row r="1788" spans="1:18" ht="18.75" customHeight="1">
      <c r="A1788" s="2927"/>
      <c r="B1788" s="1237"/>
      <c r="C1788" s="1237"/>
      <c r="D1788" s="1237"/>
      <c r="E1788" s="1237"/>
      <c r="F1788" s="1237"/>
      <c r="G1788" s="1237"/>
      <c r="H1788" s="1237"/>
      <c r="I1788" s="1237"/>
      <c r="J1788" s="1237"/>
      <c r="K1788" s="1237"/>
      <c r="L1788" s="1237"/>
      <c r="M1788" s="1237"/>
      <c r="N1788" s="1237"/>
      <c r="O1788" s="2024"/>
      <c r="P1788" s="2954"/>
      <c r="Q1788" s="1238"/>
      <c r="R1788" s="1239"/>
    </row>
    <row r="1789" spans="1:18" ht="18.75" customHeight="1">
      <c r="A1789" s="2927"/>
      <c r="B1789" s="1237"/>
      <c r="C1789" s="1237"/>
      <c r="D1789" s="1237"/>
      <c r="E1789" s="1237"/>
      <c r="F1789" s="1237"/>
      <c r="G1789" s="1237"/>
      <c r="H1789" s="1237"/>
      <c r="I1789" s="1237"/>
      <c r="J1789" s="1237"/>
      <c r="K1789" s="1237"/>
      <c r="L1789" s="1237"/>
      <c r="M1789" s="1237"/>
      <c r="N1789" s="1237"/>
      <c r="O1789" s="2024"/>
      <c r="P1789" s="2954"/>
      <c r="Q1789" s="1238"/>
      <c r="R1789" s="1239"/>
    </row>
    <row r="1790" spans="1:18" ht="18.75" customHeight="1">
      <c r="A1790" s="2927"/>
      <c r="B1790" s="1237"/>
      <c r="C1790" s="1237"/>
      <c r="D1790" s="1237"/>
      <c r="E1790" s="1237"/>
      <c r="F1790" s="1237"/>
      <c r="G1790" s="1237"/>
      <c r="H1790" s="1237"/>
      <c r="I1790" s="1237"/>
      <c r="J1790" s="1237"/>
      <c r="K1790" s="1237"/>
      <c r="L1790" s="1237"/>
      <c r="M1790" s="1237"/>
      <c r="N1790" s="1237"/>
      <c r="O1790" s="2024"/>
      <c r="P1790" s="2954"/>
      <c r="Q1790" s="1238"/>
      <c r="R1790" s="1239"/>
    </row>
    <row r="1791" spans="1:18" ht="18.75" customHeight="1">
      <c r="A1791" s="2927"/>
      <c r="B1791" s="1237"/>
      <c r="C1791" s="1237"/>
      <c r="D1791" s="1237"/>
      <c r="E1791" s="1237"/>
      <c r="F1791" s="1237"/>
      <c r="G1791" s="1237"/>
      <c r="H1791" s="1237"/>
      <c r="I1791" s="1237"/>
      <c r="J1791" s="1237"/>
      <c r="K1791" s="1237"/>
      <c r="L1791" s="1237"/>
      <c r="M1791" s="1237"/>
      <c r="N1791" s="1237"/>
      <c r="O1791" s="2024"/>
      <c r="P1791" s="2954"/>
      <c r="Q1791" s="1238"/>
      <c r="R1791" s="1239"/>
    </row>
    <row r="1792" spans="1:18" ht="18.75" customHeight="1">
      <c r="A1792" s="2927"/>
      <c r="B1792" s="1237"/>
      <c r="C1792" s="1237"/>
      <c r="D1792" s="1237"/>
      <c r="E1792" s="1237"/>
      <c r="F1792" s="1237"/>
      <c r="G1792" s="1237"/>
      <c r="H1792" s="1237"/>
      <c r="I1792" s="1237"/>
      <c r="J1792" s="1237"/>
      <c r="K1792" s="1237"/>
      <c r="L1792" s="1237"/>
      <c r="M1792" s="1237"/>
      <c r="N1792" s="1237"/>
      <c r="O1792" s="2024"/>
      <c r="P1792" s="2954"/>
      <c r="Q1792" s="1238"/>
      <c r="R1792" s="1239"/>
    </row>
    <row r="1793" spans="1:18" ht="18.75" customHeight="1">
      <c r="A1793" s="2927"/>
      <c r="B1793" s="1237"/>
      <c r="C1793" s="1237"/>
      <c r="D1793" s="1237"/>
      <c r="E1793" s="1237"/>
      <c r="F1793" s="1237"/>
      <c r="G1793" s="1237"/>
      <c r="H1793" s="1237"/>
      <c r="I1793" s="1237"/>
      <c r="J1793" s="2945"/>
      <c r="K1793" s="2945"/>
      <c r="L1793" s="2945"/>
      <c r="M1793" s="1237"/>
      <c r="N1793" s="1237"/>
      <c r="O1793" s="2024"/>
      <c r="P1793" s="2954"/>
      <c r="Q1793" s="1238"/>
      <c r="R1793" s="1239"/>
    </row>
    <row r="1794" spans="1:18" ht="18.75" customHeight="1">
      <c r="A1794" s="2927"/>
      <c r="B1794" s="1237"/>
      <c r="C1794" s="1237"/>
      <c r="D1794" s="1237"/>
      <c r="E1794" s="1237"/>
      <c r="F1794" s="1237"/>
      <c r="G1794" s="1237"/>
      <c r="H1794" s="1237"/>
      <c r="I1794" s="1237"/>
      <c r="J1794" s="1237"/>
      <c r="K1794" s="1237"/>
      <c r="L1794" s="1237"/>
      <c r="M1794" s="1237"/>
      <c r="N1794" s="1237"/>
      <c r="O1794" s="2024"/>
      <c r="P1794" s="2954"/>
      <c r="Q1794" s="1238"/>
      <c r="R1794" s="1239"/>
    </row>
    <row r="1795" spans="1:18" ht="18.75" customHeight="1">
      <c r="A1795" s="2927"/>
      <c r="B1795" s="1237"/>
      <c r="C1795" s="1237"/>
      <c r="D1795" s="1237"/>
      <c r="E1795" s="1237"/>
      <c r="F1795" s="1237"/>
      <c r="G1795" s="1237"/>
      <c r="H1795" s="1237"/>
      <c r="I1795" s="1237"/>
      <c r="J1795" s="1237"/>
      <c r="K1795" s="1237"/>
      <c r="L1795" s="1237"/>
      <c r="M1795" s="1237"/>
      <c r="N1795" s="1237"/>
      <c r="O1795" s="2024"/>
      <c r="P1795" s="2954"/>
      <c r="Q1795" s="1238"/>
      <c r="R1795" s="1239"/>
    </row>
    <row r="1796" spans="1:18" ht="18.75" customHeight="1">
      <c r="A1796" s="2927"/>
      <c r="B1796" s="1237"/>
      <c r="C1796" s="1237"/>
      <c r="D1796" s="1237"/>
      <c r="E1796" s="1237"/>
      <c r="F1796" s="1237"/>
      <c r="G1796" s="1237"/>
      <c r="H1796" s="1237"/>
      <c r="I1796" s="1237"/>
      <c r="J1796" s="1237"/>
      <c r="K1796" s="1237"/>
      <c r="L1796" s="1237"/>
      <c r="M1796" s="1237"/>
      <c r="N1796" s="1237"/>
      <c r="O1796" s="2024"/>
      <c r="P1796" s="2954"/>
      <c r="Q1796" s="1238"/>
      <c r="R1796" s="1239"/>
    </row>
    <row r="1797" spans="1:18" ht="18.75" customHeight="1">
      <c r="A1797" s="2927"/>
      <c r="B1797" s="1237"/>
      <c r="C1797" s="1237"/>
      <c r="D1797" s="1237"/>
      <c r="E1797" s="1237"/>
      <c r="F1797" s="1237"/>
      <c r="G1797" s="1237"/>
      <c r="H1797" s="1237"/>
      <c r="I1797" s="1237"/>
      <c r="J1797" s="1237"/>
      <c r="K1797" s="1237"/>
      <c r="L1797" s="1237"/>
      <c r="M1797" s="1237"/>
      <c r="N1797" s="1237"/>
      <c r="O1797" s="2024"/>
      <c r="P1797" s="2954"/>
      <c r="Q1797" s="1238"/>
      <c r="R1797" s="1239"/>
    </row>
    <row r="1798" spans="1:18" ht="18.75" customHeight="1">
      <c r="A1798" s="2927"/>
      <c r="B1798" s="1237"/>
      <c r="C1798" s="1237"/>
      <c r="D1798" s="1237"/>
      <c r="E1798" s="1237"/>
      <c r="F1798" s="1237"/>
      <c r="G1798" s="1237"/>
      <c r="H1798" s="1237"/>
      <c r="I1798" s="1237"/>
      <c r="J1798" s="2945"/>
      <c r="K1798" s="2945"/>
      <c r="L1798" s="2945"/>
      <c r="M1798" s="1237"/>
      <c r="N1798" s="1237"/>
      <c r="O1798" s="2024"/>
      <c r="P1798" s="2954"/>
      <c r="Q1798" s="1238"/>
      <c r="R1798" s="1239"/>
    </row>
    <row r="1799" spans="1:18" ht="18.75" customHeight="1">
      <c r="A1799" s="2927"/>
      <c r="B1799" s="1237"/>
      <c r="C1799" s="1237"/>
      <c r="D1799" s="1237"/>
      <c r="E1799" s="1237"/>
      <c r="F1799" s="1237"/>
      <c r="G1799" s="1237"/>
      <c r="H1799" s="1237"/>
      <c r="I1799" s="1237"/>
      <c r="J1799" s="1237"/>
      <c r="K1799" s="1237"/>
      <c r="L1799" s="1237"/>
      <c r="M1799" s="1237"/>
      <c r="N1799" s="1237"/>
      <c r="O1799" s="2024"/>
      <c r="P1799" s="2954"/>
      <c r="Q1799" s="1238"/>
      <c r="R1799" s="1239"/>
    </row>
    <row r="1800" spans="1:18" ht="18.75" customHeight="1">
      <c r="A1800" s="2927"/>
      <c r="B1800" s="1237"/>
      <c r="C1800" s="1237"/>
      <c r="D1800" s="1237"/>
      <c r="E1800" s="1237"/>
      <c r="F1800" s="1237"/>
      <c r="G1800" s="1237"/>
      <c r="H1800" s="1237"/>
      <c r="I1800" s="1237"/>
      <c r="J1800" s="1237"/>
      <c r="K1800" s="1237"/>
      <c r="L1800" s="1237"/>
      <c r="M1800" s="1237"/>
      <c r="N1800" s="1237"/>
      <c r="O1800" s="2024"/>
      <c r="P1800" s="2954"/>
      <c r="Q1800" s="1238"/>
      <c r="R1800" s="1239"/>
    </row>
    <row r="1801" spans="1:18" ht="18.75" customHeight="1">
      <c r="A1801" s="2927"/>
      <c r="B1801" s="1237"/>
      <c r="C1801" s="1237"/>
      <c r="D1801" s="1237"/>
      <c r="E1801" s="1237"/>
      <c r="F1801" s="1237"/>
      <c r="G1801" s="1237"/>
      <c r="H1801" s="1237"/>
      <c r="I1801" s="1237"/>
      <c r="J1801" s="1237"/>
      <c r="K1801" s="1237"/>
      <c r="L1801" s="1237"/>
      <c r="M1801" s="1237"/>
      <c r="N1801" s="1237"/>
      <c r="O1801" s="2024"/>
      <c r="P1801" s="2954"/>
      <c r="Q1801" s="1238"/>
      <c r="R1801" s="1239"/>
    </row>
    <row r="1802" spans="1:18" ht="18.75" customHeight="1">
      <c r="A1802" s="2927"/>
      <c r="B1802" s="1237"/>
      <c r="C1802" s="1237"/>
      <c r="D1802" s="1237"/>
      <c r="E1802" s="1237"/>
      <c r="F1802" s="1237"/>
      <c r="G1802" s="1237"/>
      <c r="H1802" s="1237"/>
      <c r="I1802" s="1237"/>
      <c r="J1802" s="1237"/>
      <c r="K1802" s="1237"/>
      <c r="L1802" s="1237"/>
      <c r="M1802" s="1237"/>
      <c r="N1802" s="1237"/>
      <c r="O1802" s="2024"/>
      <c r="P1802" s="2954"/>
      <c r="Q1802" s="1238"/>
      <c r="R1802" s="1239"/>
    </row>
    <row r="1803" spans="1:18" ht="18.75" customHeight="1">
      <c r="A1803" s="2927"/>
      <c r="B1803" s="1237"/>
      <c r="C1803" s="1237"/>
      <c r="D1803" s="1237"/>
      <c r="E1803" s="1237"/>
      <c r="F1803" s="1237"/>
      <c r="G1803" s="1237"/>
      <c r="H1803" s="1237"/>
      <c r="I1803" s="1237"/>
      <c r="J1803" s="2945"/>
      <c r="K1803" s="2945"/>
      <c r="L1803" s="2945"/>
      <c r="M1803" s="1237"/>
      <c r="N1803" s="1237"/>
      <c r="O1803" s="2024"/>
      <c r="P1803" s="2954"/>
      <c r="Q1803" s="1238"/>
      <c r="R1803" s="1239"/>
    </row>
    <row r="1804" spans="1:18" ht="18.75" customHeight="1">
      <c r="A1804" s="2927"/>
      <c r="B1804" s="1237"/>
      <c r="C1804" s="1237"/>
      <c r="D1804" s="1237"/>
      <c r="E1804" s="1237"/>
      <c r="F1804" s="1237"/>
      <c r="G1804" s="1237"/>
      <c r="H1804" s="1237"/>
      <c r="I1804" s="1237"/>
      <c r="J1804" s="1237"/>
      <c r="K1804" s="1237"/>
      <c r="L1804" s="1237"/>
      <c r="M1804" s="1237"/>
      <c r="N1804" s="1237"/>
      <c r="O1804" s="2024"/>
      <c r="P1804" s="2954"/>
      <c r="Q1804" s="1238"/>
      <c r="R1804" s="1239"/>
    </row>
    <row r="1805" spans="1:18" ht="18.75" customHeight="1">
      <c r="A1805" s="2927"/>
      <c r="B1805" s="1237"/>
      <c r="C1805" s="1237"/>
      <c r="D1805" s="1237"/>
      <c r="E1805" s="1237"/>
      <c r="F1805" s="1237"/>
      <c r="G1805" s="1237"/>
      <c r="H1805" s="1237"/>
      <c r="I1805" s="1237"/>
      <c r="J1805" s="1237"/>
      <c r="K1805" s="1237"/>
      <c r="L1805" s="1237"/>
      <c r="M1805" s="1237"/>
      <c r="N1805" s="1237"/>
      <c r="O1805" s="2024"/>
      <c r="P1805" s="2954"/>
      <c r="Q1805" s="1238"/>
      <c r="R1805" s="1239"/>
    </row>
    <row r="1806" spans="1:18" ht="18.75" customHeight="1">
      <c r="A1806" s="2927"/>
      <c r="B1806" s="1237"/>
      <c r="C1806" s="1237"/>
      <c r="D1806" s="1237"/>
      <c r="E1806" s="1237"/>
      <c r="F1806" s="1237"/>
      <c r="G1806" s="1237"/>
      <c r="H1806" s="1237"/>
      <c r="I1806" s="1237"/>
      <c r="J1806" s="1237"/>
      <c r="K1806" s="1237"/>
      <c r="L1806" s="1237"/>
      <c r="M1806" s="1237"/>
      <c r="N1806" s="1237"/>
      <c r="O1806" s="2024"/>
      <c r="P1806" s="2954"/>
      <c r="Q1806" s="1238"/>
      <c r="R1806" s="1239"/>
    </row>
    <row r="1807" spans="1:18" ht="18.75" customHeight="1">
      <c r="A1807" s="2927"/>
      <c r="B1807" s="1237"/>
      <c r="C1807" s="1237"/>
      <c r="D1807" s="1237"/>
      <c r="E1807" s="1237"/>
      <c r="F1807" s="1237"/>
      <c r="G1807" s="1237"/>
      <c r="H1807" s="1237"/>
      <c r="I1807" s="1237"/>
      <c r="J1807" s="1237"/>
      <c r="K1807" s="1237"/>
      <c r="L1807" s="1237"/>
      <c r="M1807" s="1237"/>
      <c r="N1807" s="1237"/>
      <c r="O1807" s="2024"/>
      <c r="P1807" s="2954"/>
      <c r="Q1807" s="1238"/>
      <c r="R1807" s="1239"/>
    </row>
    <row r="1808" spans="1:18" ht="18.75" customHeight="1">
      <c r="A1808" s="2927"/>
      <c r="B1808" s="1237"/>
      <c r="C1808" s="1237"/>
      <c r="D1808" s="1237"/>
      <c r="E1808" s="1237"/>
      <c r="F1808" s="1237"/>
      <c r="G1808" s="1237"/>
      <c r="H1808" s="1237"/>
      <c r="I1808" s="1237"/>
      <c r="J1808" s="1237"/>
      <c r="K1808" s="1237"/>
      <c r="L1808" s="1237"/>
      <c r="M1808" s="1237"/>
      <c r="N1808" s="1237"/>
      <c r="O1808" s="2057"/>
      <c r="P1808" s="2954"/>
      <c r="Q1808" s="1525"/>
      <c r="R1808" s="1239"/>
    </row>
    <row r="1809" spans="1:18" ht="18.75" customHeight="1">
      <c r="A1809" s="2927"/>
      <c r="B1809" s="1237"/>
      <c r="C1809" s="1237"/>
      <c r="D1809" s="1237"/>
      <c r="E1809" s="1237"/>
      <c r="F1809" s="1237"/>
      <c r="G1809" s="1237"/>
      <c r="H1809" s="1237"/>
      <c r="I1809" s="1237"/>
      <c r="J1809" s="1237"/>
      <c r="K1809" s="1237"/>
      <c r="L1809" s="1237"/>
      <c r="M1809" s="1237"/>
      <c r="N1809" s="1237"/>
      <c r="O1809" s="2057"/>
      <c r="P1809" s="2954"/>
      <c r="Q1809" s="1525"/>
      <c r="R1809" s="1239"/>
    </row>
    <row r="1810" spans="1:18" ht="18.75" customHeight="1">
      <c r="A1810" s="2927"/>
      <c r="B1810" s="1237"/>
      <c r="C1810" s="1237"/>
      <c r="D1810" s="1237"/>
      <c r="E1810" s="1237"/>
      <c r="F1810" s="1237"/>
      <c r="G1810" s="1237"/>
      <c r="H1810" s="1237"/>
      <c r="I1810" s="1237"/>
      <c r="J1810" s="1237"/>
      <c r="K1810" s="1237"/>
      <c r="L1810" s="1237"/>
      <c r="M1810" s="1237"/>
      <c r="N1810" s="1237"/>
      <c r="O1810" s="2057"/>
      <c r="P1810" s="2954"/>
      <c r="Q1810" s="1525"/>
      <c r="R1810" s="1239"/>
    </row>
    <row r="1811" spans="1:18" ht="18.75" customHeight="1">
      <c r="A1811" s="2927"/>
      <c r="B1811" s="1237"/>
      <c r="C1811" s="1237"/>
      <c r="D1811" s="1237"/>
      <c r="E1811" s="1237"/>
      <c r="F1811" s="1237"/>
      <c r="G1811" s="1237"/>
      <c r="H1811" s="1237"/>
      <c r="I1811" s="1237"/>
      <c r="J1811" s="1237"/>
      <c r="K1811" s="1237"/>
      <c r="L1811" s="1237"/>
      <c r="M1811" s="1237"/>
      <c r="N1811" s="1237"/>
      <c r="O1811" s="2057"/>
      <c r="P1811" s="2954"/>
      <c r="Q1811" s="1525"/>
      <c r="R1811" s="1239"/>
    </row>
    <row r="1812" spans="1:18" ht="18.75" customHeight="1">
      <c r="A1812" s="2927"/>
      <c r="B1812" s="1237"/>
      <c r="C1812" s="1237"/>
      <c r="D1812" s="1237"/>
      <c r="E1812" s="1237"/>
      <c r="F1812" s="1237"/>
      <c r="G1812" s="1237"/>
      <c r="H1812" s="1237"/>
      <c r="I1812" s="1237"/>
      <c r="J1812" s="1237"/>
      <c r="K1812" s="1237"/>
      <c r="L1812" s="1237"/>
      <c r="M1812" s="1237"/>
      <c r="N1812" s="1237"/>
      <c r="O1812" s="2057"/>
      <c r="P1812" s="2954"/>
      <c r="Q1812" s="1525"/>
      <c r="R1812" s="1239"/>
    </row>
    <row r="1813" spans="1:18" ht="18.75" customHeight="1" thickBot="1">
      <c r="A1813" s="2928"/>
      <c r="B1813" s="1540"/>
      <c r="C1813" s="1540"/>
      <c r="D1813" s="1540"/>
      <c r="E1813" s="1540"/>
      <c r="F1813" s="1540"/>
      <c r="G1813" s="1540"/>
      <c r="H1813" s="1540"/>
      <c r="I1813" s="1540"/>
      <c r="J1813" s="2962"/>
      <c r="K1813" s="2962"/>
      <c r="L1813" s="2962"/>
      <c r="M1813" s="1540"/>
      <c r="N1813" s="1540"/>
      <c r="O1813" s="2058"/>
      <c r="P1813" s="2969"/>
      <c r="Q1813" s="2059"/>
      <c r="R1813" s="1591"/>
    </row>
    <row r="1814" spans="1:18" ht="18.75" customHeight="1">
      <c r="A1814" s="2926"/>
      <c r="B1814" s="1585"/>
      <c r="C1814" s="1585"/>
      <c r="D1814" s="1585"/>
      <c r="E1814" s="1585"/>
      <c r="F1814" s="1585"/>
      <c r="G1814" s="1585"/>
      <c r="H1814" s="1585"/>
      <c r="I1814" s="1585"/>
      <c r="J1814" s="1585"/>
      <c r="K1814" s="1585"/>
      <c r="L1814" s="1585"/>
      <c r="M1814" s="1585"/>
      <c r="N1814" s="2260"/>
      <c r="O1814" s="2026"/>
      <c r="P1814" s="2964"/>
      <c r="Q1814" s="1586"/>
      <c r="R1814" s="1587"/>
    </row>
    <row r="1815" spans="1:18" ht="18.75" customHeight="1">
      <c r="A1815" s="2927"/>
      <c r="B1815" s="1237"/>
      <c r="C1815" s="1237"/>
      <c r="D1815" s="1237"/>
      <c r="E1815" s="1237"/>
      <c r="F1815" s="1237"/>
      <c r="G1815" s="1237"/>
      <c r="H1815" s="1237"/>
      <c r="I1815" s="1237"/>
      <c r="J1815" s="1237"/>
      <c r="K1815" s="1237"/>
      <c r="L1815" s="1237"/>
      <c r="M1815" s="2258"/>
      <c r="N1815" s="1869"/>
      <c r="O1815" s="2259"/>
      <c r="P1815" s="2954"/>
      <c r="Q1815" s="1238"/>
      <c r="R1815" s="1239"/>
    </row>
    <row r="1816" spans="1:18" ht="18.75" customHeight="1">
      <c r="A1816" s="2927"/>
      <c r="B1816" s="1237"/>
      <c r="C1816" s="1237"/>
      <c r="D1816" s="1237"/>
      <c r="E1816" s="1237"/>
      <c r="F1816" s="1237"/>
      <c r="G1816" s="1237"/>
      <c r="H1816" s="1237"/>
      <c r="I1816" s="1237"/>
      <c r="J1816" s="1237"/>
      <c r="K1816" s="1237"/>
      <c r="L1816" s="1237"/>
      <c r="M1816" s="2258"/>
      <c r="N1816" s="1540"/>
      <c r="O1816" s="2259"/>
      <c r="P1816" s="2954"/>
      <c r="Q1816" s="1238"/>
      <c r="R1816" s="1239"/>
    </row>
    <row r="1817" spans="1:18" ht="18.75" customHeight="1">
      <c r="A1817" s="2927"/>
      <c r="B1817" s="1237"/>
      <c r="C1817" s="1237"/>
      <c r="D1817" s="1237"/>
      <c r="E1817" s="1237"/>
      <c r="F1817" s="1237"/>
      <c r="G1817" s="1237"/>
      <c r="H1817" s="1237"/>
      <c r="I1817" s="1237"/>
      <c r="J1817" s="1237"/>
      <c r="K1817" s="1237"/>
      <c r="L1817" s="1237"/>
      <c r="M1817" s="2258"/>
      <c r="N1817" s="1540"/>
      <c r="O1817" s="2259"/>
      <c r="P1817" s="2954"/>
      <c r="Q1817" s="1238"/>
      <c r="R1817" s="1239"/>
    </row>
    <row r="1818" spans="1:18" ht="18.75" customHeight="1">
      <c r="A1818" s="2927"/>
      <c r="B1818" s="1237"/>
      <c r="C1818" s="1237"/>
      <c r="D1818" s="1237"/>
      <c r="E1818" s="1237"/>
      <c r="F1818" s="1237"/>
      <c r="G1818" s="1237"/>
      <c r="H1818" s="1237"/>
      <c r="I1818" s="1237"/>
      <c r="J1818" s="1237"/>
      <c r="K1818" s="1237"/>
      <c r="L1818" s="1237"/>
      <c r="M1818" s="2258"/>
      <c r="N1818" s="1540"/>
      <c r="O1818" s="2259"/>
      <c r="P1818" s="2954"/>
      <c r="Q1818" s="1238"/>
      <c r="R1818" s="1239"/>
    </row>
    <row r="1819" spans="1:18" ht="18.75" customHeight="1">
      <c r="A1819" s="2927"/>
      <c r="B1819" s="1237"/>
      <c r="C1819" s="1237"/>
      <c r="D1819" s="1237"/>
      <c r="E1819" s="1237"/>
      <c r="F1819" s="1237"/>
      <c r="G1819" s="1237"/>
      <c r="H1819" s="1237"/>
      <c r="I1819" s="1237"/>
      <c r="J1819" s="1237"/>
      <c r="K1819" s="1237"/>
      <c r="L1819" s="1237"/>
      <c r="M1819" s="2258"/>
      <c r="N1819" s="1540"/>
      <c r="O1819" s="2259"/>
      <c r="P1819" s="2954"/>
      <c r="Q1819" s="1238"/>
      <c r="R1819" s="1239"/>
    </row>
    <row r="1820" spans="1:18" ht="18.75" customHeight="1">
      <c r="A1820" s="2927"/>
      <c r="B1820" s="1237"/>
      <c r="C1820" s="1237"/>
      <c r="D1820" s="1237"/>
      <c r="E1820" s="1237"/>
      <c r="F1820" s="1237"/>
      <c r="G1820" s="1237"/>
      <c r="H1820" s="1237"/>
      <c r="I1820" s="1237"/>
      <c r="J1820" s="2945"/>
      <c r="K1820" s="2945"/>
      <c r="L1820" s="2945"/>
      <c r="M1820" s="2258"/>
      <c r="N1820" s="1540"/>
      <c r="O1820" s="2259"/>
      <c r="P1820" s="2954"/>
      <c r="Q1820" s="1238"/>
      <c r="R1820" s="1239"/>
    </row>
    <row r="1821" spans="1:18" ht="18.75" customHeight="1">
      <c r="A1821" s="2927"/>
      <c r="B1821" s="1237"/>
      <c r="C1821" s="1237"/>
      <c r="D1821" s="1237"/>
      <c r="E1821" s="1237"/>
      <c r="F1821" s="1237"/>
      <c r="G1821" s="1237"/>
      <c r="H1821" s="1237"/>
      <c r="I1821" s="1237"/>
      <c r="J1821" s="1237"/>
      <c r="K1821" s="1237"/>
      <c r="L1821" s="1237"/>
      <c r="M1821" s="2258"/>
      <c r="N1821" s="1540"/>
      <c r="O1821" s="2259"/>
      <c r="P1821" s="2954"/>
      <c r="Q1821" s="1238"/>
      <c r="R1821" s="1239"/>
    </row>
    <row r="1822" spans="1:18" ht="18.75" customHeight="1">
      <c r="A1822" s="2927"/>
      <c r="B1822" s="1237"/>
      <c r="C1822" s="1237"/>
      <c r="D1822" s="1237"/>
      <c r="E1822" s="1237"/>
      <c r="F1822" s="1237"/>
      <c r="G1822" s="1237"/>
      <c r="H1822" s="1237"/>
      <c r="I1822" s="1237"/>
      <c r="J1822" s="1237"/>
      <c r="K1822" s="1237"/>
      <c r="L1822" s="1237"/>
      <c r="M1822" s="2258"/>
      <c r="N1822" s="1540"/>
      <c r="O1822" s="2259"/>
      <c r="P1822" s="2954"/>
      <c r="Q1822" s="1238"/>
      <c r="R1822" s="1239"/>
    </row>
    <row r="1823" spans="1:18" ht="18.75" customHeight="1">
      <c r="A1823" s="2927"/>
      <c r="B1823" s="1237"/>
      <c r="C1823" s="1237"/>
      <c r="D1823" s="1237"/>
      <c r="E1823" s="1237"/>
      <c r="F1823" s="1237"/>
      <c r="G1823" s="1237"/>
      <c r="H1823" s="1237"/>
      <c r="I1823" s="1237"/>
      <c r="J1823" s="1237"/>
      <c r="K1823" s="1237"/>
      <c r="L1823" s="1237"/>
      <c r="M1823" s="2258"/>
      <c r="N1823" s="1540"/>
      <c r="O1823" s="2259"/>
      <c r="P1823" s="2954"/>
      <c r="Q1823" s="1238"/>
      <c r="R1823" s="1239"/>
    </row>
    <row r="1824" spans="1:18" ht="18.75" customHeight="1">
      <c r="A1824" s="2927"/>
      <c r="B1824" s="1237"/>
      <c r="C1824" s="1237"/>
      <c r="D1824" s="1237"/>
      <c r="E1824" s="1237"/>
      <c r="F1824" s="1237"/>
      <c r="G1824" s="1237"/>
      <c r="H1824" s="1237"/>
      <c r="I1824" s="1237"/>
      <c r="J1824" s="1237"/>
      <c r="K1824" s="1237"/>
      <c r="L1824" s="1237"/>
      <c r="M1824" s="2258"/>
      <c r="N1824" s="1540"/>
      <c r="O1824" s="2259"/>
      <c r="P1824" s="2954"/>
      <c r="Q1824" s="1238"/>
      <c r="R1824" s="1239"/>
    </row>
    <row r="1825" spans="1:19" ht="18.75" customHeight="1">
      <c r="A1825" s="2927"/>
      <c r="B1825" s="1237"/>
      <c r="C1825" s="1237"/>
      <c r="D1825" s="1237"/>
      <c r="E1825" s="1237"/>
      <c r="F1825" s="1237"/>
      <c r="G1825" s="1237"/>
      <c r="H1825" s="1237"/>
      <c r="I1825" s="1237"/>
      <c r="J1825" s="2945"/>
      <c r="K1825" s="2945"/>
      <c r="L1825" s="2945"/>
      <c r="M1825" s="2258"/>
      <c r="N1825" s="1540"/>
      <c r="O1825" s="2259"/>
      <c r="P1825" s="2954"/>
      <c r="Q1825" s="1238"/>
      <c r="R1825" s="1239"/>
    </row>
    <row r="1826" spans="1:19" ht="18.75" customHeight="1">
      <c r="A1826" s="2927"/>
      <c r="B1826" s="1237"/>
      <c r="C1826" s="1237"/>
      <c r="D1826" s="1237"/>
      <c r="E1826" s="1237"/>
      <c r="F1826" s="1237"/>
      <c r="G1826" s="1237"/>
      <c r="H1826" s="1237"/>
      <c r="I1826" s="1237"/>
      <c r="J1826" s="1237"/>
      <c r="K1826" s="1237"/>
      <c r="L1826" s="1237"/>
      <c r="M1826" s="2258"/>
      <c r="N1826" s="1540"/>
      <c r="O1826" s="2259"/>
      <c r="P1826" s="2954"/>
      <c r="Q1826" s="1238"/>
      <c r="R1826" s="1239"/>
    </row>
    <row r="1827" spans="1:19" ht="18.75" customHeight="1">
      <c r="A1827" s="2927"/>
      <c r="B1827" s="1237"/>
      <c r="C1827" s="1237"/>
      <c r="D1827" s="1237"/>
      <c r="E1827" s="1237"/>
      <c r="F1827" s="1237"/>
      <c r="G1827" s="1237"/>
      <c r="H1827" s="1237"/>
      <c r="I1827" s="1237"/>
      <c r="J1827" s="1237"/>
      <c r="K1827" s="1237"/>
      <c r="L1827" s="1237"/>
      <c r="M1827" s="2258"/>
      <c r="N1827" s="1540"/>
      <c r="O1827" s="2259"/>
      <c r="P1827" s="2954"/>
      <c r="Q1827" s="1238"/>
      <c r="R1827" s="1239"/>
    </row>
    <row r="1828" spans="1:19" ht="18.75" customHeight="1">
      <c r="A1828" s="2927"/>
      <c r="B1828" s="1237"/>
      <c r="C1828" s="1237"/>
      <c r="D1828" s="1237"/>
      <c r="E1828" s="1237"/>
      <c r="F1828" s="1237"/>
      <c r="G1828" s="1237"/>
      <c r="H1828" s="1237"/>
      <c r="I1828" s="1237"/>
      <c r="J1828" s="1237"/>
      <c r="K1828" s="1237"/>
      <c r="L1828" s="1237"/>
      <c r="M1828" s="2258"/>
      <c r="N1828" s="1540"/>
      <c r="O1828" s="2259"/>
      <c r="P1828" s="2954"/>
      <c r="Q1828" s="1238"/>
      <c r="R1828" s="1239"/>
    </row>
    <row r="1829" spans="1:19" ht="18.75" customHeight="1">
      <c r="A1829" s="2927"/>
      <c r="B1829" s="1237"/>
      <c r="C1829" s="1237"/>
      <c r="D1829" s="1237"/>
      <c r="E1829" s="1237"/>
      <c r="F1829" s="1237"/>
      <c r="G1829" s="1237"/>
      <c r="H1829" s="1237"/>
      <c r="I1829" s="1237"/>
      <c r="J1829" s="1237"/>
      <c r="K1829" s="1237"/>
      <c r="L1829" s="1237"/>
      <c r="M1829" s="2258"/>
      <c r="N1829" s="1540"/>
      <c r="O1829" s="2259"/>
      <c r="P1829" s="2954"/>
      <c r="Q1829" s="1238"/>
      <c r="R1829" s="1239"/>
    </row>
    <row r="1830" spans="1:19" ht="18.75" customHeight="1">
      <c r="A1830" s="2927"/>
      <c r="B1830" s="1237"/>
      <c r="C1830" s="1237"/>
      <c r="D1830" s="1237"/>
      <c r="E1830" s="1237"/>
      <c r="F1830" s="1237"/>
      <c r="G1830" s="1237"/>
      <c r="H1830" s="1237"/>
      <c r="I1830" s="1237"/>
      <c r="J1830" s="1237"/>
      <c r="K1830" s="1237"/>
      <c r="L1830" s="1237"/>
      <c r="M1830" s="2258"/>
      <c r="N1830" s="1540"/>
      <c r="O1830" s="2259"/>
      <c r="P1830" s="2954"/>
      <c r="Q1830" s="1238"/>
      <c r="R1830" s="1239"/>
    </row>
    <row r="1831" spans="1:19" ht="18.75" customHeight="1">
      <c r="A1831" s="2927"/>
      <c r="B1831" s="1237"/>
      <c r="C1831" s="1237"/>
      <c r="D1831" s="1237"/>
      <c r="E1831" s="1237"/>
      <c r="F1831" s="1237"/>
      <c r="G1831" s="1237"/>
      <c r="H1831" s="1237"/>
      <c r="I1831" s="1237"/>
      <c r="J1831" s="1237"/>
      <c r="K1831" s="1237"/>
      <c r="L1831" s="1237"/>
      <c r="M1831" s="2258"/>
      <c r="N1831" s="1540"/>
      <c r="O1831" s="2259"/>
      <c r="P1831" s="2954"/>
      <c r="Q1831" s="1238"/>
      <c r="R1831" s="1239"/>
    </row>
    <row r="1832" spans="1:19" ht="18.75" customHeight="1">
      <c r="A1832" s="2927"/>
      <c r="B1832" s="1237"/>
      <c r="C1832" s="1237"/>
      <c r="D1832" s="1237"/>
      <c r="E1832" s="1237"/>
      <c r="F1832" s="1237"/>
      <c r="G1832" s="1237"/>
      <c r="H1832" s="1237"/>
      <c r="I1832" s="1237"/>
      <c r="J1832" s="1237"/>
      <c r="K1832" s="1237"/>
      <c r="L1832" s="1237"/>
      <c r="M1832" s="2258"/>
      <c r="N1832" s="1540"/>
      <c r="O1832" s="2259"/>
      <c r="P1832" s="2954"/>
      <c r="Q1832" s="1238"/>
      <c r="R1832" s="1239"/>
    </row>
    <row r="1833" spans="1:19" ht="18.75" customHeight="1">
      <c r="A1833" s="2927"/>
      <c r="B1833" s="1237"/>
      <c r="C1833" s="1237"/>
      <c r="D1833" s="1237"/>
      <c r="E1833" s="1237"/>
      <c r="F1833" s="1237"/>
      <c r="G1833" s="1237"/>
      <c r="H1833" s="1237"/>
      <c r="I1833" s="1237"/>
      <c r="J1833" s="1237"/>
      <c r="K1833" s="1237"/>
      <c r="L1833" s="1237"/>
      <c r="M1833" s="2258"/>
      <c r="N1833" s="1540"/>
      <c r="O1833" s="2259"/>
      <c r="P1833" s="2954"/>
      <c r="Q1833" s="1238"/>
      <c r="R1833" s="1239"/>
    </row>
    <row r="1834" spans="1:19" ht="18.75" customHeight="1">
      <c r="A1834" s="2927"/>
      <c r="B1834" s="1237"/>
      <c r="C1834" s="1237"/>
      <c r="D1834" s="1237"/>
      <c r="E1834" s="1237"/>
      <c r="F1834" s="1237"/>
      <c r="G1834" s="1237"/>
      <c r="H1834" s="1237"/>
      <c r="I1834" s="1237"/>
      <c r="J1834" s="1237"/>
      <c r="K1834" s="1237"/>
      <c r="L1834" s="1237"/>
      <c r="M1834" s="2258"/>
      <c r="N1834" s="1540"/>
      <c r="O1834" s="2259"/>
      <c r="P1834" s="2954"/>
      <c r="Q1834" s="1238"/>
      <c r="R1834" s="1239"/>
      <c r="S1834" s="31">
        <v>7</v>
      </c>
    </row>
    <row r="1835" spans="1:19" ht="18.75" customHeight="1">
      <c r="A1835" s="2927"/>
      <c r="B1835" s="1237"/>
      <c r="C1835" s="1237"/>
      <c r="D1835" s="1237"/>
      <c r="E1835" s="1237"/>
      <c r="F1835" s="1237"/>
      <c r="G1835" s="1237"/>
      <c r="H1835" s="1237"/>
      <c r="I1835" s="1237"/>
      <c r="J1835" s="2945"/>
      <c r="K1835" s="2945"/>
      <c r="L1835" s="2945"/>
      <c r="M1835" s="2258"/>
      <c r="N1835" s="1540"/>
      <c r="O1835" s="2259"/>
      <c r="P1835" s="2954"/>
      <c r="Q1835" s="1238"/>
      <c r="R1835" s="1239"/>
    </row>
    <row r="1836" spans="1:19" ht="18.75" customHeight="1">
      <c r="A1836" s="2927"/>
      <c r="B1836" s="1237"/>
      <c r="C1836" s="1237"/>
      <c r="D1836" s="1237"/>
      <c r="E1836" s="1237"/>
      <c r="F1836" s="1237"/>
      <c r="G1836" s="1237"/>
      <c r="H1836" s="1237"/>
      <c r="I1836" s="1237"/>
      <c r="J1836" s="1237"/>
      <c r="K1836" s="1237"/>
      <c r="L1836" s="1237"/>
      <c r="M1836" s="2258"/>
      <c r="N1836" s="1540"/>
      <c r="O1836" s="2259"/>
      <c r="P1836" s="2954"/>
      <c r="Q1836" s="1238"/>
      <c r="R1836" s="1239"/>
    </row>
    <row r="1837" spans="1:19" ht="18.75" customHeight="1">
      <c r="A1837" s="2927"/>
      <c r="B1837" s="1237"/>
      <c r="C1837" s="1237"/>
      <c r="D1837" s="1237"/>
      <c r="E1837" s="1237"/>
      <c r="F1837" s="1237"/>
      <c r="G1837" s="1237"/>
      <c r="H1837" s="1237"/>
      <c r="I1837" s="1237"/>
      <c r="J1837" s="1237"/>
      <c r="K1837" s="1237"/>
      <c r="L1837" s="1237"/>
      <c r="M1837" s="2258"/>
      <c r="N1837" s="1540"/>
      <c r="O1837" s="2259"/>
      <c r="P1837" s="2954"/>
      <c r="Q1837" s="1238"/>
      <c r="R1837" s="1239"/>
    </row>
    <row r="1838" spans="1:19" ht="18.75" customHeight="1">
      <c r="A1838" s="2927"/>
      <c r="B1838" s="1237"/>
      <c r="C1838" s="1237"/>
      <c r="D1838" s="1237"/>
      <c r="E1838" s="1237"/>
      <c r="F1838" s="1237"/>
      <c r="G1838" s="1237"/>
      <c r="H1838" s="1237"/>
      <c r="I1838" s="1237"/>
      <c r="J1838" s="1237"/>
      <c r="K1838" s="1237"/>
      <c r="L1838" s="1237"/>
      <c r="M1838" s="2258"/>
      <c r="N1838" s="1540"/>
      <c r="O1838" s="2259"/>
      <c r="P1838" s="2954"/>
      <c r="Q1838" s="1238"/>
      <c r="R1838" s="1239"/>
    </row>
    <row r="1839" spans="1:19" ht="18.75" customHeight="1">
      <c r="A1839" s="2927"/>
      <c r="B1839" s="1237"/>
      <c r="C1839" s="1237"/>
      <c r="D1839" s="1237"/>
      <c r="E1839" s="1237"/>
      <c r="F1839" s="1237"/>
      <c r="G1839" s="1237"/>
      <c r="H1839" s="1237"/>
      <c r="I1839" s="1237"/>
      <c r="J1839" s="1237"/>
      <c r="K1839" s="1237"/>
      <c r="L1839" s="1237"/>
      <c r="M1839" s="2258"/>
      <c r="N1839" s="1540"/>
      <c r="O1839" s="2259"/>
      <c r="P1839" s="2954"/>
      <c r="Q1839" s="1238"/>
      <c r="R1839" s="1239"/>
    </row>
    <row r="1840" spans="1:19" ht="18.75" customHeight="1">
      <c r="A1840" s="2927"/>
      <c r="B1840" s="1237"/>
      <c r="C1840" s="1237"/>
      <c r="D1840" s="1237"/>
      <c r="E1840" s="1237"/>
      <c r="F1840" s="1237"/>
      <c r="G1840" s="1237"/>
      <c r="H1840" s="1237"/>
      <c r="I1840" s="1237"/>
      <c r="J1840" s="2945"/>
      <c r="K1840" s="2945"/>
      <c r="L1840" s="2945"/>
      <c r="M1840" s="2258"/>
      <c r="N1840" s="1540"/>
      <c r="O1840" s="2259"/>
      <c r="P1840" s="2954"/>
      <c r="Q1840" s="1238"/>
      <c r="R1840" s="1239"/>
    </row>
    <row r="1841" spans="1:18" ht="18.75" customHeight="1">
      <c r="A1841" s="2927"/>
      <c r="B1841" s="1237"/>
      <c r="C1841" s="1237"/>
      <c r="D1841" s="1237"/>
      <c r="E1841" s="1237"/>
      <c r="F1841" s="1237"/>
      <c r="G1841" s="1237"/>
      <c r="H1841" s="1237"/>
      <c r="I1841" s="1237"/>
      <c r="J1841" s="1237"/>
      <c r="K1841" s="1237"/>
      <c r="L1841" s="1237"/>
      <c r="M1841" s="2258"/>
      <c r="N1841" s="1540"/>
      <c r="O1841" s="2259"/>
      <c r="P1841" s="2954"/>
      <c r="Q1841" s="1238"/>
      <c r="R1841" s="1239"/>
    </row>
    <row r="1842" spans="1:18" ht="18.75" customHeight="1">
      <c r="A1842" s="2927"/>
      <c r="B1842" s="1237"/>
      <c r="C1842" s="1237"/>
      <c r="D1842" s="1237"/>
      <c r="E1842" s="1237"/>
      <c r="F1842" s="1237"/>
      <c r="G1842" s="1237"/>
      <c r="H1842" s="1237"/>
      <c r="I1842" s="1237"/>
      <c r="J1842" s="1237"/>
      <c r="K1842" s="1237"/>
      <c r="L1842" s="1237"/>
      <c r="M1842" s="2258"/>
      <c r="N1842" s="1540"/>
      <c r="O1842" s="2259"/>
      <c r="P1842" s="2954"/>
      <c r="Q1842" s="1238"/>
      <c r="R1842" s="1239"/>
    </row>
    <row r="1843" spans="1:18" ht="18.75" customHeight="1">
      <c r="A1843" s="2927"/>
      <c r="B1843" s="1237"/>
      <c r="C1843" s="1237"/>
      <c r="D1843" s="1237"/>
      <c r="E1843" s="1237"/>
      <c r="F1843" s="1237"/>
      <c r="G1843" s="1237"/>
      <c r="H1843" s="1237"/>
      <c r="I1843" s="1237"/>
      <c r="J1843" s="1237"/>
      <c r="K1843" s="1237"/>
      <c r="L1843" s="1237"/>
      <c r="M1843" s="1237"/>
      <c r="N1843" s="1574"/>
      <c r="O1843" s="2024"/>
      <c r="P1843" s="2946"/>
      <c r="Q1843" s="1238"/>
      <c r="R1843" s="1239"/>
    </row>
    <row r="1844" spans="1:18" ht="18.75" customHeight="1">
      <c r="A1844" s="2927"/>
      <c r="B1844" s="1237"/>
      <c r="C1844" s="1237"/>
      <c r="D1844" s="1237"/>
      <c r="E1844" s="1237"/>
      <c r="F1844" s="1237"/>
      <c r="G1844" s="1237"/>
      <c r="H1844" s="1237"/>
      <c r="I1844" s="1237"/>
      <c r="J1844" s="2945"/>
      <c r="K1844" s="2945"/>
      <c r="L1844" s="2945"/>
      <c r="M1844" s="1237"/>
      <c r="N1844" s="1237"/>
      <c r="O1844" s="2024"/>
      <c r="P1844" s="2947"/>
      <c r="Q1844" s="1238"/>
      <c r="R1844" s="1239"/>
    </row>
    <row r="1845" spans="1:18" ht="18.75" customHeight="1">
      <c r="A1845" s="2927"/>
      <c r="B1845" s="1237"/>
      <c r="C1845" s="1237"/>
      <c r="D1845" s="1237"/>
      <c r="E1845" s="1237"/>
      <c r="F1845" s="1237"/>
      <c r="G1845" s="1237"/>
      <c r="H1845" s="1237"/>
      <c r="I1845" s="1237"/>
      <c r="J1845" s="1237"/>
      <c r="K1845" s="1237"/>
      <c r="L1845" s="1237"/>
      <c r="M1845" s="1237"/>
      <c r="N1845" s="1237"/>
      <c r="O1845" s="2024"/>
      <c r="P1845" s="2947"/>
      <c r="Q1845" s="1238"/>
      <c r="R1845" s="1239"/>
    </row>
    <row r="1846" spans="1:18" ht="18.75" customHeight="1">
      <c r="A1846" s="2927"/>
      <c r="B1846" s="1237"/>
      <c r="C1846" s="1237"/>
      <c r="D1846" s="1237"/>
      <c r="E1846" s="1237"/>
      <c r="F1846" s="1237"/>
      <c r="G1846" s="1237"/>
      <c r="H1846" s="1237"/>
      <c r="I1846" s="1237"/>
      <c r="J1846" s="1237"/>
      <c r="K1846" s="1237"/>
      <c r="L1846" s="1237"/>
      <c r="M1846" s="1237"/>
      <c r="N1846" s="1237"/>
      <c r="O1846" s="2024"/>
      <c r="P1846" s="2947"/>
      <c r="Q1846" s="1238"/>
      <c r="R1846" s="1239"/>
    </row>
    <row r="1847" spans="1:18" ht="18.75" customHeight="1">
      <c r="A1847" s="2927"/>
      <c r="B1847" s="1237"/>
      <c r="C1847" s="1237"/>
      <c r="D1847" s="1237"/>
      <c r="E1847" s="1237"/>
      <c r="F1847" s="1237"/>
      <c r="G1847" s="1237"/>
      <c r="H1847" s="1237"/>
      <c r="I1847" s="1237"/>
      <c r="J1847" s="1237"/>
      <c r="K1847" s="1237"/>
      <c r="L1847" s="1237"/>
      <c r="M1847" s="1237"/>
      <c r="N1847" s="1237"/>
      <c r="O1847" s="2024"/>
      <c r="P1847" s="2948"/>
      <c r="Q1847" s="1238"/>
      <c r="R1847" s="1239"/>
    </row>
    <row r="1848" spans="1:18" ht="18.75" customHeight="1">
      <c r="A1848" s="2927"/>
      <c r="B1848" s="1237"/>
      <c r="C1848" s="1237"/>
      <c r="D1848" s="1237"/>
      <c r="E1848" s="1237"/>
      <c r="F1848" s="1237"/>
      <c r="G1848" s="1237"/>
      <c r="H1848" s="1237"/>
      <c r="I1848" s="1237"/>
      <c r="J1848" s="1237"/>
      <c r="K1848" s="1237"/>
      <c r="L1848" s="1237"/>
      <c r="M1848" s="1237"/>
      <c r="N1848" s="1237"/>
      <c r="O1848" s="2024"/>
      <c r="P1848" s="2946"/>
      <c r="Q1848" s="1238"/>
      <c r="R1848" s="1239"/>
    </row>
    <row r="1849" spans="1:18" ht="18.75" customHeight="1">
      <c r="A1849" s="2927"/>
      <c r="B1849" s="1237"/>
      <c r="C1849" s="1237"/>
      <c r="D1849" s="1237"/>
      <c r="E1849" s="1237"/>
      <c r="F1849" s="1237"/>
      <c r="G1849" s="1237"/>
      <c r="H1849" s="1237"/>
      <c r="I1849" s="1237"/>
      <c r="J1849" s="2945"/>
      <c r="K1849" s="2945"/>
      <c r="L1849" s="2945"/>
      <c r="M1849" s="1237"/>
      <c r="N1849" s="1237"/>
      <c r="O1849" s="2024"/>
      <c r="P1849" s="2947"/>
      <c r="Q1849" s="1238"/>
      <c r="R1849" s="1239"/>
    </row>
    <row r="1850" spans="1:18" ht="18.75" customHeight="1">
      <c r="A1850" s="2927"/>
      <c r="B1850" s="1237"/>
      <c r="C1850" s="1237"/>
      <c r="D1850" s="1237"/>
      <c r="E1850" s="1237"/>
      <c r="F1850" s="1237"/>
      <c r="G1850" s="1237"/>
      <c r="H1850" s="1237"/>
      <c r="I1850" s="1237"/>
      <c r="J1850" s="1237"/>
      <c r="K1850" s="1237"/>
      <c r="L1850" s="1237"/>
      <c r="M1850" s="1237"/>
      <c r="N1850" s="1237"/>
      <c r="O1850" s="2024"/>
      <c r="P1850" s="2947"/>
      <c r="Q1850" s="1238"/>
      <c r="R1850" s="1239"/>
    </row>
    <row r="1851" spans="1:18" ht="18.75" customHeight="1">
      <c r="A1851" s="2927"/>
      <c r="B1851" s="1237"/>
      <c r="C1851" s="1237"/>
      <c r="D1851" s="1237"/>
      <c r="E1851" s="1237"/>
      <c r="F1851" s="1237"/>
      <c r="G1851" s="1237"/>
      <c r="H1851" s="1237"/>
      <c r="I1851" s="1237"/>
      <c r="J1851" s="1237"/>
      <c r="K1851" s="1237"/>
      <c r="L1851" s="1237"/>
      <c r="M1851" s="1237"/>
      <c r="N1851" s="1237"/>
      <c r="O1851" s="2024"/>
      <c r="P1851" s="2947"/>
      <c r="Q1851" s="1238"/>
      <c r="R1851" s="1239"/>
    </row>
    <row r="1852" spans="1:18" ht="18.75" customHeight="1">
      <c r="A1852" s="2927"/>
      <c r="B1852" s="1237"/>
      <c r="C1852" s="1237"/>
      <c r="D1852" s="1237"/>
      <c r="E1852" s="1237"/>
      <c r="F1852" s="1237"/>
      <c r="G1852" s="1237"/>
      <c r="H1852" s="1237"/>
      <c r="I1852" s="1237"/>
      <c r="J1852" s="1237"/>
      <c r="K1852" s="1237"/>
      <c r="L1852" s="1237"/>
      <c r="M1852" s="1237"/>
      <c r="N1852" s="1237"/>
      <c r="O1852" s="2024"/>
      <c r="P1852" s="2947"/>
      <c r="Q1852" s="1238"/>
      <c r="R1852" s="1239"/>
    </row>
    <row r="1853" spans="1:18" ht="18.75" customHeight="1">
      <c r="A1853" s="2927"/>
      <c r="B1853" s="1237"/>
      <c r="C1853" s="1237"/>
      <c r="D1853" s="1237"/>
      <c r="E1853" s="1237"/>
      <c r="F1853" s="1237"/>
      <c r="G1853" s="1237"/>
      <c r="H1853" s="1237"/>
      <c r="I1853" s="1237"/>
      <c r="J1853" s="1237"/>
      <c r="K1853" s="1237"/>
      <c r="L1853" s="1237"/>
      <c r="M1853" s="1237"/>
      <c r="N1853" s="1237"/>
      <c r="O1853" s="2024"/>
      <c r="P1853" s="2948"/>
      <c r="Q1853" s="1238"/>
      <c r="R1853" s="1239"/>
    </row>
    <row r="1854" spans="1:18" ht="18.75" customHeight="1">
      <c r="A1854" s="2927"/>
      <c r="B1854" s="1237"/>
      <c r="C1854" s="1237"/>
      <c r="D1854" s="1237"/>
      <c r="E1854" s="1237"/>
      <c r="F1854" s="1237"/>
      <c r="G1854" s="1237"/>
      <c r="H1854" s="1237"/>
      <c r="I1854" s="1237"/>
      <c r="J1854" s="1237"/>
      <c r="K1854" s="1237"/>
      <c r="L1854" s="1237"/>
      <c r="M1854" s="1237"/>
      <c r="N1854" s="1237"/>
      <c r="O1854" s="2024"/>
      <c r="P1854" s="2946"/>
      <c r="Q1854" s="1238"/>
      <c r="R1854" s="1239"/>
    </row>
    <row r="1855" spans="1:18" ht="18.75" customHeight="1">
      <c r="A1855" s="2927"/>
      <c r="B1855" s="1237"/>
      <c r="C1855" s="1237"/>
      <c r="D1855" s="1237"/>
      <c r="E1855" s="1237"/>
      <c r="F1855" s="1237"/>
      <c r="G1855" s="1237"/>
      <c r="H1855" s="1237"/>
      <c r="I1855" s="1237"/>
      <c r="J1855" s="1237"/>
      <c r="K1855" s="1237"/>
      <c r="L1855" s="1237"/>
      <c r="M1855" s="1237"/>
      <c r="N1855" s="1237"/>
      <c r="O1855" s="2024"/>
      <c r="P1855" s="2947"/>
      <c r="Q1855" s="1238"/>
      <c r="R1855" s="1239"/>
    </row>
    <row r="1856" spans="1:18" ht="18.75" customHeight="1">
      <c r="A1856" s="2927"/>
      <c r="B1856" s="1237"/>
      <c r="C1856" s="1237"/>
      <c r="D1856" s="1237"/>
      <c r="E1856" s="1237"/>
      <c r="F1856" s="1237"/>
      <c r="G1856" s="1237"/>
      <c r="H1856" s="1237"/>
      <c r="I1856" s="1237"/>
      <c r="J1856" s="1237"/>
      <c r="K1856" s="1237"/>
      <c r="L1856" s="1237"/>
      <c r="M1856" s="1237"/>
      <c r="N1856" s="1237"/>
      <c r="O1856" s="2024"/>
      <c r="P1856" s="2947"/>
      <c r="Q1856" s="1238"/>
      <c r="R1856" s="1239"/>
    </row>
    <row r="1857" spans="1:18" ht="18.75" customHeight="1">
      <c r="A1857" s="2927"/>
      <c r="B1857" s="1237"/>
      <c r="C1857" s="1237"/>
      <c r="D1857" s="1237"/>
      <c r="E1857" s="1237"/>
      <c r="F1857" s="1237"/>
      <c r="G1857" s="1237"/>
      <c r="H1857" s="1237"/>
      <c r="I1857" s="1237"/>
      <c r="J1857" s="1237"/>
      <c r="K1857" s="1237"/>
      <c r="L1857" s="1237"/>
      <c r="M1857" s="1237"/>
      <c r="N1857" s="1237"/>
      <c r="O1857" s="2024"/>
      <c r="P1857" s="2948"/>
      <c r="Q1857" s="1238"/>
      <c r="R1857" s="1239"/>
    </row>
    <row r="1858" spans="1:18" ht="18.75" customHeight="1">
      <c r="A1858" s="2927"/>
      <c r="B1858" s="1237"/>
      <c r="C1858" s="1237"/>
      <c r="D1858" s="1237"/>
      <c r="E1858" s="1237"/>
      <c r="F1858" s="1237"/>
      <c r="G1858" s="1237"/>
      <c r="H1858" s="1237"/>
      <c r="I1858" s="1237"/>
      <c r="J1858" s="1237"/>
      <c r="K1858" s="1237"/>
      <c r="L1858" s="1237"/>
      <c r="M1858" s="1237"/>
      <c r="N1858" s="1237"/>
      <c r="O1858" s="2024"/>
      <c r="P1858" s="2946"/>
      <c r="Q1858" s="1238"/>
      <c r="R1858" s="1239"/>
    </row>
    <row r="1859" spans="1:18" ht="18.75" customHeight="1">
      <c r="A1859" s="2927"/>
      <c r="B1859" s="1237"/>
      <c r="C1859" s="1237"/>
      <c r="D1859" s="1237"/>
      <c r="E1859" s="1237"/>
      <c r="F1859" s="1237"/>
      <c r="G1859" s="1237"/>
      <c r="H1859" s="1237"/>
      <c r="I1859" s="1237"/>
      <c r="J1859" s="2945"/>
      <c r="K1859" s="2945"/>
      <c r="L1859" s="2945"/>
      <c r="M1859" s="1237"/>
      <c r="N1859" s="1237"/>
      <c r="O1859" s="2024"/>
      <c r="P1859" s="2947"/>
      <c r="Q1859" s="1238"/>
      <c r="R1859" s="1239"/>
    </row>
    <row r="1860" spans="1:18" ht="18.75" customHeight="1">
      <c r="A1860" s="2927"/>
      <c r="B1860" s="1237"/>
      <c r="C1860" s="1237"/>
      <c r="D1860" s="1237"/>
      <c r="E1860" s="1237"/>
      <c r="F1860" s="1237"/>
      <c r="G1860" s="1237"/>
      <c r="H1860" s="1237"/>
      <c r="I1860" s="1237"/>
      <c r="J1860" s="1237"/>
      <c r="K1860" s="1237"/>
      <c r="L1860" s="1237"/>
      <c r="M1860" s="1237"/>
      <c r="N1860" s="1237"/>
      <c r="O1860" s="2024"/>
      <c r="P1860" s="2947"/>
      <c r="Q1860" s="1238"/>
      <c r="R1860" s="1239"/>
    </row>
    <row r="1861" spans="1:18" ht="18.75" customHeight="1">
      <c r="A1861" s="2927"/>
      <c r="B1861" s="1237"/>
      <c r="C1861" s="1237"/>
      <c r="D1861" s="1237"/>
      <c r="E1861" s="1237"/>
      <c r="F1861" s="1237"/>
      <c r="G1861" s="1237"/>
      <c r="H1861" s="1237"/>
      <c r="I1861" s="1237"/>
      <c r="J1861" s="1237"/>
      <c r="K1861" s="1237"/>
      <c r="L1861" s="1237"/>
      <c r="M1861" s="1237"/>
      <c r="N1861" s="1237"/>
      <c r="O1861" s="2024"/>
      <c r="P1861" s="2947"/>
      <c r="Q1861" s="1238"/>
      <c r="R1861" s="1239"/>
    </row>
    <row r="1862" spans="1:18" ht="18.75" customHeight="1">
      <c r="A1862" s="2927"/>
      <c r="B1862" s="1237"/>
      <c r="C1862" s="1237"/>
      <c r="D1862" s="1237"/>
      <c r="E1862" s="1237"/>
      <c r="F1862" s="1237"/>
      <c r="G1862" s="1237"/>
      <c r="H1862" s="1237"/>
      <c r="I1862" s="1237"/>
      <c r="J1862" s="1237"/>
      <c r="K1862" s="1237"/>
      <c r="L1862" s="1237"/>
      <c r="M1862" s="1237"/>
      <c r="N1862" s="1237"/>
      <c r="O1862" s="2024"/>
      <c r="P1862" s="2947"/>
      <c r="Q1862" s="1238"/>
      <c r="R1862" s="1239"/>
    </row>
    <row r="1863" spans="1:18" ht="18.75" customHeight="1">
      <c r="A1863" s="2927"/>
      <c r="B1863" s="1237"/>
      <c r="C1863" s="1237"/>
      <c r="D1863" s="1237"/>
      <c r="E1863" s="1237"/>
      <c r="F1863" s="1237"/>
      <c r="G1863" s="1237"/>
      <c r="H1863" s="1237"/>
      <c r="I1863" s="1237"/>
      <c r="J1863" s="1237"/>
      <c r="K1863" s="1237"/>
      <c r="L1863" s="1237"/>
      <c r="M1863" s="1237"/>
      <c r="N1863" s="1237"/>
      <c r="O1863" s="2024"/>
      <c r="P1863" s="2947"/>
      <c r="Q1863" s="1238"/>
      <c r="R1863" s="1239"/>
    </row>
    <row r="1864" spans="1:18" ht="18.75" customHeight="1">
      <c r="A1864" s="2927"/>
      <c r="B1864" s="1237"/>
      <c r="C1864" s="1237"/>
      <c r="D1864" s="1237"/>
      <c r="E1864" s="1237"/>
      <c r="F1864" s="1237"/>
      <c r="G1864" s="1237"/>
      <c r="H1864" s="1237"/>
      <c r="I1864" s="1237"/>
      <c r="J1864" s="2945"/>
      <c r="K1864" s="2945"/>
      <c r="L1864" s="2945"/>
      <c r="M1864" s="1237"/>
      <c r="N1864" s="1237"/>
      <c r="O1864" s="2261"/>
      <c r="P1864" s="2947"/>
      <c r="Q1864" s="1238"/>
      <c r="R1864" s="1239"/>
    </row>
    <row r="1865" spans="1:18" ht="18.75" customHeight="1">
      <c r="A1865" s="2927"/>
      <c r="B1865" s="1237"/>
      <c r="C1865" s="1237"/>
      <c r="D1865" s="1237"/>
      <c r="E1865" s="1237"/>
      <c r="F1865" s="1237"/>
      <c r="G1865" s="1237"/>
      <c r="H1865" s="1237"/>
      <c r="I1865" s="1237"/>
      <c r="J1865" s="1237"/>
      <c r="K1865" s="1237"/>
      <c r="L1865" s="1237"/>
      <c r="M1865" s="1237"/>
      <c r="N1865" s="1237"/>
      <c r="O1865" s="2024"/>
      <c r="P1865" s="2947"/>
      <c r="Q1865" s="1238"/>
      <c r="R1865" s="1239"/>
    </row>
    <row r="1866" spans="1:18" ht="18.75" customHeight="1">
      <c r="A1866" s="2927"/>
      <c r="B1866" s="1237"/>
      <c r="C1866" s="1237"/>
      <c r="D1866" s="1237"/>
      <c r="E1866" s="1237"/>
      <c r="F1866" s="1237"/>
      <c r="G1866" s="1237"/>
      <c r="H1866" s="1237"/>
      <c r="I1866" s="1237"/>
      <c r="J1866" s="1237"/>
      <c r="K1866" s="1237"/>
      <c r="L1866" s="1237"/>
      <c r="M1866" s="1237"/>
      <c r="N1866" s="1237"/>
      <c r="O1866" s="2024"/>
      <c r="P1866" s="2947"/>
      <c r="Q1866" s="1238"/>
      <c r="R1866" s="1239"/>
    </row>
    <row r="1867" spans="1:18" ht="18.75" customHeight="1">
      <c r="A1867" s="2927"/>
      <c r="B1867" s="1237"/>
      <c r="C1867" s="1237"/>
      <c r="D1867" s="1237"/>
      <c r="E1867" s="1237"/>
      <c r="F1867" s="1237"/>
      <c r="G1867" s="1237"/>
      <c r="H1867" s="1237"/>
      <c r="I1867" s="1237"/>
      <c r="J1867" s="1237"/>
      <c r="K1867" s="1237"/>
      <c r="L1867" s="1237"/>
      <c r="M1867" s="1237"/>
      <c r="N1867" s="1237"/>
      <c r="O1867" s="2024"/>
      <c r="P1867" s="2948"/>
      <c r="Q1867" s="1238"/>
      <c r="R1867" s="1239"/>
    </row>
    <row r="1868" spans="1:18" ht="18.75" customHeight="1">
      <c r="A1868" s="2927"/>
      <c r="B1868" s="1237"/>
      <c r="C1868" s="1237"/>
      <c r="D1868" s="1237"/>
      <c r="E1868" s="1237"/>
      <c r="F1868" s="1237"/>
      <c r="G1868" s="1237"/>
      <c r="H1868" s="1237"/>
      <c r="I1868" s="1237"/>
      <c r="J1868" s="1237"/>
      <c r="K1868" s="1237"/>
      <c r="L1868" s="1237"/>
      <c r="M1868" s="1237"/>
      <c r="N1868" s="1237"/>
      <c r="O1868" s="2024"/>
      <c r="P1868" s="2946"/>
      <c r="Q1868" s="1238"/>
      <c r="R1868" s="1239"/>
    </row>
    <row r="1869" spans="1:18" ht="18.75" customHeight="1">
      <c r="A1869" s="2927"/>
      <c r="B1869" s="1237"/>
      <c r="C1869" s="1237"/>
      <c r="D1869" s="1237"/>
      <c r="E1869" s="1237"/>
      <c r="F1869" s="1237"/>
      <c r="G1869" s="1237"/>
      <c r="H1869" s="1237"/>
      <c r="I1869" s="1237"/>
      <c r="J1869" s="2945"/>
      <c r="K1869" s="2945"/>
      <c r="L1869" s="2945"/>
      <c r="M1869" s="1237"/>
      <c r="N1869" s="1237"/>
      <c r="O1869" s="2024"/>
      <c r="P1869" s="2947"/>
      <c r="Q1869" s="1238"/>
      <c r="R1869" s="1239"/>
    </row>
    <row r="1870" spans="1:18" ht="18.75" customHeight="1">
      <c r="A1870" s="2927"/>
      <c r="B1870" s="1237"/>
      <c r="C1870" s="1237"/>
      <c r="D1870" s="1237"/>
      <c r="E1870" s="1237"/>
      <c r="F1870" s="1237"/>
      <c r="G1870" s="1237"/>
      <c r="H1870" s="1237"/>
      <c r="I1870" s="1237"/>
      <c r="J1870" s="1237"/>
      <c r="K1870" s="1237"/>
      <c r="L1870" s="1237"/>
      <c r="M1870" s="1237"/>
      <c r="N1870" s="1237"/>
      <c r="O1870" s="2024"/>
      <c r="P1870" s="2947"/>
      <c r="Q1870" s="1238"/>
      <c r="R1870" s="1239"/>
    </row>
    <row r="1871" spans="1:18" ht="18.75" customHeight="1">
      <c r="A1871" s="2927"/>
      <c r="B1871" s="1237"/>
      <c r="C1871" s="1237"/>
      <c r="D1871" s="1237"/>
      <c r="E1871" s="1237"/>
      <c r="F1871" s="1237"/>
      <c r="G1871" s="1237"/>
      <c r="H1871" s="1237"/>
      <c r="I1871" s="1237"/>
      <c r="J1871" s="1237"/>
      <c r="K1871" s="1237"/>
      <c r="L1871" s="1237"/>
      <c r="M1871" s="1237"/>
      <c r="N1871" s="1237"/>
      <c r="O1871" s="2024"/>
      <c r="P1871" s="2947"/>
      <c r="Q1871" s="1238"/>
      <c r="R1871" s="1239"/>
    </row>
    <row r="1872" spans="1:18" ht="18.75" customHeight="1">
      <c r="A1872" s="2927"/>
      <c r="B1872" s="1237"/>
      <c r="C1872" s="1237"/>
      <c r="D1872" s="1237"/>
      <c r="E1872" s="1237"/>
      <c r="F1872" s="1237"/>
      <c r="G1872" s="1237"/>
      <c r="H1872" s="1237"/>
      <c r="I1872" s="1237"/>
      <c r="J1872" s="1237"/>
      <c r="K1872" s="1237"/>
      <c r="L1872" s="1237"/>
      <c r="M1872" s="1237"/>
      <c r="N1872" s="1237"/>
      <c r="O1872" s="2024"/>
      <c r="P1872" s="2947"/>
      <c r="Q1872" s="1238"/>
      <c r="R1872" s="1239"/>
    </row>
    <row r="1873" spans="1:18" ht="18.75" customHeight="1">
      <c r="A1873" s="2927"/>
      <c r="B1873" s="1237"/>
      <c r="C1873" s="1237"/>
      <c r="D1873" s="1237"/>
      <c r="E1873" s="1237"/>
      <c r="F1873" s="1237"/>
      <c r="G1873" s="1237"/>
      <c r="H1873" s="1237"/>
      <c r="I1873" s="1237"/>
      <c r="J1873" s="1237"/>
      <c r="K1873" s="1237"/>
      <c r="L1873" s="1237"/>
      <c r="M1873" s="1237"/>
      <c r="N1873" s="1237"/>
      <c r="O1873" s="2024"/>
      <c r="P1873" s="2947"/>
      <c r="Q1873" s="1238"/>
      <c r="R1873" s="1239"/>
    </row>
    <row r="1874" spans="1:18" ht="18.75" customHeight="1">
      <c r="A1874" s="2927"/>
      <c r="B1874" s="1237"/>
      <c r="C1874" s="1237"/>
      <c r="D1874" s="1237"/>
      <c r="E1874" s="1237"/>
      <c r="F1874" s="1237"/>
      <c r="G1874" s="1237"/>
      <c r="H1874" s="1237"/>
      <c r="I1874" s="1237"/>
      <c r="J1874" s="1237"/>
      <c r="K1874" s="1237"/>
      <c r="L1874" s="1237"/>
      <c r="M1874" s="1237"/>
      <c r="N1874" s="1237"/>
      <c r="O1874" s="2024"/>
      <c r="P1874" s="2947"/>
      <c r="Q1874" s="1238"/>
      <c r="R1874" s="1239"/>
    </row>
    <row r="1875" spans="1:18" ht="18.75" customHeight="1">
      <c r="A1875" s="2927"/>
      <c r="B1875" s="1237"/>
      <c r="C1875" s="1237"/>
      <c r="D1875" s="1237"/>
      <c r="E1875" s="1237"/>
      <c r="F1875" s="1237"/>
      <c r="G1875" s="1237"/>
      <c r="H1875" s="1237"/>
      <c r="I1875" s="1237"/>
      <c r="J1875" s="1237"/>
      <c r="K1875" s="1237"/>
      <c r="L1875" s="1237"/>
      <c r="M1875" s="1237"/>
      <c r="N1875" s="1237"/>
      <c r="O1875" s="2024"/>
      <c r="P1875" s="2947"/>
      <c r="Q1875" s="1238"/>
      <c r="R1875" s="1239"/>
    </row>
    <row r="1876" spans="1:18" ht="18.75" customHeight="1">
      <c r="A1876" s="2927"/>
      <c r="B1876" s="1237"/>
      <c r="C1876" s="1237"/>
      <c r="D1876" s="1237"/>
      <c r="E1876" s="1237"/>
      <c r="F1876" s="1237"/>
      <c r="G1876" s="1237"/>
      <c r="H1876" s="1237"/>
      <c r="I1876" s="1237"/>
      <c r="J1876" s="1237"/>
      <c r="K1876" s="1237"/>
      <c r="L1876" s="1237"/>
      <c r="M1876" s="1237"/>
      <c r="N1876" s="1237"/>
      <c r="O1876" s="2024"/>
      <c r="P1876" s="2947"/>
      <c r="Q1876" s="1238"/>
      <c r="R1876" s="1239"/>
    </row>
    <row r="1877" spans="1:18" ht="18.75" customHeight="1">
      <c r="A1877" s="2927"/>
      <c r="B1877" s="1237"/>
      <c r="C1877" s="1237"/>
      <c r="D1877" s="1237"/>
      <c r="E1877" s="1237"/>
      <c r="F1877" s="1237"/>
      <c r="G1877" s="1237"/>
      <c r="H1877" s="1237"/>
      <c r="I1877" s="1237"/>
      <c r="J1877" s="1237"/>
      <c r="K1877" s="1237"/>
      <c r="L1877" s="1237"/>
      <c r="M1877" s="1237"/>
      <c r="N1877" s="1237"/>
      <c r="O1877" s="2024"/>
      <c r="P1877" s="2947"/>
      <c r="Q1877" s="1238"/>
      <c r="R1877" s="1239"/>
    </row>
    <row r="1878" spans="1:18" ht="18.75" customHeight="1">
      <c r="A1878" s="2927"/>
      <c r="B1878" s="1237"/>
      <c r="C1878" s="1237"/>
      <c r="D1878" s="1237"/>
      <c r="E1878" s="1237"/>
      <c r="F1878" s="1237"/>
      <c r="G1878" s="1237"/>
      <c r="H1878" s="1237"/>
      <c r="I1878" s="1237"/>
      <c r="J1878" s="1237"/>
      <c r="K1878" s="1237"/>
      <c r="L1878" s="1237"/>
      <c r="M1878" s="1237"/>
      <c r="N1878" s="1237"/>
      <c r="O1878" s="2024"/>
      <c r="P1878" s="2947"/>
      <c r="Q1878" s="1238"/>
      <c r="R1878" s="1239"/>
    </row>
    <row r="1879" spans="1:18" ht="18.75" customHeight="1">
      <c r="A1879" s="2927"/>
      <c r="B1879" s="1237"/>
      <c r="C1879" s="1237"/>
      <c r="D1879" s="1237"/>
      <c r="E1879" s="1237"/>
      <c r="F1879" s="1237"/>
      <c r="G1879" s="1237"/>
      <c r="H1879" s="1237"/>
      <c r="I1879" s="1237"/>
      <c r="J1879" s="2945"/>
      <c r="K1879" s="2945"/>
      <c r="L1879" s="2945"/>
      <c r="M1879" s="1237"/>
      <c r="N1879" s="1237"/>
      <c r="O1879" s="2024"/>
      <c r="P1879" s="2947"/>
      <c r="Q1879" s="1238"/>
      <c r="R1879" s="1239"/>
    </row>
    <row r="1880" spans="1:18" ht="18.75" customHeight="1">
      <c r="A1880" s="2927"/>
      <c r="B1880" s="1237"/>
      <c r="C1880" s="1237"/>
      <c r="D1880" s="1237"/>
      <c r="E1880" s="1237"/>
      <c r="F1880" s="1237"/>
      <c r="G1880" s="1237"/>
      <c r="H1880" s="1237"/>
      <c r="I1880" s="1237"/>
      <c r="J1880" s="1237"/>
      <c r="K1880" s="1237"/>
      <c r="L1880" s="1237"/>
      <c r="M1880" s="1237"/>
      <c r="N1880" s="1237"/>
      <c r="O1880" s="2024"/>
      <c r="P1880" s="2948"/>
      <c r="Q1880" s="1238"/>
      <c r="R1880" s="1239"/>
    </row>
    <row r="1881" spans="1:18" ht="18.75" customHeight="1">
      <c r="A1881" s="2927"/>
      <c r="B1881" s="1237"/>
      <c r="C1881" s="1237"/>
      <c r="D1881" s="1237"/>
      <c r="E1881" s="1237"/>
      <c r="F1881" s="1237"/>
      <c r="G1881" s="1237"/>
      <c r="H1881" s="1237"/>
      <c r="I1881" s="1237"/>
      <c r="J1881" s="1237"/>
      <c r="K1881" s="1237"/>
      <c r="L1881" s="1237"/>
      <c r="M1881" s="1237"/>
      <c r="N1881" s="1237"/>
      <c r="O1881" s="2024"/>
      <c r="P1881" s="2946"/>
      <c r="Q1881" s="1238"/>
      <c r="R1881" s="1239"/>
    </row>
    <row r="1882" spans="1:18" ht="18.75" customHeight="1">
      <c r="A1882" s="2927"/>
      <c r="B1882" s="1237"/>
      <c r="C1882" s="1237"/>
      <c r="D1882" s="1237"/>
      <c r="E1882" s="1237"/>
      <c r="F1882" s="1237"/>
      <c r="G1882" s="1237"/>
      <c r="H1882" s="1237"/>
      <c r="I1882" s="1237"/>
      <c r="J1882" s="1237"/>
      <c r="K1882" s="1237"/>
      <c r="L1882" s="1237"/>
      <c r="M1882" s="1237"/>
      <c r="N1882" s="1237"/>
      <c r="O1882" s="2024"/>
      <c r="P1882" s="2947"/>
      <c r="Q1882" s="1238"/>
      <c r="R1882" s="1239"/>
    </row>
    <row r="1883" spans="1:18" ht="18.75" customHeight="1">
      <c r="A1883" s="2927"/>
      <c r="B1883" s="1237"/>
      <c r="C1883" s="1237"/>
      <c r="D1883" s="1237"/>
      <c r="E1883" s="1237"/>
      <c r="F1883" s="1237"/>
      <c r="G1883" s="1237"/>
      <c r="H1883" s="1237"/>
      <c r="I1883" s="1237"/>
      <c r="J1883" s="1237"/>
      <c r="K1883" s="1237"/>
      <c r="L1883" s="1237"/>
      <c r="M1883" s="1237"/>
      <c r="N1883" s="1237"/>
      <c r="O1883" s="2024"/>
      <c r="P1883" s="2947"/>
      <c r="Q1883" s="1238"/>
      <c r="R1883" s="1239"/>
    </row>
    <row r="1884" spans="1:18" ht="18.75" customHeight="1" thickBot="1">
      <c r="A1884" s="2928"/>
      <c r="B1884" s="1540"/>
      <c r="C1884" s="1540"/>
      <c r="D1884" s="1540"/>
      <c r="E1884" s="1540"/>
      <c r="F1884" s="1540"/>
      <c r="G1884" s="1540"/>
      <c r="H1884" s="1540"/>
      <c r="I1884" s="1540"/>
      <c r="J1884" s="2962"/>
      <c r="K1884" s="2962"/>
      <c r="L1884" s="2962"/>
      <c r="M1884" s="1540"/>
      <c r="N1884" s="1540"/>
      <c r="O1884" s="2025"/>
      <c r="P1884" s="2957"/>
      <c r="Q1884" s="1541"/>
      <c r="R1884" s="1591"/>
    </row>
    <row r="1885" spans="1:18" ht="18.75" customHeight="1">
      <c r="A1885" s="2975"/>
      <c r="B1885" s="1548"/>
      <c r="C1885" s="1548"/>
      <c r="D1885" s="1548"/>
      <c r="E1885" s="1548"/>
      <c r="F1885" s="1548"/>
      <c r="G1885" s="1548"/>
      <c r="H1885" s="1548"/>
      <c r="I1885" s="1548"/>
      <c r="J1885" s="2273"/>
      <c r="K1885" s="2274"/>
      <c r="L1885" s="2274"/>
      <c r="M1885" s="1548"/>
      <c r="N1885" s="1548"/>
      <c r="O1885" s="2030"/>
      <c r="P1885" s="2974"/>
      <c r="Q1885" s="1570"/>
      <c r="R1885" s="1571"/>
    </row>
    <row r="1886" spans="1:18" ht="18.75" customHeight="1">
      <c r="A1886" s="2976"/>
      <c r="B1886" s="1237"/>
      <c r="C1886" s="1237"/>
      <c r="D1886" s="1237"/>
      <c r="E1886" s="1237"/>
      <c r="F1886" s="1237"/>
      <c r="G1886" s="1237"/>
      <c r="H1886" s="1237"/>
      <c r="I1886" s="1237"/>
      <c r="J1886" s="1240"/>
      <c r="K1886" s="1604"/>
      <c r="L1886" s="1604"/>
      <c r="M1886" s="1237"/>
      <c r="N1886" s="1237"/>
      <c r="O1886" s="2024"/>
      <c r="P1886" s="2947"/>
      <c r="Q1886" s="1238"/>
      <c r="R1886" s="1549"/>
    </row>
    <row r="1887" spans="1:18" ht="18.75" customHeight="1">
      <c r="A1887" s="2976"/>
      <c r="B1887" s="1237"/>
      <c r="C1887" s="1237"/>
      <c r="D1887" s="1237"/>
      <c r="E1887" s="1237"/>
      <c r="F1887" s="1237"/>
      <c r="G1887" s="1237"/>
      <c r="H1887" s="1237"/>
      <c r="I1887" s="1237"/>
      <c r="J1887" s="1240"/>
      <c r="K1887" s="1604"/>
      <c r="L1887" s="1604"/>
      <c r="M1887" s="1237"/>
      <c r="N1887" s="1237"/>
      <c r="O1887" s="2024"/>
      <c r="P1887" s="2948"/>
      <c r="Q1887" s="1238"/>
      <c r="R1887" s="1549"/>
    </row>
    <row r="1888" spans="1:18" ht="18.75" customHeight="1">
      <c r="A1888" s="2976"/>
      <c r="B1888" s="1237"/>
      <c r="C1888" s="1237"/>
      <c r="D1888" s="1237"/>
      <c r="E1888" s="1237"/>
      <c r="F1888" s="1237"/>
      <c r="G1888" s="1237"/>
      <c r="H1888" s="1237"/>
      <c r="I1888" s="1237"/>
      <c r="J1888" s="1237"/>
      <c r="K1888" s="1237"/>
      <c r="L1888" s="1237"/>
      <c r="M1888" s="1237"/>
      <c r="N1888" s="1237"/>
      <c r="O1888" s="2024"/>
      <c r="P1888" s="2946"/>
      <c r="Q1888" s="1238"/>
      <c r="R1888" s="1549"/>
    </row>
    <row r="1889" spans="1:18" ht="18.75" customHeight="1">
      <c r="A1889" s="2976"/>
      <c r="B1889" s="1237"/>
      <c r="C1889" s="1237"/>
      <c r="D1889" s="1237"/>
      <c r="E1889" s="1237"/>
      <c r="F1889" s="1237"/>
      <c r="G1889" s="1237"/>
      <c r="H1889" s="1237"/>
      <c r="I1889" s="1237"/>
      <c r="J1889" s="2945"/>
      <c r="K1889" s="2945"/>
      <c r="L1889" s="2945"/>
      <c r="M1889" s="1237"/>
      <c r="N1889" s="1237"/>
      <c r="O1889" s="2024"/>
      <c r="P1889" s="2947"/>
      <c r="Q1889" s="1238"/>
      <c r="R1889" s="1549"/>
    </row>
    <row r="1890" spans="1:18" ht="18.75" customHeight="1">
      <c r="A1890" s="2976"/>
      <c r="B1890" s="1237"/>
      <c r="C1890" s="1237"/>
      <c r="D1890" s="1237"/>
      <c r="E1890" s="1237"/>
      <c r="F1890" s="1237"/>
      <c r="G1890" s="1237"/>
      <c r="H1890" s="1237"/>
      <c r="I1890" s="1237"/>
      <c r="J1890" s="1237"/>
      <c r="K1890" s="1237"/>
      <c r="L1890" s="1237"/>
      <c r="M1890" s="1237"/>
      <c r="N1890" s="1237"/>
      <c r="O1890" s="2024"/>
      <c r="P1890" s="2947"/>
      <c r="Q1890" s="1238"/>
      <c r="R1890" s="1549"/>
    </row>
    <row r="1891" spans="1:18" ht="18.75" customHeight="1">
      <c r="A1891" s="2976"/>
      <c r="B1891" s="1237"/>
      <c r="C1891" s="1237"/>
      <c r="D1891" s="1237"/>
      <c r="E1891" s="1237"/>
      <c r="F1891" s="1237"/>
      <c r="G1891" s="1237"/>
      <c r="H1891" s="1237"/>
      <c r="I1891" s="1237"/>
      <c r="J1891" s="1237"/>
      <c r="K1891" s="1237"/>
      <c r="L1891" s="1237"/>
      <c r="M1891" s="1237"/>
      <c r="N1891" s="1237"/>
      <c r="O1891" s="2024"/>
      <c r="P1891" s="2947"/>
      <c r="Q1891" s="1238"/>
      <c r="R1891" s="1549"/>
    </row>
    <row r="1892" spans="1:18" ht="18.75" customHeight="1">
      <c r="A1892" s="2976"/>
      <c r="B1892" s="1237"/>
      <c r="C1892" s="1237"/>
      <c r="D1892" s="1237"/>
      <c r="E1892" s="1237"/>
      <c r="F1892" s="1237"/>
      <c r="G1892" s="1237"/>
      <c r="H1892" s="1237"/>
      <c r="I1892" s="1237"/>
      <c r="J1892" s="1237"/>
      <c r="K1892" s="1237"/>
      <c r="L1892" s="1237"/>
      <c r="M1892" s="1237"/>
      <c r="N1892" s="1237"/>
      <c r="O1892" s="2024"/>
      <c r="P1892" s="2947"/>
      <c r="Q1892" s="1238"/>
      <c r="R1892" s="1549"/>
    </row>
    <row r="1893" spans="1:18" ht="18.75" customHeight="1">
      <c r="A1893" s="2976"/>
      <c r="B1893" s="1237"/>
      <c r="C1893" s="1237"/>
      <c r="D1893" s="1237"/>
      <c r="E1893" s="1237"/>
      <c r="F1893" s="1237"/>
      <c r="G1893" s="1237"/>
      <c r="H1893" s="1237"/>
      <c r="I1893" s="1237"/>
      <c r="J1893" s="1237"/>
      <c r="K1893" s="1237"/>
      <c r="L1893" s="1237"/>
      <c r="M1893" s="1237"/>
      <c r="N1893" s="1237"/>
      <c r="O1893" s="2024"/>
      <c r="P1893" s="2948"/>
      <c r="Q1893" s="1238"/>
      <c r="R1893" s="1549"/>
    </row>
    <row r="1894" spans="1:18" ht="18.75" customHeight="1">
      <c r="A1894" s="2976"/>
      <c r="B1894" s="1237"/>
      <c r="C1894" s="1237"/>
      <c r="D1894" s="1237"/>
      <c r="E1894" s="1237"/>
      <c r="F1894" s="1237"/>
      <c r="G1894" s="1237"/>
      <c r="H1894" s="1237"/>
      <c r="I1894" s="1237"/>
      <c r="J1894" s="1237"/>
      <c r="K1894" s="1237"/>
      <c r="L1894" s="1237"/>
      <c r="M1894" s="1237"/>
      <c r="N1894" s="1237"/>
      <c r="O1894" s="2024"/>
      <c r="P1894" s="2946"/>
      <c r="Q1894" s="1238"/>
      <c r="R1894" s="1549"/>
    </row>
    <row r="1895" spans="1:18" ht="18.75" customHeight="1">
      <c r="A1895" s="2976"/>
      <c r="B1895" s="1237"/>
      <c r="C1895" s="1237"/>
      <c r="D1895" s="1237"/>
      <c r="E1895" s="1237"/>
      <c r="F1895" s="1237"/>
      <c r="G1895" s="1237"/>
      <c r="H1895" s="1237"/>
      <c r="I1895" s="1237"/>
      <c r="J1895" s="1237"/>
      <c r="K1895" s="1237"/>
      <c r="L1895" s="1237"/>
      <c r="M1895" s="1237"/>
      <c r="N1895" s="1237"/>
      <c r="O1895" s="2024"/>
      <c r="P1895" s="2947"/>
      <c r="Q1895" s="1238"/>
      <c r="R1895" s="1549"/>
    </row>
    <row r="1896" spans="1:18" ht="18.75" customHeight="1">
      <c r="A1896" s="2976"/>
      <c r="B1896" s="1237"/>
      <c r="C1896" s="1237"/>
      <c r="D1896" s="1237"/>
      <c r="E1896" s="1237"/>
      <c r="F1896" s="1237"/>
      <c r="G1896" s="1237"/>
      <c r="H1896" s="1237"/>
      <c r="I1896" s="1237"/>
      <c r="J1896" s="1237"/>
      <c r="K1896" s="1237"/>
      <c r="L1896" s="1237"/>
      <c r="M1896" s="1237"/>
      <c r="N1896" s="1237"/>
      <c r="O1896" s="2024"/>
      <c r="P1896" s="2947"/>
      <c r="Q1896" s="1238"/>
      <c r="R1896" s="1549"/>
    </row>
    <row r="1897" spans="1:18" ht="18.75" customHeight="1">
      <c r="A1897" s="2976"/>
      <c r="B1897" s="1237"/>
      <c r="C1897" s="1237"/>
      <c r="D1897" s="1237"/>
      <c r="E1897" s="1237"/>
      <c r="F1897" s="1237"/>
      <c r="G1897" s="1237"/>
      <c r="H1897" s="1237"/>
      <c r="I1897" s="1237"/>
      <c r="J1897" s="1237"/>
      <c r="K1897" s="1237"/>
      <c r="L1897" s="1237"/>
      <c r="M1897" s="1237"/>
      <c r="N1897" s="1237"/>
      <c r="O1897" s="2024"/>
      <c r="P1897" s="2948"/>
      <c r="Q1897" s="1238"/>
      <c r="R1897" s="1549"/>
    </row>
    <row r="1898" spans="1:18" ht="18.75" customHeight="1">
      <c r="A1898" s="2976"/>
      <c r="B1898" s="1237"/>
      <c r="C1898" s="1237"/>
      <c r="D1898" s="1237"/>
      <c r="E1898" s="1237"/>
      <c r="F1898" s="1237"/>
      <c r="G1898" s="1237"/>
      <c r="H1898" s="1237"/>
      <c r="I1898" s="1237"/>
      <c r="J1898" s="1237"/>
      <c r="K1898" s="1237"/>
      <c r="L1898" s="1237"/>
      <c r="M1898" s="1237"/>
      <c r="N1898" s="1237"/>
      <c r="O1898" s="2024"/>
      <c r="P1898" s="2946"/>
      <c r="Q1898" s="1238"/>
      <c r="R1898" s="1549"/>
    </row>
    <row r="1899" spans="1:18" ht="18.75" customHeight="1">
      <c r="A1899" s="2976"/>
      <c r="B1899" s="1237"/>
      <c r="C1899" s="1237"/>
      <c r="D1899" s="1237"/>
      <c r="E1899" s="1237"/>
      <c r="F1899" s="1237"/>
      <c r="G1899" s="1237"/>
      <c r="H1899" s="1237"/>
      <c r="I1899" s="1237"/>
      <c r="J1899" s="2945"/>
      <c r="K1899" s="2945"/>
      <c r="L1899" s="2945"/>
      <c r="M1899" s="2945"/>
      <c r="N1899" s="1237"/>
      <c r="O1899" s="2024"/>
      <c r="P1899" s="2947"/>
      <c r="Q1899" s="1238"/>
      <c r="R1899" s="1549"/>
    </row>
    <row r="1900" spans="1:18" ht="18.75" customHeight="1">
      <c r="A1900" s="2976"/>
      <c r="B1900" s="1237"/>
      <c r="C1900" s="1237"/>
      <c r="D1900" s="1237"/>
      <c r="E1900" s="1237"/>
      <c r="F1900" s="1237"/>
      <c r="G1900" s="1237"/>
      <c r="H1900" s="1237"/>
      <c r="I1900" s="1237"/>
      <c r="J1900" s="1237"/>
      <c r="K1900" s="1237"/>
      <c r="L1900" s="1237"/>
      <c r="M1900" s="1237"/>
      <c r="N1900" s="1237"/>
      <c r="O1900" s="2024"/>
      <c r="P1900" s="2947"/>
      <c r="Q1900" s="1238"/>
      <c r="R1900" s="1549"/>
    </row>
    <row r="1901" spans="1:18" ht="18.75" customHeight="1">
      <c r="A1901" s="2976"/>
      <c r="B1901" s="1237"/>
      <c r="C1901" s="1237"/>
      <c r="D1901" s="1237"/>
      <c r="E1901" s="1237"/>
      <c r="F1901" s="1237"/>
      <c r="G1901" s="1237"/>
      <c r="H1901" s="1237"/>
      <c r="I1901" s="1237"/>
      <c r="J1901" s="1237"/>
      <c r="K1901" s="1237"/>
      <c r="L1901" s="1237"/>
      <c r="M1901" s="1237"/>
      <c r="N1901" s="1237"/>
      <c r="O1901" s="2024"/>
      <c r="P1901" s="2948"/>
      <c r="Q1901" s="1238"/>
      <c r="R1901" s="1549"/>
    </row>
    <row r="1902" spans="1:18" ht="18.75" customHeight="1">
      <c r="A1902" s="2976"/>
      <c r="B1902" s="1237"/>
      <c r="C1902" s="1237"/>
      <c r="D1902" s="1237"/>
      <c r="E1902" s="1237"/>
      <c r="F1902" s="1237"/>
      <c r="G1902" s="1237"/>
      <c r="H1902" s="1237"/>
      <c r="I1902" s="1237"/>
      <c r="J1902" s="1237"/>
      <c r="K1902" s="1237"/>
      <c r="L1902" s="1237"/>
      <c r="M1902" s="1237"/>
      <c r="N1902" s="1237"/>
      <c r="O1902" s="2024"/>
      <c r="P1902" s="2946"/>
      <c r="Q1902" s="1238"/>
      <c r="R1902" s="1549"/>
    </row>
    <row r="1903" spans="1:18" ht="18.75" customHeight="1">
      <c r="A1903" s="2976"/>
      <c r="B1903" s="1237"/>
      <c r="C1903" s="1237"/>
      <c r="D1903" s="1237"/>
      <c r="E1903" s="1237"/>
      <c r="F1903" s="1237"/>
      <c r="G1903" s="1237"/>
      <c r="H1903" s="1237"/>
      <c r="I1903" s="1237"/>
      <c r="J1903" s="1237"/>
      <c r="K1903" s="1237"/>
      <c r="L1903" s="1237"/>
      <c r="M1903" s="1237"/>
      <c r="N1903" s="1237"/>
      <c r="O1903" s="2024"/>
      <c r="P1903" s="2947"/>
      <c r="Q1903" s="1238"/>
      <c r="R1903" s="1549"/>
    </row>
    <row r="1904" spans="1:18" ht="18.75" customHeight="1">
      <c r="A1904" s="2976"/>
      <c r="B1904" s="1237"/>
      <c r="C1904" s="1237"/>
      <c r="D1904" s="1237"/>
      <c r="E1904" s="1237"/>
      <c r="F1904" s="1237"/>
      <c r="G1904" s="1237"/>
      <c r="H1904" s="1237"/>
      <c r="I1904" s="1237"/>
      <c r="J1904" s="1237"/>
      <c r="K1904" s="2945"/>
      <c r="L1904" s="2945"/>
      <c r="M1904" s="2945"/>
      <c r="N1904" s="1237"/>
      <c r="O1904" s="2024"/>
      <c r="P1904" s="2947"/>
      <c r="Q1904" s="1238"/>
      <c r="R1904" s="1549"/>
    </row>
    <row r="1905" spans="1:18" ht="18.75" customHeight="1">
      <c r="A1905" s="2976"/>
      <c r="B1905" s="1237"/>
      <c r="C1905" s="1237"/>
      <c r="D1905" s="1237"/>
      <c r="E1905" s="1237"/>
      <c r="F1905" s="1237"/>
      <c r="G1905" s="1237"/>
      <c r="H1905" s="1237"/>
      <c r="I1905" s="1237"/>
      <c r="J1905" s="1237"/>
      <c r="K1905" s="1237"/>
      <c r="L1905" s="1237"/>
      <c r="M1905" s="1237"/>
      <c r="N1905" s="1237"/>
      <c r="O1905" s="2024"/>
      <c r="P1905" s="2947"/>
      <c r="Q1905" s="1238"/>
      <c r="R1905" s="1549"/>
    </row>
    <row r="1906" spans="1:18" ht="18.75" customHeight="1">
      <c r="A1906" s="2976"/>
      <c r="B1906" s="1237"/>
      <c r="C1906" s="1237"/>
      <c r="D1906" s="1237"/>
      <c r="E1906" s="1237"/>
      <c r="F1906" s="1237"/>
      <c r="G1906" s="1237"/>
      <c r="H1906" s="1237"/>
      <c r="I1906" s="1237"/>
      <c r="J1906" s="1237"/>
      <c r="K1906" s="1237"/>
      <c r="L1906" s="1237"/>
      <c r="M1906" s="1237"/>
      <c r="N1906" s="1237"/>
      <c r="O1906" s="2024"/>
      <c r="P1906" s="2947"/>
      <c r="Q1906" s="1238"/>
      <c r="R1906" s="1549"/>
    </row>
    <row r="1907" spans="1:18" ht="18.75" customHeight="1">
      <c r="A1907" s="2976"/>
      <c r="B1907" s="1237"/>
      <c r="C1907" s="1237"/>
      <c r="D1907" s="1237"/>
      <c r="E1907" s="1237"/>
      <c r="F1907" s="1237"/>
      <c r="G1907" s="1237"/>
      <c r="H1907" s="1237"/>
      <c r="I1907" s="1237"/>
      <c r="J1907" s="1237"/>
      <c r="K1907" s="1237"/>
      <c r="L1907" s="1237"/>
      <c r="M1907" s="1237"/>
      <c r="N1907" s="1237"/>
      <c r="O1907" s="2024"/>
      <c r="P1907" s="2947"/>
      <c r="Q1907" s="1238"/>
      <c r="R1907" s="1549"/>
    </row>
    <row r="1908" spans="1:18" ht="18.75" customHeight="1">
      <c r="A1908" s="2976"/>
      <c r="B1908" s="1237"/>
      <c r="C1908" s="1237"/>
      <c r="D1908" s="1237"/>
      <c r="E1908" s="1237"/>
      <c r="F1908" s="1237"/>
      <c r="G1908" s="1237"/>
      <c r="H1908" s="1237"/>
      <c r="I1908" s="1237"/>
      <c r="J1908" s="1237"/>
      <c r="K1908" s="1237"/>
      <c r="L1908" s="1237"/>
      <c r="M1908" s="1237"/>
      <c r="N1908" s="1237"/>
      <c r="O1908" s="2024"/>
      <c r="P1908" s="2947"/>
      <c r="Q1908" s="1238"/>
      <c r="R1908" s="1549"/>
    </row>
    <row r="1909" spans="1:18" ht="18.75" customHeight="1">
      <c r="A1909" s="2976"/>
      <c r="B1909" s="1237"/>
      <c r="C1909" s="1237"/>
      <c r="D1909" s="1237"/>
      <c r="E1909" s="1237"/>
      <c r="F1909" s="1237"/>
      <c r="G1909" s="1237"/>
      <c r="H1909" s="1237"/>
      <c r="I1909" s="1237"/>
      <c r="J1909" s="1237"/>
      <c r="K1909" s="2945"/>
      <c r="L1909" s="2945"/>
      <c r="M1909" s="2945"/>
      <c r="N1909" s="1237"/>
      <c r="O1909" s="2024"/>
      <c r="P1909" s="2947"/>
      <c r="Q1909" s="1238"/>
      <c r="R1909" s="1549"/>
    </row>
    <row r="1910" spans="1:18" ht="18.75" customHeight="1">
      <c r="A1910" s="2976"/>
      <c r="B1910" s="1237"/>
      <c r="C1910" s="1237"/>
      <c r="D1910" s="1237"/>
      <c r="E1910" s="1237"/>
      <c r="F1910" s="1237"/>
      <c r="G1910" s="1237"/>
      <c r="H1910" s="1237"/>
      <c r="I1910" s="1237"/>
      <c r="J1910" s="1237"/>
      <c r="K1910" s="1237"/>
      <c r="L1910" s="1237"/>
      <c r="M1910" s="1237"/>
      <c r="N1910" s="1237"/>
      <c r="O1910" s="2024"/>
      <c r="P1910" s="2948"/>
      <c r="Q1910" s="1238"/>
      <c r="R1910" s="1549"/>
    </row>
    <row r="1911" spans="1:18" ht="18.75" customHeight="1">
      <c r="A1911" s="2976"/>
      <c r="B1911" s="1237"/>
      <c r="C1911" s="1237"/>
      <c r="D1911" s="1237"/>
      <c r="E1911" s="1237"/>
      <c r="F1911" s="1237"/>
      <c r="G1911" s="1237"/>
      <c r="H1911" s="1237"/>
      <c r="I1911" s="1237"/>
      <c r="J1911" s="1237"/>
      <c r="K1911" s="1237"/>
      <c r="L1911" s="1237"/>
      <c r="M1911" s="1237"/>
      <c r="N1911" s="1237"/>
      <c r="O1911" s="2024"/>
      <c r="P1911" s="2946"/>
      <c r="Q1911" s="1238"/>
      <c r="R1911" s="1549"/>
    </row>
    <row r="1912" spans="1:18" ht="18.75" customHeight="1">
      <c r="A1912" s="2976"/>
      <c r="B1912" s="1237"/>
      <c r="C1912" s="1237"/>
      <c r="D1912" s="1237"/>
      <c r="E1912" s="1237"/>
      <c r="F1912" s="1237"/>
      <c r="G1912" s="1237"/>
      <c r="H1912" s="1237"/>
      <c r="I1912" s="1237"/>
      <c r="J1912" s="1237"/>
      <c r="K1912" s="1237"/>
      <c r="L1912" s="1237"/>
      <c r="M1912" s="1237"/>
      <c r="N1912" s="1237"/>
      <c r="O1912" s="2024"/>
      <c r="P1912" s="2947"/>
      <c r="Q1912" s="1238"/>
      <c r="R1912" s="1549"/>
    </row>
    <row r="1913" spans="1:18" ht="18.75" customHeight="1">
      <c r="A1913" s="2976"/>
      <c r="B1913" s="1237"/>
      <c r="C1913" s="1237"/>
      <c r="D1913" s="1237"/>
      <c r="E1913" s="1237"/>
      <c r="F1913" s="1237"/>
      <c r="G1913" s="1237"/>
      <c r="H1913" s="1237"/>
      <c r="I1913" s="1237"/>
      <c r="J1913" s="1237"/>
      <c r="K1913" s="1237"/>
      <c r="L1913" s="1237"/>
      <c r="M1913" s="1237"/>
      <c r="N1913" s="1237"/>
      <c r="O1913" s="2024"/>
      <c r="P1913" s="2947"/>
      <c r="Q1913" s="1238"/>
      <c r="R1913" s="1549"/>
    </row>
    <row r="1914" spans="1:18" ht="18.75" customHeight="1">
      <c r="A1914" s="2976"/>
      <c r="B1914" s="1237"/>
      <c r="C1914" s="1237"/>
      <c r="D1914" s="1237"/>
      <c r="E1914" s="1237"/>
      <c r="F1914" s="1237"/>
      <c r="G1914" s="1237"/>
      <c r="H1914" s="1237"/>
      <c r="I1914" s="1237"/>
      <c r="J1914" s="1237"/>
      <c r="K1914" s="1237"/>
      <c r="L1914" s="1237"/>
      <c r="M1914" s="1237"/>
      <c r="N1914" s="1237"/>
      <c r="O1914" s="2024"/>
      <c r="P1914" s="2947"/>
      <c r="Q1914" s="1238"/>
      <c r="R1914" s="1549"/>
    </row>
    <row r="1915" spans="1:18" ht="18.75" customHeight="1">
      <c r="A1915" s="2976"/>
      <c r="B1915" s="1237"/>
      <c r="C1915" s="1237"/>
      <c r="D1915" s="1237"/>
      <c r="E1915" s="1237"/>
      <c r="F1915" s="1237"/>
      <c r="G1915" s="1237"/>
      <c r="H1915" s="1237"/>
      <c r="I1915" s="1237"/>
      <c r="J1915" s="1237"/>
      <c r="K1915" s="1237"/>
      <c r="L1915" s="1237"/>
      <c r="M1915" s="1237"/>
      <c r="N1915" s="1237"/>
      <c r="O1915" s="2024"/>
      <c r="P1915" s="2947"/>
      <c r="Q1915" s="1238"/>
      <c r="R1915" s="1549"/>
    </row>
    <row r="1916" spans="1:18" ht="18.75" customHeight="1">
      <c r="A1916" s="2976"/>
      <c r="B1916" s="1237"/>
      <c r="C1916" s="1237"/>
      <c r="D1916" s="1237"/>
      <c r="E1916" s="1237"/>
      <c r="F1916" s="1237"/>
      <c r="G1916" s="1237"/>
      <c r="H1916" s="1237"/>
      <c r="I1916" s="1237"/>
      <c r="J1916" s="1237"/>
      <c r="K1916" s="1237"/>
      <c r="L1916" s="1237"/>
      <c r="M1916" s="1237"/>
      <c r="N1916" s="1237"/>
      <c r="O1916" s="2024"/>
      <c r="P1916" s="2947"/>
      <c r="Q1916" s="1238"/>
      <c r="R1916" s="1549"/>
    </row>
    <row r="1917" spans="1:18" ht="18.75" customHeight="1">
      <c r="A1917" s="2976"/>
      <c r="B1917" s="1237"/>
      <c r="C1917" s="1237"/>
      <c r="D1917" s="1237"/>
      <c r="E1917" s="1237"/>
      <c r="F1917" s="1237"/>
      <c r="G1917" s="1237"/>
      <c r="H1917" s="1237"/>
      <c r="I1917" s="1237"/>
      <c r="J1917" s="1237"/>
      <c r="K1917" s="1237"/>
      <c r="L1917" s="1237"/>
      <c r="M1917" s="1237"/>
      <c r="N1917" s="1237"/>
      <c r="O1917" s="2024"/>
      <c r="P1917" s="2947"/>
      <c r="Q1917" s="1238"/>
      <c r="R1917" s="1549"/>
    </row>
    <row r="1918" spans="1:18" ht="18.75" customHeight="1">
      <c r="A1918" s="2976"/>
      <c r="B1918" s="1237"/>
      <c r="C1918" s="1237"/>
      <c r="D1918" s="1237"/>
      <c r="E1918" s="1237"/>
      <c r="F1918" s="1237"/>
      <c r="G1918" s="1237"/>
      <c r="H1918" s="1237"/>
      <c r="I1918" s="1237"/>
      <c r="J1918" s="1237"/>
      <c r="K1918" s="1237"/>
      <c r="L1918" s="1237"/>
      <c r="M1918" s="1237"/>
      <c r="N1918" s="1237"/>
      <c r="O1918" s="2024"/>
      <c r="P1918" s="2947"/>
      <c r="Q1918" s="1238"/>
      <c r="R1918" s="1549"/>
    </row>
    <row r="1919" spans="1:18" ht="18.75" customHeight="1">
      <c r="A1919" s="2976"/>
      <c r="B1919" s="1237"/>
      <c r="C1919" s="1237"/>
      <c r="D1919" s="1237"/>
      <c r="E1919" s="1237"/>
      <c r="F1919" s="1237"/>
      <c r="G1919" s="1237"/>
      <c r="H1919" s="1237"/>
      <c r="I1919" s="1237"/>
      <c r="J1919" s="1237"/>
      <c r="K1919" s="2945"/>
      <c r="L1919" s="2945"/>
      <c r="M1919" s="2945"/>
      <c r="N1919" s="1237"/>
      <c r="O1919" s="2024"/>
      <c r="P1919" s="2948"/>
      <c r="Q1919" s="1238"/>
      <c r="R1919" s="1549"/>
    </row>
    <row r="1920" spans="1:18" ht="18.75" customHeight="1">
      <c r="A1920" s="2976"/>
      <c r="B1920" s="2652"/>
      <c r="C1920" s="2653"/>
      <c r="D1920" s="1237"/>
      <c r="E1920" s="1237"/>
      <c r="F1920" s="1237"/>
      <c r="G1920" s="1237"/>
      <c r="H1920" s="2654"/>
      <c r="I1920" s="2653"/>
      <c r="J1920" s="2653"/>
      <c r="K1920" s="1237"/>
      <c r="L1920" s="1237"/>
      <c r="M1920" s="1237"/>
      <c r="N1920" s="1237"/>
      <c r="O1920" s="2286"/>
      <c r="P1920" s="2978"/>
      <c r="Q1920" s="1238"/>
      <c r="R1920" s="1549"/>
    </row>
    <row r="1921" spans="1:18" ht="18.75" customHeight="1">
      <c r="A1921" s="2976"/>
      <c r="B1921" s="2652"/>
      <c r="C1921" s="2653"/>
      <c r="D1921" s="1237"/>
      <c r="E1921" s="1237"/>
      <c r="F1921" s="1237"/>
      <c r="G1921" s="1237"/>
      <c r="H1921" s="2654"/>
      <c r="I1921" s="2653"/>
      <c r="J1921" s="2653"/>
      <c r="K1921" s="1604"/>
      <c r="L1921" s="2655"/>
      <c r="M1921" s="1237"/>
      <c r="N1921" s="1237"/>
      <c r="O1921" s="2286"/>
      <c r="P1921" s="2979"/>
      <c r="Q1921" s="1238"/>
      <c r="R1921" s="1549"/>
    </row>
    <row r="1922" spans="1:18" ht="18.75" customHeight="1">
      <c r="A1922" s="2976"/>
      <c r="B1922" s="2652"/>
      <c r="C1922" s="2653"/>
      <c r="D1922" s="1237"/>
      <c r="E1922" s="1237"/>
      <c r="F1922" s="1237"/>
      <c r="G1922" s="1237"/>
      <c r="H1922" s="2654"/>
      <c r="I1922" s="2653"/>
      <c r="J1922" s="2653"/>
      <c r="K1922" s="1604"/>
      <c r="L1922" s="2655"/>
      <c r="M1922" s="1237"/>
      <c r="N1922" s="1237"/>
      <c r="O1922" s="2286"/>
      <c r="P1922" s="2979"/>
      <c r="Q1922" s="1238"/>
      <c r="R1922" s="1549"/>
    </row>
    <row r="1923" spans="1:18" ht="18.75" customHeight="1">
      <c r="A1923" s="2976"/>
      <c r="B1923" s="2652"/>
      <c r="C1923" s="2653"/>
      <c r="D1923" s="1237"/>
      <c r="E1923" s="2653"/>
      <c r="F1923" s="1237"/>
      <c r="G1923" s="1237"/>
      <c r="H1923" s="2654"/>
      <c r="I1923" s="2653"/>
      <c r="J1923" s="2653"/>
      <c r="K1923" s="1604"/>
      <c r="L1923" s="2655"/>
      <c r="M1923" s="1237"/>
      <c r="N1923" s="1237"/>
      <c r="O1923" s="2286"/>
      <c r="P1923" s="2979"/>
      <c r="Q1923" s="1238"/>
      <c r="R1923" s="1549"/>
    </row>
    <row r="1924" spans="1:18" ht="18.75" customHeight="1">
      <c r="A1924" s="2976"/>
      <c r="B1924" s="2652"/>
      <c r="C1924" s="2653"/>
      <c r="D1924" s="1237"/>
      <c r="E1924" s="2653"/>
      <c r="F1924" s="1237"/>
      <c r="G1924" s="1237"/>
      <c r="H1924" s="2654"/>
      <c r="I1924" s="2653"/>
      <c r="J1924" s="2653"/>
      <c r="K1924" s="1604"/>
      <c r="L1924" s="2655"/>
      <c r="M1924" s="1237"/>
      <c r="N1924" s="1237"/>
      <c r="O1924" s="2286"/>
      <c r="P1924" s="2979"/>
      <c r="Q1924" s="1238"/>
      <c r="R1924" s="1549"/>
    </row>
    <row r="1925" spans="1:18" ht="18.75" customHeight="1">
      <c r="A1925" s="2976"/>
      <c r="B1925" s="2652"/>
      <c r="C1925" s="2653"/>
      <c r="D1925" s="1237"/>
      <c r="E1925" s="2653"/>
      <c r="F1925" s="1237"/>
      <c r="G1925" s="1237"/>
      <c r="H1925" s="2654"/>
      <c r="I1925" s="2653"/>
      <c r="J1925" s="2653"/>
      <c r="K1925" s="1604"/>
      <c r="L1925" s="2655"/>
      <c r="M1925" s="1237"/>
      <c r="N1925" s="1237"/>
      <c r="O1925" s="2286"/>
      <c r="P1925" s="2979"/>
      <c r="Q1925" s="1238"/>
      <c r="R1925" s="1549"/>
    </row>
    <row r="1926" spans="1:18" ht="18.75" customHeight="1">
      <c r="A1926" s="2976"/>
      <c r="B1926" s="2652"/>
      <c r="C1926" s="2653"/>
      <c r="D1926" s="1237"/>
      <c r="E1926" s="2653"/>
      <c r="F1926" s="1237"/>
      <c r="G1926" s="1237"/>
      <c r="H1926" s="2654"/>
      <c r="I1926" s="2653"/>
      <c r="J1926" s="2653"/>
      <c r="K1926" s="1604"/>
      <c r="L1926" s="2655"/>
      <c r="M1926" s="1237"/>
      <c r="N1926" s="1237"/>
      <c r="O1926" s="2286"/>
      <c r="P1926" s="2979"/>
      <c r="Q1926" s="1238"/>
      <c r="R1926" s="1549"/>
    </row>
    <row r="1927" spans="1:18" ht="18.75" customHeight="1">
      <c r="A1927" s="2976"/>
      <c r="B1927" s="2652"/>
      <c r="C1927" s="2653"/>
      <c r="D1927" s="1237"/>
      <c r="E1927" s="2653"/>
      <c r="F1927" s="1237"/>
      <c r="G1927" s="1237"/>
      <c r="H1927" s="2654"/>
      <c r="I1927" s="2653"/>
      <c r="J1927" s="2653"/>
      <c r="K1927" s="1604"/>
      <c r="L1927" s="2655"/>
      <c r="M1927" s="1237"/>
      <c r="N1927" s="1237"/>
      <c r="O1927" s="2286"/>
      <c r="P1927" s="2979"/>
      <c r="Q1927" s="1238"/>
      <c r="R1927" s="1549"/>
    </row>
    <row r="1928" spans="1:18" ht="18.75" customHeight="1">
      <c r="A1928" s="2976"/>
      <c r="B1928" s="2652"/>
      <c r="C1928" s="2653"/>
      <c r="D1928" s="1237"/>
      <c r="E1928" s="2653"/>
      <c r="F1928" s="1237"/>
      <c r="G1928" s="1237"/>
      <c r="H1928" s="2654"/>
      <c r="I1928" s="2653"/>
      <c r="J1928" s="2653"/>
      <c r="K1928" s="1604"/>
      <c r="L1928" s="2655"/>
      <c r="M1928" s="1237"/>
      <c r="N1928" s="1237"/>
      <c r="O1928" s="2286"/>
      <c r="P1928" s="2979"/>
      <c r="Q1928" s="1238"/>
      <c r="R1928" s="1549"/>
    </row>
    <row r="1929" spans="1:18" ht="18.75" customHeight="1">
      <c r="A1929" s="2976"/>
      <c r="B1929" s="2652"/>
      <c r="C1929" s="2653"/>
      <c r="D1929" s="1237"/>
      <c r="E1929" s="2653"/>
      <c r="F1929" s="1237"/>
      <c r="G1929" s="1237"/>
      <c r="H1929" s="2654"/>
      <c r="I1929" s="2653"/>
      <c r="J1929" s="2653"/>
      <c r="K1929" s="1604"/>
      <c r="L1929" s="2655"/>
      <c r="M1929" s="1237"/>
      <c r="N1929" s="1237"/>
      <c r="O1929" s="2286"/>
      <c r="P1929" s="2980"/>
      <c r="Q1929" s="1238"/>
      <c r="R1929" s="1549"/>
    </row>
    <row r="1930" spans="1:18" ht="18.75" customHeight="1">
      <c r="A1930" s="2976"/>
      <c r="B1930" s="2652"/>
      <c r="C1930" s="2653"/>
      <c r="D1930" s="1237"/>
      <c r="E1930" s="2653"/>
      <c r="F1930" s="1237"/>
      <c r="G1930" s="1237"/>
      <c r="H1930" s="2654"/>
      <c r="I1930" s="2653"/>
      <c r="J1930" s="2653"/>
      <c r="K1930" s="2656"/>
      <c r="L1930" s="2654"/>
      <c r="M1930" s="1237"/>
      <c r="N1930" s="2285"/>
      <c r="O1930" s="2024"/>
      <c r="P1930" s="2946"/>
      <c r="Q1930" s="1238"/>
      <c r="R1930" s="1549"/>
    </row>
    <row r="1931" spans="1:18" ht="18.75" customHeight="1">
      <c r="A1931" s="2976"/>
      <c r="B1931" s="1237"/>
      <c r="C1931" s="1237"/>
      <c r="D1931" s="1237"/>
      <c r="E1931" s="2653"/>
      <c r="F1931" s="1237"/>
      <c r="G1931" s="1237"/>
      <c r="H1931" s="1237"/>
      <c r="I1931" s="1237"/>
      <c r="J1931" s="1237"/>
      <c r="K1931" s="2654"/>
      <c r="L1931" s="1237"/>
      <c r="M1931" s="1237"/>
      <c r="N1931" s="2285"/>
      <c r="O1931" s="2024"/>
      <c r="P1931" s="2947"/>
      <c r="Q1931" s="1238"/>
      <c r="R1931" s="1549"/>
    </row>
    <row r="1932" spans="1:18" ht="18.75" customHeight="1">
      <c r="A1932" s="2976"/>
      <c r="B1932" s="1237"/>
      <c r="C1932" s="1237"/>
      <c r="D1932" s="1237"/>
      <c r="E1932" s="1237"/>
      <c r="F1932" s="1237"/>
      <c r="G1932" s="1237"/>
      <c r="H1932" s="1237"/>
      <c r="I1932" s="2945"/>
      <c r="J1932" s="2945"/>
      <c r="K1932" s="1237"/>
      <c r="L1932" s="1237"/>
      <c r="M1932" s="1237"/>
      <c r="N1932" s="1237"/>
      <c r="O1932" s="2024"/>
      <c r="P1932" s="2947"/>
      <c r="Q1932" s="1238"/>
      <c r="R1932" s="1549"/>
    </row>
    <row r="1933" spans="1:18" ht="18.75" customHeight="1">
      <c r="A1933" s="2976"/>
      <c r="B1933" s="1237"/>
      <c r="C1933" s="1237"/>
      <c r="D1933" s="1237"/>
      <c r="E1933" s="1237"/>
      <c r="F1933" s="1237"/>
      <c r="G1933" s="1237"/>
      <c r="H1933" s="1237"/>
      <c r="I1933" s="1237"/>
      <c r="J1933" s="1237"/>
      <c r="K1933" s="1237"/>
      <c r="L1933" s="1237"/>
      <c r="M1933" s="1237"/>
      <c r="N1933" s="1237"/>
      <c r="O1933" s="2024"/>
      <c r="P1933" s="2947"/>
      <c r="Q1933" s="1238"/>
      <c r="R1933" s="1549"/>
    </row>
    <row r="1934" spans="1:18" ht="18.75" customHeight="1">
      <c r="A1934" s="2976"/>
      <c r="B1934" s="1237"/>
      <c r="C1934" s="1237"/>
      <c r="D1934" s="1237"/>
      <c r="E1934" s="1237"/>
      <c r="F1934" s="1237"/>
      <c r="G1934" s="1237"/>
      <c r="H1934" s="1237"/>
      <c r="I1934" s="1237"/>
      <c r="J1934" s="1237"/>
      <c r="K1934" s="1237"/>
      <c r="L1934" s="1237"/>
      <c r="M1934" s="1237"/>
      <c r="N1934" s="1237"/>
      <c r="O1934" s="2024"/>
      <c r="P1934" s="2947"/>
      <c r="Q1934" s="1238"/>
      <c r="R1934" s="1549"/>
    </row>
    <row r="1935" spans="1:18" ht="18.75" customHeight="1">
      <c r="A1935" s="2976"/>
      <c r="B1935" s="1237"/>
      <c r="C1935" s="1237"/>
      <c r="D1935" s="1237"/>
      <c r="E1935" s="1237"/>
      <c r="F1935" s="1237"/>
      <c r="G1935" s="1237"/>
      <c r="H1935" s="1237"/>
      <c r="I1935" s="1237"/>
      <c r="J1935" s="1237"/>
      <c r="K1935" s="1237"/>
      <c r="L1935" s="1237"/>
      <c r="M1935" s="1237"/>
      <c r="N1935" s="1237"/>
      <c r="O1935" s="2024"/>
      <c r="P1935" s="2947"/>
      <c r="Q1935" s="1238"/>
      <c r="R1935" s="1549"/>
    </row>
    <row r="1936" spans="1:18" ht="18.75" customHeight="1">
      <c r="A1936" s="2976"/>
      <c r="B1936" s="1237"/>
      <c r="C1936" s="1237"/>
      <c r="D1936" s="1237"/>
      <c r="E1936" s="1237"/>
      <c r="F1936" s="1237"/>
      <c r="G1936" s="1237"/>
      <c r="H1936" s="1237"/>
      <c r="I1936" s="1237"/>
      <c r="J1936" s="1237"/>
      <c r="K1936" s="1237"/>
      <c r="L1936" s="1237"/>
      <c r="M1936" s="1237"/>
      <c r="N1936" s="1237"/>
      <c r="O1936" s="2024"/>
      <c r="P1936" s="2947"/>
      <c r="Q1936" s="1238"/>
      <c r="R1936" s="1549"/>
    </row>
    <row r="1937" spans="1:18" ht="18.75" customHeight="1">
      <c r="A1937" s="2976"/>
      <c r="B1937" s="1237"/>
      <c r="C1937" s="1237"/>
      <c r="D1937" s="1237"/>
      <c r="E1937" s="1237"/>
      <c r="F1937" s="1237"/>
      <c r="G1937" s="1237"/>
      <c r="H1937" s="1237"/>
      <c r="I1937" s="1237"/>
      <c r="J1937" s="1237"/>
      <c r="K1937" s="1237"/>
      <c r="L1937" s="1237"/>
      <c r="M1937" s="1237"/>
      <c r="N1937" s="1237"/>
      <c r="O1937" s="2024"/>
      <c r="P1937" s="2947"/>
      <c r="Q1937" s="1238"/>
      <c r="R1937" s="1549"/>
    </row>
    <row r="1938" spans="1:18" ht="18.75" customHeight="1">
      <c r="A1938" s="2976"/>
      <c r="B1938" s="1237"/>
      <c r="C1938" s="1237"/>
      <c r="D1938" s="1237"/>
      <c r="E1938" s="1237"/>
      <c r="F1938" s="1237"/>
      <c r="G1938" s="1237"/>
      <c r="H1938" s="1237"/>
      <c r="I1938" s="1237"/>
      <c r="J1938" s="1237"/>
      <c r="K1938" s="1237"/>
      <c r="L1938" s="1237"/>
      <c r="M1938" s="1237"/>
      <c r="N1938" s="1237"/>
      <c r="O1938" s="2024"/>
      <c r="P1938" s="2947"/>
      <c r="Q1938" s="1238"/>
      <c r="R1938" s="1549"/>
    </row>
    <row r="1939" spans="1:18" ht="18.75" customHeight="1">
      <c r="A1939" s="2976"/>
      <c r="B1939" s="1237"/>
      <c r="C1939" s="1237"/>
      <c r="D1939" s="1237"/>
      <c r="E1939" s="1237"/>
      <c r="F1939" s="1237"/>
      <c r="G1939" s="1237"/>
      <c r="H1939" s="1237"/>
      <c r="I1939" s="1237"/>
      <c r="J1939" s="1237"/>
      <c r="K1939" s="1237"/>
      <c r="L1939" s="1237"/>
      <c r="M1939" s="1237"/>
      <c r="N1939" s="1237"/>
      <c r="O1939" s="2024"/>
      <c r="P1939" s="2947"/>
      <c r="Q1939" s="1238"/>
      <c r="R1939" s="1549"/>
    </row>
    <row r="1940" spans="1:18" ht="18.75" customHeight="1">
      <c r="A1940" s="2976"/>
      <c r="B1940" s="1237"/>
      <c r="C1940" s="1237"/>
      <c r="D1940" s="1237"/>
      <c r="E1940" s="1237"/>
      <c r="F1940" s="1237"/>
      <c r="G1940" s="1237"/>
      <c r="H1940" s="1237"/>
      <c r="I1940" s="1237"/>
      <c r="J1940" s="1237"/>
      <c r="K1940" s="1237"/>
      <c r="L1940" s="1237"/>
      <c r="M1940" s="1237"/>
      <c r="N1940" s="1237"/>
      <c r="O1940" s="2024"/>
      <c r="P1940" s="2947"/>
      <c r="Q1940" s="1238"/>
      <c r="R1940" s="1549"/>
    </row>
    <row r="1941" spans="1:18" ht="18.75" customHeight="1">
      <c r="A1941" s="2976"/>
      <c r="B1941" s="1237"/>
      <c r="C1941" s="1237"/>
      <c r="D1941" s="1237"/>
      <c r="E1941" s="1237"/>
      <c r="F1941" s="1237"/>
      <c r="G1941" s="1237"/>
      <c r="H1941" s="1237"/>
      <c r="I1941" s="1237"/>
      <c r="J1941" s="1237"/>
      <c r="K1941" s="2945"/>
      <c r="L1941" s="2945"/>
      <c r="M1941" s="2945"/>
      <c r="N1941" s="1237"/>
      <c r="O1941" s="2024"/>
      <c r="P1941" s="2947"/>
      <c r="Q1941" s="1238"/>
      <c r="R1941" s="1549"/>
    </row>
    <row r="1942" spans="1:18" ht="18.75" customHeight="1">
      <c r="A1942" s="2976"/>
      <c r="B1942" s="1237"/>
      <c r="C1942" s="1237"/>
      <c r="D1942" s="1237"/>
      <c r="E1942" s="1237"/>
      <c r="F1942" s="1237"/>
      <c r="G1942" s="1237"/>
      <c r="H1942" s="1237"/>
      <c r="I1942" s="1237"/>
      <c r="J1942" s="1237"/>
      <c r="K1942" s="1237"/>
      <c r="L1942" s="1237"/>
      <c r="M1942" s="1237"/>
      <c r="N1942" s="1237"/>
      <c r="O1942" s="2024"/>
      <c r="P1942" s="2947"/>
      <c r="Q1942" s="1238"/>
      <c r="R1942" s="1549"/>
    </row>
    <row r="1943" spans="1:18" ht="18.75" customHeight="1">
      <c r="A1943" s="2976"/>
      <c r="B1943" s="1237"/>
      <c r="C1943" s="1237"/>
      <c r="D1943" s="1237"/>
      <c r="E1943" s="1237"/>
      <c r="F1943" s="1237"/>
      <c r="G1943" s="1237"/>
      <c r="H1943" s="1237"/>
      <c r="I1943" s="1237"/>
      <c r="J1943" s="1237"/>
      <c r="K1943" s="1237"/>
      <c r="L1943" s="1237"/>
      <c r="M1943" s="1237"/>
      <c r="N1943" s="1237"/>
      <c r="O1943" s="2024"/>
      <c r="P1943" s="2948"/>
      <c r="Q1943" s="1238"/>
      <c r="R1943" s="1549"/>
    </row>
    <row r="1944" spans="1:18" ht="18.75" customHeight="1">
      <c r="A1944" s="2976"/>
      <c r="B1944" s="1237"/>
      <c r="C1944" s="1237"/>
      <c r="D1944" s="1237"/>
      <c r="E1944" s="1237"/>
      <c r="F1944" s="1237"/>
      <c r="G1944" s="1237"/>
      <c r="H1944" s="1237"/>
      <c r="I1944" s="1237"/>
      <c r="J1944" s="1237"/>
      <c r="K1944" s="1237"/>
      <c r="L1944" s="1237"/>
      <c r="M1944" s="1237"/>
      <c r="N1944" s="1237"/>
      <c r="O1944" s="2024"/>
      <c r="P1944" s="2946"/>
      <c r="Q1944" s="1238"/>
      <c r="R1944" s="1549"/>
    </row>
    <row r="1945" spans="1:18" ht="18.75" customHeight="1">
      <c r="A1945" s="2976"/>
      <c r="B1945" s="1237"/>
      <c r="C1945" s="1237"/>
      <c r="D1945" s="1237"/>
      <c r="E1945" s="1237"/>
      <c r="F1945" s="1237"/>
      <c r="G1945" s="1237"/>
      <c r="H1945" s="1237"/>
      <c r="I1945" s="1237"/>
      <c r="J1945" s="1237"/>
      <c r="K1945" s="1237"/>
      <c r="L1945" s="1237"/>
      <c r="M1945" s="1237"/>
      <c r="N1945" s="1237"/>
      <c r="O1945" s="2024"/>
      <c r="P1945" s="2947"/>
      <c r="Q1945" s="1238"/>
      <c r="R1945" s="1549"/>
    </row>
    <row r="1946" spans="1:18" ht="18.75" customHeight="1">
      <c r="A1946" s="2976"/>
      <c r="B1946" s="1237"/>
      <c r="C1946" s="1237"/>
      <c r="D1946" s="1237"/>
      <c r="E1946" s="1237"/>
      <c r="F1946" s="1237"/>
      <c r="G1946" s="1237"/>
      <c r="H1946" s="1237"/>
      <c r="I1946" s="1237"/>
      <c r="J1946" s="1237"/>
      <c r="K1946" s="1237"/>
      <c r="L1946" s="1237"/>
      <c r="M1946" s="1237"/>
      <c r="N1946" s="1237"/>
      <c r="O1946" s="2024"/>
      <c r="P1946" s="2947"/>
      <c r="Q1946" s="1238"/>
      <c r="R1946" s="1549"/>
    </row>
    <row r="1947" spans="1:18" ht="18.75" customHeight="1">
      <c r="A1947" s="2976"/>
      <c r="B1947" s="1237"/>
      <c r="C1947" s="1237"/>
      <c r="D1947" s="1237"/>
      <c r="E1947" s="1237"/>
      <c r="F1947" s="1237"/>
      <c r="G1947" s="1237"/>
      <c r="H1947" s="1237"/>
      <c r="I1947" s="1237"/>
      <c r="J1947" s="1237"/>
      <c r="K1947" s="2945"/>
      <c r="L1947" s="2945"/>
      <c r="M1947" s="2945"/>
      <c r="N1947" s="1237"/>
      <c r="O1947" s="2024"/>
      <c r="P1947" s="2947"/>
      <c r="Q1947" s="1238"/>
      <c r="R1947" s="1549"/>
    </row>
    <row r="1948" spans="1:18" ht="18.75" customHeight="1">
      <c r="A1948" s="2976"/>
      <c r="B1948" s="1237"/>
      <c r="C1948" s="1237"/>
      <c r="D1948" s="1237"/>
      <c r="E1948" s="1237"/>
      <c r="F1948" s="1237"/>
      <c r="G1948" s="1237"/>
      <c r="H1948" s="1237"/>
      <c r="I1948" s="1237"/>
      <c r="J1948" s="1237"/>
      <c r="K1948" s="1237"/>
      <c r="L1948" s="1237"/>
      <c r="M1948" s="1237"/>
      <c r="N1948" s="1237"/>
      <c r="O1948" s="2024"/>
      <c r="P1948" s="2947"/>
      <c r="Q1948" s="1238"/>
      <c r="R1948" s="1549"/>
    </row>
    <row r="1949" spans="1:18" ht="18.75" customHeight="1">
      <c r="A1949" s="2976"/>
      <c r="B1949" s="1237"/>
      <c r="C1949" s="1237"/>
      <c r="D1949" s="1237"/>
      <c r="E1949" s="1237"/>
      <c r="F1949" s="1237"/>
      <c r="G1949" s="1237"/>
      <c r="H1949" s="1237"/>
      <c r="I1949" s="1237"/>
      <c r="J1949" s="1237"/>
      <c r="K1949" s="1237"/>
      <c r="L1949" s="1237"/>
      <c r="M1949" s="1237"/>
      <c r="N1949" s="1237"/>
      <c r="O1949" s="2024"/>
      <c r="P1949" s="2947"/>
      <c r="Q1949" s="1238"/>
      <c r="R1949" s="1549"/>
    </row>
    <row r="1950" spans="1:18" ht="18.75" customHeight="1">
      <c r="A1950" s="2976"/>
      <c r="B1950" s="1237"/>
      <c r="C1950" s="1237"/>
      <c r="D1950" s="1237"/>
      <c r="E1950" s="1237"/>
      <c r="F1950" s="1237"/>
      <c r="G1950" s="1237"/>
      <c r="H1950" s="1237"/>
      <c r="I1950" s="1237"/>
      <c r="J1950" s="1237"/>
      <c r="K1950" s="1237"/>
      <c r="L1950" s="1237"/>
      <c r="M1950" s="1237"/>
      <c r="N1950" s="1237"/>
      <c r="O1950" s="2024"/>
      <c r="P1950" s="2947"/>
      <c r="Q1950" s="1238"/>
      <c r="R1950" s="1549"/>
    </row>
    <row r="1951" spans="1:18" ht="18.75" customHeight="1">
      <c r="A1951" s="2976"/>
      <c r="B1951" s="1237"/>
      <c r="C1951" s="1237"/>
      <c r="D1951" s="1237"/>
      <c r="E1951" s="1237"/>
      <c r="F1951" s="1237"/>
      <c r="G1951" s="1237"/>
      <c r="H1951" s="1237"/>
      <c r="I1951" s="1237"/>
      <c r="J1951" s="1237"/>
      <c r="K1951" s="1237"/>
      <c r="L1951" s="1237"/>
      <c r="M1951" s="1237"/>
      <c r="N1951" s="1237"/>
      <c r="O1951" s="2024"/>
      <c r="P1951" s="2947"/>
      <c r="Q1951" s="1238"/>
      <c r="R1951" s="1549"/>
    </row>
    <row r="1952" spans="1:18" ht="18.75" customHeight="1">
      <c r="A1952" s="2976"/>
      <c r="B1952" s="1237"/>
      <c r="C1952" s="1237"/>
      <c r="D1952" s="1237"/>
      <c r="E1952" s="1237"/>
      <c r="F1952" s="1237"/>
      <c r="G1952" s="1237"/>
      <c r="H1952" s="1237"/>
      <c r="I1952" s="1237"/>
      <c r="J1952" s="1237"/>
      <c r="K1952" s="2945"/>
      <c r="L1952" s="2945"/>
      <c r="M1952" s="2945"/>
      <c r="N1952" s="1237"/>
      <c r="O1952" s="2024"/>
      <c r="P1952" s="2947"/>
      <c r="Q1952" s="1238"/>
      <c r="R1952" s="1549"/>
    </row>
    <row r="1953" spans="1:18" ht="18.75" customHeight="1">
      <c r="A1953" s="2976"/>
      <c r="B1953" s="1237"/>
      <c r="C1953" s="1237"/>
      <c r="D1953" s="1237"/>
      <c r="E1953" s="1237"/>
      <c r="F1953" s="1237"/>
      <c r="G1953" s="1237"/>
      <c r="H1953" s="1237"/>
      <c r="I1953" s="1237"/>
      <c r="J1953" s="1237"/>
      <c r="K1953" s="1237"/>
      <c r="L1953" s="1237"/>
      <c r="M1953" s="1237"/>
      <c r="N1953" s="1237"/>
      <c r="O1953" s="2024"/>
      <c r="P1953" s="2948"/>
      <c r="Q1953" s="1238"/>
      <c r="R1953" s="1549"/>
    </row>
    <row r="1954" spans="1:18" ht="18.75" customHeight="1">
      <c r="A1954" s="2976"/>
      <c r="B1954" s="1237"/>
      <c r="C1954" s="1237"/>
      <c r="D1954" s="1237"/>
      <c r="E1954" s="1237"/>
      <c r="F1954" s="1237"/>
      <c r="G1954" s="1237"/>
      <c r="H1954" s="1237"/>
      <c r="I1954" s="1237"/>
      <c r="J1954" s="1237"/>
      <c r="K1954" s="1237"/>
      <c r="L1954" s="1237"/>
      <c r="M1954" s="1237"/>
      <c r="N1954" s="1237"/>
      <c r="O1954" s="2024"/>
      <c r="P1954" s="2946"/>
      <c r="Q1954" s="1238"/>
      <c r="R1954" s="1549"/>
    </row>
    <row r="1955" spans="1:18" ht="18.75" customHeight="1">
      <c r="A1955" s="2976"/>
      <c r="B1955" s="1237"/>
      <c r="C1955" s="1237"/>
      <c r="D1955" s="1237"/>
      <c r="E1955" s="1237"/>
      <c r="F1955" s="1237"/>
      <c r="G1955" s="1237"/>
      <c r="H1955" s="1237"/>
      <c r="I1955" s="1237"/>
      <c r="J1955" s="1237"/>
      <c r="K1955" s="1237"/>
      <c r="L1955" s="1237"/>
      <c r="M1955" s="1237"/>
      <c r="N1955" s="1237"/>
      <c r="O1955" s="2024"/>
      <c r="P1955" s="2947"/>
      <c r="Q1955" s="1238"/>
      <c r="R1955" s="1549"/>
    </row>
    <row r="1956" spans="1:18" ht="18.75" customHeight="1">
      <c r="A1956" s="2976"/>
      <c r="B1956" s="1237"/>
      <c r="C1956" s="1237"/>
      <c r="D1956" s="1237"/>
      <c r="E1956" s="1237"/>
      <c r="F1956" s="1237"/>
      <c r="G1956" s="1237"/>
      <c r="H1956" s="1237"/>
      <c r="I1956" s="1237"/>
      <c r="J1956" s="1237"/>
      <c r="K1956" s="1237"/>
      <c r="L1956" s="1237"/>
      <c r="M1956" s="1237"/>
      <c r="N1956" s="1237"/>
      <c r="O1956" s="2024"/>
      <c r="P1956" s="2947"/>
      <c r="Q1956" s="1238"/>
      <c r="R1956" s="1549"/>
    </row>
    <row r="1957" spans="1:18" ht="18.75" customHeight="1">
      <c r="A1957" s="2976"/>
      <c r="B1957" s="1237"/>
      <c r="C1957" s="1237"/>
      <c r="D1957" s="1237"/>
      <c r="E1957" s="1237"/>
      <c r="F1957" s="1237"/>
      <c r="G1957" s="1237"/>
      <c r="H1957" s="1237"/>
      <c r="I1957" s="1237"/>
      <c r="J1957" s="1237"/>
      <c r="K1957" s="1237"/>
      <c r="L1957" s="1237"/>
      <c r="M1957" s="1237"/>
      <c r="N1957" s="1237"/>
      <c r="O1957" s="2024"/>
      <c r="P1957" s="2947"/>
      <c r="Q1957" s="1238"/>
      <c r="R1957" s="1549"/>
    </row>
    <row r="1958" spans="1:18" ht="18.75" customHeight="1">
      <c r="A1958" s="2976"/>
      <c r="B1958" s="1237"/>
      <c r="C1958" s="1237"/>
      <c r="D1958" s="1237"/>
      <c r="E1958" s="1237"/>
      <c r="F1958" s="1237"/>
      <c r="G1958" s="1237"/>
      <c r="H1958" s="1237"/>
      <c r="I1958" s="1237"/>
      <c r="J1958" s="1237"/>
      <c r="K1958" s="1237"/>
      <c r="L1958" s="1237"/>
      <c r="M1958" s="1237"/>
      <c r="N1958" s="1237"/>
      <c r="O1958" s="2024"/>
      <c r="P1958" s="2947"/>
      <c r="Q1958" s="1238"/>
      <c r="R1958" s="1549"/>
    </row>
    <row r="1959" spans="1:18" ht="18.75" customHeight="1">
      <c r="A1959" s="2976"/>
      <c r="B1959" s="1237"/>
      <c r="C1959" s="1237"/>
      <c r="D1959" s="1237"/>
      <c r="E1959" s="1237"/>
      <c r="F1959" s="1237"/>
      <c r="G1959" s="1237"/>
      <c r="H1959" s="1237"/>
      <c r="I1959" s="1237"/>
      <c r="J1959" s="1237"/>
      <c r="K1959" s="1237"/>
      <c r="L1959" s="1237"/>
      <c r="M1959" s="1237"/>
      <c r="N1959" s="1237"/>
      <c r="O1959" s="2024"/>
      <c r="P1959" s="2947"/>
      <c r="Q1959" s="1238"/>
      <c r="R1959" s="1549"/>
    </row>
    <row r="1960" spans="1:18" ht="18.75" customHeight="1">
      <c r="A1960" s="2976"/>
      <c r="B1960" s="1237"/>
      <c r="C1960" s="1237"/>
      <c r="D1960" s="1237"/>
      <c r="E1960" s="1237"/>
      <c r="F1960" s="1237"/>
      <c r="G1960" s="1237"/>
      <c r="H1960" s="1237"/>
      <c r="I1960" s="1237"/>
      <c r="J1960" s="1237"/>
      <c r="K1960" s="1237"/>
      <c r="L1960" s="1237"/>
      <c r="M1960" s="1237"/>
      <c r="N1960" s="1237"/>
      <c r="O1960" s="2024"/>
      <c r="P1960" s="2947"/>
      <c r="Q1960" s="1238"/>
      <c r="R1960" s="1549"/>
    </row>
    <row r="1961" spans="1:18" ht="18.75" customHeight="1">
      <c r="A1961" s="2976"/>
      <c r="B1961" s="1237"/>
      <c r="C1961" s="1237"/>
      <c r="D1961" s="1237"/>
      <c r="E1961" s="1237"/>
      <c r="F1961" s="1237"/>
      <c r="G1961" s="1237"/>
      <c r="H1961" s="1237"/>
      <c r="I1961" s="1237"/>
      <c r="J1961" s="1237"/>
      <c r="K1961" s="1237"/>
      <c r="L1961" s="1237"/>
      <c r="M1961" s="1237"/>
      <c r="N1961" s="1237"/>
      <c r="O1961" s="2024"/>
      <c r="P1961" s="2947"/>
      <c r="Q1961" s="1238"/>
      <c r="R1961" s="1549"/>
    </row>
    <row r="1962" spans="1:18" ht="18.75" customHeight="1">
      <c r="A1962" s="2976"/>
      <c r="B1962" s="1237"/>
      <c r="C1962" s="1237"/>
      <c r="D1962" s="1237"/>
      <c r="E1962" s="1237"/>
      <c r="F1962" s="1237"/>
      <c r="G1962" s="1237"/>
      <c r="H1962" s="1237"/>
      <c r="I1962" s="1237"/>
      <c r="J1962" s="1237"/>
      <c r="K1962" s="2945"/>
      <c r="L1962" s="2945"/>
      <c r="M1962" s="2945"/>
      <c r="N1962" s="1237"/>
      <c r="O1962" s="2024"/>
      <c r="P1962" s="2947"/>
      <c r="Q1962" s="1238"/>
      <c r="R1962" s="1549"/>
    </row>
    <row r="1963" spans="1:18" ht="18.75" customHeight="1">
      <c r="A1963" s="2976"/>
      <c r="B1963" s="1237"/>
      <c r="C1963" s="1237"/>
      <c r="D1963" s="1237"/>
      <c r="E1963" s="1237"/>
      <c r="F1963" s="1237"/>
      <c r="G1963" s="1237"/>
      <c r="H1963" s="1237"/>
      <c r="I1963" s="1237"/>
      <c r="J1963" s="1237"/>
      <c r="K1963" s="1237"/>
      <c r="L1963" s="1237"/>
      <c r="M1963" s="1237"/>
      <c r="N1963" s="1237"/>
      <c r="O1963" s="2024"/>
      <c r="P1963" s="2947"/>
      <c r="Q1963" s="1238"/>
      <c r="R1963" s="1549"/>
    </row>
    <row r="1964" spans="1:18" ht="18.75" customHeight="1">
      <c r="A1964" s="2976"/>
      <c r="B1964" s="1237"/>
      <c r="C1964" s="1237"/>
      <c r="D1964" s="1237"/>
      <c r="E1964" s="1237"/>
      <c r="F1964" s="1237"/>
      <c r="G1964" s="1237"/>
      <c r="H1964" s="1237"/>
      <c r="I1964" s="1237"/>
      <c r="J1964" s="1237"/>
      <c r="K1964" s="1237"/>
      <c r="L1964" s="1237"/>
      <c r="M1964" s="1237"/>
      <c r="N1964" s="1237"/>
      <c r="O1964" s="2024"/>
      <c r="P1964" s="2948"/>
      <c r="Q1964" s="1238"/>
      <c r="R1964" s="1549"/>
    </row>
    <row r="1965" spans="1:18" ht="18.75" customHeight="1">
      <c r="A1965" s="2976"/>
      <c r="B1965" s="1237"/>
      <c r="C1965" s="1237"/>
      <c r="D1965" s="1237"/>
      <c r="E1965" s="1237"/>
      <c r="F1965" s="1237"/>
      <c r="G1965" s="1237"/>
      <c r="H1965" s="1237"/>
      <c r="I1965" s="1237"/>
      <c r="J1965" s="1237"/>
      <c r="K1965" s="1237"/>
      <c r="L1965" s="1237"/>
      <c r="M1965" s="1237"/>
      <c r="N1965" s="1237"/>
      <c r="O1965" s="2024"/>
      <c r="P1965" s="2946"/>
      <c r="Q1965" s="1238"/>
      <c r="R1965" s="1549"/>
    </row>
    <row r="1966" spans="1:18" ht="18.75" customHeight="1">
      <c r="A1966" s="2976"/>
      <c r="B1966" s="1237"/>
      <c r="C1966" s="1237"/>
      <c r="D1966" s="1237"/>
      <c r="E1966" s="1237"/>
      <c r="F1966" s="1237"/>
      <c r="G1966" s="1237"/>
      <c r="H1966" s="1237"/>
      <c r="I1966" s="1237"/>
      <c r="J1966" s="1237"/>
      <c r="K1966" s="1237"/>
      <c r="L1966" s="1237"/>
      <c r="M1966" s="1237"/>
      <c r="N1966" s="1237"/>
      <c r="O1966" s="2024"/>
      <c r="P1966" s="2947"/>
      <c r="Q1966" s="1238"/>
      <c r="R1966" s="1549"/>
    </row>
    <row r="1967" spans="1:18" ht="18.75" customHeight="1">
      <c r="A1967" s="2976"/>
      <c r="B1967" s="1237"/>
      <c r="C1967" s="1237"/>
      <c r="D1967" s="1237"/>
      <c r="E1967" s="1237"/>
      <c r="F1967" s="1237"/>
      <c r="G1967" s="1237"/>
      <c r="H1967" s="1237"/>
      <c r="I1967" s="1237"/>
      <c r="J1967" s="1237"/>
      <c r="K1967" s="2945"/>
      <c r="L1967" s="2945"/>
      <c r="M1967" s="2945"/>
      <c r="N1967" s="1237"/>
      <c r="O1967" s="2024"/>
      <c r="P1967" s="2947"/>
      <c r="Q1967" s="1238"/>
      <c r="R1967" s="1549"/>
    </row>
    <row r="1968" spans="1:18" ht="18.75" customHeight="1">
      <c r="A1968" s="2976"/>
      <c r="B1968" s="1237"/>
      <c r="C1968" s="1237"/>
      <c r="D1968" s="1237"/>
      <c r="E1968" s="1237"/>
      <c r="F1968" s="1237"/>
      <c r="G1968" s="1237"/>
      <c r="H1968" s="1237"/>
      <c r="I1968" s="1237"/>
      <c r="J1968" s="1237"/>
      <c r="K1968" s="1237"/>
      <c r="L1968" s="1237"/>
      <c r="M1968" s="1237"/>
      <c r="N1968" s="1237"/>
      <c r="O1968" s="2024"/>
      <c r="P1968" s="2947"/>
      <c r="Q1968" s="1238"/>
      <c r="R1968" s="1549"/>
    </row>
    <row r="1969" spans="1:18" ht="18.75" customHeight="1" thickBot="1">
      <c r="A1969" s="2977"/>
      <c r="B1969" s="1540"/>
      <c r="C1969" s="1540"/>
      <c r="D1969" s="1540"/>
      <c r="E1969" s="1540"/>
      <c r="F1969" s="1540"/>
      <c r="G1969" s="1540"/>
      <c r="H1969" s="1540"/>
      <c r="I1969" s="1540"/>
      <c r="J1969" s="1540"/>
      <c r="K1969" s="1540"/>
      <c r="L1969" s="1540"/>
      <c r="M1969" s="1540"/>
      <c r="N1969" s="1540"/>
      <c r="O1969" s="2025"/>
      <c r="P1969" s="2947"/>
      <c r="Q1969" s="1541"/>
      <c r="R1969" s="2275"/>
    </row>
    <row r="1970" spans="1:18" ht="18.75" customHeight="1">
      <c r="A1970" s="2981"/>
      <c r="B1970" s="1585"/>
      <c r="C1970" s="1585"/>
      <c r="D1970" s="1585"/>
      <c r="E1970" s="1585"/>
      <c r="F1970" s="1585"/>
      <c r="G1970" s="1585"/>
      <c r="H1970" s="1585"/>
      <c r="I1970" s="1585"/>
      <c r="J1970" s="1585"/>
      <c r="K1970" s="1585"/>
      <c r="L1970" s="1585"/>
      <c r="M1970" s="1585"/>
      <c r="N1970" s="1585"/>
      <c r="O1970" s="2276"/>
      <c r="P1970" s="2277"/>
      <c r="Q1970" s="1586"/>
      <c r="R1970" s="1587"/>
    </row>
    <row r="1971" spans="1:18" ht="18.75" customHeight="1">
      <c r="A1971" s="2982"/>
      <c r="B1971" s="1237"/>
      <c r="C1971" s="1237"/>
      <c r="D1971" s="1237"/>
      <c r="E1971" s="1237"/>
      <c r="F1971" s="1237"/>
      <c r="G1971" s="1237"/>
      <c r="H1971" s="1237"/>
      <c r="I1971" s="1237"/>
      <c r="J1971" s="1237"/>
      <c r="K1971" s="1237"/>
      <c r="L1971" s="1237"/>
      <c r="M1971" s="1237"/>
      <c r="N1971" s="1237"/>
      <c r="O1971" s="2262"/>
      <c r="P1971" s="2022"/>
      <c r="Q1971" s="1238"/>
      <c r="R1971" s="1239"/>
    </row>
    <row r="1972" spans="1:18" ht="18.75" customHeight="1">
      <c r="A1972" s="2982"/>
      <c r="B1972" s="1237"/>
      <c r="C1972" s="1237"/>
      <c r="D1972" s="1237"/>
      <c r="E1972" s="1237"/>
      <c r="F1972" s="1237"/>
      <c r="G1972" s="1237"/>
      <c r="H1972" s="1237"/>
      <c r="I1972" s="1237"/>
      <c r="J1972" s="2945"/>
      <c r="K1972" s="2945"/>
      <c r="L1972" s="2945"/>
      <c r="M1972" s="2945"/>
      <c r="N1972" s="1237"/>
      <c r="O1972" s="2262"/>
      <c r="P1972" s="2022"/>
      <c r="Q1972" s="1238"/>
      <c r="R1972" s="1239"/>
    </row>
    <row r="1973" spans="1:18" ht="18.75" customHeight="1">
      <c r="A1973" s="2982"/>
      <c r="B1973" s="1237"/>
      <c r="C1973" s="1237"/>
      <c r="D1973" s="1237"/>
      <c r="E1973" s="1237"/>
      <c r="F1973" s="1237"/>
      <c r="G1973" s="1237"/>
      <c r="H1973" s="1237"/>
      <c r="I1973" s="1237"/>
      <c r="J1973" s="1237"/>
      <c r="K1973" s="1237"/>
      <c r="L1973" s="1237"/>
      <c r="M1973" s="1237"/>
      <c r="N1973" s="1237"/>
      <c r="O1973" s="2262"/>
      <c r="P1973" s="2022"/>
      <c r="Q1973" s="1238"/>
      <c r="R1973" s="1239"/>
    </row>
    <row r="1974" spans="1:18" ht="18.75" customHeight="1">
      <c r="A1974" s="2982"/>
      <c r="B1974" s="1237"/>
      <c r="C1974" s="1237"/>
      <c r="D1974" s="1237"/>
      <c r="E1974" s="1237"/>
      <c r="F1974" s="1237"/>
      <c r="G1974" s="1237"/>
      <c r="H1974" s="1237"/>
      <c r="I1974" s="1237"/>
      <c r="J1974" s="1237"/>
      <c r="K1974" s="1237"/>
      <c r="L1974" s="1237"/>
      <c r="M1974" s="1237"/>
      <c r="N1974" s="1237"/>
      <c r="O1974" s="2262"/>
      <c r="P1974" s="2022"/>
      <c r="Q1974" s="1238"/>
      <c r="R1974" s="1239"/>
    </row>
    <row r="1975" spans="1:18" ht="18.75" customHeight="1">
      <c r="A1975" s="2982"/>
      <c r="B1975" s="1237"/>
      <c r="C1975" s="1237"/>
      <c r="D1975" s="1237"/>
      <c r="E1975" s="1237"/>
      <c r="F1975" s="1237"/>
      <c r="G1975" s="1237"/>
      <c r="H1975" s="1237"/>
      <c r="I1975" s="1237"/>
      <c r="J1975" s="1237"/>
      <c r="K1975" s="1237"/>
      <c r="L1975" s="1237"/>
      <c r="M1975" s="1237"/>
      <c r="N1975" s="1237"/>
      <c r="O1975" s="2262"/>
      <c r="P1975" s="2022"/>
      <c r="Q1975" s="1238"/>
      <c r="R1975" s="1239"/>
    </row>
    <row r="1976" spans="1:18" ht="18.75" customHeight="1">
      <c r="A1976" s="2982"/>
      <c r="B1976" s="1237"/>
      <c r="C1976" s="1237"/>
      <c r="D1976" s="1237"/>
      <c r="E1976" s="1237"/>
      <c r="F1976" s="1237"/>
      <c r="G1976" s="1237"/>
      <c r="H1976" s="1237"/>
      <c r="I1976" s="1237"/>
      <c r="J1976" s="1237"/>
      <c r="K1976" s="1237"/>
      <c r="L1976" s="1237"/>
      <c r="M1976" s="1237"/>
      <c r="N1976" s="1237"/>
      <c r="O1976" s="2262"/>
      <c r="P1976" s="2022"/>
      <c r="Q1976" s="1238"/>
      <c r="R1976" s="1239"/>
    </row>
    <row r="1977" spans="1:18" ht="18.75" customHeight="1">
      <c r="A1977" s="2982"/>
      <c r="B1977" s="1237"/>
      <c r="C1977" s="1237"/>
      <c r="D1977" s="1237"/>
      <c r="E1977" s="1237"/>
      <c r="F1977" s="1237"/>
      <c r="G1977" s="1237"/>
      <c r="H1977" s="1237"/>
      <c r="I1977" s="1237"/>
      <c r="J1977" s="1237"/>
      <c r="K1977" s="1237"/>
      <c r="L1977" s="1237"/>
      <c r="M1977" s="1237"/>
      <c r="N1977" s="1237"/>
      <c r="O1977" s="2262"/>
      <c r="P1977" s="2022"/>
      <c r="Q1977" s="1238"/>
      <c r="R1977" s="1239"/>
    </row>
    <row r="1978" spans="1:18" ht="18.75" customHeight="1">
      <c r="A1978" s="2982"/>
      <c r="B1978" s="1237"/>
      <c r="C1978" s="1237"/>
      <c r="D1978" s="1237"/>
      <c r="E1978" s="1237"/>
      <c r="F1978" s="1237"/>
      <c r="G1978" s="1237"/>
      <c r="H1978" s="1237"/>
      <c r="I1978" s="1237"/>
      <c r="J1978" s="1237"/>
      <c r="K1978" s="1237"/>
      <c r="L1978" s="1237"/>
      <c r="M1978" s="1237"/>
      <c r="N1978" s="1237"/>
      <c r="O1978" s="2262"/>
      <c r="P1978" s="2022"/>
      <c r="Q1978" s="1238"/>
      <c r="R1978" s="1239"/>
    </row>
    <row r="1979" spans="1:18" ht="18.75" customHeight="1">
      <c r="A1979" s="2982"/>
      <c r="B1979" s="1237"/>
      <c r="C1979" s="1237"/>
      <c r="D1979" s="1237"/>
      <c r="E1979" s="1237"/>
      <c r="F1979" s="1237"/>
      <c r="G1979" s="1237"/>
      <c r="H1979" s="1237"/>
      <c r="I1979" s="1237"/>
      <c r="J1979" s="1237"/>
      <c r="K1979" s="1237"/>
      <c r="L1979" s="1237"/>
      <c r="M1979" s="1237"/>
      <c r="N1979" s="1237"/>
      <c r="O1979" s="2262"/>
      <c r="P1979" s="2022"/>
      <c r="Q1979" s="1238"/>
      <c r="R1979" s="1239"/>
    </row>
    <row r="1980" spans="1:18" ht="18.75" customHeight="1">
      <c r="A1980" s="2982"/>
      <c r="B1980" s="1237"/>
      <c r="C1980" s="1237"/>
      <c r="D1980" s="1237"/>
      <c r="E1980" s="1237"/>
      <c r="F1980" s="1237"/>
      <c r="G1980" s="1237"/>
      <c r="H1980" s="1237"/>
      <c r="I1980" s="1237"/>
      <c r="J1980" s="1237"/>
      <c r="K1980" s="1237"/>
      <c r="L1980" s="1237"/>
      <c r="M1980" s="1237"/>
      <c r="N1980" s="1237"/>
      <c r="O1980" s="2262"/>
      <c r="P1980" s="2022"/>
      <c r="Q1980" s="1238"/>
      <c r="R1980" s="1239"/>
    </row>
    <row r="1981" spans="1:18" ht="18.75" customHeight="1">
      <c r="A1981" s="2982"/>
      <c r="B1981" s="1237"/>
      <c r="C1981" s="1237"/>
      <c r="D1981" s="1237"/>
      <c r="E1981" s="1237"/>
      <c r="F1981" s="1237"/>
      <c r="G1981" s="1237"/>
      <c r="H1981" s="1237"/>
      <c r="I1981" s="1237"/>
      <c r="J1981" s="1237"/>
      <c r="K1981" s="1237"/>
      <c r="L1981" s="1237"/>
      <c r="M1981" s="1237"/>
      <c r="N1981" s="1237"/>
      <c r="O1981" s="2262"/>
      <c r="P1981" s="2022"/>
      <c r="Q1981" s="1238"/>
      <c r="R1981" s="1239"/>
    </row>
    <row r="1982" spans="1:18" ht="18.75" customHeight="1">
      <c r="A1982" s="2982"/>
      <c r="B1982" s="1237"/>
      <c r="C1982" s="1237"/>
      <c r="D1982" s="1237"/>
      <c r="E1982" s="1237"/>
      <c r="F1982" s="1237"/>
      <c r="G1982" s="1237"/>
      <c r="H1982" s="1237"/>
      <c r="I1982" s="1237"/>
      <c r="J1982" s="2945"/>
      <c r="K1982" s="2945"/>
      <c r="L1982" s="2945"/>
      <c r="M1982" s="2945"/>
      <c r="N1982" s="1237"/>
      <c r="O1982" s="2262"/>
      <c r="P1982" s="2022"/>
      <c r="Q1982" s="1238"/>
      <c r="R1982" s="1239"/>
    </row>
    <row r="1983" spans="1:18" ht="18.75" customHeight="1">
      <c r="A1983" s="2982"/>
      <c r="B1983" s="1237"/>
      <c r="C1983" s="1237"/>
      <c r="D1983" s="1237"/>
      <c r="E1983" s="1237"/>
      <c r="F1983" s="1237"/>
      <c r="G1983" s="1237"/>
      <c r="H1983" s="1237"/>
      <c r="I1983" s="1237"/>
      <c r="J1983" s="1237"/>
      <c r="K1983" s="1237"/>
      <c r="L1983" s="1237"/>
      <c r="M1983" s="1237"/>
      <c r="N1983" s="1237"/>
      <c r="O1983" s="2262"/>
      <c r="P1983" s="2022"/>
      <c r="Q1983" s="1238"/>
      <c r="R1983" s="1239"/>
    </row>
    <row r="1984" spans="1:18" ht="18.75" customHeight="1">
      <c r="A1984" s="2982"/>
      <c r="B1984" s="1237"/>
      <c r="C1984" s="1237"/>
      <c r="D1984" s="1237"/>
      <c r="E1984" s="1237"/>
      <c r="F1984" s="1237"/>
      <c r="G1984" s="1237"/>
      <c r="H1984" s="1237"/>
      <c r="I1984" s="1237"/>
      <c r="J1984" s="1237"/>
      <c r="K1984" s="1237"/>
      <c r="L1984" s="1237"/>
      <c r="M1984" s="1237"/>
      <c r="N1984" s="1237"/>
      <c r="O1984" s="2262"/>
      <c r="P1984" s="2022"/>
      <c r="Q1984" s="1238"/>
      <c r="R1984" s="1239"/>
    </row>
    <row r="1985" spans="1:18" ht="18.75" customHeight="1">
      <c r="A1985" s="2982"/>
      <c r="B1985" s="1237"/>
      <c r="C1985" s="1237"/>
      <c r="D1985" s="1237"/>
      <c r="E1985" s="1237"/>
      <c r="F1985" s="1237"/>
      <c r="G1985" s="1237"/>
      <c r="H1985" s="1237"/>
      <c r="I1985" s="1237"/>
      <c r="J1985" s="1237"/>
      <c r="K1985" s="1237"/>
      <c r="L1985" s="1237"/>
      <c r="M1985" s="1237"/>
      <c r="N1985" s="1237"/>
      <c r="O1985" s="2262"/>
      <c r="P1985" s="2022"/>
      <c r="Q1985" s="1238"/>
      <c r="R1985" s="1239"/>
    </row>
    <row r="1986" spans="1:18" ht="18.75" customHeight="1">
      <c r="A1986" s="2982"/>
      <c r="B1986" s="1237"/>
      <c r="C1986" s="1237"/>
      <c r="D1986" s="1237"/>
      <c r="E1986" s="1237"/>
      <c r="F1986" s="1237"/>
      <c r="G1986" s="1237"/>
      <c r="H1986" s="1237"/>
      <c r="I1986" s="1237"/>
      <c r="J1986" s="1237"/>
      <c r="K1986" s="1237"/>
      <c r="L1986" s="1237"/>
      <c r="M1986" s="1237"/>
      <c r="N1986" s="1237"/>
      <c r="O1986" s="2262"/>
      <c r="P1986" s="2022"/>
      <c r="Q1986" s="1238"/>
      <c r="R1986" s="1239"/>
    </row>
    <row r="1987" spans="1:18" ht="18.75" customHeight="1">
      <c r="A1987" s="2982"/>
      <c r="B1987" s="1237"/>
      <c r="C1987" s="1237"/>
      <c r="D1987" s="1237"/>
      <c r="E1987" s="1237"/>
      <c r="F1987" s="1237"/>
      <c r="G1987" s="1237"/>
      <c r="H1987" s="1237"/>
      <c r="I1987" s="1237"/>
      <c r="J1987" s="2945"/>
      <c r="K1987" s="2945"/>
      <c r="L1987" s="2945"/>
      <c r="M1987" s="2945"/>
      <c r="N1987" s="1237"/>
      <c r="O1987" s="2262"/>
      <c r="P1987" s="2022"/>
      <c r="Q1987" s="1238"/>
      <c r="R1987" s="1239"/>
    </row>
    <row r="1988" spans="1:18" ht="18.75" customHeight="1">
      <c r="A1988" s="2982"/>
      <c r="B1988" s="1237"/>
      <c r="C1988" s="1237"/>
      <c r="D1988" s="1237"/>
      <c r="E1988" s="1237"/>
      <c r="F1988" s="1237"/>
      <c r="G1988" s="1237"/>
      <c r="H1988" s="1237"/>
      <c r="I1988" s="1237"/>
      <c r="J1988" s="1237"/>
      <c r="K1988" s="1237"/>
      <c r="L1988" s="1237"/>
      <c r="M1988" s="1237"/>
      <c r="N1988" s="1237"/>
      <c r="O1988" s="2262"/>
      <c r="P1988" s="2022"/>
      <c r="Q1988" s="1238"/>
      <c r="R1988" s="1239"/>
    </row>
    <row r="1989" spans="1:18" ht="18.75" customHeight="1">
      <c r="A1989" s="2982"/>
      <c r="B1989" s="1237"/>
      <c r="C1989" s="1237"/>
      <c r="D1989" s="1237"/>
      <c r="E1989" s="1237"/>
      <c r="F1989" s="1237"/>
      <c r="G1989" s="1237"/>
      <c r="H1989" s="1237"/>
      <c r="I1989" s="1237"/>
      <c r="J1989" s="1237"/>
      <c r="K1989" s="1237"/>
      <c r="L1989" s="1237"/>
      <c r="M1989" s="1237"/>
      <c r="N1989" s="1237"/>
      <c r="O1989" s="2262"/>
      <c r="P1989" s="2022"/>
      <c r="Q1989" s="1238"/>
      <c r="R1989" s="1239"/>
    </row>
    <row r="1990" spans="1:18" ht="18.75" customHeight="1">
      <c r="A1990" s="2982"/>
      <c r="B1990" s="1237"/>
      <c r="C1990" s="1237"/>
      <c r="D1990" s="1237"/>
      <c r="E1990" s="1237"/>
      <c r="F1990" s="1237"/>
      <c r="G1990" s="1237"/>
      <c r="H1990" s="1237"/>
      <c r="I1990" s="1237"/>
      <c r="J1990" s="1237"/>
      <c r="K1990" s="1237"/>
      <c r="L1990" s="1237"/>
      <c r="M1990" s="1237"/>
      <c r="N1990" s="1237"/>
      <c r="O1990" s="2262"/>
      <c r="P1990" s="2022"/>
      <c r="Q1990" s="1238"/>
      <c r="R1990" s="1239"/>
    </row>
    <row r="1991" spans="1:18" ht="18.75" customHeight="1">
      <c r="A1991" s="2982"/>
      <c r="B1991" s="1237"/>
      <c r="C1991" s="1237"/>
      <c r="D1991" s="1237"/>
      <c r="E1991" s="1237"/>
      <c r="F1991" s="1237"/>
      <c r="G1991" s="1237"/>
      <c r="H1991" s="1237"/>
      <c r="I1991" s="1237"/>
      <c r="J1991" s="1237"/>
      <c r="K1991" s="1237"/>
      <c r="L1991" s="1237"/>
      <c r="M1991" s="1237"/>
      <c r="N1991" s="1237"/>
      <c r="O1991" s="2262"/>
      <c r="P1991" s="2022"/>
      <c r="Q1991" s="1238"/>
      <c r="R1991" s="1239"/>
    </row>
    <row r="1992" spans="1:18" ht="18.75" customHeight="1">
      <c r="A1992" s="2982"/>
      <c r="B1992" s="1237"/>
      <c r="C1992" s="1237"/>
      <c r="D1992" s="1237"/>
      <c r="E1992" s="1237"/>
      <c r="F1992" s="1237"/>
      <c r="G1992" s="1237"/>
      <c r="H1992" s="1237"/>
      <c r="I1992" s="1237"/>
      <c r="J1992" s="2945"/>
      <c r="K1992" s="2945"/>
      <c r="L1992" s="2945"/>
      <c r="M1992" s="2945"/>
      <c r="N1992" s="1237"/>
      <c r="O1992" s="2262"/>
      <c r="P1992" s="2022"/>
      <c r="Q1992" s="1238"/>
      <c r="R1992" s="1239"/>
    </row>
    <row r="1993" spans="1:18" ht="18.75" customHeight="1">
      <c r="A1993" s="2982"/>
      <c r="B1993" s="1237"/>
      <c r="C1993" s="1237"/>
      <c r="D1993" s="1237"/>
      <c r="E1993" s="1237"/>
      <c r="F1993" s="1237"/>
      <c r="G1993" s="1237"/>
      <c r="H1993" s="1237"/>
      <c r="I1993" s="1237"/>
      <c r="J1993" s="1237"/>
      <c r="K1993" s="1237"/>
      <c r="L1993" s="1237"/>
      <c r="M1993" s="1237"/>
      <c r="N1993" s="1237"/>
      <c r="O1993" s="2262"/>
      <c r="P1993" s="2022"/>
      <c r="Q1993" s="1238"/>
      <c r="R1993" s="1239"/>
    </row>
    <row r="1994" spans="1:18" ht="18.75" customHeight="1">
      <c r="A1994" s="2982"/>
      <c r="B1994" s="1237"/>
      <c r="C1994" s="1237"/>
      <c r="D1994" s="1237"/>
      <c r="E1994" s="1237"/>
      <c r="F1994" s="1237"/>
      <c r="G1994" s="1237"/>
      <c r="H1994" s="1237"/>
      <c r="I1994" s="1237"/>
      <c r="J1994" s="1237"/>
      <c r="K1994" s="1237"/>
      <c r="L1994" s="1237"/>
      <c r="M1994" s="1237"/>
      <c r="N1994" s="1237"/>
      <c r="O1994" s="2262"/>
      <c r="P1994" s="2022"/>
      <c r="Q1994" s="1238"/>
      <c r="R1994" s="1239"/>
    </row>
    <row r="1995" spans="1:18" ht="18.75" customHeight="1">
      <c r="A1995" s="2982"/>
      <c r="B1995" s="1237"/>
      <c r="C1995" s="1237"/>
      <c r="D1995" s="1237"/>
      <c r="E1995" s="1237"/>
      <c r="F1995" s="1237"/>
      <c r="G1995" s="1237"/>
      <c r="H1995" s="1237"/>
      <c r="I1995" s="1237"/>
      <c r="J1995" s="1237"/>
      <c r="K1995" s="1237"/>
      <c r="L1995" s="1237"/>
      <c r="M1995" s="1237"/>
      <c r="N1995" s="1237"/>
      <c r="O1995" s="2262"/>
      <c r="P1995" s="2022"/>
      <c r="Q1995" s="1238"/>
      <c r="R1995" s="1239"/>
    </row>
    <row r="1996" spans="1:18" ht="18.75" customHeight="1">
      <c r="A1996" s="2982"/>
      <c r="B1996" s="1237"/>
      <c r="C1996" s="1237"/>
      <c r="D1996" s="1237"/>
      <c r="E1996" s="1237"/>
      <c r="F1996" s="1237"/>
      <c r="G1996" s="1237"/>
      <c r="H1996" s="1237"/>
      <c r="I1996" s="1237"/>
      <c r="J1996" s="1237"/>
      <c r="K1996" s="1237"/>
      <c r="L1996" s="1237"/>
      <c r="M1996" s="1237"/>
      <c r="N1996" s="1237"/>
      <c r="O1996" s="2262"/>
      <c r="P1996" s="2022"/>
      <c r="Q1996" s="1238"/>
      <c r="R1996" s="1239"/>
    </row>
    <row r="1997" spans="1:18" ht="18.75" customHeight="1">
      <c r="A1997" s="2982"/>
      <c r="B1997" s="1237"/>
      <c r="C1997" s="1237"/>
      <c r="D1997" s="1237"/>
      <c r="E1997" s="1237"/>
      <c r="F1997" s="1237"/>
      <c r="G1997" s="1237"/>
      <c r="H1997" s="1237"/>
      <c r="I1997" s="1237"/>
      <c r="J1997" s="1237"/>
      <c r="K1997" s="1237"/>
      <c r="L1997" s="1237"/>
      <c r="M1997" s="1237"/>
      <c r="N1997" s="1237"/>
      <c r="O1997" s="2262"/>
      <c r="P1997" s="2022"/>
      <c r="Q1997" s="1238"/>
      <c r="R1997" s="1239"/>
    </row>
    <row r="1998" spans="1:18" ht="18.75" customHeight="1">
      <c r="A1998" s="2982"/>
      <c r="B1998" s="1237"/>
      <c r="C1998" s="1237"/>
      <c r="D1998" s="1237"/>
      <c r="E1998" s="1237"/>
      <c r="F1998" s="1237"/>
      <c r="G1998" s="1237"/>
      <c r="H1998" s="1237"/>
      <c r="I1998" s="1237"/>
      <c r="J1998" s="1237"/>
      <c r="K1998" s="1237"/>
      <c r="L1998" s="1237"/>
      <c r="M1998" s="1237"/>
      <c r="N1998" s="1237"/>
      <c r="O1998" s="2262"/>
      <c r="P1998" s="2022"/>
      <c r="Q1998" s="1238"/>
      <c r="R1998" s="1239"/>
    </row>
    <row r="1999" spans="1:18" ht="18.75" customHeight="1">
      <c r="A1999" s="2982"/>
      <c r="B1999" s="1237"/>
      <c r="C1999" s="1237"/>
      <c r="D1999" s="1237"/>
      <c r="E1999" s="1237"/>
      <c r="F1999" s="1237"/>
      <c r="G1999" s="1237"/>
      <c r="H1999" s="1237"/>
      <c r="I1999" s="1237"/>
      <c r="J1999" s="1237"/>
      <c r="K1999" s="1237"/>
      <c r="L1999" s="1237"/>
      <c r="M1999" s="1237"/>
      <c r="N1999" s="1237"/>
      <c r="O1999" s="2262"/>
      <c r="P1999" s="2022"/>
      <c r="Q1999" s="1238"/>
      <c r="R1999" s="1239"/>
    </row>
    <row r="2000" spans="1:18" ht="18.75" customHeight="1">
      <c r="A2000" s="2982"/>
      <c r="B2000" s="1237"/>
      <c r="C2000" s="1237"/>
      <c r="D2000" s="1237"/>
      <c r="E2000" s="1237"/>
      <c r="F2000" s="1237"/>
      <c r="G2000" s="1237"/>
      <c r="H2000" s="1237"/>
      <c r="I2000" s="1237"/>
      <c r="J2000" s="1237"/>
      <c r="K2000" s="1237"/>
      <c r="L2000" s="1237"/>
      <c r="M2000" s="1237"/>
      <c r="N2000" s="1237"/>
      <c r="O2000" s="2262"/>
      <c r="P2000" s="2022"/>
      <c r="Q2000" s="1238"/>
      <c r="R2000" s="1239"/>
    </row>
    <row r="2001" spans="1:18" ht="18.75" customHeight="1">
      <c r="A2001" s="2982"/>
      <c r="B2001" s="1237"/>
      <c r="C2001" s="1237"/>
      <c r="D2001" s="1237"/>
      <c r="E2001" s="1237"/>
      <c r="F2001" s="1237"/>
      <c r="G2001" s="1237"/>
      <c r="H2001" s="1237"/>
      <c r="I2001" s="1237"/>
      <c r="J2001" s="1237"/>
      <c r="K2001" s="1237"/>
      <c r="L2001" s="1237"/>
      <c r="M2001" s="1237"/>
      <c r="N2001" s="1237"/>
      <c r="O2001" s="2262"/>
      <c r="P2001" s="2022"/>
      <c r="Q2001" s="1238"/>
      <c r="R2001" s="1239"/>
    </row>
    <row r="2002" spans="1:18" ht="18.75" customHeight="1">
      <c r="A2002" s="2982"/>
      <c r="B2002" s="1237"/>
      <c r="C2002" s="1237"/>
      <c r="D2002" s="1237"/>
      <c r="E2002" s="1237"/>
      <c r="F2002" s="1237"/>
      <c r="G2002" s="1237"/>
      <c r="H2002" s="1237"/>
      <c r="I2002" s="1237"/>
      <c r="J2002" s="2945"/>
      <c r="K2002" s="2945"/>
      <c r="L2002" s="2945"/>
      <c r="M2002" s="2945"/>
      <c r="N2002" s="1237"/>
      <c r="O2002" s="2262"/>
      <c r="P2002" s="2022"/>
      <c r="Q2002" s="1238"/>
      <c r="R2002" s="1239"/>
    </row>
    <row r="2003" spans="1:18" ht="18.75" customHeight="1">
      <c r="A2003" s="2982"/>
      <c r="B2003" s="1237"/>
      <c r="C2003" s="1237"/>
      <c r="D2003" s="1237"/>
      <c r="E2003" s="1237"/>
      <c r="F2003" s="1237"/>
      <c r="G2003" s="1237"/>
      <c r="H2003" s="1237"/>
      <c r="I2003" s="1237"/>
      <c r="J2003" s="1237"/>
      <c r="K2003" s="1237"/>
      <c r="L2003" s="1237"/>
      <c r="M2003" s="1237"/>
      <c r="N2003" s="1237"/>
      <c r="O2003" s="2262"/>
      <c r="P2003" s="2022"/>
      <c r="Q2003" s="1238"/>
      <c r="R2003" s="1239"/>
    </row>
    <row r="2004" spans="1:18" ht="18.75" customHeight="1">
      <c r="A2004" s="2982"/>
      <c r="B2004" s="1237"/>
      <c r="C2004" s="1237"/>
      <c r="D2004" s="1237"/>
      <c r="E2004" s="1237"/>
      <c r="F2004" s="1237"/>
      <c r="G2004" s="1237"/>
      <c r="H2004" s="1237"/>
      <c r="I2004" s="1237"/>
      <c r="J2004" s="1237"/>
      <c r="K2004" s="1237"/>
      <c r="L2004" s="1237"/>
      <c r="M2004" s="1237"/>
      <c r="N2004" s="1237"/>
      <c r="O2004" s="2262"/>
      <c r="P2004" s="2022"/>
      <c r="Q2004" s="1238"/>
      <c r="R2004" s="1239"/>
    </row>
    <row r="2005" spans="1:18" ht="18.75" customHeight="1">
      <c r="A2005" s="2982"/>
      <c r="B2005" s="1237"/>
      <c r="C2005" s="1237"/>
      <c r="D2005" s="1237"/>
      <c r="E2005" s="1237"/>
      <c r="F2005" s="1237"/>
      <c r="G2005" s="1237"/>
      <c r="H2005" s="1237"/>
      <c r="I2005" s="1237"/>
      <c r="J2005" s="1237"/>
      <c r="K2005" s="1237"/>
      <c r="L2005" s="1237"/>
      <c r="M2005" s="1237"/>
      <c r="N2005" s="1237"/>
      <c r="O2005" s="2262"/>
      <c r="P2005" s="2022"/>
      <c r="Q2005" s="1238"/>
      <c r="R2005" s="1239"/>
    </row>
    <row r="2006" spans="1:18" ht="18.75" customHeight="1">
      <c r="A2006" s="2982"/>
      <c r="B2006" s="1237"/>
      <c r="C2006" s="1237"/>
      <c r="D2006" s="1237"/>
      <c r="E2006" s="1237"/>
      <c r="F2006" s="1237"/>
      <c r="G2006" s="1237"/>
      <c r="H2006" s="1237"/>
      <c r="I2006" s="1237"/>
      <c r="J2006" s="1237"/>
      <c r="K2006" s="1237"/>
      <c r="L2006" s="1237"/>
      <c r="M2006" s="1237"/>
      <c r="N2006" s="1237"/>
      <c r="O2006" s="2262"/>
      <c r="P2006" s="2022"/>
      <c r="Q2006" s="1238"/>
      <c r="R2006" s="1239"/>
    </row>
    <row r="2007" spans="1:18" ht="18.75" customHeight="1">
      <c r="A2007" s="2982"/>
      <c r="B2007" s="1237"/>
      <c r="C2007" s="1237"/>
      <c r="D2007" s="1237"/>
      <c r="E2007" s="1237"/>
      <c r="F2007" s="1237"/>
      <c r="G2007" s="1237"/>
      <c r="H2007" s="1237"/>
      <c r="I2007" s="1237"/>
      <c r="J2007" s="1237"/>
      <c r="K2007" s="1237"/>
      <c r="L2007" s="1237"/>
      <c r="M2007" s="1237"/>
      <c r="N2007" s="1237"/>
      <c r="O2007" s="2262"/>
      <c r="P2007" s="2022"/>
      <c r="Q2007" s="1238"/>
      <c r="R2007" s="1239"/>
    </row>
    <row r="2008" spans="1:18" ht="18.75" customHeight="1">
      <c r="A2008" s="2982"/>
      <c r="B2008" s="1237"/>
      <c r="C2008" s="1237"/>
      <c r="D2008" s="1237"/>
      <c r="E2008" s="1237"/>
      <c r="F2008" s="1237"/>
      <c r="G2008" s="1237"/>
      <c r="H2008" s="1237"/>
      <c r="I2008" s="1237"/>
      <c r="J2008" s="1237"/>
      <c r="K2008" s="1237"/>
      <c r="L2008" s="1237"/>
      <c r="M2008" s="1237"/>
      <c r="N2008" s="1237"/>
      <c r="O2008" s="2262"/>
      <c r="P2008" s="2022"/>
      <c r="Q2008" s="1238"/>
      <c r="R2008" s="1239"/>
    </row>
    <row r="2009" spans="1:18" ht="18.75" customHeight="1">
      <c r="A2009" s="2982"/>
      <c r="B2009" s="1237"/>
      <c r="C2009" s="1237"/>
      <c r="D2009" s="1237"/>
      <c r="E2009" s="1237"/>
      <c r="F2009" s="1237"/>
      <c r="G2009" s="1237"/>
      <c r="H2009" s="1237"/>
      <c r="I2009" s="1237"/>
      <c r="J2009" s="1237"/>
      <c r="K2009" s="1237"/>
      <c r="L2009" s="1237"/>
      <c r="M2009" s="1237"/>
      <c r="N2009" s="1237"/>
      <c r="O2009" s="2262"/>
      <c r="P2009" s="2022"/>
      <c r="Q2009" s="1238"/>
      <c r="R2009" s="1239"/>
    </row>
    <row r="2010" spans="1:18" ht="18.75" customHeight="1">
      <c r="A2010" s="2982"/>
      <c r="B2010" s="1237"/>
      <c r="C2010" s="1237"/>
      <c r="D2010" s="1237"/>
      <c r="E2010" s="1237"/>
      <c r="F2010" s="1237"/>
      <c r="G2010" s="1237"/>
      <c r="H2010" s="1237"/>
      <c r="I2010" s="1237"/>
      <c r="J2010" s="1237"/>
      <c r="K2010" s="1237"/>
      <c r="L2010" s="1237"/>
      <c r="M2010" s="1237"/>
      <c r="N2010" s="1237"/>
      <c r="O2010" s="2262"/>
      <c r="P2010" s="2022"/>
      <c r="Q2010" s="1238"/>
      <c r="R2010" s="1239"/>
    </row>
    <row r="2011" spans="1:18" ht="18.75" customHeight="1">
      <c r="A2011" s="2982"/>
      <c r="B2011" s="1237"/>
      <c r="C2011" s="1237"/>
      <c r="D2011" s="1237"/>
      <c r="E2011" s="1237"/>
      <c r="F2011" s="1237"/>
      <c r="G2011" s="1237"/>
      <c r="H2011" s="1237"/>
      <c r="I2011" s="1237"/>
      <c r="J2011" s="1237"/>
      <c r="K2011" s="1237"/>
      <c r="L2011" s="1237"/>
      <c r="M2011" s="1237"/>
      <c r="N2011" s="1237"/>
      <c r="O2011" s="2262"/>
      <c r="P2011" s="2022"/>
      <c r="Q2011" s="1238"/>
      <c r="R2011" s="1239"/>
    </row>
    <row r="2012" spans="1:18" ht="18.75" customHeight="1">
      <c r="A2012" s="2982"/>
      <c r="B2012" s="1237"/>
      <c r="C2012" s="1237"/>
      <c r="D2012" s="1237"/>
      <c r="E2012" s="1237"/>
      <c r="F2012" s="1237"/>
      <c r="G2012" s="1237"/>
      <c r="H2012" s="1237"/>
      <c r="I2012" s="1237"/>
      <c r="J2012" s="1237"/>
      <c r="K2012" s="1237"/>
      <c r="L2012" s="1237"/>
      <c r="M2012" s="1237"/>
      <c r="N2012" s="1237"/>
      <c r="O2012" s="2262"/>
      <c r="P2012" s="2022"/>
      <c r="Q2012" s="1238"/>
      <c r="R2012" s="1239"/>
    </row>
    <row r="2013" spans="1:18" ht="18.75" customHeight="1">
      <c r="A2013" s="2982"/>
      <c r="B2013" s="1237"/>
      <c r="C2013" s="1237"/>
      <c r="D2013" s="1237"/>
      <c r="E2013" s="1237"/>
      <c r="F2013" s="1237"/>
      <c r="G2013" s="1237"/>
      <c r="H2013" s="1237"/>
      <c r="I2013" s="1237"/>
      <c r="J2013" s="2945"/>
      <c r="K2013" s="2945"/>
      <c r="L2013" s="2945"/>
      <c r="M2013" s="2945"/>
      <c r="N2013" s="1237"/>
      <c r="O2013" s="2262"/>
      <c r="P2013" s="2022"/>
      <c r="Q2013" s="1238"/>
      <c r="R2013" s="1239"/>
    </row>
    <row r="2014" spans="1:18" ht="18.75" customHeight="1">
      <c r="A2014" s="2982"/>
      <c r="B2014" s="1237"/>
      <c r="C2014" s="1237"/>
      <c r="D2014" s="1237"/>
      <c r="E2014" s="1237"/>
      <c r="F2014" s="1237"/>
      <c r="G2014" s="1237"/>
      <c r="H2014" s="1237"/>
      <c r="I2014" s="1237"/>
      <c r="J2014" s="1237"/>
      <c r="K2014" s="1237"/>
      <c r="L2014" s="1237"/>
      <c r="M2014" s="1237"/>
      <c r="N2014" s="1237"/>
      <c r="O2014" s="2262"/>
      <c r="P2014" s="2022"/>
      <c r="Q2014" s="1238"/>
      <c r="R2014" s="1239"/>
    </row>
    <row r="2015" spans="1:18" ht="18.75" customHeight="1">
      <c r="A2015" s="2982"/>
      <c r="B2015" s="1237"/>
      <c r="C2015" s="1237"/>
      <c r="D2015" s="1237"/>
      <c r="E2015" s="1237"/>
      <c r="F2015" s="1237"/>
      <c r="G2015" s="1237"/>
      <c r="H2015" s="1237"/>
      <c r="I2015" s="1237"/>
      <c r="J2015" s="1237"/>
      <c r="K2015" s="1237"/>
      <c r="L2015" s="1237"/>
      <c r="M2015" s="1237"/>
      <c r="N2015" s="1237"/>
      <c r="O2015" s="2262"/>
      <c r="P2015" s="2022"/>
      <c r="Q2015" s="1238"/>
      <c r="R2015" s="1239"/>
    </row>
    <row r="2016" spans="1:18" ht="18.75" customHeight="1">
      <c r="A2016" s="2982"/>
      <c r="B2016" s="1237"/>
      <c r="C2016" s="1237"/>
      <c r="D2016" s="1237"/>
      <c r="E2016" s="1237"/>
      <c r="F2016" s="1237"/>
      <c r="G2016" s="1237"/>
      <c r="H2016" s="1237"/>
      <c r="I2016" s="1237"/>
      <c r="J2016" s="1237"/>
      <c r="K2016" s="1237"/>
      <c r="L2016" s="1237"/>
      <c r="M2016" s="1237"/>
      <c r="N2016" s="1237"/>
      <c r="O2016" s="2262"/>
      <c r="P2016" s="2022"/>
      <c r="Q2016" s="1238"/>
      <c r="R2016" s="1239"/>
    </row>
    <row r="2017" spans="1:18" ht="18.75" customHeight="1">
      <c r="A2017" s="2982"/>
      <c r="B2017" s="1237"/>
      <c r="C2017" s="1237"/>
      <c r="D2017" s="1237"/>
      <c r="E2017" s="1237"/>
      <c r="F2017" s="1237"/>
      <c r="G2017" s="1237"/>
      <c r="H2017" s="1237"/>
      <c r="I2017" s="1237"/>
      <c r="J2017" s="1237"/>
      <c r="K2017" s="1237"/>
      <c r="L2017" s="1237"/>
      <c r="M2017" s="1237"/>
      <c r="N2017" s="1237"/>
      <c r="O2017" s="2262"/>
      <c r="P2017" s="2022"/>
      <c r="Q2017" s="1238"/>
      <c r="R2017" s="1239"/>
    </row>
    <row r="2018" spans="1:18" ht="18.75" customHeight="1">
      <c r="A2018" s="2982"/>
      <c r="B2018" s="1237"/>
      <c r="C2018" s="1237"/>
      <c r="D2018" s="1237"/>
      <c r="E2018" s="1237"/>
      <c r="F2018" s="1237"/>
      <c r="G2018" s="1237"/>
      <c r="H2018" s="1237"/>
      <c r="I2018" s="1237"/>
      <c r="J2018" s="2945"/>
      <c r="K2018" s="2945"/>
      <c r="L2018" s="2945"/>
      <c r="M2018" s="2945"/>
      <c r="N2018" s="1237"/>
      <c r="O2018" s="2262"/>
      <c r="P2018" s="2022"/>
      <c r="Q2018" s="1238"/>
      <c r="R2018" s="1239"/>
    </row>
    <row r="2019" spans="1:18" ht="18.75" customHeight="1">
      <c r="A2019" s="2982"/>
      <c r="B2019" s="1237"/>
      <c r="C2019" s="1237"/>
      <c r="D2019" s="1237"/>
      <c r="E2019" s="1237"/>
      <c r="F2019" s="1237"/>
      <c r="G2019" s="1237"/>
      <c r="H2019" s="1237"/>
      <c r="I2019" s="1237"/>
      <c r="J2019" s="1237"/>
      <c r="K2019" s="1237"/>
      <c r="L2019" s="1237"/>
      <c r="M2019" s="1237"/>
      <c r="N2019" s="1237"/>
      <c r="O2019" s="2262"/>
      <c r="P2019" s="2022"/>
      <c r="Q2019" s="1238"/>
      <c r="R2019" s="1239"/>
    </row>
    <row r="2020" spans="1:18" ht="18.75" customHeight="1">
      <c r="A2020" s="2982"/>
      <c r="B2020" s="1237"/>
      <c r="C2020" s="1237"/>
      <c r="D2020" s="1237"/>
      <c r="E2020" s="1237"/>
      <c r="F2020" s="1237"/>
      <c r="G2020" s="1237"/>
      <c r="H2020" s="1237"/>
      <c r="I2020" s="1237"/>
      <c r="J2020" s="1237"/>
      <c r="K2020" s="1237"/>
      <c r="L2020" s="1237"/>
      <c r="M2020" s="1237"/>
      <c r="N2020" s="1237"/>
      <c r="O2020" s="2262"/>
      <c r="P2020" s="2022"/>
      <c r="Q2020" s="1238"/>
      <c r="R2020" s="1239"/>
    </row>
    <row r="2021" spans="1:18" ht="18.75" customHeight="1">
      <c r="A2021" s="2982"/>
      <c r="B2021" s="1237"/>
      <c r="C2021" s="1237"/>
      <c r="D2021" s="1237"/>
      <c r="E2021" s="1237"/>
      <c r="F2021" s="1237"/>
      <c r="G2021" s="1237"/>
      <c r="H2021" s="1237"/>
      <c r="I2021" s="1237"/>
      <c r="J2021" s="1237"/>
      <c r="K2021" s="1237"/>
      <c r="L2021" s="1237"/>
      <c r="M2021" s="1237"/>
      <c r="N2021" s="1237"/>
      <c r="O2021" s="2262"/>
      <c r="P2021" s="2022"/>
      <c r="Q2021" s="1238"/>
      <c r="R2021" s="1239"/>
    </row>
    <row r="2022" spans="1:18" ht="18.75" customHeight="1">
      <c r="A2022" s="2982"/>
      <c r="B2022" s="1237"/>
      <c r="C2022" s="1237"/>
      <c r="D2022" s="1237"/>
      <c r="E2022" s="1237"/>
      <c r="F2022" s="1237"/>
      <c r="G2022" s="1237"/>
      <c r="H2022" s="1237"/>
      <c r="I2022" s="1237"/>
      <c r="J2022" s="1237"/>
      <c r="K2022" s="1237"/>
      <c r="L2022" s="1237"/>
      <c r="M2022" s="1237"/>
      <c r="N2022" s="1237"/>
      <c r="O2022" s="2262"/>
      <c r="P2022" s="2022"/>
      <c r="Q2022" s="1238"/>
      <c r="R2022" s="1239"/>
    </row>
    <row r="2023" spans="1:18" ht="18.75" customHeight="1">
      <c r="A2023" s="2982"/>
      <c r="B2023" s="1237"/>
      <c r="C2023" s="1237"/>
      <c r="D2023" s="1237"/>
      <c r="E2023" s="1237"/>
      <c r="F2023" s="1237"/>
      <c r="G2023" s="1237"/>
      <c r="H2023" s="1237"/>
      <c r="I2023" s="1237"/>
      <c r="J2023" s="1237"/>
      <c r="K2023" s="1237"/>
      <c r="L2023" s="1237"/>
      <c r="M2023" s="1237"/>
      <c r="N2023" s="1237"/>
      <c r="O2023" s="2262"/>
      <c r="P2023" s="2022"/>
      <c r="Q2023" s="1238"/>
      <c r="R2023" s="1239"/>
    </row>
    <row r="2024" spans="1:18" ht="18.75" customHeight="1">
      <c r="A2024" s="2982"/>
      <c r="B2024" s="1237"/>
      <c r="C2024" s="1237"/>
      <c r="D2024" s="1237"/>
      <c r="E2024" s="1237"/>
      <c r="F2024" s="1237"/>
      <c r="G2024" s="1237"/>
      <c r="H2024" s="1237"/>
      <c r="I2024" s="1237"/>
      <c r="J2024" s="1237"/>
      <c r="K2024" s="1237"/>
      <c r="L2024" s="1237"/>
      <c r="M2024" s="1237"/>
      <c r="N2024" s="1237"/>
      <c r="O2024" s="2262"/>
      <c r="P2024" s="2022"/>
      <c r="Q2024" s="1238"/>
      <c r="R2024" s="1239"/>
    </row>
    <row r="2025" spans="1:18" ht="18.75" customHeight="1">
      <c r="A2025" s="2982"/>
      <c r="B2025" s="1237"/>
      <c r="C2025" s="1237"/>
      <c r="D2025" s="1237"/>
      <c r="E2025" s="1237"/>
      <c r="F2025" s="1237"/>
      <c r="G2025" s="1237"/>
      <c r="H2025" s="1237"/>
      <c r="I2025" s="1237"/>
      <c r="J2025" s="1237"/>
      <c r="K2025" s="1237"/>
      <c r="L2025" s="1237"/>
      <c r="M2025" s="1237"/>
      <c r="N2025" s="1237"/>
      <c r="O2025" s="2262"/>
      <c r="P2025" s="2022"/>
      <c r="Q2025" s="1238"/>
      <c r="R2025" s="1239"/>
    </row>
    <row r="2026" spans="1:18" ht="18.75" customHeight="1">
      <c r="A2026" s="2982"/>
      <c r="B2026" s="1237"/>
      <c r="C2026" s="1237"/>
      <c r="D2026" s="1237"/>
      <c r="E2026" s="1237"/>
      <c r="F2026" s="1237"/>
      <c r="G2026" s="1237"/>
      <c r="H2026" s="1237"/>
      <c r="I2026" s="1237"/>
      <c r="J2026" s="1237"/>
      <c r="K2026" s="1237"/>
      <c r="L2026" s="1237"/>
      <c r="M2026" s="1237"/>
      <c r="N2026" s="1237"/>
      <c r="O2026" s="2262"/>
      <c r="P2026" s="2022"/>
      <c r="Q2026" s="1238"/>
      <c r="R2026" s="1239"/>
    </row>
    <row r="2027" spans="1:18" ht="18.75" customHeight="1">
      <c r="A2027" s="2982"/>
      <c r="B2027" s="1237"/>
      <c r="C2027" s="1237"/>
      <c r="D2027" s="1237"/>
      <c r="E2027" s="1237"/>
      <c r="F2027" s="1237"/>
      <c r="G2027" s="1237"/>
      <c r="H2027" s="1237"/>
      <c r="I2027" s="1237"/>
      <c r="J2027" s="1237"/>
      <c r="K2027" s="1237"/>
      <c r="L2027" s="1237"/>
      <c r="M2027" s="1237"/>
      <c r="N2027" s="1237"/>
      <c r="O2027" s="2262"/>
      <c r="P2027" s="2022"/>
      <c r="Q2027" s="1238"/>
      <c r="R2027" s="1239"/>
    </row>
    <row r="2028" spans="1:18" ht="18.75" customHeight="1">
      <c r="A2028" s="2982"/>
      <c r="B2028" s="1237"/>
      <c r="C2028" s="1237"/>
      <c r="D2028" s="1237"/>
      <c r="E2028" s="1237"/>
      <c r="F2028" s="1237"/>
      <c r="G2028" s="1237"/>
      <c r="H2028" s="1237"/>
      <c r="I2028" s="1237"/>
      <c r="J2028" s="2945"/>
      <c r="K2028" s="2945"/>
      <c r="L2028" s="2945"/>
      <c r="M2028" s="2945"/>
      <c r="N2028" s="1237"/>
      <c r="O2028" s="2262"/>
      <c r="P2028" s="2022"/>
      <c r="Q2028" s="1238"/>
      <c r="R2028" s="1239"/>
    </row>
    <row r="2029" spans="1:18" ht="18.75" customHeight="1">
      <c r="A2029" s="2982"/>
      <c r="B2029" s="1237"/>
      <c r="C2029" s="1237"/>
      <c r="D2029" s="1237"/>
      <c r="E2029" s="1237"/>
      <c r="F2029" s="1237"/>
      <c r="G2029" s="1237"/>
      <c r="H2029" s="1237"/>
      <c r="I2029" s="1237"/>
      <c r="J2029" s="1237"/>
      <c r="K2029" s="1237"/>
      <c r="L2029" s="1237"/>
      <c r="M2029" s="1237"/>
      <c r="N2029" s="1237"/>
      <c r="O2029" s="2262"/>
      <c r="P2029" s="2022"/>
      <c r="Q2029" s="1238"/>
      <c r="R2029" s="1239"/>
    </row>
    <row r="2030" spans="1:18" ht="18.75" customHeight="1">
      <c r="A2030" s="2982"/>
      <c r="B2030" s="1237"/>
      <c r="C2030" s="1237"/>
      <c r="D2030" s="1237"/>
      <c r="E2030" s="1237"/>
      <c r="F2030" s="1237"/>
      <c r="G2030" s="1237"/>
      <c r="H2030" s="1237"/>
      <c r="I2030" s="1237"/>
      <c r="J2030" s="1237"/>
      <c r="K2030" s="1237"/>
      <c r="L2030" s="1237"/>
      <c r="M2030" s="1237"/>
      <c r="N2030" s="1237"/>
      <c r="O2030" s="2262"/>
      <c r="P2030" s="2022"/>
      <c r="Q2030" s="1238"/>
      <c r="R2030" s="1239"/>
    </row>
    <row r="2031" spans="1:18" ht="18.75" customHeight="1">
      <c r="A2031" s="2982"/>
      <c r="B2031" s="1237"/>
      <c r="C2031" s="1237"/>
      <c r="D2031" s="1237"/>
      <c r="E2031" s="1237"/>
      <c r="F2031" s="1237"/>
      <c r="G2031" s="1237"/>
      <c r="H2031" s="1237"/>
      <c r="I2031" s="1237"/>
      <c r="J2031" s="1237"/>
      <c r="K2031" s="1237"/>
      <c r="L2031" s="1237"/>
      <c r="M2031" s="1237"/>
      <c r="N2031" s="1237"/>
      <c r="O2031" s="2262"/>
      <c r="P2031" s="2022"/>
      <c r="Q2031" s="1238"/>
      <c r="R2031" s="1239"/>
    </row>
    <row r="2032" spans="1:18" ht="18.75" customHeight="1">
      <c r="A2032" s="2982"/>
      <c r="B2032" s="1237"/>
      <c r="C2032" s="1237"/>
      <c r="D2032" s="1237"/>
      <c r="E2032" s="1237"/>
      <c r="F2032" s="1237"/>
      <c r="G2032" s="1237"/>
      <c r="H2032" s="1237"/>
      <c r="I2032" s="1237"/>
      <c r="J2032" s="1237"/>
      <c r="K2032" s="1237"/>
      <c r="L2032" s="1237"/>
      <c r="M2032" s="1237"/>
      <c r="N2032" s="1237"/>
      <c r="O2032" s="2262"/>
      <c r="P2032" s="2022"/>
      <c r="Q2032" s="1238"/>
      <c r="R2032" s="1239"/>
    </row>
    <row r="2033" spans="1:18" ht="18.75" customHeight="1">
      <c r="A2033" s="2982"/>
      <c r="B2033" s="1237"/>
      <c r="C2033" s="1237"/>
      <c r="D2033" s="1237"/>
      <c r="E2033" s="1237"/>
      <c r="F2033" s="1237"/>
      <c r="G2033" s="1237"/>
      <c r="H2033" s="1237"/>
      <c r="I2033" s="1237"/>
      <c r="J2033" s="2945"/>
      <c r="K2033" s="2945"/>
      <c r="L2033" s="2945"/>
      <c r="M2033" s="2945"/>
      <c r="N2033" s="1237"/>
      <c r="O2033" s="2262"/>
      <c r="P2033" s="2022"/>
      <c r="Q2033" s="1238"/>
      <c r="R2033" s="1239"/>
    </row>
    <row r="2034" spans="1:18" ht="18.75" customHeight="1">
      <c r="A2034" s="2982"/>
      <c r="B2034" s="1237"/>
      <c r="C2034" s="1237"/>
      <c r="D2034" s="1237"/>
      <c r="E2034" s="1237"/>
      <c r="F2034" s="1237"/>
      <c r="G2034" s="1237"/>
      <c r="H2034" s="1237"/>
      <c r="I2034" s="1237"/>
      <c r="J2034" s="1237"/>
      <c r="K2034" s="1237"/>
      <c r="L2034" s="1237"/>
      <c r="M2034" s="1237"/>
      <c r="N2034" s="1237"/>
      <c r="O2034" s="2262"/>
      <c r="P2034" s="2022"/>
      <c r="Q2034" s="1238"/>
      <c r="R2034" s="1239"/>
    </row>
    <row r="2035" spans="1:18" ht="18.75" customHeight="1">
      <c r="A2035" s="2982"/>
      <c r="B2035" s="1237"/>
      <c r="C2035" s="1237"/>
      <c r="D2035" s="1237"/>
      <c r="E2035" s="1237"/>
      <c r="F2035" s="1237"/>
      <c r="G2035" s="1237"/>
      <c r="H2035" s="1237"/>
      <c r="I2035" s="1237"/>
      <c r="J2035" s="1237"/>
      <c r="K2035" s="1237"/>
      <c r="L2035" s="1237"/>
      <c r="M2035" s="1237"/>
      <c r="N2035" s="1237"/>
      <c r="O2035" s="2262"/>
      <c r="P2035" s="2022"/>
      <c r="Q2035" s="1238"/>
      <c r="R2035" s="1239"/>
    </row>
    <row r="2036" spans="1:18" ht="18.75" customHeight="1">
      <c r="A2036" s="2982"/>
      <c r="B2036" s="1237"/>
      <c r="C2036" s="1237"/>
      <c r="D2036" s="1237"/>
      <c r="E2036" s="1237"/>
      <c r="F2036" s="1237"/>
      <c r="G2036" s="1237"/>
      <c r="H2036" s="1237"/>
      <c r="I2036" s="1237"/>
      <c r="J2036" s="1237"/>
      <c r="K2036" s="1237"/>
      <c r="L2036" s="1237"/>
      <c r="M2036" s="1237"/>
      <c r="N2036" s="1237"/>
      <c r="O2036" s="2262"/>
      <c r="P2036" s="2022"/>
      <c r="Q2036" s="1238"/>
      <c r="R2036" s="1239"/>
    </row>
    <row r="2037" spans="1:18" ht="18.75" customHeight="1">
      <c r="A2037" s="2982"/>
      <c r="B2037" s="1237"/>
      <c r="C2037" s="1237"/>
      <c r="D2037" s="1237"/>
      <c r="E2037" s="1237"/>
      <c r="F2037" s="1237"/>
      <c r="G2037" s="1237"/>
      <c r="H2037" s="1237"/>
      <c r="I2037" s="1237"/>
      <c r="J2037" s="1237"/>
      <c r="K2037" s="1237"/>
      <c r="L2037" s="1237"/>
      <c r="M2037" s="1237"/>
      <c r="N2037" s="1237"/>
      <c r="O2037" s="2262"/>
      <c r="P2037" s="2022"/>
      <c r="Q2037" s="1238"/>
      <c r="R2037" s="1239"/>
    </row>
    <row r="2038" spans="1:18" ht="18.75" customHeight="1">
      <c r="A2038" s="2982"/>
      <c r="B2038" s="1237"/>
      <c r="C2038" s="1237"/>
      <c r="D2038" s="1237"/>
      <c r="E2038" s="1237"/>
      <c r="F2038" s="1237"/>
      <c r="G2038" s="1237"/>
      <c r="H2038" s="1237"/>
      <c r="I2038" s="1237"/>
      <c r="J2038" s="2945"/>
      <c r="K2038" s="2945"/>
      <c r="L2038" s="2945"/>
      <c r="M2038" s="2945"/>
      <c r="N2038" s="1237"/>
      <c r="O2038" s="2262"/>
      <c r="P2038" s="2022"/>
      <c r="Q2038" s="1238"/>
      <c r="R2038" s="1239"/>
    </row>
    <row r="2039" spans="1:18" ht="18.75" customHeight="1">
      <c r="A2039" s="2982"/>
      <c r="B2039" s="1237"/>
      <c r="C2039" s="1237"/>
      <c r="D2039" s="1237"/>
      <c r="E2039" s="1237"/>
      <c r="F2039" s="1237"/>
      <c r="G2039" s="1237"/>
      <c r="H2039" s="1237"/>
      <c r="I2039" s="1237"/>
      <c r="J2039" s="1237"/>
      <c r="K2039" s="1237"/>
      <c r="L2039" s="1237"/>
      <c r="M2039" s="1237"/>
      <c r="N2039" s="1237"/>
      <c r="O2039" s="2262"/>
      <c r="P2039" s="2022"/>
      <c r="Q2039" s="1238"/>
      <c r="R2039" s="1239"/>
    </row>
    <row r="2040" spans="1:18" ht="18.75" customHeight="1">
      <c r="A2040" s="2982"/>
      <c r="B2040" s="1237"/>
      <c r="C2040" s="1237"/>
      <c r="D2040" s="1237"/>
      <c r="E2040" s="1237"/>
      <c r="F2040" s="1237"/>
      <c r="G2040" s="1237"/>
      <c r="H2040" s="1237"/>
      <c r="I2040" s="1237"/>
      <c r="J2040" s="1237"/>
      <c r="K2040" s="1237"/>
      <c r="L2040" s="1237"/>
      <c r="M2040" s="1237"/>
      <c r="N2040" s="1237"/>
      <c r="O2040" s="2262"/>
      <c r="P2040" s="2022"/>
      <c r="Q2040" s="1238"/>
      <c r="R2040" s="1239"/>
    </row>
    <row r="2041" spans="1:18" ht="18.75" customHeight="1">
      <c r="A2041" s="2982"/>
      <c r="B2041" s="1237"/>
      <c r="C2041" s="1237"/>
      <c r="D2041" s="1237"/>
      <c r="E2041" s="1237"/>
      <c r="F2041" s="1237"/>
      <c r="G2041" s="1237"/>
      <c r="H2041" s="1237"/>
      <c r="I2041" s="1237"/>
      <c r="J2041" s="1237"/>
      <c r="K2041" s="1237"/>
      <c r="L2041" s="1237"/>
      <c r="M2041" s="1237"/>
      <c r="N2041" s="1237"/>
      <c r="O2041" s="2262"/>
      <c r="P2041" s="2022"/>
      <c r="Q2041" s="1238"/>
      <c r="R2041" s="1239"/>
    </row>
    <row r="2042" spans="1:18" ht="18.75" customHeight="1">
      <c r="A2042" s="2982"/>
      <c r="B2042" s="1237"/>
      <c r="C2042" s="1237"/>
      <c r="D2042" s="1237"/>
      <c r="E2042" s="1237"/>
      <c r="F2042" s="1237"/>
      <c r="G2042" s="1237"/>
      <c r="H2042" s="1237"/>
      <c r="I2042" s="1237"/>
      <c r="J2042" s="1237"/>
      <c r="K2042" s="1237"/>
      <c r="L2042" s="1237"/>
      <c r="M2042" s="1237"/>
      <c r="N2042" s="1237"/>
      <c r="O2042" s="2262"/>
      <c r="P2042" s="2022"/>
      <c r="Q2042" s="1238"/>
      <c r="R2042" s="1239"/>
    </row>
    <row r="2043" spans="1:18" ht="18.75" customHeight="1" thickBot="1">
      <c r="A2043" s="2983"/>
      <c r="B2043" s="1610"/>
      <c r="C2043" s="1610"/>
      <c r="D2043" s="1610"/>
      <c r="E2043" s="1610"/>
      <c r="F2043" s="1610"/>
      <c r="G2043" s="1610"/>
      <c r="H2043" s="1610"/>
      <c r="I2043" s="1610"/>
      <c r="J2043" s="1610"/>
      <c r="K2043" s="1610"/>
      <c r="L2043" s="1610"/>
      <c r="M2043" s="1610"/>
      <c r="N2043" s="1610"/>
      <c r="O2043" s="2269"/>
      <c r="P2043" s="2270"/>
      <c r="Q2043" s="1611"/>
      <c r="R2043" s="1612"/>
    </row>
    <row r="2044" spans="1:18" ht="18.75" customHeight="1">
      <c r="R2044" s="466"/>
    </row>
  </sheetData>
  <autoFilter ref="B1:B224" xr:uid="{7A8B0ACE-9270-4F68-97E0-4C3D03F47611}"/>
  <mergeCells count="491">
    <mergeCell ref="P338:P341"/>
    <mergeCell ref="P342:P344"/>
    <mergeCell ref="P327:P329"/>
    <mergeCell ref="P330:P334"/>
    <mergeCell ref="A350:A424"/>
    <mergeCell ref="P350:P357"/>
    <mergeCell ref="P358:P366"/>
    <mergeCell ref="P388:P392"/>
    <mergeCell ref="P393:P399"/>
    <mergeCell ref="P400:P408"/>
    <mergeCell ref="P409:P418"/>
    <mergeCell ref="P419:P423"/>
    <mergeCell ref="P382:P387"/>
    <mergeCell ref="J412:L412"/>
    <mergeCell ref="J417:L417"/>
    <mergeCell ref="A272:A349"/>
    <mergeCell ref="J281:L281"/>
    <mergeCell ref="J286:L286"/>
    <mergeCell ref="J292:L292"/>
    <mergeCell ref="J297:L297"/>
    <mergeCell ref="J304:L304"/>
    <mergeCell ref="J314:L314"/>
    <mergeCell ref="J319:L319"/>
    <mergeCell ref="J324:L324"/>
    <mergeCell ref="J334:L334"/>
    <mergeCell ref="J339:L339"/>
    <mergeCell ref="J344:L344"/>
    <mergeCell ref="A188:A271"/>
    <mergeCell ref="P188:P199"/>
    <mergeCell ref="P200:P207"/>
    <mergeCell ref="P208:P212"/>
    <mergeCell ref="P213:P217"/>
    <mergeCell ref="P218:P227"/>
    <mergeCell ref="P228:P232"/>
    <mergeCell ref="P233:P246"/>
    <mergeCell ref="P247:P251"/>
    <mergeCell ref="P252:P257"/>
    <mergeCell ref="P258:P264"/>
    <mergeCell ref="P265:P271"/>
    <mergeCell ref="J216:L216"/>
    <mergeCell ref="J226:L226"/>
    <mergeCell ref="J229:L229"/>
    <mergeCell ref="J234:L234"/>
    <mergeCell ref="J239:L239"/>
    <mergeCell ref="J249:L249"/>
    <mergeCell ref="J254:L254"/>
    <mergeCell ref="J267:L267"/>
    <mergeCell ref="A2:A75"/>
    <mergeCell ref="P74:P75"/>
    <mergeCell ref="P57:P66"/>
    <mergeCell ref="P53:P56"/>
    <mergeCell ref="P67:P73"/>
    <mergeCell ref="P44:P52"/>
    <mergeCell ref="P36:P40"/>
    <mergeCell ref="P41:P43"/>
    <mergeCell ref="P2:P11"/>
    <mergeCell ref="P12:P17"/>
    <mergeCell ref="P18:P28"/>
    <mergeCell ref="P29:P35"/>
    <mergeCell ref="J4:M4"/>
    <mergeCell ref="J14:M14"/>
    <mergeCell ref="J19:M19"/>
    <mergeCell ref="J24:M24"/>
    <mergeCell ref="J34:M34"/>
    <mergeCell ref="J45:M45"/>
    <mergeCell ref="J50:M50"/>
    <mergeCell ref="J60:M60"/>
    <mergeCell ref="J65:M65"/>
    <mergeCell ref="J70:M70"/>
    <mergeCell ref="J2038:M2038"/>
    <mergeCell ref="A1970:A2043"/>
    <mergeCell ref="J1972:M1972"/>
    <mergeCell ref="J1982:M1982"/>
    <mergeCell ref="J1987:M1987"/>
    <mergeCell ref="J1992:M1992"/>
    <mergeCell ref="J2002:M2002"/>
    <mergeCell ref="J2013:M2013"/>
    <mergeCell ref="J2018:M2018"/>
    <mergeCell ref="J2028:M2028"/>
    <mergeCell ref="J2033:M2033"/>
    <mergeCell ref="K1952:M1952"/>
    <mergeCell ref="K1962:M1962"/>
    <mergeCell ref="K1967:M1967"/>
    <mergeCell ref="P1885:P1887"/>
    <mergeCell ref="A1885:A1969"/>
    <mergeCell ref="P1894:P1897"/>
    <mergeCell ref="P1898:P1901"/>
    <mergeCell ref="P1902:P1910"/>
    <mergeCell ref="P1920:P1929"/>
    <mergeCell ref="P1911:P1919"/>
    <mergeCell ref="P1930:P1943"/>
    <mergeCell ref="P1944:P1953"/>
    <mergeCell ref="P1954:P1964"/>
    <mergeCell ref="P1965:P1969"/>
    <mergeCell ref="P1888:P1893"/>
    <mergeCell ref="J1889:L1889"/>
    <mergeCell ref="J1899:M1899"/>
    <mergeCell ref="K1904:M1904"/>
    <mergeCell ref="K1909:M1909"/>
    <mergeCell ref="K1919:M1919"/>
    <mergeCell ref="I1932:J1932"/>
    <mergeCell ref="K1941:M1941"/>
    <mergeCell ref="K1947:M1947"/>
    <mergeCell ref="A1814:A1884"/>
    <mergeCell ref="P1814:P1815"/>
    <mergeCell ref="J1840:L1840"/>
    <mergeCell ref="J1835:L1835"/>
    <mergeCell ref="J1825:L1825"/>
    <mergeCell ref="J1820:L1820"/>
    <mergeCell ref="P1816:P1829"/>
    <mergeCell ref="P1830:P1842"/>
    <mergeCell ref="J1844:L1844"/>
    <mergeCell ref="J1849:L1849"/>
    <mergeCell ref="J1859:L1859"/>
    <mergeCell ref="J1864:L1864"/>
    <mergeCell ref="J1869:L1869"/>
    <mergeCell ref="J1879:L1879"/>
    <mergeCell ref="J1884:L1884"/>
    <mergeCell ref="P1868:P1880"/>
    <mergeCell ref="P1881:P1884"/>
    <mergeCell ref="P1858:P1867"/>
    <mergeCell ref="P1854:P1857"/>
    <mergeCell ref="P1843:P1847"/>
    <mergeCell ref="P1848:P1853"/>
    <mergeCell ref="A1733:A1813"/>
    <mergeCell ref="J1777:L1777"/>
    <mergeCell ref="J1767:L1767"/>
    <mergeCell ref="J1762:L1762"/>
    <mergeCell ref="J1757:L1757"/>
    <mergeCell ref="J1747:L1747"/>
    <mergeCell ref="J1742:L1742"/>
    <mergeCell ref="J1737:L1737"/>
    <mergeCell ref="P1733:P1737"/>
    <mergeCell ref="P1738:P1742"/>
    <mergeCell ref="P1743:P1759"/>
    <mergeCell ref="P1760:P1772"/>
    <mergeCell ref="P1773:P1775"/>
    <mergeCell ref="P1776:P1780"/>
    <mergeCell ref="J1813:L1813"/>
    <mergeCell ref="J1803:L1803"/>
    <mergeCell ref="J1798:L1798"/>
    <mergeCell ref="J1793:L1793"/>
    <mergeCell ref="J1783:L1783"/>
    <mergeCell ref="P1781:P1787"/>
    <mergeCell ref="P1788:P1794"/>
    <mergeCell ref="P1795:P1807"/>
    <mergeCell ref="P1808:P1813"/>
    <mergeCell ref="P1725:P1728"/>
    <mergeCell ref="P1729:P1732"/>
    <mergeCell ref="P1648:P1650"/>
    <mergeCell ref="P1638:P1647"/>
    <mergeCell ref="A1651:A1732"/>
    <mergeCell ref="J1665:L1665"/>
    <mergeCell ref="J1670:L1670"/>
    <mergeCell ref="J1675:L1675"/>
    <mergeCell ref="J1690:L1690"/>
    <mergeCell ref="J1685:L1685"/>
    <mergeCell ref="J1724:L1724"/>
    <mergeCell ref="J1719:L1719"/>
    <mergeCell ref="J1714:L1714"/>
    <mergeCell ref="J1704:L1704"/>
    <mergeCell ref="J1699:L1699"/>
    <mergeCell ref="J1694:L1694"/>
    <mergeCell ref="P1651:P1657"/>
    <mergeCell ref="P1658:P1667"/>
    <mergeCell ref="P1668:P1675"/>
    <mergeCell ref="P1676:P1687"/>
    <mergeCell ref="P1688:P1692"/>
    <mergeCell ref="P1693:P1697"/>
    <mergeCell ref="P1698:P1702"/>
    <mergeCell ref="P1703:P1717"/>
    <mergeCell ref="P1718:P1724"/>
    <mergeCell ref="P1471:P1474"/>
    <mergeCell ref="P1475:P1479"/>
    <mergeCell ref="P1480:P1484"/>
    <mergeCell ref="P1485:P1491"/>
    <mergeCell ref="P1409:P1415"/>
    <mergeCell ref="P1416:P1427"/>
    <mergeCell ref="P1428:P1430"/>
    <mergeCell ref="P1431:P1436"/>
    <mergeCell ref="P1437:P1443"/>
    <mergeCell ref="P1444:P1449"/>
    <mergeCell ref="P1450:P1458"/>
    <mergeCell ref="P1459:P1468"/>
    <mergeCell ref="P1469:P1470"/>
    <mergeCell ref="P1619:P1623"/>
    <mergeCell ref="P1624:P1627"/>
    <mergeCell ref="P1628:P1631"/>
    <mergeCell ref="P1633:P1636"/>
    <mergeCell ref="P1616:P1618"/>
    <mergeCell ref="P1551:P1556"/>
    <mergeCell ref="P1557:P1564"/>
    <mergeCell ref="P1565:P1575"/>
    <mergeCell ref="P1576:P1581"/>
    <mergeCell ref="P1582:P1584"/>
    <mergeCell ref="P1398:P1404"/>
    <mergeCell ref="P1405:P1408"/>
    <mergeCell ref="J1351:L1351"/>
    <mergeCell ref="P1313:P1322"/>
    <mergeCell ref="P1323:P1327"/>
    <mergeCell ref="P1328:P1337"/>
    <mergeCell ref="P1338:P1347"/>
    <mergeCell ref="P1348:P1351"/>
    <mergeCell ref="J1388:L1388"/>
    <mergeCell ref="J1393:L1393"/>
    <mergeCell ref="P1387:P1397"/>
    <mergeCell ref="A1178:A1251"/>
    <mergeCell ref="J1180:L1180"/>
    <mergeCell ref="J1185:L1185"/>
    <mergeCell ref="J1195:L1195"/>
    <mergeCell ref="J1200:L1200"/>
    <mergeCell ref="J1205:L1205"/>
    <mergeCell ref="J1251:L1251"/>
    <mergeCell ref="J1246:L1246"/>
    <mergeCell ref="J1268:L1268"/>
    <mergeCell ref="A1252:A1312"/>
    <mergeCell ref="J1263:L1263"/>
    <mergeCell ref="J1239:L1239"/>
    <mergeCell ref="J1234:L1234"/>
    <mergeCell ref="J1229:L1229"/>
    <mergeCell ref="J1219:L1219"/>
    <mergeCell ref="J1214:L1214"/>
    <mergeCell ref="P1224:P1227"/>
    <mergeCell ref="P1228:P1232"/>
    <mergeCell ref="P1233:P1235"/>
    <mergeCell ref="P1236:P1239"/>
    <mergeCell ref="P1211:P1223"/>
    <mergeCell ref="A1102:A1177"/>
    <mergeCell ref="J1105:L1105"/>
    <mergeCell ref="J1110:L1110"/>
    <mergeCell ref="J1115:L1115"/>
    <mergeCell ref="J1121:L1121"/>
    <mergeCell ref="J1126:L1126"/>
    <mergeCell ref="J1131:L1131"/>
    <mergeCell ref="J1141:L1141"/>
    <mergeCell ref="P1102:P1110"/>
    <mergeCell ref="P1111:P1115"/>
    <mergeCell ref="P1116:P1118"/>
    <mergeCell ref="P1119:P1126"/>
    <mergeCell ref="P1127:P1133"/>
    <mergeCell ref="P1134:P1139"/>
    <mergeCell ref="P1140:P1142"/>
    <mergeCell ref="J1160:L1160"/>
    <mergeCell ref="J1155:L1155"/>
    <mergeCell ref="J1175:L1175"/>
    <mergeCell ref="J1165:L1165"/>
    <mergeCell ref="P1159:P1163"/>
    <mergeCell ref="A1017:A1101"/>
    <mergeCell ref="J1031:L1031"/>
    <mergeCell ref="J1036:L1036"/>
    <mergeCell ref="J1041:L1041"/>
    <mergeCell ref="J1053:L1053"/>
    <mergeCell ref="J1060:L1060"/>
    <mergeCell ref="J1080:L1080"/>
    <mergeCell ref="J1075:L1075"/>
    <mergeCell ref="J1070:L1070"/>
    <mergeCell ref="J1090:L1090"/>
    <mergeCell ref="J1095:L1095"/>
    <mergeCell ref="J1100:L1100"/>
    <mergeCell ref="S850:S853"/>
    <mergeCell ref="S854:S858"/>
    <mergeCell ref="A859:A930"/>
    <mergeCell ref="J865:L865"/>
    <mergeCell ref="J870:L870"/>
    <mergeCell ref="J880:L880"/>
    <mergeCell ref="J885:L885"/>
    <mergeCell ref="J890:L890"/>
    <mergeCell ref="J901:L901"/>
    <mergeCell ref="J906:L906"/>
    <mergeCell ref="J916:L916"/>
    <mergeCell ref="J921:L921"/>
    <mergeCell ref="A787:A858"/>
    <mergeCell ref="J808:L808"/>
    <mergeCell ref="J803:L803"/>
    <mergeCell ref="J855:L855"/>
    <mergeCell ref="J843:L843"/>
    <mergeCell ref="J828:L828"/>
    <mergeCell ref="J823:L823"/>
    <mergeCell ref="J838:L838"/>
    <mergeCell ref="J848:L848"/>
    <mergeCell ref="J788:L788"/>
    <mergeCell ref="J798:L798"/>
    <mergeCell ref="J818:L818"/>
    <mergeCell ref="P148:P157"/>
    <mergeCell ref="J698:L698"/>
    <mergeCell ref="J693:L693"/>
    <mergeCell ref="J705:L705"/>
    <mergeCell ref="J720:L720"/>
    <mergeCell ref="J715:L715"/>
    <mergeCell ref="J710:L710"/>
    <mergeCell ref="J671:L671"/>
    <mergeCell ref="J676:L676"/>
    <mergeCell ref="J610:L610"/>
    <mergeCell ref="J620:L620"/>
    <mergeCell ref="J625:L625"/>
    <mergeCell ref="J630:L630"/>
    <mergeCell ref="J644:L644"/>
    <mergeCell ref="J649:L649"/>
    <mergeCell ref="J654:L654"/>
    <mergeCell ref="J666:L666"/>
    <mergeCell ref="P312:P316"/>
    <mergeCell ref="P317:P321"/>
    <mergeCell ref="J354:L354"/>
    <mergeCell ref="J359:L359"/>
    <mergeCell ref="J364:L364"/>
    <mergeCell ref="J386:L386"/>
    <mergeCell ref="J392:L392"/>
    <mergeCell ref="J160:L160"/>
    <mergeCell ref="J170:L170"/>
    <mergeCell ref="J175:L175"/>
    <mergeCell ref="J180:L180"/>
    <mergeCell ref="P182:P185"/>
    <mergeCell ref="P186:P187"/>
    <mergeCell ref="J211:L211"/>
    <mergeCell ref="J262:L262"/>
    <mergeCell ref="S500:T500"/>
    <mergeCell ref="P272:P277"/>
    <mergeCell ref="P278:P283"/>
    <mergeCell ref="P284:P288"/>
    <mergeCell ref="P289:P293"/>
    <mergeCell ref="P294:P299"/>
    <mergeCell ref="P300:P302"/>
    <mergeCell ref="P303:P307"/>
    <mergeCell ref="P308:P311"/>
    <mergeCell ref="J397:L397"/>
    <mergeCell ref="J407:L407"/>
    <mergeCell ref="P322:P326"/>
    <mergeCell ref="P345:P349"/>
    <mergeCell ref="P367:P371"/>
    <mergeCell ref="P372:P381"/>
    <mergeCell ref="P335:P337"/>
    <mergeCell ref="T501:T506"/>
    <mergeCell ref="T507:T514"/>
    <mergeCell ref="T515:T519"/>
    <mergeCell ref="T520:T527"/>
    <mergeCell ref="T528:T533"/>
    <mergeCell ref="T534:T546"/>
    <mergeCell ref="T547:T553"/>
    <mergeCell ref="T554:T556"/>
    <mergeCell ref="T557:T566"/>
    <mergeCell ref="J588:L588"/>
    <mergeCell ref="J605:L605"/>
    <mergeCell ref="J773:L773"/>
    <mergeCell ref="J768:L768"/>
    <mergeCell ref="J763:L763"/>
    <mergeCell ref="J732:L732"/>
    <mergeCell ref="J737:L737"/>
    <mergeCell ref="J742:L742"/>
    <mergeCell ref="J752:L752"/>
    <mergeCell ref="J757:L757"/>
    <mergeCell ref="J926:L926"/>
    <mergeCell ref="A931:A1016"/>
    <mergeCell ref="J945:L945"/>
    <mergeCell ref="J940:L940"/>
    <mergeCell ref="J935:L935"/>
    <mergeCell ref="J966:L966"/>
    <mergeCell ref="J961:L961"/>
    <mergeCell ref="J956:L956"/>
    <mergeCell ref="J974:L974"/>
    <mergeCell ref="J988:L988"/>
    <mergeCell ref="J993:L993"/>
    <mergeCell ref="J998:L998"/>
    <mergeCell ref="J1008:L1008"/>
    <mergeCell ref="J1013:L1013"/>
    <mergeCell ref="P1252:P1258"/>
    <mergeCell ref="P1259:P1264"/>
    <mergeCell ref="P1265:P1271"/>
    <mergeCell ref="P1272:P1277"/>
    <mergeCell ref="P1278:P1284"/>
    <mergeCell ref="P1028:P1034"/>
    <mergeCell ref="P1035:P1042"/>
    <mergeCell ref="P1043:P1048"/>
    <mergeCell ref="P1049:P1053"/>
    <mergeCell ref="P1054:P1058"/>
    <mergeCell ref="P1059:P1068"/>
    <mergeCell ref="P1069:P1083"/>
    <mergeCell ref="P1152:P1158"/>
    <mergeCell ref="P1143:P1151"/>
    <mergeCell ref="P1084:P1090"/>
    <mergeCell ref="P1091:P1101"/>
    <mergeCell ref="P1240:P1247"/>
    <mergeCell ref="P1248:P1251"/>
    <mergeCell ref="P1202:P1210"/>
    <mergeCell ref="P1191:P1201"/>
    <mergeCell ref="P1184:P1190"/>
    <mergeCell ref="P1178:P1183"/>
    <mergeCell ref="P1171:P1177"/>
    <mergeCell ref="P1164:P1170"/>
    <mergeCell ref="P1306:P1308"/>
    <mergeCell ref="P1309:P1312"/>
    <mergeCell ref="J1273:L1273"/>
    <mergeCell ref="J1283:L1283"/>
    <mergeCell ref="P1362:P1365"/>
    <mergeCell ref="P1352:P1361"/>
    <mergeCell ref="P1366:P1379"/>
    <mergeCell ref="P1380:P1386"/>
    <mergeCell ref="J1299:L1299"/>
    <mergeCell ref="P1285:P1289"/>
    <mergeCell ref="P1290:P1296"/>
    <mergeCell ref="P1297:P1302"/>
    <mergeCell ref="P1303:P1305"/>
    <mergeCell ref="J1310:L1310"/>
    <mergeCell ref="J1289:L1289"/>
    <mergeCell ref="J1294:L1294"/>
    <mergeCell ref="J1353:L1353"/>
    <mergeCell ref="J1363:L1363"/>
    <mergeCell ref="J1368:L1368"/>
    <mergeCell ref="J1373:L1373"/>
    <mergeCell ref="J1383:L1383"/>
    <mergeCell ref="J1326:L1326"/>
    <mergeCell ref="J1331:L1331"/>
    <mergeCell ref="J1336:L1336"/>
    <mergeCell ref="A1409:A1491"/>
    <mergeCell ref="J1406:L1406"/>
    <mergeCell ref="J1422:L1422"/>
    <mergeCell ref="J1427:L1427"/>
    <mergeCell ref="J1432:L1432"/>
    <mergeCell ref="J1442:L1442"/>
    <mergeCell ref="J1463:L1463"/>
    <mergeCell ref="J1458:L1458"/>
    <mergeCell ref="J1453:L1453"/>
    <mergeCell ref="J1478:L1478"/>
    <mergeCell ref="J1483:L1483"/>
    <mergeCell ref="J1488:L1488"/>
    <mergeCell ref="A1313:A1408"/>
    <mergeCell ref="J1346:L1346"/>
    <mergeCell ref="J1401:L1401"/>
    <mergeCell ref="A1492:A1581"/>
    <mergeCell ref="J1500:L1500"/>
    <mergeCell ref="P1492:P1495"/>
    <mergeCell ref="P1496:P1497"/>
    <mergeCell ref="P1498:P1501"/>
    <mergeCell ref="J1504:L1504"/>
    <mergeCell ref="J1514:L1514"/>
    <mergeCell ref="J1509:L1509"/>
    <mergeCell ref="J1534:L1534"/>
    <mergeCell ref="J1529:L1529"/>
    <mergeCell ref="J1524:L1524"/>
    <mergeCell ref="P1502:P1507"/>
    <mergeCell ref="P1508:P1517"/>
    <mergeCell ref="P1518:P1531"/>
    <mergeCell ref="P1532:P1535"/>
    <mergeCell ref="J1539:L1539"/>
    <mergeCell ref="J1544:L1544"/>
    <mergeCell ref="J1554:L1554"/>
    <mergeCell ref="J1559:L1559"/>
    <mergeCell ref="J1564:L1564"/>
    <mergeCell ref="J1574:L1574"/>
    <mergeCell ref="J1579:L1579"/>
    <mergeCell ref="P1536:P1542"/>
    <mergeCell ref="P1543:P1550"/>
    <mergeCell ref="P1586:P1589"/>
    <mergeCell ref="P1590:P1592"/>
    <mergeCell ref="P1593:P1598"/>
    <mergeCell ref="P1599:P1602"/>
    <mergeCell ref="P1603:P1608"/>
    <mergeCell ref="P1609:P1614"/>
    <mergeCell ref="A1582:A1650"/>
    <mergeCell ref="J1585:L1585"/>
    <mergeCell ref="J1595:L1595"/>
    <mergeCell ref="J1605:L1605"/>
    <mergeCell ref="J1610:L1610"/>
    <mergeCell ref="J1615:L1615"/>
    <mergeCell ref="J1621:L1621"/>
    <mergeCell ref="J1632:L1632"/>
    <mergeCell ref="J1637:L1637"/>
    <mergeCell ref="J1642:L1642"/>
    <mergeCell ref="A158:A187"/>
    <mergeCell ref="P158:P181"/>
    <mergeCell ref="P76:P85"/>
    <mergeCell ref="P86:P96"/>
    <mergeCell ref="P97:P102"/>
    <mergeCell ref="P103:P109"/>
    <mergeCell ref="P110:P115"/>
    <mergeCell ref="P116:P120"/>
    <mergeCell ref="P121:P130"/>
    <mergeCell ref="P131:P136"/>
    <mergeCell ref="P137:P147"/>
    <mergeCell ref="J150:L150"/>
    <mergeCell ref="A76:A157"/>
    <mergeCell ref="J89:L89"/>
    <mergeCell ref="J94:L94"/>
    <mergeCell ref="J104:L104"/>
    <mergeCell ref="J109:L109"/>
    <mergeCell ref="J114:L114"/>
    <mergeCell ref="J120:L120"/>
    <mergeCell ref="J140:L140"/>
    <mergeCell ref="J145:L145"/>
    <mergeCell ref="J130:L130"/>
    <mergeCell ref="J125:L125"/>
    <mergeCell ref="J155:L155"/>
  </mergeCells>
  <phoneticPr fontId="52" type="noConversion"/>
  <conditionalFormatting sqref="O2:O1016 P424:P1022">
    <cfRule type="cellIs" dxfId="143" priority="17" operator="between">
      <formula>1.5</formula>
      <formula>1.89</formula>
    </cfRule>
    <cfRule type="cellIs" dxfId="142" priority="18" operator="greaterThan">
      <formula>1.89</formula>
    </cfRule>
  </conditionalFormatting>
  <conditionalFormatting sqref="O1028:P1028 O1029:O1034 O1035:P1035 O1036:O1042 O1043:P1043 O1044:O1048 O1049:P1049 O1050:O1053 O1054:P1054 O1055:O1058 O1059:P1059 O1060:O1068 O1069:P1069 O1070:O1083 O1084:P1084 O1085:O1090 O1091:P1091 O1092:O1101 O1102:P1102 O1103:O1110 O1111:P1111 O1112:O1115 O1116:P1116 O1117:O1118 O1119:P1119 O1120:O1126 O1127:P1127 O1128:O1133 O1134:P1134 O1135:O1139 O1140:P1140 O1141:O1142 O1143:P1143 O1144:O1151 O1152:P1152 O1153:O1158 O1159:P1159 O1160:O1163 O1164:P1164 O1165:O1170 O1171:P1171 O1172:O1177 O1178:P1178 O1179:O1183 O1184:P1184 O1185:O1190 O1191:P1191 O1192:O1201 O1202:P1202 O1203:O1223 P1211 O1224:P1224 O1225:O1227 O1228:P1228 O1229:O1232 O1233:P1233 O1234:O1235 O1236:P1236 O1237:O1239 O1240:P1240 O1241:O1247 O1248:P1248 O1249:O1258 P1252 O1259:P1259 O1260:O1264 O1265:P1265 O1266:O1271 O1272:P1272 O1273:O1277 O1278:P1278 O1279:O1284 O1285:P1285 O1286:O1312 O1313:P1313 O1314:O1322 O1323:P1323 O1324:O1327 O1328:P1328 O1329:O1337 O1338:P1338 O1339:O1347 O1348:P1348 O1349:O1351 O1352:P1352 O1353:O1361 O1362:P1362 O1363:O1365 O1366:P1366 O1367:O1386 O1387:P1387 O1388:O1408 O1409:P1409 O1410:O1415 O1416:P1416 O1417:O1427 O1428:P1428 O1429:O1430 O1431:P1431 O1432:O1436 O1437:P1437 O1438:O1443 O1444:P1444 O1445:O1449 O1450:P1450 O1451:O1458 O1459:P1459 O1460:O1468 O1469:P1469 O1470 O1471:P1471 O1472:O1474 O1475:P1475 O1476:O1479 O1480:P1480 O1481:O1484 O1485:P1485 O1486:O1491 O1492:P1492 O1493:O1495 O1496:P1496 O1497 O1498:P1498 O1499:O1501 O1502:P1502 O1503:O1507 O1508:P1508 O1509:O1517 O1518:P1518 O1519:O1531 O1532:P1532 O1533:O1535 O1536:P1536 O1537:O1542 O1543:P1543 O1544:O1550 O1551:P1551 O1552:O1556 O1557:P1557 O1558:O1564 O1565:P1565 O1566:O1575 O1576:P1576 O1577:O1581 O1582:P1582 O1583:O1584 O1585:P1586 O1587:O1589 O1590:P1590 O1591:O1592 O1593:P1593 O1594:O1598 O1599:P1599 O1600:O1602 O1603:P1603 O1604:O1608 O1609:P1609 O1610:O1618 O1619:P1619 O1620:O1623 O1624:P1624 O1625:O1627 O1628:P1628 O1629:O1631 O1632:P1633 O1634:O1636 O1637:P1638 O1639:O1650 O1651:P1651 O1652:O1657 O1658:P1658 O1659:O1667 O1668:P1668 O1669:O1675 O1676:P1676 O1677:O1687 O1688:P1688 O1689:O1692 O1693:P1693 O1694:O1697 O1698:P1698 O1699:O1702 O1703:P1703 O1704:O1717 O1718:P1718 O1719:O1724 O1725:P1725 O1726:O1728 O1729:P1729 O1730:O1732 O1733:P1733 O1734:O1737 O1738:P1738 O1739:O1742 O1743:P1743 O1744:O1759 O1760:P1760 O1761:O1772 O1773:P1773 O1774:O1775 O1776:P1776 O1777:O1780 O1781:P1781 O1782:O1787 O1788:P1788 O1789:O1794 O1795:P1795 O1796:O1807 O1808:P1808 O1809:O1813 O1814:P1814 O1815 O1816:P1816 O1817:O1829 O1830:P1830 O1831:O1842 O1843:P1843 O1844:O1847 O1848:P1848 O1849:O1853 O1854:P1854 O1855:O1857 O1858:P1858 O1859:O1867 O1868:P1868 O1869:O1880 O1881:P1881 O1882:O1884 O1885:P1885 O1886:O1887 O1888:P1888 O1889:O1893 O1894:P1894 O1895:O1897 O1898:P1898 O1899:O1901 O1902:P1902 O1903:O1919 P1911 O1920:P1920 O1921:O1929 O1930:P1930 O1931:O1943 O1944:P1944 O1945:O1953 O1954:P1954 O1955:O1964 O1965:P1965 O1966:O1969">
    <cfRule type="cellIs" dxfId="141" priority="55" operator="between">
      <formula>1.5</formula>
      <formula>1.89</formula>
    </cfRule>
    <cfRule type="cellIs" dxfId="140" priority="56" operator="greaterThan">
      <formula>1.89</formula>
    </cfRule>
  </conditionalFormatting>
  <conditionalFormatting sqref="P289 P294 P300 P303 P308 P312 P322 P327 P335 P345 P350 P358 P367 P372 P382 P388 P393 P400 P409 P419">
    <cfRule type="cellIs" dxfId="139" priority="3" operator="between">
      <formula>1.5</formula>
      <formula>1.89</formula>
    </cfRule>
    <cfRule type="cellIs" dxfId="138" priority="4" operator="greaterThan">
      <formula>1.89</formula>
    </cfRule>
  </conditionalFormatting>
  <conditionalFormatting sqref="P330">
    <cfRule type="cellIs" dxfId="137" priority="1" operator="between">
      <formula>1.5</formula>
      <formula>1.89</formula>
    </cfRule>
    <cfRule type="cellIs" dxfId="136" priority="2" operator="greaterThan">
      <formula>1.89</formula>
    </cfRule>
  </conditionalFormatting>
  <conditionalFormatting sqref="T501 T507 T515 T520 T528 T534 T547 T554 T557">
    <cfRule type="cellIs" dxfId="135" priority="7" operator="between">
      <formula>1.5</formula>
      <formula>1.89</formula>
    </cfRule>
    <cfRule type="cellIs" dxfId="134" priority="8" operator="greaterThan">
      <formula>1.89</formula>
    </cfRule>
  </conditionalFormatting>
  <dataValidations count="11">
    <dataValidation type="list" allowBlank="1" showInputMessage="1" showErrorMessage="1" sqref="F615:F1048576 G591:G593 F1:F613" xr:uid="{69E0A7D5-64B4-47C3-B25D-3F27C86EF2E2}">
      <formula1>"FLCH,SCH,SLGE,FCH,RCH,CHIP,GRABS"</formula1>
    </dataValidation>
    <dataValidation type="list" allowBlank="1" showInputMessage="1" showErrorMessage="1" sqref="H598:H613 H1931:H1048576 I591:I593 H594 H596 H615:H1919 H1:H590" xr:uid="{253D795A-9613-47D0-B8CA-3A3BDF47FEBB}">
      <formula1>"East,West,North,South"</formula1>
    </dataValidation>
    <dataValidation type="list" allowBlank="1" showInputMessage="1" showErrorMessage="1" sqref="C1931:C1048576 C615:C1919 C1:C613" xr:uid="{E0AA53BF-BC7C-4AD0-B18D-EFAE784C77E9}">
      <formula1>"E1,E2,E3,E4,E5,E6,E7,E8,E9,,W1,W25,W27,W24,W2,W3,W4,W5,W6,W7,W8,W9,W10,W11,W12,W13,W14,W15,W16,W17,W18,W19,W20,W21,W22,W23,W26"</formula1>
    </dataValidation>
    <dataValidation type="list" allowBlank="1" showInputMessage="1" showErrorMessage="1" sqref="E1932:E1048576 E615:E1922 E1:E613" xr:uid="{FE39B97F-E95A-4681-91FF-920FC9493BAA}">
      <formula1>"HLGE,RSE,CON-DRV,SBL1,SBL2,SBL3,SBL4"</formula1>
    </dataValidation>
    <dataValidation type="list" allowBlank="1" showInputMessage="1" showErrorMessage="1" sqref="B1931:B1048576 B615:B1919 B2:B613" xr:uid="{8357C0A4-E19E-4DAF-AB6E-E2B8F32A62DA}">
      <formula1>"1L,2L,3L,4L,5L,6L,7L"</formula1>
    </dataValidation>
    <dataValidation type="list" allowBlank="1" showInputMessage="1" showErrorMessage="1" sqref="B661:B664 D670:D1048576 D615:D660 D1:D613" xr:uid="{1432E716-655E-4A20-8BE7-8982E1D793DE}">
      <formula1>"A,B,C"</formula1>
    </dataValidation>
    <dataValidation type="list" allowBlank="1" showInputMessage="1" showErrorMessage="1" sqref="C1920:C1930" xr:uid="{8EFEB887-26E2-4D31-BCC7-0529F7080C26}">
      <formula1>"CONC,E1,E2,E3,E4,E5,E9,E8,E7,W1,W2,W3,W4,W5,W6,W7,W8,W9,W10,W11,W12,W13,W14,W15,W16,W17,W18,W19,W20,W21,W22,W23,E13,W24,W25,W26,W27,W28,W29,W30,ADIT"</formula1>
    </dataValidation>
    <dataValidation type="list" allowBlank="1" showInputMessage="1" showErrorMessage="1" sqref="E1923:E1931" xr:uid="{72C9924A-F4EC-4645-B1B3-EB79C2B4FED6}">
      <formula1>"RCH,FCH,SLG,SDC,GRABS"</formula1>
    </dataValidation>
    <dataValidation type="list" allowBlank="1" showInputMessage="1" showErrorMessage="1" sqref="B1920:B1930" xr:uid="{26C3E783-3482-4BAC-B2A1-9B15A1D880AA}">
      <formula1>"1L,2L,3L,4L,5L,6L,7L,PK02,8L,9L"</formula1>
    </dataValidation>
    <dataValidation type="list" allowBlank="1" showInputMessage="1" showErrorMessage="1" sqref="Q1:Q1048576" xr:uid="{62190039-04C3-4EE6-9F78-12CB39B03CC0}">
      <formula1>"L-Ngirazi,J-Kamwavi,E-Chiurani,T-Sibanda,E-Mlambo,C-Sande,T-Zifa"</formula1>
    </dataValidation>
    <dataValidation type="list" allowBlank="1" showInputMessage="1" showErrorMessage="1" sqref="R1:R1048576" xr:uid="{9777047E-C378-4C35-B110-48CDB90C4017}">
      <formula1>"TM,AC,KK,SM,LB"</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C78B-3055-49FF-8BE6-94F1FC5FE95D}">
  <sheetPr>
    <tabColor theme="9" tint="0.39997558519241921"/>
  </sheetPr>
  <dimension ref="A1:H1008"/>
  <sheetViews>
    <sheetView zoomScale="85" zoomScaleNormal="85" workbookViewId="0">
      <pane ySplit="1" topLeftCell="A119" activePane="bottomLeft" state="frozen"/>
      <selection pane="bottomLeft" activeCell="B133" sqref="B133"/>
    </sheetView>
  </sheetViews>
  <sheetFormatPr defaultColWidth="8.21875" defaultRowHeight="14.4"/>
  <cols>
    <col min="1" max="1" width="10.21875" style="66" bestFit="1" customWidth="1"/>
    <col min="2" max="2" width="30.109375" style="64" customWidth="1"/>
    <col min="3" max="3" width="16.109375" style="64" bestFit="1" customWidth="1"/>
    <col min="4" max="4" width="10.21875" style="488" customWidth="1"/>
    <col min="5" max="5" width="16.21875" style="67" customWidth="1"/>
    <col min="6" max="6" width="14.21875" style="66" customWidth="1"/>
    <col min="7" max="7" width="15.21875" style="64" bestFit="1" customWidth="1"/>
    <col min="8" max="8" width="10.77734375" style="64" customWidth="1"/>
    <col min="9" max="10" width="13.21875" style="64" bestFit="1" customWidth="1"/>
    <col min="11" max="11" width="8.21875" style="64"/>
    <col min="12" max="12" width="12.21875" style="64" bestFit="1" customWidth="1"/>
    <col min="13" max="16384" width="8.21875" style="64"/>
  </cols>
  <sheetData>
    <row r="1" spans="1:6" ht="42" customHeight="1" thickBot="1">
      <c r="A1" s="601" t="s">
        <v>1242</v>
      </c>
      <c r="B1" s="712" t="s">
        <v>1243</v>
      </c>
      <c r="C1" s="714" t="s">
        <v>1244</v>
      </c>
      <c r="D1" s="967" t="s">
        <v>460</v>
      </c>
      <c r="E1" s="713" t="s">
        <v>1245</v>
      </c>
      <c r="F1" s="602" t="s">
        <v>1246</v>
      </c>
    </row>
    <row r="2" spans="1:6">
      <c r="A2" s="3007">
        <v>45870</v>
      </c>
      <c r="B2" s="970" t="s">
        <v>1247</v>
      </c>
      <c r="C2" s="970" t="s">
        <v>1248</v>
      </c>
      <c r="D2" s="2223">
        <v>2.5299999999999998</v>
      </c>
      <c r="E2" s="2223"/>
      <c r="F2" s="3011">
        <v>45869</v>
      </c>
    </row>
    <row r="3" spans="1:6">
      <c r="A3" s="3009"/>
      <c r="B3" s="1244" t="s">
        <v>1249</v>
      </c>
      <c r="C3" s="1244" t="s">
        <v>1250</v>
      </c>
      <c r="D3" s="1544">
        <v>2.69</v>
      </c>
      <c r="E3" s="3051">
        <f>+AVERAGE(D3:D4)</f>
        <v>2.665</v>
      </c>
      <c r="F3" s="3013"/>
    </row>
    <row r="4" spans="1:6">
      <c r="A4" s="3009"/>
      <c r="B4" s="1244" t="s">
        <v>1251</v>
      </c>
      <c r="C4" s="1244" t="s">
        <v>1252</v>
      </c>
      <c r="D4" s="1544">
        <v>2.64</v>
      </c>
      <c r="E4" s="3051"/>
      <c r="F4" s="3013"/>
    </row>
    <row r="5" spans="1:6">
      <c r="A5" s="3009"/>
      <c r="B5" s="1244" t="s">
        <v>1253</v>
      </c>
      <c r="C5" s="1244" t="s">
        <v>1254</v>
      </c>
      <c r="D5" s="1544">
        <v>2.61</v>
      </c>
      <c r="E5" s="1544"/>
      <c r="F5" s="3013"/>
    </row>
    <row r="6" spans="1:6">
      <c r="A6" s="3009"/>
      <c r="B6" s="1244" t="s">
        <v>1255</v>
      </c>
      <c r="C6" s="1244" t="s">
        <v>1256</v>
      </c>
      <c r="D6" s="1544">
        <v>3.97</v>
      </c>
      <c r="E6" s="1544"/>
      <c r="F6" s="3013"/>
    </row>
    <row r="7" spans="1:6">
      <c r="A7" s="3009"/>
      <c r="B7" s="1244" t="s">
        <v>1257</v>
      </c>
      <c r="C7" s="1244" t="s">
        <v>1258</v>
      </c>
      <c r="D7" s="1544">
        <v>4.26</v>
      </c>
      <c r="E7" s="1544"/>
      <c r="F7" s="3013"/>
    </row>
    <row r="8" spans="1:6">
      <c r="A8" s="3009"/>
      <c r="B8" s="1244" t="s">
        <v>1259</v>
      </c>
      <c r="C8" s="1244" t="s">
        <v>1260</v>
      </c>
      <c r="D8" s="1544">
        <v>1.23</v>
      </c>
      <c r="E8" s="1544"/>
      <c r="F8" s="3013"/>
    </row>
    <row r="9" spans="1:6">
      <c r="A9" s="3009"/>
      <c r="B9" s="1244" t="s">
        <v>1261</v>
      </c>
      <c r="C9" s="1244" t="s">
        <v>1262</v>
      </c>
      <c r="D9" s="1544">
        <v>0.9</v>
      </c>
      <c r="E9" s="1544" t="s">
        <v>1263</v>
      </c>
      <c r="F9" s="3013"/>
    </row>
    <row r="10" spans="1:6">
      <c r="A10" s="3009"/>
      <c r="B10" s="1244" t="s">
        <v>1264</v>
      </c>
      <c r="C10" s="1244" t="s">
        <v>1265</v>
      </c>
      <c r="D10" s="1544">
        <v>0</v>
      </c>
      <c r="E10" s="1544" t="s">
        <v>1266</v>
      </c>
      <c r="F10" s="3013"/>
    </row>
    <row r="11" spans="1:6">
      <c r="A11" s="3009"/>
      <c r="B11" s="1244" t="s">
        <v>1267</v>
      </c>
      <c r="C11" s="1244" t="s">
        <v>1268</v>
      </c>
      <c r="D11" s="1544">
        <v>3.23</v>
      </c>
      <c r="E11" s="1544"/>
      <c r="F11" s="3013"/>
    </row>
    <row r="12" spans="1:6">
      <c r="A12" s="3009"/>
      <c r="B12" s="1244" t="s">
        <v>1269</v>
      </c>
      <c r="C12" s="1244" t="s">
        <v>1270</v>
      </c>
      <c r="D12" s="1544">
        <v>2.29</v>
      </c>
      <c r="E12" s="1544"/>
      <c r="F12" s="3013"/>
    </row>
    <row r="13" spans="1:6">
      <c r="A13" s="3009"/>
      <c r="B13" s="1244" t="s">
        <v>1271</v>
      </c>
      <c r="C13" s="1244" t="s">
        <v>1272</v>
      </c>
      <c r="D13" s="1426">
        <v>1.84</v>
      </c>
      <c r="E13" s="2343"/>
      <c r="F13" s="3013"/>
    </row>
    <row r="14" spans="1:6">
      <c r="A14" s="3009"/>
      <c r="B14" s="1244" t="s">
        <v>1273</v>
      </c>
      <c r="C14" s="1244" t="s">
        <v>1274</v>
      </c>
      <c r="D14" s="1242">
        <v>1.92</v>
      </c>
      <c r="E14" s="2343"/>
      <c r="F14" s="3013"/>
    </row>
    <row r="15" spans="1:6">
      <c r="A15" s="3009"/>
      <c r="B15" s="1244" t="s">
        <v>1275</v>
      </c>
      <c r="C15" s="1244" t="s">
        <v>1276</v>
      </c>
      <c r="D15" s="1426">
        <v>0.15</v>
      </c>
      <c r="E15" s="1615"/>
      <c r="F15" s="3013"/>
    </row>
    <row r="16" spans="1:6">
      <c r="A16" s="3009"/>
      <c r="B16" s="1244" t="s">
        <v>1277</v>
      </c>
      <c r="C16" s="1244" t="s">
        <v>1278</v>
      </c>
      <c r="D16" s="1426">
        <v>2.2599999999999998</v>
      </c>
      <c r="E16" s="1615"/>
      <c r="F16" s="3013"/>
    </row>
    <row r="17" spans="1:6">
      <c r="A17" s="3009"/>
      <c r="B17" s="1244" t="s">
        <v>1279</v>
      </c>
      <c r="C17" s="1244" t="s">
        <v>1280</v>
      </c>
      <c r="D17" s="1426">
        <v>0.75</v>
      </c>
      <c r="E17" s="2344"/>
      <c r="F17" s="3013"/>
    </row>
    <row r="18" spans="1:6">
      <c r="A18" s="3009"/>
      <c r="B18" s="1244" t="s">
        <v>1281</v>
      </c>
      <c r="C18" s="1244" t="s">
        <v>1282</v>
      </c>
      <c r="D18" s="1426">
        <v>1.1499999999999999</v>
      </c>
      <c r="E18" s="2344"/>
      <c r="F18" s="3013"/>
    </row>
    <row r="19" spans="1:6">
      <c r="A19" s="3009"/>
      <c r="B19" s="1244" t="s">
        <v>1261</v>
      </c>
      <c r="C19" s="1244" t="s">
        <v>1283</v>
      </c>
      <c r="D19" s="1426">
        <v>1.02</v>
      </c>
      <c r="E19" s="1710" t="s">
        <v>1263</v>
      </c>
      <c r="F19" s="3013"/>
    </row>
    <row r="20" spans="1:6">
      <c r="A20" s="3009"/>
      <c r="B20" s="1244" t="s">
        <v>1284</v>
      </c>
      <c r="C20" s="1244" t="s">
        <v>1285</v>
      </c>
      <c r="D20" s="1426">
        <v>0</v>
      </c>
      <c r="E20" s="1710" t="s">
        <v>1266</v>
      </c>
      <c r="F20" s="3013"/>
    </row>
    <row r="21" spans="1:6">
      <c r="A21" s="3009"/>
      <c r="B21" s="1244" t="s">
        <v>1286</v>
      </c>
      <c r="C21" s="1244" t="s">
        <v>1287</v>
      </c>
      <c r="D21" s="1426">
        <v>0.64</v>
      </c>
      <c r="E21" s="1816"/>
      <c r="F21" s="3013"/>
    </row>
    <row r="22" spans="1:6">
      <c r="A22" s="3009"/>
      <c r="B22" s="1244" t="s">
        <v>1288</v>
      </c>
      <c r="C22" s="1244" t="s">
        <v>1289</v>
      </c>
      <c r="D22" s="1426">
        <v>1.84</v>
      </c>
      <c r="E22" s="1242"/>
      <c r="F22" s="3013"/>
    </row>
    <row r="23" spans="1:6" ht="15" thickBot="1">
      <c r="A23" s="3010"/>
      <c r="B23" s="1562" t="s">
        <v>1290</v>
      </c>
      <c r="C23" s="1562" t="s">
        <v>1291</v>
      </c>
      <c r="D23" s="1527">
        <v>2.95</v>
      </c>
      <c r="E23" s="1527"/>
      <c r="F23" s="3015"/>
    </row>
    <row r="24" spans="1:6">
      <c r="A24" s="3022">
        <v>45871</v>
      </c>
      <c r="B24" s="970" t="s">
        <v>1292</v>
      </c>
      <c r="C24" s="970" t="s">
        <v>1293</v>
      </c>
      <c r="D24" s="1817">
        <v>1.59</v>
      </c>
      <c r="E24" s="2402"/>
      <c r="F24" s="3025">
        <v>45870</v>
      </c>
    </row>
    <row r="25" spans="1:6">
      <c r="A25" s="3023"/>
      <c r="B25" s="1244" t="s">
        <v>1294</v>
      </c>
      <c r="C25" s="1244" t="s">
        <v>1295</v>
      </c>
      <c r="D25" s="1641">
        <v>8.15</v>
      </c>
      <c r="E25" s="2345"/>
      <c r="F25" s="3026"/>
    </row>
    <row r="26" spans="1:6">
      <c r="A26" s="3023"/>
      <c r="B26" s="1244" t="s">
        <v>1296</v>
      </c>
      <c r="C26" s="1244" t="s">
        <v>1297</v>
      </c>
      <c r="D26" s="1641">
        <v>4.3099999999999996</v>
      </c>
      <c r="E26" s="2345"/>
      <c r="F26" s="3026"/>
    </row>
    <row r="27" spans="1:6">
      <c r="A27" s="3023"/>
      <c r="B27" s="1244" t="s">
        <v>1298</v>
      </c>
      <c r="C27" s="1244" t="s">
        <v>1299</v>
      </c>
      <c r="D27" s="1242">
        <v>2.29</v>
      </c>
      <c r="E27" s="2345"/>
      <c r="F27" s="3026"/>
    </row>
    <row r="28" spans="1:6">
      <c r="A28" s="3023"/>
      <c r="B28" s="1244" t="s">
        <v>1300</v>
      </c>
      <c r="C28" s="1244" t="s">
        <v>1301</v>
      </c>
      <c r="D28" s="2346">
        <v>2.14</v>
      </c>
      <c r="E28" s="2347"/>
      <c r="F28" s="3026"/>
    </row>
    <row r="29" spans="1:6">
      <c r="A29" s="3023"/>
      <c r="B29" s="1244" t="s">
        <v>1302</v>
      </c>
      <c r="C29" s="1244" t="s">
        <v>1303</v>
      </c>
      <c r="D29" s="1641">
        <v>0.96</v>
      </c>
      <c r="E29" s="2347"/>
      <c r="F29" s="3026"/>
    </row>
    <row r="30" spans="1:6">
      <c r="A30" s="3023"/>
      <c r="B30" s="1244" t="s">
        <v>1304</v>
      </c>
      <c r="C30" s="1244" t="s">
        <v>1305</v>
      </c>
      <c r="D30" s="2349">
        <v>0.65</v>
      </c>
      <c r="E30" s="2348"/>
      <c r="F30" s="3026"/>
    </row>
    <row r="31" spans="1:6">
      <c r="A31" s="3023"/>
      <c r="B31" s="1244" t="s">
        <v>1264</v>
      </c>
      <c r="C31" s="1244" t="s">
        <v>1306</v>
      </c>
      <c r="D31" s="1641">
        <v>2.69</v>
      </c>
      <c r="E31" s="2348"/>
      <c r="F31" s="3026"/>
    </row>
    <row r="32" spans="1:6">
      <c r="A32" s="3023"/>
      <c r="B32" s="1244" t="s">
        <v>954</v>
      </c>
      <c r="C32" s="1244" t="s">
        <v>1307</v>
      </c>
      <c r="D32" s="2349">
        <v>1.08</v>
      </c>
      <c r="E32" s="2348" t="s">
        <v>1266</v>
      </c>
      <c r="F32" s="3026"/>
    </row>
    <row r="33" spans="1:6">
      <c r="A33" s="3023"/>
      <c r="B33" s="1244" t="s">
        <v>529</v>
      </c>
      <c r="C33" s="1244" t="s">
        <v>1308</v>
      </c>
      <c r="D33" s="1641">
        <v>0</v>
      </c>
      <c r="E33" s="2348" t="s">
        <v>1266</v>
      </c>
      <c r="F33" s="3026"/>
    </row>
    <row r="34" spans="1:6">
      <c r="A34" s="3023"/>
      <c r="B34" s="1244" t="s">
        <v>1309</v>
      </c>
      <c r="C34" s="1244" t="s">
        <v>1310</v>
      </c>
      <c r="D34" s="1242">
        <v>4.96</v>
      </c>
      <c r="E34" s="2422"/>
      <c r="F34" s="3026"/>
    </row>
    <row r="35" spans="1:6">
      <c r="A35" s="3023"/>
      <c r="B35" s="1244" t="s">
        <v>1288</v>
      </c>
      <c r="C35" s="1244" t="s">
        <v>1311</v>
      </c>
      <c r="D35" s="1641">
        <v>2.2810000000000001</v>
      </c>
      <c r="E35" s="2350"/>
      <c r="F35" s="3026"/>
    </row>
    <row r="36" spans="1:6">
      <c r="A36" s="3023"/>
      <c r="B36" s="1244" t="s">
        <v>1290</v>
      </c>
      <c r="C36" s="1244" t="s">
        <v>1312</v>
      </c>
      <c r="D36" s="1641">
        <v>2.2829999999999999</v>
      </c>
      <c r="E36" s="2351"/>
      <c r="F36" s="3026"/>
    </row>
    <row r="37" spans="1:6">
      <c r="A37" s="3023"/>
      <c r="B37" s="1244" t="s">
        <v>1313</v>
      </c>
      <c r="C37" s="1244" t="s">
        <v>1314</v>
      </c>
      <c r="D37" s="1641">
        <v>0.71199999999999997</v>
      </c>
      <c r="E37" s="2351"/>
      <c r="F37" s="3026"/>
    </row>
    <row r="38" spans="1:6">
      <c r="A38" s="3023"/>
      <c r="B38" s="1244" t="s">
        <v>954</v>
      </c>
      <c r="C38" s="1244" t="s">
        <v>1315</v>
      </c>
      <c r="D38" s="1641">
        <v>1.03</v>
      </c>
      <c r="E38" s="2351"/>
      <c r="F38" s="3026"/>
    </row>
    <row r="39" spans="1:6">
      <c r="A39" s="3023"/>
      <c r="B39" s="1244" t="s">
        <v>1316</v>
      </c>
      <c r="C39" s="1244" t="s">
        <v>1317</v>
      </c>
      <c r="D39" s="1544">
        <v>7.8319999999999999</v>
      </c>
      <c r="E39" s="2348"/>
      <c r="F39" s="3026"/>
    </row>
    <row r="40" spans="1:6">
      <c r="A40" s="3023"/>
      <c r="B40" s="1244" t="s">
        <v>1277</v>
      </c>
      <c r="C40" s="1244" t="s">
        <v>1318</v>
      </c>
      <c r="D40" s="2425">
        <v>2.5990000000000002</v>
      </c>
      <c r="E40" s="2348"/>
      <c r="F40" s="3026"/>
    </row>
    <row r="41" spans="1:6">
      <c r="A41" s="3023"/>
      <c r="B41" s="1244" t="s">
        <v>1319</v>
      </c>
      <c r="C41" s="1244" t="s">
        <v>1320</v>
      </c>
      <c r="D41" s="1544">
        <v>3.2250000000000001</v>
      </c>
      <c r="E41" s="2352"/>
      <c r="F41" s="3026"/>
    </row>
    <row r="42" spans="1:6">
      <c r="A42" s="3023"/>
      <c r="B42" s="1244" t="s">
        <v>1321</v>
      </c>
      <c r="C42" s="1244" t="s">
        <v>1322</v>
      </c>
      <c r="D42" s="2426">
        <v>3.4079999999999999</v>
      </c>
      <c r="E42" s="2352"/>
      <c r="F42" s="3026"/>
    </row>
    <row r="43" spans="1:6">
      <c r="A43" s="3023"/>
      <c r="B43" s="1244" t="s">
        <v>1323</v>
      </c>
      <c r="C43" s="1244" t="s">
        <v>1324</v>
      </c>
      <c r="D43" s="1544">
        <v>5.1390000000000002</v>
      </c>
      <c r="E43" s="2352"/>
      <c r="F43" s="3026"/>
    </row>
    <row r="44" spans="1:6">
      <c r="A44" s="3023"/>
      <c r="B44" s="1244" t="s">
        <v>1271</v>
      </c>
      <c r="C44" s="1244" t="s">
        <v>1325</v>
      </c>
      <c r="D44" s="2353">
        <v>2.86</v>
      </c>
      <c r="E44" s="2354"/>
      <c r="F44" s="3026"/>
    </row>
    <row r="45" spans="1:6">
      <c r="A45" s="3023"/>
      <c r="B45" s="1244" t="s">
        <v>1275</v>
      </c>
      <c r="C45" s="1244" t="s">
        <v>1326</v>
      </c>
      <c r="D45" s="1544">
        <v>0.30299999999999999</v>
      </c>
      <c r="E45" s="2354"/>
      <c r="F45" s="3026"/>
    </row>
    <row r="46" spans="1:6" ht="15" thickBot="1">
      <c r="A46" s="3024"/>
      <c r="B46" s="1562" t="s">
        <v>1327</v>
      </c>
      <c r="C46" s="1562" t="s">
        <v>1328</v>
      </c>
      <c r="D46" s="2427">
        <v>1.9910000000000001</v>
      </c>
      <c r="E46" s="2424"/>
      <c r="F46" s="3026"/>
    </row>
    <row r="47" spans="1:6">
      <c r="A47" s="3022">
        <v>45872</v>
      </c>
      <c r="B47" s="970" t="s">
        <v>1327</v>
      </c>
      <c r="C47" s="970" t="s">
        <v>1329</v>
      </c>
      <c r="D47" s="2223">
        <v>1.33</v>
      </c>
      <c r="E47" s="3093">
        <f>AVERAGE(D47:D48)</f>
        <v>1.85</v>
      </c>
      <c r="F47" s="3089">
        <v>45871</v>
      </c>
    </row>
    <row r="48" spans="1:6">
      <c r="A48" s="3052"/>
      <c r="B48" s="1244" t="s">
        <v>1327</v>
      </c>
      <c r="C48" s="1244" t="s">
        <v>1330</v>
      </c>
      <c r="D48" s="1641">
        <v>2.37</v>
      </c>
      <c r="E48" s="3094"/>
      <c r="F48" s="3090"/>
    </row>
    <row r="49" spans="1:6">
      <c r="A49" s="3023"/>
      <c r="B49" s="1244" t="s">
        <v>1267</v>
      </c>
      <c r="C49" s="1244" t="s">
        <v>1331</v>
      </c>
      <c r="D49" s="1641">
        <v>1.39</v>
      </c>
      <c r="E49" s="2347"/>
      <c r="F49" s="3091"/>
    </row>
    <row r="50" spans="1:6">
      <c r="A50" s="3023"/>
      <c r="B50" s="1244" t="s">
        <v>1288</v>
      </c>
      <c r="C50" s="1244" t="s">
        <v>1332</v>
      </c>
      <c r="D50" s="1242">
        <v>0.95</v>
      </c>
      <c r="E50" s="3096">
        <v>1.97</v>
      </c>
      <c r="F50" s="3091"/>
    </row>
    <row r="51" spans="1:6">
      <c r="A51" s="3023"/>
      <c r="B51" s="1244" t="s">
        <v>1264</v>
      </c>
      <c r="C51" s="1244" t="s">
        <v>1333</v>
      </c>
      <c r="D51" s="2429">
        <v>2.99</v>
      </c>
      <c r="E51" s="3097"/>
      <c r="F51" s="3091"/>
    </row>
    <row r="52" spans="1:6">
      <c r="A52" s="3023"/>
      <c r="B52" s="1244" t="s">
        <v>1313</v>
      </c>
      <c r="C52" s="1244" t="s">
        <v>1334</v>
      </c>
      <c r="D52" s="1641">
        <v>0.89</v>
      </c>
      <c r="E52" s="3018">
        <v>0.94</v>
      </c>
      <c r="F52" s="3091"/>
    </row>
    <row r="53" spans="1:6">
      <c r="A53" s="3023"/>
      <c r="B53" s="1244" t="s">
        <v>1302</v>
      </c>
      <c r="C53" s="1244" t="s">
        <v>1335</v>
      </c>
      <c r="D53" s="1641">
        <v>0.99</v>
      </c>
      <c r="E53" s="3020"/>
      <c r="F53" s="3091"/>
    </row>
    <row r="54" spans="1:6">
      <c r="A54" s="3023"/>
      <c r="B54" s="1244" t="s">
        <v>1290</v>
      </c>
      <c r="C54" s="1244" t="s">
        <v>1336</v>
      </c>
      <c r="D54" s="1641">
        <v>6.64</v>
      </c>
      <c r="E54" s="3095">
        <v>5.7</v>
      </c>
      <c r="F54" s="3091"/>
    </row>
    <row r="55" spans="1:6">
      <c r="A55" s="3023"/>
      <c r="B55" s="1244" t="s">
        <v>1269</v>
      </c>
      <c r="C55" s="1244" t="s">
        <v>1337</v>
      </c>
      <c r="D55" s="1641">
        <v>4.75</v>
      </c>
      <c r="E55" s="3094"/>
      <c r="F55" s="3091"/>
    </row>
    <row r="56" spans="1:6">
      <c r="A56" s="3023"/>
      <c r="B56" s="1244" t="s">
        <v>1275</v>
      </c>
      <c r="C56" s="1244" t="s">
        <v>1338</v>
      </c>
      <c r="D56" s="1641">
        <v>0.85</v>
      </c>
      <c r="E56" s="3018">
        <v>0.62</v>
      </c>
      <c r="F56" s="3091"/>
    </row>
    <row r="57" spans="1:6">
      <c r="A57" s="3023"/>
      <c r="B57" s="1244" t="s">
        <v>1292</v>
      </c>
      <c r="C57" s="1244" t="s">
        <v>1339</v>
      </c>
      <c r="D57" s="1544">
        <v>0.39</v>
      </c>
      <c r="E57" s="3020"/>
      <c r="F57" s="3091"/>
    </row>
    <row r="58" spans="1:6">
      <c r="A58" s="3023"/>
      <c r="B58" s="1244" t="s">
        <v>1271</v>
      </c>
      <c r="C58" s="1244" t="s">
        <v>1340</v>
      </c>
      <c r="D58" s="1426">
        <v>4.57</v>
      </c>
      <c r="E58" s="3018">
        <f>AVERAGE(D58:D59)</f>
        <v>2.72</v>
      </c>
      <c r="F58" s="3091"/>
    </row>
    <row r="59" spans="1:6">
      <c r="A59" s="3023"/>
      <c r="B59" s="1244" t="s">
        <v>1341</v>
      </c>
      <c r="C59" s="1244" t="s">
        <v>1342</v>
      </c>
      <c r="D59" s="2346">
        <v>0.87</v>
      </c>
      <c r="E59" s="3020"/>
      <c r="F59" s="3091"/>
    </row>
    <row r="60" spans="1:6">
      <c r="A60" s="3023"/>
      <c r="B60" s="1244" t="s">
        <v>1343</v>
      </c>
      <c r="C60" s="1244" t="s">
        <v>1344</v>
      </c>
      <c r="D60" s="1426">
        <v>5.76</v>
      </c>
      <c r="E60" s="1426"/>
      <c r="F60" s="3091"/>
    </row>
    <row r="61" spans="1:6">
      <c r="A61" s="3023"/>
      <c r="B61" s="1244" t="s">
        <v>1321</v>
      </c>
      <c r="C61" s="1244" t="s">
        <v>1345</v>
      </c>
      <c r="D61" s="1426">
        <v>2.4</v>
      </c>
      <c r="E61" s="3018">
        <v>3.54</v>
      </c>
      <c r="F61" s="3091"/>
    </row>
    <row r="62" spans="1:6">
      <c r="A62" s="3023"/>
      <c r="B62" s="1244" t="s">
        <v>1323</v>
      </c>
      <c r="C62" s="1244" t="s">
        <v>1346</v>
      </c>
      <c r="D62" s="1426">
        <v>4.68</v>
      </c>
      <c r="E62" s="3020"/>
      <c r="F62" s="3091"/>
    </row>
    <row r="63" spans="1:6">
      <c r="A63" s="3023"/>
      <c r="B63" s="1244" t="s">
        <v>1319</v>
      </c>
      <c r="C63" s="1244" t="s">
        <v>1347</v>
      </c>
      <c r="D63" s="1641">
        <v>1.25</v>
      </c>
      <c r="E63" s="3018">
        <f>AVERAGE(D63:D64)</f>
        <v>1.67</v>
      </c>
      <c r="F63" s="3091"/>
    </row>
    <row r="64" spans="1:6">
      <c r="A64" s="3023"/>
      <c r="B64" s="1244" t="s">
        <v>1298</v>
      </c>
      <c r="C64" s="1244" t="s">
        <v>1348</v>
      </c>
      <c r="D64" s="1544">
        <v>2.09</v>
      </c>
      <c r="E64" s="3020"/>
      <c r="F64" s="3091"/>
    </row>
    <row r="65" spans="1:6">
      <c r="A65" s="3023"/>
      <c r="B65" s="1244" t="s">
        <v>529</v>
      </c>
      <c r="C65" s="1244" t="s">
        <v>1349</v>
      </c>
      <c r="D65" s="1641">
        <v>0</v>
      </c>
      <c r="E65" s="1426" t="s">
        <v>1266</v>
      </c>
      <c r="F65" s="3091"/>
    </row>
    <row r="66" spans="1:6">
      <c r="A66" s="3023"/>
      <c r="B66" s="1244" t="s">
        <v>529</v>
      </c>
      <c r="C66" s="1244" t="s">
        <v>1350</v>
      </c>
      <c r="D66" s="1641">
        <v>0</v>
      </c>
      <c r="E66" s="1426" t="s">
        <v>1266</v>
      </c>
      <c r="F66" s="3091"/>
    </row>
    <row r="67" spans="1:6">
      <c r="A67" s="3023"/>
      <c r="B67" s="1244" t="s">
        <v>1261</v>
      </c>
      <c r="C67" s="1244" t="s">
        <v>1351</v>
      </c>
      <c r="D67" s="1426">
        <v>3.19</v>
      </c>
      <c r="E67" s="1544" t="s">
        <v>1266</v>
      </c>
      <c r="F67" s="3091"/>
    </row>
    <row r="68" spans="1:6">
      <c r="A68" s="3023"/>
      <c r="B68" s="1244" t="s">
        <v>954</v>
      </c>
      <c r="C68" s="1244" t="s">
        <v>1352</v>
      </c>
      <c r="D68" s="1426">
        <v>3.14</v>
      </c>
      <c r="E68" s="1544" t="s">
        <v>1263</v>
      </c>
      <c r="F68" s="3091"/>
    </row>
    <row r="69" spans="1:6">
      <c r="A69" s="3023"/>
      <c r="B69" s="1244" t="s">
        <v>1353</v>
      </c>
      <c r="C69" s="1244" t="s">
        <v>1354</v>
      </c>
      <c r="D69" s="1641">
        <v>1.55</v>
      </c>
      <c r="E69" s="2067"/>
      <c r="F69" s="3091"/>
    </row>
    <row r="70" spans="1:6" ht="15" thickBot="1">
      <c r="A70" s="3024"/>
      <c r="B70" s="1562" t="s">
        <v>1355</v>
      </c>
      <c r="C70" s="1562" t="s">
        <v>1356</v>
      </c>
      <c r="D70" s="2423">
        <v>1.52</v>
      </c>
      <c r="E70" s="2424"/>
      <c r="F70" s="3092"/>
    </row>
    <row r="71" spans="1:6">
      <c r="A71" s="3036">
        <v>45873</v>
      </c>
      <c r="B71" s="2610"/>
      <c r="C71" s="2610"/>
      <c r="D71" s="2611"/>
      <c r="E71" s="2612"/>
      <c r="F71" s="3086">
        <v>45872</v>
      </c>
    </row>
    <row r="72" spans="1:6">
      <c r="A72" s="3084"/>
      <c r="B72" s="1244" t="s">
        <v>1267</v>
      </c>
      <c r="C72" s="2603" t="s">
        <v>1357</v>
      </c>
      <c r="D72" s="1641">
        <v>4.24</v>
      </c>
      <c r="E72" s="3018">
        <f>+AVERAGE(D72:D74)</f>
        <v>2.8216666666666668</v>
      </c>
      <c r="F72" s="3087"/>
    </row>
    <row r="73" spans="1:6">
      <c r="A73" s="3084"/>
      <c r="B73" s="1244" t="s">
        <v>1288</v>
      </c>
      <c r="C73" s="2603" t="s">
        <v>1358</v>
      </c>
      <c r="D73" s="1641">
        <v>3.105</v>
      </c>
      <c r="E73" s="3019"/>
      <c r="F73" s="3087"/>
    </row>
    <row r="74" spans="1:6">
      <c r="A74" s="3084"/>
      <c r="B74" s="1244" t="s">
        <v>1264</v>
      </c>
      <c r="C74" s="2603" t="s">
        <v>1359</v>
      </c>
      <c r="D74" s="1641">
        <v>1.1200000000000001</v>
      </c>
      <c r="E74" s="3020"/>
      <c r="F74" s="3087"/>
    </row>
    <row r="75" spans="1:6">
      <c r="A75" s="3084"/>
      <c r="B75" s="1244" t="s">
        <v>1360</v>
      </c>
      <c r="C75" s="2603" t="s">
        <v>1361</v>
      </c>
      <c r="D75" s="1641">
        <v>0.3</v>
      </c>
      <c r="E75" s="1426">
        <v>0.3</v>
      </c>
      <c r="F75" s="3087"/>
    </row>
    <row r="76" spans="1:6">
      <c r="A76" s="3084"/>
      <c r="B76" s="1244" t="s">
        <v>1362</v>
      </c>
      <c r="C76" s="2603" t="s">
        <v>1363</v>
      </c>
      <c r="D76" s="1641">
        <v>2.847</v>
      </c>
      <c r="E76" s="3018">
        <f>+AVERAGE(D76:D77)</f>
        <v>3.9835000000000003</v>
      </c>
      <c r="F76" s="3087"/>
    </row>
    <row r="77" spans="1:6">
      <c r="A77" s="3084"/>
      <c r="B77" s="1244" t="s">
        <v>1364</v>
      </c>
      <c r="C77" s="2603" t="s">
        <v>1365</v>
      </c>
      <c r="D77" s="1242">
        <v>5.12</v>
      </c>
      <c r="E77" s="3020"/>
      <c r="F77" s="3087"/>
    </row>
    <row r="78" spans="1:6">
      <c r="A78" s="3084"/>
      <c r="B78" s="1244" t="s">
        <v>1366</v>
      </c>
      <c r="C78" s="2603" t="s">
        <v>1367</v>
      </c>
      <c r="D78" s="1641">
        <v>4.3979999999999997</v>
      </c>
      <c r="E78" s="3095">
        <f>+AVERAGE(D78:D79)</f>
        <v>4.3469999999999995</v>
      </c>
      <c r="F78" s="3087"/>
    </row>
    <row r="79" spans="1:6">
      <c r="A79" s="3084"/>
      <c r="B79" s="1244" t="s">
        <v>1368</v>
      </c>
      <c r="C79" s="2603" t="s">
        <v>1369</v>
      </c>
      <c r="D79" s="1641">
        <v>4.2960000000000003</v>
      </c>
      <c r="E79" s="3094"/>
      <c r="F79" s="3087"/>
    </row>
    <row r="80" spans="1:6">
      <c r="A80" s="3084"/>
      <c r="B80" s="1244" t="s">
        <v>1275</v>
      </c>
      <c r="C80" s="2603" t="s">
        <v>1370</v>
      </c>
      <c r="D80" s="1426">
        <v>0.93300000000000005</v>
      </c>
      <c r="E80" s="3018">
        <f>+AVERAGE(D80:D81)</f>
        <v>0.79150000000000009</v>
      </c>
      <c r="F80" s="3087"/>
    </row>
    <row r="81" spans="1:6">
      <c r="A81" s="3084"/>
      <c r="B81" s="1244" t="s">
        <v>1292</v>
      </c>
      <c r="C81" s="2603" t="s">
        <v>1371</v>
      </c>
      <c r="D81" s="1426">
        <v>0.65</v>
      </c>
      <c r="E81" s="3020"/>
      <c r="F81" s="3087"/>
    </row>
    <row r="82" spans="1:6">
      <c r="A82" s="3084"/>
      <c r="B82" s="1244" t="s">
        <v>1271</v>
      </c>
      <c r="C82" s="2603" t="s">
        <v>1372</v>
      </c>
      <c r="D82" s="1426">
        <v>4.4180000000000001</v>
      </c>
      <c r="E82" s="3018">
        <f>+AVERAGE(D82:D83)</f>
        <v>5.3490000000000002</v>
      </c>
      <c r="F82" s="3087"/>
    </row>
    <row r="83" spans="1:6">
      <c r="A83" s="3084"/>
      <c r="B83" s="1244" t="s">
        <v>1341</v>
      </c>
      <c r="C83" s="2603" t="s">
        <v>1373</v>
      </c>
      <c r="D83" s="1426">
        <v>6.28</v>
      </c>
      <c r="E83" s="3020"/>
      <c r="F83" s="3087"/>
    </row>
    <row r="84" spans="1:6">
      <c r="A84" s="3084"/>
      <c r="B84" s="1244" t="s">
        <v>1327</v>
      </c>
      <c r="C84" s="2603" t="s">
        <v>1374</v>
      </c>
      <c r="D84" s="1242">
        <v>3.077</v>
      </c>
      <c r="E84" s="3018">
        <f>+AVERAGE(D84:D85)</f>
        <v>2.1935000000000002</v>
      </c>
      <c r="F84" s="3087"/>
    </row>
    <row r="85" spans="1:6">
      <c r="A85" s="3084"/>
      <c r="B85" s="1244" t="s">
        <v>1375</v>
      </c>
      <c r="C85" s="2603" t="s">
        <v>1376</v>
      </c>
      <c r="D85" s="1426">
        <v>1.31</v>
      </c>
      <c r="E85" s="3020"/>
      <c r="F85" s="3087"/>
    </row>
    <row r="86" spans="1:6">
      <c r="A86" s="3084"/>
      <c r="B86" s="2613" t="s">
        <v>1296</v>
      </c>
      <c r="C86" s="2614" t="s">
        <v>1377</v>
      </c>
      <c r="D86" s="2615">
        <v>2.14</v>
      </c>
      <c r="E86" s="3018">
        <f>+AVERAGE(D86:D87)</f>
        <v>3.2389999999999999</v>
      </c>
      <c r="F86" s="3087"/>
    </row>
    <row r="87" spans="1:6">
      <c r="A87" s="3084"/>
      <c r="B87" s="1244" t="s">
        <v>1277</v>
      </c>
      <c r="C87" s="2603" t="s">
        <v>1378</v>
      </c>
      <c r="D87" s="1641">
        <v>4.3380000000000001</v>
      </c>
      <c r="E87" s="3020"/>
      <c r="F87" s="3087"/>
    </row>
    <row r="88" spans="1:6">
      <c r="A88" s="3084"/>
      <c r="B88" s="1244" t="s">
        <v>1379</v>
      </c>
      <c r="C88" s="2603" t="s">
        <v>1380</v>
      </c>
      <c r="D88" s="1426">
        <v>1.3049999999999999</v>
      </c>
      <c r="E88" s="1426">
        <f>+D88</f>
        <v>1.3049999999999999</v>
      </c>
      <c r="F88" s="3087"/>
    </row>
    <row r="89" spans="1:6">
      <c r="A89" s="3084"/>
      <c r="B89" s="1244" t="s">
        <v>1319</v>
      </c>
      <c r="C89" s="2603" t="s">
        <v>1381</v>
      </c>
      <c r="D89" s="1641">
        <v>1.94</v>
      </c>
      <c r="E89" s="3018">
        <f>+AVERAGE(D89:D90)</f>
        <v>1.5699999999999998</v>
      </c>
      <c r="F89" s="3087"/>
    </row>
    <row r="90" spans="1:6">
      <c r="A90" s="3084"/>
      <c r="B90" s="1244" t="s">
        <v>1298</v>
      </c>
      <c r="C90" s="2603" t="s">
        <v>1382</v>
      </c>
      <c r="D90" s="1426">
        <v>1.2</v>
      </c>
      <c r="E90" s="3020"/>
      <c r="F90" s="3087"/>
    </row>
    <row r="91" spans="1:6">
      <c r="A91" s="3084"/>
      <c r="B91" s="1244" t="s">
        <v>529</v>
      </c>
      <c r="C91" s="2603" t="s">
        <v>1383</v>
      </c>
      <c r="D91" s="1426">
        <v>0</v>
      </c>
      <c r="E91" s="1544" t="s">
        <v>1266</v>
      </c>
      <c r="F91" s="3087"/>
    </row>
    <row r="92" spans="1:6">
      <c r="A92" s="3084"/>
      <c r="B92" s="1244" t="s">
        <v>529</v>
      </c>
      <c r="C92" s="2603" t="s">
        <v>1384</v>
      </c>
      <c r="D92" s="1641">
        <v>0</v>
      </c>
      <c r="E92" s="1544" t="s">
        <v>1266</v>
      </c>
      <c r="F92" s="3087"/>
    </row>
    <row r="93" spans="1:6">
      <c r="A93" s="3084"/>
      <c r="B93" s="1244" t="s">
        <v>1385</v>
      </c>
      <c r="C93" s="2603" t="s">
        <v>1386</v>
      </c>
      <c r="D93" s="1641">
        <v>2.77</v>
      </c>
      <c r="E93" s="1544"/>
      <c r="F93" s="3087"/>
    </row>
    <row r="94" spans="1:6">
      <c r="A94" s="3084"/>
      <c r="B94" s="1244" t="s">
        <v>1261</v>
      </c>
      <c r="C94" s="2603" t="s">
        <v>1387</v>
      </c>
      <c r="D94" s="1641">
        <v>3.12</v>
      </c>
      <c r="E94" s="1544" t="s">
        <v>1266</v>
      </c>
      <c r="F94" s="3087"/>
    </row>
    <row r="95" spans="1:6" ht="15" thickBot="1">
      <c r="A95" s="3085"/>
      <c r="B95" s="1562" t="s">
        <v>1388</v>
      </c>
      <c r="C95" s="2606" t="s">
        <v>1389</v>
      </c>
      <c r="D95" s="1527">
        <v>0.33500000000000002</v>
      </c>
      <c r="E95" s="1563" t="s">
        <v>1266</v>
      </c>
      <c r="F95" s="3088"/>
    </row>
    <row r="96" spans="1:6">
      <c r="A96" s="3022">
        <v>45874</v>
      </c>
      <c r="B96" s="970" t="s">
        <v>1296</v>
      </c>
      <c r="C96" s="2604" t="s">
        <v>1390</v>
      </c>
      <c r="D96" s="1864">
        <v>1.85</v>
      </c>
      <c r="E96" s="1864">
        <v>1.85</v>
      </c>
      <c r="F96" s="3053">
        <v>45873</v>
      </c>
    </row>
    <row r="97" spans="1:6">
      <c r="A97" s="3023"/>
      <c r="B97" s="1244" t="s">
        <v>1288</v>
      </c>
      <c r="C97" s="2603" t="s">
        <v>1391</v>
      </c>
      <c r="D97" s="1426">
        <v>0.97499999999999998</v>
      </c>
      <c r="E97" s="3018">
        <f>+AVERAGE(D97:D99)</f>
        <v>1.3603333333333334</v>
      </c>
      <c r="F97" s="3055"/>
    </row>
    <row r="98" spans="1:6">
      <c r="A98" s="3023"/>
      <c r="B98" s="1244" t="s">
        <v>1264</v>
      </c>
      <c r="C98" s="2603" t="s">
        <v>1392</v>
      </c>
      <c r="D98" s="1426">
        <v>2.6</v>
      </c>
      <c r="E98" s="3019"/>
      <c r="F98" s="3055"/>
    </row>
    <row r="99" spans="1:6">
      <c r="A99" s="3023"/>
      <c r="B99" s="1244" t="s">
        <v>1393</v>
      </c>
      <c r="C99" s="2603" t="s">
        <v>1394</v>
      </c>
      <c r="D99" s="1426">
        <v>0.50600000000000001</v>
      </c>
      <c r="E99" s="3020"/>
      <c r="F99" s="3055"/>
    </row>
    <row r="100" spans="1:6">
      <c r="A100" s="3023"/>
      <c r="B100" s="1244" t="s">
        <v>1395</v>
      </c>
      <c r="C100" s="2603" t="s">
        <v>1396</v>
      </c>
      <c r="D100" s="1426">
        <v>0.36699999999999999</v>
      </c>
      <c r="E100" s="3018">
        <f>+AVERAGE(D100:D101)</f>
        <v>1.0885</v>
      </c>
      <c r="F100" s="3055"/>
    </row>
    <row r="101" spans="1:6">
      <c r="A101" s="3023"/>
      <c r="B101" s="1244" t="s">
        <v>1360</v>
      </c>
      <c r="C101" s="2603" t="s">
        <v>1397</v>
      </c>
      <c r="D101" s="1426">
        <v>1.81</v>
      </c>
      <c r="E101" s="3020"/>
      <c r="F101" s="3055"/>
    </row>
    <row r="102" spans="1:6">
      <c r="A102" s="3023"/>
      <c r="B102" s="1244" t="s">
        <v>1362</v>
      </c>
      <c r="C102" s="2603" t="s">
        <v>1398</v>
      </c>
      <c r="D102" s="1426">
        <v>3.391</v>
      </c>
      <c r="E102" s="3018">
        <f>+AVERAGE(D102:D103)</f>
        <v>2.0205000000000002</v>
      </c>
      <c r="F102" s="3055"/>
    </row>
    <row r="103" spans="1:6">
      <c r="A103" s="3023"/>
      <c r="B103" s="1244" t="s">
        <v>1364</v>
      </c>
      <c r="C103" s="2603" t="s">
        <v>1399</v>
      </c>
      <c r="D103" s="1426">
        <v>0.65</v>
      </c>
      <c r="E103" s="3020"/>
      <c r="F103" s="3055"/>
    </row>
    <row r="104" spans="1:6">
      <c r="A104" s="3023"/>
      <c r="B104" s="1244" t="s">
        <v>1366</v>
      </c>
      <c r="C104" s="2603" t="s">
        <v>1400</v>
      </c>
      <c r="D104" s="1426">
        <v>7</v>
      </c>
      <c r="E104" s="3018">
        <f>+AVERAGE(D104:D106)</f>
        <v>5.26</v>
      </c>
      <c r="F104" s="3055"/>
    </row>
    <row r="105" spans="1:6">
      <c r="A105" s="3023"/>
      <c r="B105" s="1244" t="s">
        <v>1401</v>
      </c>
      <c r="C105" s="2603" t="s">
        <v>1402</v>
      </c>
      <c r="D105" s="1426">
        <v>1.78</v>
      </c>
      <c r="E105" s="3019"/>
      <c r="F105" s="3055"/>
    </row>
    <row r="106" spans="1:6">
      <c r="A106" s="3023"/>
      <c r="B106" s="1244" t="s">
        <v>1403</v>
      </c>
      <c r="C106" s="2603" t="s">
        <v>1404</v>
      </c>
      <c r="D106" s="1426">
        <v>7</v>
      </c>
      <c r="E106" s="3020"/>
      <c r="F106" s="3055"/>
    </row>
    <row r="107" spans="1:6">
      <c r="A107" s="3023"/>
      <c r="B107" s="1244" t="s">
        <v>1275</v>
      </c>
      <c r="C107" s="2603" t="s">
        <v>1405</v>
      </c>
      <c r="D107" s="1426">
        <v>0.66200000000000003</v>
      </c>
      <c r="E107" s="3018">
        <f>+AVERAGE(D107:D108)</f>
        <v>0.67100000000000004</v>
      </c>
      <c r="F107" s="3055"/>
    </row>
    <row r="108" spans="1:6">
      <c r="A108" s="3023"/>
      <c r="B108" s="1244" t="s">
        <v>1292</v>
      </c>
      <c r="C108" s="2603" t="s">
        <v>1406</v>
      </c>
      <c r="D108" s="1426">
        <v>0.68</v>
      </c>
      <c r="E108" s="3020"/>
      <c r="F108" s="3055"/>
    </row>
    <row r="109" spans="1:6">
      <c r="A109" s="3023"/>
      <c r="B109" s="1244" t="s">
        <v>1271</v>
      </c>
      <c r="C109" s="2603" t="s">
        <v>1407</v>
      </c>
      <c r="D109" s="1426">
        <v>7</v>
      </c>
      <c r="E109" s="3018">
        <f>+AVERAGE(D109:D110)</f>
        <v>4.2350000000000003</v>
      </c>
      <c r="F109" s="3055"/>
    </row>
    <row r="110" spans="1:6">
      <c r="A110" s="3023"/>
      <c r="B110" s="1244" t="s">
        <v>1341</v>
      </c>
      <c r="C110" s="2603" t="s">
        <v>1408</v>
      </c>
      <c r="D110" s="1426">
        <v>1.47</v>
      </c>
      <c r="E110" s="3020"/>
      <c r="F110" s="3055"/>
    </row>
    <row r="111" spans="1:6">
      <c r="A111" s="3023"/>
      <c r="B111" s="1244" t="s">
        <v>1327</v>
      </c>
      <c r="C111" s="2603" t="s">
        <v>1409</v>
      </c>
      <c r="D111" s="1426">
        <v>3.1349999999999998</v>
      </c>
      <c r="E111" s="3018">
        <f>+AVERAGE(D111:D113)</f>
        <v>3.8383333333333334</v>
      </c>
      <c r="F111" s="3055"/>
    </row>
    <row r="112" spans="1:6">
      <c r="A112" s="3023"/>
      <c r="B112" s="1244" t="s">
        <v>1375</v>
      </c>
      <c r="C112" s="2603" t="s">
        <v>1410</v>
      </c>
      <c r="D112" s="1426">
        <v>1.38</v>
      </c>
      <c r="E112" s="3019"/>
      <c r="F112" s="3055"/>
    </row>
    <row r="113" spans="1:6">
      <c r="A113" s="3023"/>
      <c r="B113" s="1244" t="s">
        <v>1411</v>
      </c>
      <c r="C113" s="2603" t="s">
        <v>1412</v>
      </c>
      <c r="D113" s="1426">
        <v>7</v>
      </c>
      <c r="E113" s="3020"/>
      <c r="F113" s="3055"/>
    </row>
    <row r="114" spans="1:6">
      <c r="A114" s="3023"/>
      <c r="B114" s="1244" t="s">
        <v>1277</v>
      </c>
      <c r="C114" s="2603" t="s">
        <v>1413</v>
      </c>
      <c r="D114" s="1426">
        <v>4.9669999999999996</v>
      </c>
      <c r="E114" s="3018">
        <f>+AVERAGE(D114:D116)</f>
        <v>3.7556666666666665</v>
      </c>
      <c r="F114" s="3055"/>
    </row>
    <row r="115" spans="1:6">
      <c r="A115" s="3023"/>
      <c r="B115" s="1244" t="s">
        <v>1273</v>
      </c>
      <c r="C115" s="2603" t="s">
        <v>1414</v>
      </c>
      <c r="D115" s="1426">
        <v>4.97</v>
      </c>
      <c r="E115" s="3019"/>
      <c r="F115" s="3055"/>
    </row>
    <row r="116" spans="1:6">
      <c r="A116" s="3023"/>
      <c r="B116" s="1244" t="s">
        <v>1415</v>
      </c>
      <c r="C116" s="2603" t="s">
        <v>1416</v>
      </c>
      <c r="D116" s="1426">
        <v>1.33</v>
      </c>
      <c r="E116" s="3020"/>
      <c r="F116" s="3055"/>
    </row>
    <row r="117" spans="1:6">
      <c r="A117" s="3023"/>
      <c r="B117" s="1244" t="s">
        <v>1379</v>
      </c>
      <c r="C117" s="2603" t="s">
        <v>1417</v>
      </c>
      <c r="D117" s="1426">
        <v>0.72</v>
      </c>
      <c r="E117" s="1426">
        <v>0.72</v>
      </c>
      <c r="F117" s="3055"/>
    </row>
    <row r="118" spans="1:6">
      <c r="A118" s="3023"/>
      <c r="B118" s="1244" t="s">
        <v>529</v>
      </c>
      <c r="C118" s="2603" t="s">
        <v>1418</v>
      </c>
      <c r="D118" s="1426">
        <v>0</v>
      </c>
      <c r="E118" s="1426" t="s">
        <v>1266</v>
      </c>
      <c r="F118" s="3055"/>
    </row>
    <row r="119" spans="1:6">
      <c r="A119" s="3023"/>
      <c r="B119" s="1244" t="s">
        <v>1261</v>
      </c>
      <c r="C119" s="2603" t="s">
        <v>1419</v>
      </c>
      <c r="D119" s="1426">
        <v>3.2</v>
      </c>
      <c r="E119" s="1426" t="s">
        <v>1266</v>
      </c>
      <c r="F119" s="3055"/>
    </row>
    <row r="120" spans="1:6">
      <c r="A120" s="3023"/>
      <c r="B120" s="1244" t="s">
        <v>1420</v>
      </c>
      <c r="C120" s="2603" t="s">
        <v>1421</v>
      </c>
      <c r="D120" s="1426">
        <v>1.02</v>
      </c>
      <c r="E120" s="1544" t="s">
        <v>1266</v>
      </c>
      <c r="F120" s="3055"/>
    </row>
    <row r="121" spans="1:6">
      <c r="A121" s="3024"/>
      <c r="B121" s="1562" t="s">
        <v>1422</v>
      </c>
      <c r="C121" s="2606" t="s">
        <v>1423</v>
      </c>
      <c r="D121" s="1868">
        <v>1.24</v>
      </c>
      <c r="E121" s="1563" t="s">
        <v>1266</v>
      </c>
      <c r="F121" s="3056"/>
    </row>
    <row r="122" spans="1:6">
      <c r="A122" s="3022">
        <v>45875</v>
      </c>
      <c r="B122" s="970" t="s">
        <v>1375</v>
      </c>
      <c r="C122" s="2604" t="s">
        <v>1424</v>
      </c>
      <c r="D122" s="1864">
        <v>2.0670000000000002</v>
      </c>
      <c r="E122" s="1864"/>
      <c r="F122" s="3053">
        <v>45874</v>
      </c>
    </row>
    <row r="123" spans="1:6">
      <c r="A123" s="3023"/>
      <c r="B123" s="1244" t="s">
        <v>1425</v>
      </c>
      <c r="C123" s="2603" t="s">
        <v>1426</v>
      </c>
      <c r="D123" s="1426">
        <v>2.4279999999999999</v>
      </c>
      <c r="E123" s="1426"/>
      <c r="F123" s="3055"/>
    </row>
    <row r="124" spans="1:6">
      <c r="A124" s="3023"/>
      <c r="B124" s="1244" t="s">
        <v>1427</v>
      </c>
      <c r="C124" s="2603" t="s">
        <v>1428</v>
      </c>
      <c r="D124" s="1426">
        <v>0.72299999999999998</v>
      </c>
      <c r="E124" s="1426"/>
      <c r="F124" s="3055"/>
    </row>
    <row r="125" spans="1:6">
      <c r="A125" s="3023"/>
      <c r="B125" s="1244" t="s">
        <v>1429</v>
      </c>
      <c r="C125" s="2603" t="s">
        <v>1430</v>
      </c>
      <c r="D125" s="1426">
        <v>3.5880000000000001</v>
      </c>
      <c r="E125" s="1426"/>
      <c r="F125" s="3055"/>
    </row>
    <row r="126" spans="1:6">
      <c r="A126" s="3023"/>
      <c r="B126" s="1244" t="s">
        <v>1415</v>
      </c>
      <c r="C126" s="2603" t="s">
        <v>1431</v>
      </c>
      <c r="D126" s="1426">
        <v>1.365</v>
      </c>
      <c r="E126" s="1426"/>
      <c r="F126" s="3055"/>
    </row>
    <row r="127" spans="1:6">
      <c r="A127" s="3023"/>
      <c r="B127" s="1244" t="s">
        <v>529</v>
      </c>
      <c r="C127" s="2603" t="s">
        <v>1432</v>
      </c>
      <c r="D127" s="1426">
        <v>0</v>
      </c>
      <c r="E127" s="1426"/>
      <c r="F127" s="3055"/>
    </row>
    <row r="128" spans="1:6">
      <c r="A128" s="3023"/>
      <c r="B128" s="1244" t="s">
        <v>1433</v>
      </c>
      <c r="C128" s="2603" t="s">
        <v>1434</v>
      </c>
      <c r="D128" s="1426">
        <v>1.5149999999999999</v>
      </c>
      <c r="E128" s="1426"/>
      <c r="F128" s="3055"/>
    </row>
    <row r="129" spans="1:6">
      <c r="A129" s="3023"/>
      <c r="B129" s="1244" t="s">
        <v>1261</v>
      </c>
      <c r="C129" s="2603" t="s">
        <v>1435</v>
      </c>
      <c r="D129" s="1426">
        <v>3.21</v>
      </c>
      <c r="E129" s="1426"/>
      <c r="F129" s="3055"/>
    </row>
    <row r="130" spans="1:6">
      <c r="A130" s="3023"/>
      <c r="B130" s="1244" t="s">
        <v>1364</v>
      </c>
      <c r="C130" s="2603" t="s">
        <v>1436</v>
      </c>
      <c r="D130" s="1426">
        <v>2.1850000000000001</v>
      </c>
      <c r="E130" s="1426"/>
      <c r="F130" s="3055"/>
    </row>
    <row r="131" spans="1:6">
      <c r="A131" s="3023"/>
      <c r="B131" s="1244" t="s">
        <v>1360</v>
      </c>
      <c r="C131" s="2603" t="s">
        <v>1437</v>
      </c>
      <c r="D131" s="1426">
        <v>1.3440000000000001</v>
      </c>
      <c r="E131" s="1426"/>
      <c r="F131" s="3055"/>
    </row>
    <row r="132" spans="1:6">
      <c r="A132" s="3023"/>
      <c r="B132" s="1244" t="s">
        <v>1267</v>
      </c>
      <c r="C132" s="2603" t="s">
        <v>1438</v>
      </c>
      <c r="D132" s="1426">
        <v>2.38</v>
      </c>
      <c r="E132" s="1426"/>
      <c r="F132" s="3055"/>
    </row>
    <row r="133" spans="1:6">
      <c r="A133" s="3023"/>
      <c r="B133" s="1244" t="s">
        <v>1366</v>
      </c>
      <c r="C133" s="2603" t="s">
        <v>1439</v>
      </c>
      <c r="D133" s="1426"/>
      <c r="E133" s="1426"/>
      <c r="F133" s="3055"/>
    </row>
    <row r="134" spans="1:6">
      <c r="A134" s="3023"/>
      <c r="B134" s="1244" t="s">
        <v>1273</v>
      </c>
      <c r="C134" s="2603" t="s">
        <v>1440</v>
      </c>
      <c r="D134" s="1426"/>
      <c r="E134" s="1426"/>
      <c r="F134" s="3055"/>
    </row>
    <row r="135" spans="1:6">
      <c r="A135" s="3023"/>
      <c r="B135" s="1244" t="s">
        <v>1441</v>
      </c>
      <c r="C135" s="2603" t="s">
        <v>1442</v>
      </c>
      <c r="D135" s="1426"/>
      <c r="E135" s="1426"/>
      <c r="F135" s="3055"/>
    </row>
    <row r="136" spans="1:6">
      <c r="A136" s="3023"/>
      <c r="B136" s="1244" t="s">
        <v>1327</v>
      </c>
      <c r="C136" s="2603" t="s">
        <v>1443</v>
      </c>
      <c r="D136" s="1426"/>
      <c r="E136" s="1426"/>
      <c r="F136" s="3055"/>
    </row>
    <row r="137" spans="1:6">
      <c r="A137" s="3023"/>
      <c r="B137" s="1244" t="s">
        <v>1403</v>
      </c>
      <c r="C137" s="2603" t="s">
        <v>1444</v>
      </c>
      <c r="D137" s="1426"/>
      <c r="E137" s="1426"/>
      <c r="F137" s="3055"/>
    </row>
    <row r="138" spans="1:6">
      <c r="A138" s="3023"/>
      <c r="B138" s="1244" t="s">
        <v>1445</v>
      </c>
      <c r="C138" s="2603" t="s">
        <v>1446</v>
      </c>
      <c r="D138" s="1426"/>
      <c r="E138" s="1426"/>
      <c r="F138" s="3055"/>
    </row>
    <row r="139" spans="1:6">
      <c r="A139" s="3023"/>
      <c r="B139" s="1244" t="s">
        <v>1379</v>
      </c>
      <c r="C139" s="2603" t="s">
        <v>1447</v>
      </c>
      <c r="D139" s="1426"/>
      <c r="E139" s="1426"/>
      <c r="F139" s="3055"/>
    </row>
    <row r="140" spans="1:6">
      <c r="A140" s="3023"/>
      <c r="B140" s="1244" t="s">
        <v>1448</v>
      </c>
      <c r="C140" s="2603" t="s">
        <v>1449</v>
      </c>
      <c r="D140" s="1426"/>
      <c r="E140" s="1426"/>
      <c r="F140" s="3055"/>
    </row>
    <row r="141" spans="1:6">
      <c r="A141" s="3023"/>
      <c r="B141" s="1244" t="s">
        <v>1450</v>
      </c>
      <c r="C141" s="2603" t="s">
        <v>1451</v>
      </c>
      <c r="D141" s="1426"/>
      <c r="E141" s="1426"/>
      <c r="F141" s="3055"/>
    </row>
    <row r="142" spans="1:6">
      <c r="A142" s="3023"/>
      <c r="B142" s="1244" t="s">
        <v>1288</v>
      </c>
      <c r="C142" s="2603" t="s">
        <v>1452</v>
      </c>
      <c r="D142" s="1426"/>
      <c r="E142" s="1426"/>
      <c r="F142" s="3055"/>
    </row>
    <row r="143" spans="1:6">
      <c r="A143" s="3023"/>
      <c r="B143" s="1244" t="s">
        <v>1453</v>
      </c>
      <c r="C143" s="2603" t="s">
        <v>1454</v>
      </c>
      <c r="D143" s="1426"/>
      <c r="E143" s="1426"/>
      <c r="F143" s="3055"/>
    </row>
    <row r="144" spans="1:6">
      <c r="A144" s="3023"/>
      <c r="B144" s="1244" t="s">
        <v>1261</v>
      </c>
      <c r="C144" s="2603" t="s">
        <v>1455</v>
      </c>
      <c r="D144" s="1426"/>
      <c r="E144" s="1426"/>
      <c r="F144" s="3055"/>
    </row>
    <row r="145" spans="1:6">
      <c r="A145" s="3082"/>
      <c r="B145" s="2283" t="s">
        <v>1456</v>
      </c>
      <c r="C145" s="2605" t="s">
        <v>1457</v>
      </c>
      <c r="D145" s="2428"/>
      <c r="E145" s="2428"/>
      <c r="F145" s="3083"/>
    </row>
    <row r="146" spans="1:6">
      <c r="A146" s="2401"/>
      <c r="B146" s="2340"/>
      <c r="C146" s="1934"/>
      <c r="D146" s="1863"/>
      <c r="E146" s="1863"/>
      <c r="F146" s="2602"/>
    </row>
    <row r="147" spans="1:6">
      <c r="A147" s="2342"/>
      <c r="B147" s="1244"/>
      <c r="C147" s="1243"/>
      <c r="D147" s="1426"/>
      <c r="E147" s="1426"/>
      <c r="F147" s="2355"/>
    </row>
    <row r="148" spans="1:6">
      <c r="A148" s="2342"/>
      <c r="B148" s="1244"/>
      <c r="C148" s="1243"/>
      <c r="D148" s="1426"/>
      <c r="E148" s="1426"/>
      <c r="F148" s="2355"/>
    </row>
    <row r="149" spans="1:6">
      <c r="A149" s="2342"/>
      <c r="B149" s="1244"/>
      <c r="C149" s="1243"/>
      <c r="D149" s="1426"/>
      <c r="E149" s="1426"/>
      <c r="F149" s="2355"/>
    </row>
    <row r="150" spans="1:6">
      <c r="A150" s="2342"/>
      <c r="B150" s="1244"/>
      <c r="C150" s="1243"/>
      <c r="D150" s="1426"/>
      <c r="E150" s="1426"/>
      <c r="F150" s="2355"/>
    </row>
    <row r="151" spans="1:6">
      <c r="A151" s="2342"/>
      <c r="B151" s="1244"/>
      <c r="C151" s="1243"/>
      <c r="D151" s="1426"/>
      <c r="E151" s="1426"/>
      <c r="F151" s="2355"/>
    </row>
    <row r="152" spans="1:6">
      <c r="A152" s="2342"/>
      <c r="B152" s="1244"/>
      <c r="C152" s="1243"/>
      <c r="D152" s="1426"/>
      <c r="E152" s="1426"/>
      <c r="F152" s="2355"/>
    </row>
    <row r="153" spans="1:6">
      <c r="A153" s="2342"/>
      <c r="B153" s="1244"/>
      <c r="C153" s="1243"/>
      <c r="D153" s="1426"/>
      <c r="E153" s="1426"/>
      <c r="F153" s="2355"/>
    </row>
    <row r="154" spans="1:6">
      <c r="A154" s="2342"/>
      <c r="B154" s="1244"/>
      <c r="C154" s="1243"/>
      <c r="D154" s="1426"/>
      <c r="E154" s="1426"/>
      <c r="F154" s="2355"/>
    </row>
    <row r="155" spans="1:6">
      <c r="A155" s="2342"/>
      <c r="B155" s="1244"/>
      <c r="C155" s="1243"/>
      <c r="D155" s="1426"/>
      <c r="E155" s="1426"/>
      <c r="F155" s="2355"/>
    </row>
    <row r="156" spans="1:6">
      <c r="A156" s="2342"/>
      <c r="B156" s="1244"/>
      <c r="C156" s="1243"/>
      <c r="D156" s="1426"/>
      <c r="E156" s="1426"/>
      <c r="F156" s="2355"/>
    </row>
    <row r="157" spans="1:6">
      <c r="A157" s="2342"/>
      <c r="B157" s="1244"/>
      <c r="C157" s="1243"/>
      <c r="D157" s="1426"/>
      <c r="E157" s="1426"/>
      <c r="F157" s="2355"/>
    </row>
    <row r="158" spans="1:6">
      <c r="A158" s="2342"/>
      <c r="B158" s="1244"/>
      <c r="C158" s="1243"/>
      <c r="D158" s="1426"/>
      <c r="E158" s="1426"/>
      <c r="F158" s="2355"/>
    </row>
    <row r="159" spans="1:6">
      <c r="A159" s="2342"/>
      <c r="B159" s="1244"/>
      <c r="C159" s="1243"/>
      <c r="D159" s="1426"/>
      <c r="E159" s="1426"/>
      <c r="F159" s="2355"/>
    </row>
    <row r="160" spans="1:6">
      <c r="A160" s="2342"/>
      <c r="B160" s="1244"/>
      <c r="C160" s="1243"/>
      <c r="D160" s="1426"/>
      <c r="E160" s="1426"/>
      <c r="F160" s="2355"/>
    </row>
    <row r="161" spans="1:6">
      <c r="A161" s="2342"/>
      <c r="B161" s="1244"/>
      <c r="C161" s="1243"/>
      <c r="D161" s="1426"/>
      <c r="E161" s="1426"/>
      <c r="F161" s="2355"/>
    </row>
    <row r="162" spans="1:6">
      <c r="A162" s="2342"/>
      <c r="B162" s="1244"/>
      <c r="C162" s="1243"/>
      <c r="D162" s="1426"/>
      <c r="E162" s="1426"/>
      <c r="F162" s="2355"/>
    </row>
    <row r="163" spans="1:6">
      <c r="A163" s="2342"/>
      <c r="B163" s="1244"/>
      <c r="C163" s="1243"/>
      <c r="D163" s="1426"/>
      <c r="E163" s="1426"/>
      <c r="F163" s="2355"/>
    </row>
    <row r="164" spans="1:6">
      <c r="A164" s="2342"/>
      <c r="B164" s="1244"/>
      <c r="C164" s="1243"/>
      <c r="D164" s="1426"/>
      <c r="E164" s="1426"/>
      <c r="F164" s="2355"/>
    </row>
    <row r="165" spans="1:6">
      <c r="A165" s="2342"/>
      <c r="B165" s="1244"/>
      <c r="C165" s="1243"/>
      <c r="D165" s="1426"/>
      <c r="E165" s="1426"/>
      <c r="F165" s="2355"/>
    </row>
    <row r="166" spans="1:6">
      <c r="A166" s="2342"/>
      <c r="B166" s="1244"/>
      <c r="C166" s="1243"/>
      <c r="D166" s="1426"/>
      <c r="E166" s="1426"/>
      <c r="F166" s="2355"/>
    </row>
    <row r="167" spans="1:6">
      <c r="A167" s="2342"/>
      <c r="B167" s="1244"/>
      <c r="C167" s="1243"/>
      <c r="D167" s="1426"/>
      <c r="E167" s="1426"/>
      <c r="F167" s="2355"/>
    </row>
    <row r="168" spans="1:6" ht="15" customHeight="1">
      <c r="A168" s="2342"/>
      <c r="B168" s="1244"/>
      <c r="C168" s="1243"/>
      <c r="D168" s="1426"/>
      <c r="E168" s="1426"/>
      <c r="F168" s="2355"/>
    </row>
    <row r="169" spans="1:6">
      <c r="A169" s="2342"/>
      <c r="B169" s="1244"/>
      <c r="C169" s="1243"/>
      <c r="D169" s="1426"/>
      <c r="E169" s="1426"/>
      <c r="F169" s="2355"/>
    </row>
    <row r="170" spans="1:6">
      <c r="A170" s="2342"/>
      <c r="B170" s="1244"/>
      <c r="C170" s="1243"/>
      <c r="D170" s="1426"/>
      <c r="E170" s="1426"/>
      <c r="F170" s="2355"/>
    </row>
    <row r="171" spans="1:6">
      <c r="A171" s="2342"/>
      <c r="B171" s="1244"/>
      <c r="C171" s="1243"/>
      <c r="D171" s="1426"/>
      <c r="E171" s="1426"/>
      <c r="F171" s="2355"/>
    </row>
    <row r="172" spans="1:6">
      <c r="A172" s="2342"/>
      <c r="B172" s="1244"/>
      <c r="C172" s="1243"/>
      <c r="D172" s="1426"/>
      <c r="E172" s="1426"/>
      <c r="F172" s="2355"/>
    </row>
    <row r="173" spans="1:6">
      <c r="A173" s="2342"/>
      <c r="B173" s="1244"/>
      <c r="C173" s="1243"/>
      <c r="D173" s="1426"/>
      <c r="E173" s="1426"/>
      <c r="F173" s="2355"/>
    </row>
    <row r="174" spans="1:6">
      <c r="A174" s="2342"/>
      <c r="B174" s="1244"/>
      <c r="C174" s="1243"/>
      <c r="D174" s="1426"/>
      <c r="E174" s="1426"/>
      <c r="F174" s="2355"/>
    </row>
    <row r="175" spans="1:6">
      <c r="A175" s="2342"/>
      <c r="B175" s="1244"/>
      <c r="C175" s="1243"/>
      <c r="D175" s="1426"/>
      <c r="E175" s="1426"/>
      <c r="F175" s="2355"/>
    </row>
    <row r="176" spans="1:6">
      <c r="A176" s="2342"/>
      <c r="B176" s="1244"/>
      <c r="C176" s="1243"/>
      <c r="D176" s="1426"/>
      <c r="E176" s="1426"/>
      <c r="F176" s="2355"/>
    </row>
    <row r="177" spans="1:6">
      <c r="A177" s="2342"/>
      <c r="B177" s="1244"/>
      <c r="C177" s="1243"/>
      <c r="D177" s="1426"/>
      <c r="E177" s="1426"/>
      <c r="F177" s="2355"/>
    </row>
    <row r="178" spans="1:6" ht="14.7" customHeight="1">
      <c r="A178" s="2342"/>
      <c r="B178" s="1244"/>
      <c r="C178" s="1243"/>
      <c r="D178" s="1426"/>
      <c r="E178" s="1426"/>
      <c r="F178" s="2355"/>
    </row>
    <row r="179" spans="1:6" ht="14.7" customHeight="1">
      <c r="A179" s="2342"/>
      <c r="B179" s="1244"/>
      <c r="C179" s="1243"/>
      <c r="D179" s="1426"/>
      <c r="E179" s="1426"/>
      <c r="F179" s="2355"/>
    </row>
    <row r="180" spans="1:6">
      <c r="A180" s="2342"/>
      <c r="B180" s="1244"/>
      <c r="C180" s="1243"/>
      <c r="D180" s="1426"/>
      <c r="E180" s="1426"/>
      <c r="F180" s="2355"/>
    </row>
    <row r="181" spans="1:6" ht="14.7" customHeight="1">
      <c r="A181" s="2342"/>
      <c r="B181" s="1244"/>
      <c r="C181" s="1243"/>
      <c r="D181" s="1426"/>
      <c r="E181" s="1426"/>
      <c r="F181" s="2355"/>
    </row>
    <row r="182" spans="1:6" ht="14.7" customHeight="1">
      <c r="A182" s="2342"/>
      <c r="B182" s="1244"/>
      <c r="C182" s="1243"/>
      <c r="D182" s="1426"/>
      <c r="E182" s="1426"/>
      <c r="F182" s="2355"/>
    </row>
    <row r="183" spans="1:6">
      <c r="A183" s="2342"/>
      <c r="B183" s="1244"/>
      <c r="C183" s="1243"/>
      <c r="D183" s="1426"/>
      <c r="E183" s="1426"/>
      <c r="F183" s="2355"/>
    </row>
    <row r="184" spans="1:6" ht="14.7" customHeight="1">
      <c r="A184" s="2342"/>
      <c r="B184" s="1244"/>
      <c r="C184" s="1243"/>
      <c r="D184" s="1426"/>
      <c r="E184" s="1426"/>
      <c r="F184" s="2355"/>
    </row>
    <row r="185" spans="1:6">
      <c r="A185" s="2342"/>
      <c r="B185" s="1244"/>
      <c r="C185" s="1243"/>
      <c r="D185" s="1426"/>
      <c r="E185" s="1426"/>
      <c r="F185" s="2355"/>
    </row>
    <row r="186" spans="1:6" ht="14.7" customHeight="1">
      <c r="A186" s="2342"/>
      <c r="B186" s="1244"/>
      <c r="C186" s="1243"/>
      <c r="D186" s="1426"/>
      <c r="E186" s="1426"/>
      <c r="F186" s="2355"/>
    </row>
    <row r="187" spans="1:6">
      <c r="A187" s="2342"/>
      <c r="B187" s="1244"/>
      <c r="C187" s="1243"/>
      <c r="D187" s="1426"/>
      <c r="E187" s="1426"/>
      <c r="F187" s="2355"/>
    </row>
    <row r="188" spans="1:6">
      <c r="A188" s="2342"/>
      <c r="B188" s="1244"/>
      <c r="C188" s="1243"/>
      <c r="D188" s="1426"/>
      <c r="E188" s="1426"/>
      <c r="F188" s="2355"/>
    </row>
    <row r="189" spans="1:6">
      <c r="A189" s="2342"/>
      <c r="B189" s="1244"/>
      <c r="C189" s="1243"/>
      <c r="D189" s="1426"/>
      <c r="E189" s="1426"/>
      <c r="F189" s="2355"/>
    </row>
    <row r="190" spans="1:6">
      <c r="A190" s="2342"/>
      <c r="B190" s="1244"/>
      <c r="C190" s="1243"/>
      <c r="D190" s="1426"/>
      <c r="E190" s="1426"/>
      <c r="F190" s="2355"/>
    </row>
    <row r="191" spans="1:6">
      <c r="A191" s="2342"/>
      <c r="B191" s="1244"/>
      <c r="C191" s="1243"/>
      <c r="D191" s="1426"/>
      <c r="E191" s="1426"/>
      <c r="F191" s="2355"/>
    </row>
    <row r="192" spans="1:6">
      <c r="A192" s="2342"/>
      <c r="B192" s="1244"/>
      <c r="C192" s="1243"/>
      <c r="D192" s="1426"/>
      <c r="E192" s="1426"/>
      <c r="F192" s="2355"/>
    </row>
    <row r="193" spans="1:6">
      <c r="A193" s="2342"/>
      <c r="B193" s="1244"/>
      <c r="C193" s="1243"/>
      <c r="D193" s="1426"/>
      <c r="E193" s="1426"/>
      <c r="F193" s="2355"/>
    </row>
    <row r="194" spans="1:6">
      <c r="A194" s="2342"/>
      <c r="B194" s="1244"/>
      <c r="C194" s="1243"/>
      <c r="D194" s="1426"/>
      <c r="E194" s="1426"/>
      <c r="F194" s="2355"/>
    </row>
    <row r="195" spans="1:6">
      <c r="A195" s="2342"/>
      <c r="B195" s="1244"/>
      <c r="C195" s="1243"/>
      <c r="D195" s="1426"/>
      <c r="E195" s="1426"/>
      <c r="F195" s="2355"/>
    </row>
    <row r="196" spans="1:6">
      <c r="A196" s="2342"/>
      <c r="B196" s="1244"/>
      <c r="C196" s="1243"/>
      <c r="D196" s="1426"/>
      <c r="E196" s="1426"/>
      <c r="F196" s="2355"/>
    </row>
    <row r="197" spans="1:6">
      <c r="A197" s="2342"/>
      <c r="B197" s="1244"/>
      <c r="C197" s="1243"/>
      <c r="D197" s="1426"/>
      <c r="E197" s="1426"/>
      <c r="F197" s="2355"/>
    </row>
    <row r="198" spans="1:6">
      <c r="A198" s="2342"/>
      <c r="B198" s="1244"/>
      <c r="C198" s="1243"/>
      <c r="D198" s="1426"/>
      <c r="E198" s="1426"/>
      <c r="F198" s="2355"/>
    </row>
    <row r="199" spans="1:6">
      <c r="A199" s="2342"/>
      <c r="B199" s="1244"/>
      <c r="C199" s="1243"/>
      <c r="D199" s="1426"/>
      <c r="E199" s="1426"/>
      <c r="F199" s="2355"/>
    </row>
    <row r="200" spans="1:6">
      <c r="A200" s="2342"/>
      <c r="B200" s="1244"/>
      <c r="C200" s="1936"/>
      <c r="D200" s="1426"/>
      <c r="E200" s="1426"/>
      <c r="F200" s="2355"/>
    </row>
    <row r="201" spans="1:6">
      <c r="A201" s="2342"/>
      <c r="B201" s="1244"/>
      <c r="C201" s="1936"/>
      <c r="D201" s="1426"/>
      <c r="E201" s="1426"/>
      <c r="F201" s="2355"/>
    </row>
    <row r="202" spans="1:6">
      <c r="A202" s="2342"/>
      <c r="B202" s="1244"/>
      <c r="C202" s="1936"/>
      <c r="D202" s="1426"/>
      <c r="E202" s="1426"/>
      <c r="F202" s="2355"/>
    </row>
    <row r="203" spans="1:6">
      <c r="A203" s="2342"/>
      <c r="B203" s="1244"/>
      <c r="C203" s="1936"/>
      <c r="D203" s="1426"/>
      <c r="E203" s="1426"/>
      <c r="F203" s="2355"/>
    </row>
    <row r="204" spans="1:6">
      <c r="A204" s="2342"/>
      <c r="B204" s="1244"/>
      <c r="C204" s="1936"/>
      <c r="D204" s="1426"/>
      <c r="E204" s="1426"/>
      <c r="F204" s="2355"/>
    </row>
    <row r="205" spans="1:6">
      <c r="A205" s="2342"/>
      <c r="B205" s="1244"/>
      <c r="C205" s="1936"/>
      <c r="D205" s="1426"/>
      <c r="E205" s="1426"/>
      <c r="F205" s="2355"/>
    </row>
    <row r="206" spans="1:6">
      <c r="A206" s="2342"/>
      <c r="B206" s="1244"/>
      <c r="C206" s="1936"/>
      <c r="D206" s="1426"/>
      <c r="E206" s="1426"/>
      <c r="F206" s="2355"/>
    </row>
    <row r="207" spans="1:6">
      <c r="A207" s="2342"/>
      <c r="B207" s="1244"/>
      <c r="C207" s="1936"/>
      <c r="D207" s="1426"/>
      <c r="E207" s="1426"/>
      <c r="F207" s="2355"/>
    </row>
    <row r="208" spans="1:6">
      <c r="A208" s="2342"/>
      <c r="B208" s="1244"/>
      <c r="C208" s="1936"/>
      <c r="D208" s="1426"/>
      <c r="E208" s="1426"/>
      <c r="F208" s="2355"/>
    </row>
    <row r="209" spans="1:6">
      <c r="A209" s="2342"/>
      <c r="B209" s="1244"/>
      <c r="C209" s="1936"/>
      <c r="D209" s="1426"/>
      <c r="E209" s="1426"/>
      <c r="F209" s="2355"/>
    </row>
    <row r="210" spans="1:6">
      <c r="A210" s="2342"/>
      <c r="B210" s="1244"/>
      <c r="C210" s="1936"/>
      <c r="D210" s="1426"/>
      <c r="E210" s="1426"/>
      <c r="F210" s="2355"/>
    </row>
    <row r="211" spans="1:6">
      <c r="A211" s="2342"/>
      <c r="B211" s="1244"/>
      <c r="C211" s="1936"/>
      <c r="D211" s="1426"/>
      <c r="E211" s="1426"/>
      <c r="F211" s="2355"/>
    </row>
    <row r="212" spans="1:6">
      <c r="A212" s="2342"/>
      <c r="B212" s="1244"/>
      <c r="C212" s="1936"/>
      <c r="D212" s="1426"/>
      <c r="E212" s="1426"/>
      <c r="F212" s="2355"/>
    </row>
    <row r="213" spans="1:6">
      <c r="A213" s="2342"/>
      <c r="B213" s="1244"/>
      <c r="C213" s="1936"/>
      <c r="D213" s="1426"/>
      <c r="E213" s="1426"/>
      <c r="F213" s="2355"/>
    </row>
    <row r="214" spans="1:6">
      <c r="A214" s="2342"/>
      <c r="B214" s="1244"/>
      <c r="C214" s="1936"/>
      <c r="D214" s="1426"/>
      <c r="E214" s="1426"/>
      <c r="F214" s="2355"/>
    </row>
    <row r="215" spans="1:6">
      <c r="A215" s="2342"/>
      <c r="B215" s="1244"/>
      <c r="C215" s="1936"/>
      <c r="D215" s="1426"/>
      <c r="E215" s="1426"/>
      <c r="F215" s="2355"/>
    </row>
    <row r="216" spans="1:6">
      <c r="A216" s="2342"/>
      <c r="B216" s="1244"/>
      <c r="C216" s="1936"/>
      <c r="D216" s="1426"/>
      <c r="E216" s="1426"/>
      <c r="F216" s="2355"/>
    </row>
    <row r="217" spans="1:6">
      <c r="A217" s="2342"/>
      <c r="B217" s="1244"/>
      <c r="C217" s="1936"/>
      <c r="D217" s="1426"/>
      <c r="E217" s="1426"/>
      <c r="F217" s="2355"/>
    </row>
    <row r="218" spans="1:6">
      <c r="A218" s="2342"/>
      <c r="B218" s="1244"/>
      <c r="C218" s="1936"/>
      <c r="D218" s="1426"/>
      <c r="E218" s="1426"/>
      <c r="F218" s="2355"/>
    </row>
    <row r="219" spans="1:6">
      <c r="A219" s="2342"/>
      <c r="B219" s="1244"/>
      <c r="C219" s="1936"/>
      <c r="D219" s="1426"/>
      <c r="E219" s="1426"/>
      <c r="F219" s="2355"/>
    </row>
    <row r="220" spans="1:6">
      <c r="A220" s="2342"/>
      <c r="B220" s="1244"/>
      <c r="C220" s="1936"/>
      <c r="D220" s="1426"/>
      <c r="E220" s="1426"/>
      <c r="F220" s="2355"/>
    </row>
    <row r="221" spans="1:6">
      <c r="A221" s="2342"/>
      <c r="B221" s="1244"/>
      <c r="C221" s="1936"/>
      <c r="D221" s="1426"/>
      <c r="E221" s="1426"/>
      <c r="F221" s="2355"/>
    </row>
    <row r="222" spans="1:6">
      <c r="A222" s="2342"/>
      <c r="B222" s="1244"/>
      <c r="C222" s="1936"/>
      <c r="D222" s="1426"/>
      <c r="E222" s="1426"/>
      <c r="F222" s="2355"/>
    </row>
    <row r="223" spans="1:6">
      <c r="A223" s="2342"/>
      <c r="B223" s="1244"/>
      <c r="C223" s="1936"/>
      <c r="D223" s="1426"/>
      <c r="E223" s="1426"/>
      <c r="F223" s="2355"/>
    </row>
    <row r="224" spans="1:6">
      <c r="A224" s="2342"/>
      <c r="B224" s="1244"/>
      <c r="C224" s="1936"/>
      <c r="D224" s="1426"/>
      <c r="E224" s="1426"/>
      <c r="F224" s="2355"/>
    </row>
    <row r="225" spans="1:6">
      <c r="A225" s="2342"/>
      <c r="B225" s="1244"/>
      <c r="C225" s="1936"/>
      <c r="D225" s="1426"/>
      <c r="E225" s="1426"/>
      <c r="F225" s="2355"/>
    </row>
    <row r="226" spans="1:6">
      <c r="A226" s="2342"/>
      <c r="B226" s="1244"/>
      <c r="C226" s="1936"/>
      <c r="D226" s="1426"/>
      <c r="E226" s="1426"/>
      <c r="F226" s="2355"/>
    </row>
    <row r="227" spans="1:6">
      <c r="A227" s="2342"/>
      <c r="B227" s="1244"/>
      <c r="C227" s="1936"/>
      <c r="D227" s="1426"/>
      <c r="E227" s="1426"/>
      <c r="F227" s="2355"/>
    </row>
    <row r="228" spans="1:6">
      <c r="A228" s="2342"/>
      <c r="B228" s="1244"/>
      <c r="C228" s="1936"/>
      <c r="D228" s="1426"/>
      <c r="E228" s="1426"/>
      <c r="F228" s="2355"/>
    </row>
    <row r="229" spans="1:6">
      <c r="A229" s="2342"/>
      <c r="B229" s="1244"/>
      <c r="C229" s="1936"/>
      <c r="D229" s="1426"/>
      <c r="E229" s="1426"/>
      <c r="F229" s="2355"/>
    </row>
    <row r="230" spans="1:6">
      <c r="A230" s="2342"/>
      <c r="B230" s="1244"/>
      <c r="C230" s="1936"/>
      <c r="D230" s="1426"/>
      <c r="E230" s="1426"/>
      <c r="F230" s="2355"/>
    </row>
    <row r="231" spans="1:6">
      <c r="A231" s="2342"/>
      <c r="B231" s="1244"/>
      <c r="C231" s="1936"/>
      <c r="D231" s="1426"/>
      <c r="E231" s="1426"/>
      <c r="F231" s="2355"/>
    </row>
    <row r="232" spans="1:6">
      <c r="A232" s="2342"/>
      <c r="B232" s="1244"/>
      <c r="C232" s="1936"/>
      <c r="D232" s="1426"/>
      <c r="E232" s="1426"/>
      <c r="F232" s="2355"/>
    </row>
    <row r="233" spans="1:6">
      <c r="A233" s="2342"/>
      <c r="B233" s="1244"/>
      <c r="C233" s="1936"/>
      <c r="D233" s="1426"/>
      <c r="E233" s="1426"/>
      <c r="F233" s="2355"/>
    </row>
    <row r="234" spans="1:6">
      <c r="A234" s="2342"/>
      <c r="B234" s="1244"/>
      <c r="C234" s="1936"/>
      <c r="D234" s="1426"/>
      <c r="E234" s="1426"/>
      <c r="F234" s="2355"/>
    </row>
    <row r="235" spans="1:6">
      <c r="A235" s="2342"/>
      <c r="B235" s="1244"/>
      <c r="C235" s="1936"/>
      <c r="D235" s="1426"/>
      <c r="E235" s="1426"/>
      <c r="F235" s="2355"/>
    </row>
    <row r="236" spans="1:6">
      <c r="A236" s="2342"/>
      <c r="B236" s="1244"/>
      <c r="C236" s="1936"/>
      <c r="D236" s="1426"/>
      <c r="E236" s="1426"/>
      <c r="F236" s="2355"/>
    </row>
    <row r="237" spans="1:6">
      <c r="A237" s="2342"/>
      <c r="B237" s="1244"/>
      <c r="C237" s="1936"/>
      <c r="D237" s="1426"/>
      <c r="E237" s="1426"/>
      <c r="F237" s="2355"/>
    </row>
    <row r="238" spans="1:6">
      <c r="A238" s="2342"/>
      <c r="B238" s="1244"/>
      <c r="C238" s="1936"/>
      <c r="D238" s="1426"/>
      <c r="E238" s="1426"/>
      <c r="F238" s="2355"/>
    </row>
    <row r="239" spans="1:6">
      <c r="A239" s="2342"/>
      <c r="B239" s="1244"/>
      <c r="C239" s="1936"/>
      <c r="D239" s="1426"/>
      <c r="E239" s="1426"/>
      <c r="F239" s="2355"/>
    </row>
    <row r="240" spans="1:6">
      <c r="A240" s="2342"/>
      <c r="B240" s="1244"/>
      <c r="C240" s="1936"/>
      <c r="D240" s="1426"/>
      <c r="E240" s="1426"/>
      <c r="F240" s="2355"/>
    </row>
    <row r="241" spans="1:8">
      <c r="A241" s="2342"/>
      <c r="B241" s="1244"/>
      <c r="C241" s="1936"/>
      <c r="D241" s="1426"/>
      <c r="E241" s="1426"/>
      <c r="F241" s="2355"/>
    </row>
    <row r="242" spans="1:8">
      <c r="A242" s="2342"/>
      <c r="B242" s="1244"/>
      <c r="C242" s="1936"/>
      <c r="D242" s="1426"/>
      <c r="E242" s="1426"/>
      <c r="F242" s="2355"/>
    </row>
    <row r="243" spans="1:8">
      <c r="A243" s="2342"/>
      <c r="B243" s="1244"/>
      <c r="C243" s="1936"/>
      <c r="D243" s="1426"/>
      <c r="E243" s="1426"/>
      <c r="F243" s="2355"/>
    </row>
    <row r="244" spans="1:8">
      <c r="A244" s="2342"/>
      <c r="B244" s="1244"/>
      <c r="C244" s="1936"/>
      <c r="D244" s="1426"/>
      <c r="E244" s="1426"/>
      <c r="F244" s="2355"/>
    </row>
    <row r="245" spans="1:8">
      <c r="A245" s="2342"/>
      <c r="B245" s="1244"/>
      <c r="C245" s="1936"/>
      <c r="D245" s="1426"/>
      <c r="E245" s="1426"/>
      <c r="F245" s="2355"/>
    </row>
    <row r="246" spans="1:8">
      <c r="A246" s="2342"/>
      <c r="B246" s="1244"/>
      <c r="C246" s="1936"/>
      <c r="D246" s="1426"/>
      <c r="E246" s="1426"/>
      <c r="F246" s="2355"/>
    </row>
    <row r="247" spans="1:8">
      <c r="A247" s="2342"/>
      <c r="B247" s="1244"/>
      <c r="C247" s="1936"/>
      <c r="D247" s="1426"/>
      <c r="E247" s="1426"/>
      <c r="F247" s="2355"/>
    </row>
    <row r="248" spans="1:8">
      <c r="A248" s="2342"/>
      <c r="B248" s="1244"/>
      <c r="C248" s="1936"/>
      <c r="D248" s="1426"/>
      <c r="E248" s="1426"/>
      <c r="F248" s="2355"/>
    </row>
    <row r="249" spans="1:8">
      <c r="A249" s="2342"/>
      <c r="B249" s="1244"/>
      <c r="C249" s="1936"/>
      <c r="D249" s="1426"/>
      <c r="E249" s="1426"/>
      <c r="F249" s="2355"/>
    </row>
    <row r="250" spans="1:8">
      <c r="A250" s="2342"/>
      <c r="B250" s="1244"/>
      <c r="C250" s="1936"/>
      <c r="D250" s="1426"/>
      <c r="E250" s="1426"/>
      <c r="F250" s="2355"/>
    </row>
    <row r="251" spans="1:8">
      <c r="A251" s="2342"/>
      <c r="B251" s="1244"/>
      <c r="C251" s="1936"/>
      <c r="D251" s="1426"/>
      <c r="E251" s="1426"/>
      <c r="F251" s="2355"/>
    </row>
    <row r="252" spans="1:8">
      <c r="A252" s="2342"/>
      <c r="B252" s="1244"/>
      <c r="C252" s="1936"/>
      <c r="D252" s="1426"/>
      <c r="E252" s="1426"/>
      <c r="F252" s="2355"/>
    </row>
    <row r="253" spans="1:8">
      <c r="A253" s="2342"/>
      <c r="B253" s="1244"/>
      <c r="C253" s="1936"/>
      <c r="D253" s="1426"/>
      <c r="E253" s="1426"/>
      <c r="F253" s="2355"/>
    </row>
    <row r="254" spans="1:8">
      <c r="A254" s="2342"/>
      <c r="B254" s="1244"/>
      <c r="C254" s="1936"/>
      <c r="D254" s="1426"/>
      <c r="E254" s="1426"/>
      <c r="F254" s="2355"/>
    </row>
    <row r="255" spans="1:8">
      <c r="A255" s="2342"/>
      <c r="B255" s="1244"/>
      <c r="C255" s="1936"/>
      <c r="D255" s="1426"/>
      <c r="E255" s="1426"/>
      <c r="F255" s="2355"/>
    </row>
    <row r="256" spans="1:8">
      <c r="A256" s="2342"/>
      <c r="B256" s="1244"/>
      <c r="C256" s="1936"/>
      <c r="D256" s="1426"/>
      <c r="E256" s="1426"/>
      <c r="F256" s="2355"/>
      <c r="H256" s="1983"/>
    </row>
    <row r="257" spans="1:8">
      <c r="A257" s="2342"/>
      <c r="B257" s="1244"/>
      <c r="C257" s="1936"/>
      <c r="D257" s="1426"/>
      <c r="E257" s="1426"/>
      <c r="F257" s="2355"/>
      <c r="H257" s="1983"/>
    </row>
    <row r="258" spans="1:8">
      <c r="A258" s="2342"/>
      <c r="B258" s="1244"/>
      <c r="C258" s="1936"/>
      <c r="D258" s="1426"/>
      <c r="E258" s="1426"/>
      <c r="F258" s="2355"/>
    </row>
    <row r="259" spans="1:8">
      <c r="A259" s="2342"/>
      <c r="B259" s="1244"/>
      <c r="C259" s="1936"/>
      <c r="D259" s="1426"/>
      <c r="E259" s="1426"/>
      <c r="F259" s="2355"/>
    </row>
    <row r="260" spans="1:8">
      <c r="A260" s="2342"/>
      <c r="B260" s="1244"/>
      <c r="C260" s="1936"/>
      <c r="D260" s="1426"/>
      <c r="E260" s="1426"/>
      <c r="F260" s="2355"/>
    </row>
    <row r="261" spans="1:8">
      <c r="A261" s="2342"/>
      <c r="B261" s="1244"/>
      <c r="C261" s="1936"/>
      <c r="D261" s="1426"/>
      <c r="E261" s="1426"/>
      <c r="F261" s="2355"/>
    </row>
    <row r="262" spans="1:8">
      <c r="A262" s="2342"/>
      <c r="B262" s="1244"/>
      <c r="C262" s="1936"/>
      <c r="D262" s="1426"/>
      <c r="E262" s="1426"/>
      <c r="F262" s="2355"/>
    </row>
    <row r="263" spans="1:8">
      <c r="A263" s="2342"/>
      <c r="B263" s="1244"/>
      <c r="C263" s="1936"/>
      <c r="D263" s="1426"/>
      <c r="E263" s="1426"/>
      <c r="F263" s="2355"/>
    </row>
    <row r="264" spans="1:8">
      <c r="A264" s="2342"/>
      <c r="B264" s="1244"/>
      <c r="C264" s="1936"/>
      <c r="D264" s="1426"/>
      <c r="E264" s="1426"/>
      <c r="F264" s="2355"/>
    </row>
    <row r="265" spans="1:8">
      <c r="A265" s="2342"/>
      <c r="B265" s="1244"/>
      <c r="C265" s="1936"/>
      <c r="D265" s="1426"/>
      <c r="E265" s="1426"/>
      <c r="F265" s="2355"/>
    </row>
    <row r="266" spans="1:8">
      <c r="A266" s="2342"/>
      <c r="B266" s="1244"/>
      <c r="C266" s="1936"/>
      <c r="D266" s="1426"/>
      <c r="E266" s="1426"/>
      <c r="F266" s="2355"/>
    </row>
    <row r="267" spans="1:8">
      <c r="A267" s="2342"/>
      <c r="B267" s="1244"/>
      <c r="C267" s="1936"/>
      <c r="D267" s="1426"/>
      <c r="E267" s="1426"/>
      <c r="F267" s="2355"/>
    </row>
    <row r="268" spans="1:8">
      <c r="A268" s="2342"/>
      <c r="B268" s="1244"/>
      <c r="C268" s="1936"/>
      <c r="D268" s="1426"/>
      <c r="E268" s="1426"/>
      <c r="F268" s="2355"/>
    </row>
    <row r="269" spans="1:8">
      <c r="A269" s="2342"/>
      <c r="B269" s="1244"/>
      <c r="C269" s="1936"/>
      <c r="D269" s="1426"/>
      <c r="E269" s="1426"/>
      <c r="F269" s="2355"/>
    </row>
    <row r="270" spans="1:8">
      <c r="A270" s="2342"/>
      <c r="B270" s="1244"/>
      <c r="C270" s="1936"/>
      <c r="D270" s="1426"/>
      <c r="E270" s="1426"/>
      <c r="F270" s="2355"/>
    </row>
    <row r="271" spans="1:8">
      <c r="A271" s="2342"/>
      <c r="B271" s="1244"/>
      <c r="C271" s="1936"/>
      <c r="D271" s="1426"/>
      <c r="E271" s="1426"/>
      <c r="F271" s="2355"/>
    </row>
    <row r="272" spans="1:8">
      <c r="A272" s="2342"/>
      <c r="B272" s="1244"/>
      <c r="C272" s="1936"/>
      <c r="D272" s="1426"/>
      <c r="E272" s="1426"/>
      <c r="F272" s="2355"/>
    </row>
    <row r="273" spans="1:6">
      <c r="A273" s="2342"/>
      <c r="B273" s="1244"/>
      <c r="C273" s="1936"/>
      <c r="D273" s="1426"/>
      <c r="E273" s="1426"/>
      <c r="F273" s="2355"/>
    </row>
    <row r="274" spans="1:6" ht="17.25" customHeight="1">
      <c r="A274" s="2342"/>
      <c r="B274" s="1244"/>
      <c r="C274" s="1936"/>
      <c r="D274" s="1426"/>
      <c r="E274" s="1426"/>
      <c r="F274" s="2355"/>
    </row>
    <row r="275" spans="1:6">
      <c r="A275" s="2342"/>
      <c r="B275" s="1244"/>
      <c r="C275" s="1936"/>
      <c r="D275" s="1426"/>
      <c r="E275" s="1426"/>
      <c r="F275" s="2355"/>
    </row>
    <row r="276" spans="1:6">
      <c r="A276" s="2342"/>
      <c r="B276" s="1244"/>
      <c r="C276" s="1936"/>
      <c r="D276" s="1426"/>
      <c r="E276" s="1426"/>
      <c r="F276" s="2355"/>
    </row>
    <row r="277" spans="1:6">
      <c r="A277" s="2342"/>
      <c r="B277" s="1244"/>
      <c r="C277" s="1936"/>
      <c r="D277" s="1426"/>
      <c r="E277" s="1426"/>
      <c r="F277" s="2355"/>
    </row>
    <row r="278" spans="1:6">
      <c r="A278" s="2342"/>
      <c r="B278" s="1244"/>
      <c r="C278" s="1936"/>
      <c r="D278" s="1426"/>
      <c r="E278" s="1426"/>
      <c r="F278" s="2355"/>
    </row>
    <row r="279" spans="1:6">
      <c r="A279" s="2342"/>
      <c r="B279" s="1244"/>
      <c r="C279" s="1936"/>
      <c r="D279" s="1426"/>
      <c r="E279" s="1426"/>
      <c r="F279" s="2355"/>
    </row>
    <row r="280" spans="1:6">
      <c r="A280" s="2342"/>
      <c r="B280" s="1244"/>
      <c r="C280" s="1936"/>
      <c r="D280" s="1426"/>
      <c r="E280" s="1426"/>
      <c r="F280" s="2355"/>
    </row>
    <row r="281" spans="1:6">
      <c r="A281" s="2342"/>
      <c r="B281" s="1244"/>
      <c r="C281" s="1936"/>
      <c r="D281" s="1426"/>
      <c r="E281" s="1426"/>
      <c r="F281" s="2355"/>
    </row>
    <row r="282" spans="1:6">
      <c r="A282" s="2342"/>
      <c r="B282" s="1244"/>
      <c r="C282" s="1936"/>
      <c r="D282" s="1426"/>
      <c r="E282" s="1426"/>
      <c r="F282" s="2355"/>
    </row>
    <row r="283" spans="1:6">
      <c r="A283" s="2342"/>
      <c r="B283" s="1244"/>
      <c r="C283" s="1936"/>
      <c r="D283" s="1426"/>
      <c r="E283" s="1426"/>
      <c r="F283" s="2355"/>
    </row>
    <row r="284" spans="1:6">
      <c r="A284" s="2342"/>
      <c r="B284" s="1244"/>
      <c r="C284" s="1936"/>
      <c r="D284" s="1426"/>
      <c r="E284" s="1426"/>
      <c r="F284" s="2355"/>
    </row>
    <row r="285" spans="1:6">
      <c r="A285" s="2342"/>
      <c r="B285" s="1244"/>
      <c r="C285" s="1936"/>
      <c r="D285" s="1426"/>
      <c r="E285" s="1426"/>
      <c r="F285" s="2355"/>
    </row>
    <row r="286" spans="1:6">
      <c r="A286" s="2342"/>
      <c r="B286" s="1244"/>
      <c r="C286" s="1936"/>
      <c r="D286" s="1426"/>
      <c r="E286" s="1426"/>
      <c r="F286" s="2355"/>
    </row>
    <row r="287" spans="1:6">
      <c r="A287" s="2342"/>
      <c r="B287" s="1244"/>
      <c r="C287" s="1936"/>
      <c r="D287" s="1426"/>
      <c r="E287" s="1426"/>
      <c r="F287" s="2355"/>
    </row>
    <row r="288" spans="1:6">
      <c r="A288" s="2342"/>
      <c r="B288" s="1244"/>
      <c r="C288" s="1936"/>
      <c r="D288" s="1426"/>
      <c r="E288" s="1426"/>
      <c r="F288" s="2355"/>
    </row>
    <row r="289" spans="1:6">
      <c r="A289" s="2342"/>
      <c r="B289" s="1244"/>
      <c r="C289" s="1936"/>
      <c r="D289" s="1426"/>
      <c r="E289" s="1426"/>
      <c r="F289" s="2355"/>
    </row>
    <row r="290" spans="1:6">
      <c r="A290" s="2342"/>
      <c r="B290" s="1244"/>
      <c r="C290" s="1936"/>
      <c r="D290" s="1426"/>
      <c r="E290" s="1426"/>
      <c r="F290" s="2355"/>
    </row>
    <row r="291" spans="1:6">
      <c r="A291" s="2342"/>
      <c r="B291" s="1244"/>
      <c r="C291" s="1936"/>
      <c r="D291" s="1426"/>
      <c r="E291" s="1426"/>
      <c r="F291" s="2355"/>
    </row>
    <row r="292" spans="1:6">
      <c r="A292" s="2342"/>
      <c r="B292" s="1244"/>
      <c r="C292" s="1936"/>
      <c r="D292" s="1426"/>
      <c r="E292" s="1426"/>
      <c r="F292" s="2355"/>
    </row>
    <row r="293" spans="1:6">
      <c r="A293" s="2342"/>
      <c r="B293" s="1244"/>
      <c r="C293" s="1936"/>
      <c r="D293" s="1426"/>
      <c r="E293" s="1426"/>
      <c r="F293" s="2355"/>
    </row>
    <row r="294" spans="1:6">
      <c r="A294" s="2342"/>
      <c r="B294" s="1244"/>
      <c r="C294" s="1936"/>
      <c r="D294" s="1426"/>
      <c r="E294" s="1426"/>
      <c r="F294" s="2355"/>
    </row>
    <row r="295" spans="1:6">
      <c r="A295" s="2342"/>
      <c r="B295" s="1244"/>
      <c r="C295" s="1936"/>
      <c r="D295" s="1426"/>
      <c r="E295" s="1426"/>
      <c r="F295" s="2355"/>
    </row>
    <row r="296" spans="1:6">
      <c r="A296" s="2342"/>
      <c r="B296" s="1244"/>
      <c r="C296" s="1936"/>
      <c r="D296" s="1426"/>
      <c r="E296" s="1426"/>
      <c r="F296" s="2355"/>
    </row>
    <row r="297" spans="1:6">
      <c r="A297" s="2342"/>
      <c r="B297" s="1244"/>
      <c r="C297" s="1936"/>
      <c r="D297" s="1426"/>
      <c r="E297" s="1426"/>
      <c r="F297" s="2355"/>
    </row>
    <row r="298" spans="1:6">
      <c r="A298" s="2342"/>
      <c r="B298" s="1244"/>
      <c r="C298" s="1244"/>
      <c r="D298" s="1426"/>
      <c r="E298" s="1426"/>
      <c r="F298" s="2355"/>
    </row>
    <row r="299" spans="1:6">
      <c r="A299" s="2342"/>
      <c r="B299" s="1244"/>
      <c r="C299" s="1244"/>
      <c r="D299" s="1426"/>
      <c r="E299" s="1426"/>
      <c r="F299" s="2355"/>
    </row>
    <row r="300" spans="1:6">
      <c r="A300" s="2342"/>
      <c r="B300" s="1244"/>
      <c r="C300" s="1244"/>
      <c r="D300" s="1426"/>
      <c r="E300" s="1426"/>
      <c r="F300" s="2355"/>
    </row>
    <row r="301" spans="1:6">
      <c r="A301" s="2342"/>
      <c r="B301" s="1244"/>
      <c r="C301" s="1244"/>
      <c r="D301" s="1426"/>
      <c r="E301" s="1426"/>
      <c r="F301" s="2355"/>
    </row>
    <row r="302" spans="1:6">
      <c r="A302" s="2342"/>
      <c r="B302" s="1244"/>
      <c r="C302" s="1244"/>
      <c r="D302" s="1426"/>
      <c r="E302" s="1426"/>
      <c r="F302" s="2355"/>
    </row>
    <row r="303" spans="1:6">
      <c r="A303" s="2342"/>
      <c r="B303" s="1244"/>
      <c r="C303" s="1244"/>
      <c r="D303" s="1426"/>
      <c r="E303" s="1426"/>
      <c r="F303" s="2355"/>
    </row>
    <row r="304" spans="1:6">
      <c r="A304" s="2342"/>
      <c r="B304" s="1244"/>
      <c r="C304" s="1244"/>
      <c r="D304" s="1426"/>
      <c r="E304" s="1426"/>
      <c r="F304" s="2355"/>
    </row>
    <row r="305" spans="1:6">
      <c r="A305" s="2342"/>
      <c r="B305" s="1244"/>
      <c r="C305" s="1244"/>
      <c r="D305" s="1426"/>
      <c r="E305" s="1426"/>
      <c r="F305" s="2355"/>
    </row>
    <row r="306" spans="1:6">
      <c r="A306" s="2342"/>
      <c r="B306" s="1244"/>
      <c r="C306" s="1244"/>
      <c r="D306" s="1426"/>
      <c r="E306" s="1426"/>
      <c r="F306" s="2355"/>
    </row>
    <row r="307" spans="1:6">
      <c r="A307" s="2342"/>
      <c r="B307" s="1244"/>
      <c r="C307" s="1244"/>
      <c r="D307" s="1426"/>
      <c r="E307" s="1426"/>
      <c r="F307" s="2355"/>
    </row>
    <row r="308" spans="1:6">
      <c r="A308" s="2342"/>
      <c r="B308" s="1244"/>
      <c r="C308" s="1244"/>
      <c r="D308" s="1426"/>
      <c r="E308" s="1426"/>
      <c r="F308" s="2355"/>
    </row>
    <row r="309" spans="1:6">
      <c r="A309" s="2342"/>
      <c r="B309" s="1244"/>
      <c r="C309" s="1244"/>
      <c r="D309" s="1426"/>
      <c r="E309" s="1426"/>
      <c r="F309" s="2355"/>
    </row>
    <row r="310" spans="1:6">
      <c r="A310" s="2342"/>
      <c r="B310" s="1244"/>
      <c r="C310" s="1244"/>
      <c r="D310" s="1426"/>
      <c r="E310" s="1426"/>
      <c r="F310" s="2355"/>
    </row>
    <row r="311" spans="1:6">
      <c r="A311" s="2342"/>
      <c r="B311" s="1244"/>
      <c r="C311" s="1244"/>
      <c r="D311" s="1426"/>
      <c r="E311" s="1426"/>
      <c r="F311" s="2355"/>
    </row>
    <row r="312" spans="1:6">
      <c r="A312" s="2342"/>
      <c r="B312" s="1244"/>
      <c r="C312" s="1244"/>
      <c r="D312" s="1426"/>
      <c r="E312" s="1426"/>
      <c r="F312" s="2355"/>
    </row>
    <row r="313" spans="1:6">
      <c r="A313" s="2342"/>
      <c r="B313" s="1244"/>
      <c r="C313" s="1244"/>
      <c r="D313" s="1426"/>
      <c r="E313" s="1426"/>
      <c r="F313" s="2355"/>
    </row>
    <row r="314" spans="1:6">
      <c r="A314" s="2342"/>
      <c r="B314" s="1244"/>
      <c r="C314" s="1244"/>
      <c r="D314" s="1426"/>
      <c r="E314" s="1426"/>
      <c r="F314" s="2355"/>
    </row>
    <row r="315" spans="1:6">
      <c r="A315" s="2342"/>
      <c r="B315" s="1244"/>
      <c r="C315" s="1244"/>
      <c r="D315" s="1426"/>
      <c r="E315" s="1426"/>
      <c r="F315" s="2355"/>
    </row>
    <row r="316" spans="1:6">
      <c r="A316" s="2342"/>
      <c r="B316" s="1244"/>
      <c r="C316" s="1244"/>
      <c r="D316" s="1426"/>
      <c r="E316" s="1426"/>
      <c r="F316" s="2355"/>
    </row>
    <row r="317" spans="1:6">
      <c r="A317" s="2342"/>
      <c r="B317" s="1244"/>
      <c r="C317" s="1244"/>
      <c r="D317" s="1426"/>
      <c r="E317" s="1426"/>
      <c r="F317" s="2355"/>
    </row>
    <row r="318" spans="1:6">
      <c r="A318" s="2342"/>
      <c r="B318" s="1244"/>
      <c r="C318" s="1244"/>
      <c r="D318" s="1426"/>
      <c r="E318" s="1426"/>
      <c r="F318" s="2355"/>
    </row>
    <row r="319" spans="1:6">
      <c r="A319" s="2342"/>
      <c r="B319" s="1244"/>
      <c r="C319" s="1244"/>
      <c r="D319" s="1426"/>
      <c r="E319" s="1426"/>
      <c r="F319" s="2355"/>
    </row>
    <row r="320" spans="1:6">
      <c r="A320" s="2342"/>
      <c r="B320" s="1244"/>
      <c r="C320" s="1244"/>
      <c r="D320" s="1426"/>
      <c r="E320" s="1426"/>
      <c r="F320" s="2355"/>
    </row>
    <row r="321" spans="1:6">
      <c r="A321" s="2342"/>
      <c r="B321" s="1244"/>
      <c r="C321" s="1244"/>
      <c r="D321" s="1426"/>
      <c r="E321" s="1426"/>
      <c r="F321" s="2355"/>
    </row>
    <row r="322" spans="1:6">
      <c r="A322" s="2342"/>
      <c r="B322" s="1244"/>
      <c r="C322" s="1244"/>
      <c r="D322" s="1426"/>
      <c r="E322" s="1426"/>
      <c r="F322" s="2355"/>
    </row>
    <row r="323" spans="1:6">
      <c r="A323" s="2342"/>
      <c r="B323" s="1244"/>
      <c r="C323" s="1244"/>
      <c r="D323" s="1426"/>
      <c r="E323" s="1426"/>
      <c r="F323" s="2355"/>
    </row>
    <row r="324" spans="1:6">
      <c r="A324" s="2342"/>
      <c r="B324" s="1244"/>
      <c r="C324" s="1244"/>
      <c r="D324" s="1426"/>
      <c r="E324" s="1426"/>
      <c r="F324" s="2355"/>
    </row>
    <row r="325" spans="1:6" ht="15" thickBot="1">
      <c r="A325" s="3035"/>
      <c r="B325" s="2340"/>
      <c r="C325" s="2340"/>
      <c r="D325" s="2341"/>
      <c r="E325" s="1426"/>
      <c r="F325" s="3037"/>
    </row>
    <row r="326" spans="1:6" ht="15" thickBot="1">
      <c r="A326" s="3036"/>
      <c r="B326" s="1244"/>
      <c r="C326" s="1244"/>
      <c r="D326" s="2060"/>
      <c r="E326" s="1426"/>
      <c r="F326" s="3038"/>
    </row>
    <row r="327" spans="1:6" ht="15" thickBot="1">
      <c r="A327" s="3036"/>
      <c r="B327" s="1244"/>
      <c r="C327" s="1244"/>
      <c r="D327" s="2060"/>
      <c r="E327" s="1426"/>
      <c r="F327" s="3038"/>
    </row>
    <row r="328" spans="1:6" ht="15" thickBot="1">
      <c r="A328" s="3036"/>
      <c r="B328" s="1244"/>
      <c r="C328" s="1244"/>
      <c r="D328" s="2060"/>
      <c r="E328" s="1426"/>
      <c r="F328" s="3038"/>
    </row>
    <row r="329" spans="1:6" ht="15" thickBot="1">
      <c r="A329" s="3036"/>
      <c r="B329" s="1244"/>
      <c r="C329" s="1244"/>
      <c r="D329" s="2060"/>
      <c r="E329" s="1426"/>
      <c r="F329" s="3038"/>
    </row>
    <row r="330" spans="1:6" ht="15" thickBot="1">
      <c r="A330" s="3036"/>
      <c r="B330" s="1244"/>
      <c r="C330" s="1244"/>
      <c r="D330" s="2060"/>
      <c r="E330" s="1426"/>
      <c r="F330" s="3038"/>
    </row>
    <row r="331" spans="1:6" ht="15" thickBot="1">
      <c r="A331" s="3036"/>
      <c r="B331" s="1244"/>
      <c r="C331" s="1244"/>
      <c r="D331" s="2060"/>
      <c r="E331" s="1426"/>
      <c r="F331" s="3038"/>
    </row>
    <row r="332" spans="1:6" ht="15" thickBot="1">
      <c r="A332" s="3036"/>
      <c r="B332" s="1244"/>
      <c r="C332" s="1244"/>
      <c r="D332" s="2060"/>
      <c r="E332" s="1426"/>
      <c r="F332" s="3038"/>
    </row>
    <row r="333" spans="1:6" ht="15" thickBot="1">
      <c r="A333" s="3036"/>
      <c r="B333" s="1244"/>
      <c r="C333" s="1244"/>
      <c r="D333" s="2060"/>
      <c r="E333" s="1426"/>
      <c r="F333" s="3038"/>
    </row>
    <row r="334" spans="1:6" ht="15" thickBot="1">
      <c r="A334" s="3036"/>
      <c r="B334" s="1244"/>
      <c r="C334" s="1244"/>
      <c r="D334" s="2060"/>
      <c r="E334" s="1426"/>
      <c r="F334" s="3038"/>
    </row>
    <row r="335" spans="1:6" ht="15" thickBot="1">
      <c r="A335" s="3036"/>
      <c r="B335" s="1244"/>
      <c r="C335" s="1244"/>
      <c r="D335" s="1426"/>
      <c r="E335" s="1426"/>
      <c r="F335" s="3038"/>
    </row>
    <row r="336" spans="1:6" ht="15" thickBot="1">
      <c r="A336" s="3036"/>
      <c r="B336" s="1244"/>
      <c r="C336" s="1244"/>
      <c r="D336" s="1426"/>
      <c r="E336" s="1426"/>
      <c r="F336" s="3038"/>
    </row>
    <row r="337" spans="1:6" ht="15" thickBot="1">
      <c r="A337" s="3036"/>
      <c r="B337" s="1244"/>
      <c r="C337" s="1244"/>
      <c r="D337" s="1426"/>
      <c r="E337" s="1426"/>
      <c r="F337" s="3038"/>
    </row>
    <row r="338" spans="1:6" ht="15" thickBot="1">
      <c r="A338" s="3036"/>
      <c r="B338" s="1244"/>
      <c r="C338" s="1244"/>
      <c r="D338" s="1426"/>
      <c r="E338" s="1426"/>
      <c r="F338" s="3038"/>
    </row>
    <row r="339" spans="1:6" ht="15" thickBot="1">
      <c r="A339" s="3036"/>
      <c r="B339" s="1244"/>
      <c r="C339" s="1244"/>
      <c r="D339" s="1426"/>
      <c r="E339" s="1426"/>
      <c r="F339" s="3038"/>
    </row>
    <row r="340" spans="1:6" ht="15" thickBot="1">
      <c r="A340" s="3036"/>
      <c r="B340" s="1244"/>
      <c r="C340" s="1244"/>
      <c r="D340" s="1426"/>
      <c r="E340" s="1426"/>
      <c r="F340" s="3038"/>
    </row>
    <row r="341" spans="1:6" ht="15" thickBot="1">
      <c r="A341" s="3036"/>
      <c r="B341" s="1244"/>
      <c r="C341" s="1244"/>
      <c r="D341" s="1426"/>
      <c r="E341" s="1426"/>
      <c r="F341" s="3038"/>
    </row>
    <row r="342" spans="1:6" ht="15" thickBot="1">
      <c r="A342" s="3036"/>
      <c r="B342" s="1244"/>
      <c r="C342" s="1244"/>
      <c r="D342" s="1426"/>
      <c r="E342" s="1426"/>
      <c r="F342" s="3038"/>
    </row>
    <row r="343" spans="1:6" ht="15" thickBot="1">
      <c r="A343" s="3036"/>
      <c r="B343" s="1244"/>
      <c r="C343" s="1244"/>
      <c r="D343" s="1426"/>
      <c r="E343" s="1426"/>
      <c r="F343" s="3038"/>
    </row>
    <row r="344" spans="1:6" ht="15" thickBot="1">
      <c r="A344" s="3036"/>
      <c r="B344" s="1244"/>
      <c r="C344" s="1244"/>
      <c r="D344" s="1426"/>
      <c r="E344" s="1426"/>
      <c r="F344" s="3038"/>
    </row>
    <row r="345" spans="1:6" ht="15" thickBot="1">
      <c r="A345" s="3036"/>
      <c r="B345" s="1244"/>
      <c r="C345" s="1244"/>
      <c r="D345" s="1426"/>
      <c r="E345" s="1426"/>
      <c r="F345" s="3038"/>
    </row>
    <row r="346" spans="1:6" ht="15" thickBot="1">
      <c r="A346" s="3036"/>
      <c r="B346" s="1244"/>
      <c r="C346" s="1244"/>
      <c r="D346" s="1426"/>
      <c r="E346" s="1426"/>
      <c r="F346" s="3038"/>
    </row>
    <row r="347" spans="1:6" ht="15" thickBot="1">
      <c r="A347" s="3036"/>
      <c r="B347" s="1244"/>
      <c r="C347" s="1244"/>
      <c r="D347" s="1426"/>
      <c r="E347" s="1426"/>
      <c r="F347" s="3038"/>
    </row>
    <row r="348" spans="1:6" ht="14.7" customHeight="1" thickBot="1">
      <c r="A348" s="3036"/>
      <c r="B348" s="1244"/>
      <c r="C348" s="1244"/>
      <c r="D348" s="1426"/>
      <c r="E348" s="1426"/>
      <c r="F348" s="3038"/>
    </row>
    <row r="349" spans="1:6" ht="15" thickBot="1">
      <c r="A349" s="3036"/>
      <c r="B349" s="1562"/>
      <c r="C349" s="1562"/>
      <c r="D349" s="1868"/>
      <c r="E349" s="1426"/>
      <c r="F349" s="3038"/>
    </row>
    <row r="350" spans="1:6" ht="15" thickBot="1">
      <c r="A350" s="3022"/>
      <c r="B350" s="970"/>
      <c r="C350" s="970"/>
      <c r="D350" s="1864"/>
      <c r="E350" s="1426"/>
      <c r="F350" s="3053"/>
    </row>
    <row r="351" spans="1:6" ht="15" thickBot="1">
      <c r="A351" s="3022"/>
      <c r="B351" s="1244"/>
      <c r="C351" s="1244"/>
      <c r="D351" s="1426"/>
      <c r="E351" s="1426"/>
      <c r="F351" s="3053"/>
    </row>
    <row r="352" spans="1:6" ht="15" thickBot="1">
      <c r="A352" s="3022"/>
      <c r="B352" s="1244"/>
      <c r="C352" s="1244"/>
      <c r="D352" s="1426"/>
      <c r="E352" s="1426"/>
      <c r="F352" s="3053"/>
    </row>
    <row r="353" spans="1:6" ht="15" thickBot="1">
      <c r="A353" s="3022"/>
      <c r="B353" s="1244"/>
      <c r="C353" s="1244"/>
      <c r="D353" s="1426"/>
      <c r="E353" s="1426"/>
      <c r="F353" s="3053"/>
    </row>
    <row r="354" spans="1:6" ht="15" thickBot="1">
      <c r="A354" s="3022"/>
      <c r="B354" s="1244"/>
      <c r="C354" s="1244"/>
      <c r="D354" s="1426"/>
      <c r="E354" s="1426"/>
      <c r="F354" s="3053"/>
    </row>
    <row r="355" spans="1:6" ht="15" thickBot="1">
      <c r="A355" s="3022"/>
      <c r="B355" s="1244"/>
      <c r="C355" s="1244"/>
      <c r="D355" s="1426"/>
      <c r="E355" s="1426"/>
      <c r="F355" s="3053"/>
    </row>
    <row r="356" spans="1:6" ht="15" thickBot="1">
      <c r="A356" s="3022"/>
      <c r="B356" s="1244"/>
      <c r="C356" s="1244"/>
      <c r="D356" s="1426"/>
      <c r="E356" s="1426"/>
      <c r="F356" s="3053"/>
    </row>
    <row r="357" spans="1:6" ht="15" thickBot="1">
      <c r="A357" s="3022"/>
      <c r="B357" s="1244"/>
      <c r="C357" s="1244"/>
      <c r="D357" s="1426"/>
      <c r="E357" s="1426"/>
      <c r="F357" s="3053"/>
    </row>
    <row r="358" spans="1:6" ht="15" thickBot="1">
      <c r="A358" s="3022"/>
      <c r="B358" s="1244"/>
      <c r="C358" s="1244"/>
      <c r="D358" s="1426"/>
      <c r="E358" s="1426"/>
      <c r="F358" s="3053"/>
    </row>
    <row r="359" spans="1:6" ht="15" thickBot="1">
      <c r="A359" s="3022"/>
      <c r="B359" s="1244"/>
      <c r="C359" s="1244"/>
      <c r="D359" s="1426"/>
      <c r="E359" s="1426"/>
      <c r="F359" s="3053"/>
    </row>
    <row r="360" spans="1:6" ht="15" thickBot="1">
      <c r="A360" s="3022"/>
      <c r="B360" s="1244"/>
      <c r="C360" s="1244"/>
      <c r="D360" s="1426"/>
      <c r="E360" s="1426"/>
      <c r="F360" s="3053"/>
    </row>
    <row r="361" spans="1:6" ht="15" thickBot="1">
      <c r="A361" s="3022"/>
      <c r="B361" s="1244"/>
      <c r="C361" s="1244"/>
      <c r="D361" s="1426"/>
      <c r="E361" s="1426"/>
      <c r="F361" s="3053"/>
    </row>
    <row r="362" spans="1:6" ht="15" customHeight="1" thickBot="1">
      <c r="A362" s="3022"/>
      <c r="B362" s="1244"/>
      <c r="C362" s="1244"/>
      <c r="D362" s="1426"/>
      <c r="E362" s="1426"/>
      <c r="F362" s="3053"/>
    </row>
    <row r="363" spans="1:6" ht="15" customHeight="1" thickBot="1">
      <c r="A363" s="3022"/>
      <c r="B363" s="1244"/>
      <c r="C363" s="1244"/>
      <c r="D363" s="1426"/>
      <c r="E363" s="1426"/>
      <c r="F363" s="3053"/>
    </row>
    <row r="364" spans="1:6" ht="15" customHeight="1" thickBot="1">
      <c r="A364" s="3022"/>
      <c r="B364" s="1244"/>
      <c r="C364" s="1244"/>
      <c r="D364" s="1426"/>
      <c r="E364" s="1426"/>
      <c r="F364" s="3053"/>
    </row>
    <row r="365" spans="1:6" ht="15" thickBot="1">
      <c r="A365" s="3022"/>
      <c r="B365" s="1244"/>
      <c r="C365" s="1244"/>
      <c r="D365" s="2066"/>
      <c r="E365" s="1426"/>
      <c r="F365" s="3053"/>
    </row>
    <row r="366" spans="1:6" ht="15" thickBot="1">
      <c r="A366" s="3022"/>
      <c r="B366" s="1244"/>
      <c r="C366" s="1244"/>
      <c r="D366" s="1426"/>
      <c r="E366" s="1426"/>
      <c r="F366" s="3053"/>
    </row>
    <row r="367" spans="1:6" ht="15" thickBot="1">
      <c r="A367" s="3022"/>
      <c r="B367" s="1244"/>
      <c r="C367" s="1244"/>
      <c r="D367" s="1426"/>
      <c r="E367" s="1426"/>
      <c r="F367" s="3053"/>
    </row>
    <row r="368" spans="1:6" ht="15" thickBot="1">
      <c r="A368" s="3022"/>
      <c r="B368" s="1244"/>
      <c r="C368" s="1244"/>
      <c r="D368" s="1426"/>
      <c r="E368" s="1426"/>
      <c r="F368" s="3053"/>
    </row>
    <row r="369" spans="1:6" ht="15" thickBot="1">
      <c r="A369" s="3022"/>
      <c r="B369" s="1244"/>
      <c r="C369" s="1244"/>
      <c r="D369" s="1426"/>
      <c r="E369" s="1426"/>
      <c r="F369" s="3053"/>
    </row>
    <row r="370" spans="1:6" ht="15" thickBot="1">
      <c r="A370" s="3022"/>
      <c r="B370" s="1244"/>
      <c r="C370" s="1244"/>
      <c r="D370" s="1426"/>
      <c r="E370" s="1426"/>
      <c r="F370" s="3053"/>
    </row>
    <row r="371" spans="1:6" ht="15" thickBot="1">
      <c r="A371" s="3022"/>
      <c r="B371" s="1244"/>
      <c r="C371" s="1244"/>
      <c r="D371" s="1426"/>
      <c r="E371" s="1426"/>
      <c r="F371" s="3053"/>
    </row>
    <row r="372" spans="1:6" ht="15" thickBot="1">
      <c r="A372" s="3034"/>
      <c r="B372" s="1562"/>
      <c r="C372" s="1562"/>
      <c r="D372" s="1868"/>
      <c r="E372" s="1426"/>
      <c r="F372" s="3060"/>
    </row>
    <row r="373" spans="1:6" ht="15" thickBot="1">
      <c r="A373" s="3036"/>
      <c r="B373" s="1584"/>
      <c r="C373" s="1584"/>
      <c r="D373" s="2087"/>
      <c r="E373" s="1426"/>
      <c r="F373" s="3044"/>
    </row>
    <row r="374" spans="1:6" ht="15" thickBot="1">
      <c r="A374" s="3042"/>
      <c r="B374" s="1244"/>
      <c r="C374" s="1244"/>
      <c r="D374" s="1426"/>
      <c r="E374" s="1426"/>
      <c r="F374" s="3045"/>
    </row>
    <row r="375" spans="1:6" ht="15" thickBot="1">
      <c r="A375" s="3042"/>
      <c r="B375" s="1244"/>
      <c r="C375" s="1244"/>
      <c r="D375" s="1426"/>
      <c r="E375" s="1426"/>
      <c r="F375" s="3045"/>
    </row>
    <row r="376" spans="1:6" ht="15" thickBot="1">
      <c r="A376" s="3042"/>
      <c r="B376" s="1244"/>
      <c r="C376" s="1244"/>
      <c r="D376" s="1426"/>
      <c r="E376" s="1426"/>
      <c r="F376" s="3045"/>
    </row>
    <row r="377" spans="1:6" ht="15" thickBot="1">
      <c r="A377" s="3042"/>
      <c r="B377" s="1244"/>
      <c r="C377" s="1244"/>
      <c r="D377" s="1426"/>
      <c r="E377" s="1426"/>
      <c r="F377" s="3045"/>
    </row>
    <row r="378" spans="1:6" ht="15" thickBot="1">
      <c r="A378" s="3042"/>
      <c r="B378" s="1244"/>
      <c r="C378" s="1244"/>
      <c r="D378" s="1426"/>
      <c r="E378" s="1426"/>
      <c r="F378" s="3045"/>
    </row>
    <row r="379" spans="1:6" ht="15" thickBot="1">
      <c r="A379" s="3042"/>
      <c r="B379" s="1244"/>
      <c r="C379" s="1244"/>
      <c r="D379" s="1426"/>
      <c r="E379" s="1426"/>
      <c r="F379" s="3045"/>
    </row>
    <row r="380" spans="1:6" ht="15" thickBot="1">
      <c r="A380" s="3042"/>
      <c r="B380" s="1244"/>
      <c r="C380" s="1244"/>
      <c r="D380" s="1426"/>
      <c r="E380" s="1426"/>
      <c r="F380" s="3045"/>
    </row>
    <row r="381" spans="1:6" ht="15" thickBot="1">
      <c r="A381" s="3042"/>
      <c r="B381" s="1244"/>
      <c r="C381" s="1244"/>
      <c r="D381" s="1426"/>
      <c r="E381" s="1426"/>
      <c r="F381" s="3045"/>
    </row>
    <row r="382" spans="1:6" ht="15" thickBot="1">
      <c r="A382" s="3042"/>
      <c r="B382" s="1244"/>
      <c r="C382" s="1244"/>
      <c r="D382" s="1426"/>
      <c r="E382" s="1426"/>
      <c r="F382" s="3045"/>
    </row>
    <row r="383" spans="1:6" ht="15" thickBot="1">
      <c r="A383" s="3042"/>
      <c r="B383" s="1244"/>
      <c r="C383" s="1244"/>
      <c r="D383" s="1426"/>
      <c r="E383" s="1426"/>
      <c r="F383" s="3045"/>
    </row>
    <row r="384" spans="1:6" ht="15" thickBot="1">
      <c r="A384" s="3042"/>
      <c r="B384" s="1244"/>
      <c r="C384" s="1244"/>
      <c r="D384" s="1426"/>
      <c r="E384" s="1426"/>
      <c r="F384" s="3045"/>
    </row>
    <row r="385" spans="1:6" ht="15" thickBot="1">
      <c r="A385" s="3042"/>
      <c r="B385" s="1244"/>
      <c r="C385" s="1244"/>
      <c r="D385" s="1426"/>
      <c r="E385" s="1426"/>
      <c r="F385" s="3045"/>
    </row>
    <row r="386" spans="1:6" ht="15" thickBot="1">
      <c r="A386" s="3042"/>
      <c r="B386" s="1244"/>
      <c r="C386" s="1244"/>
      <c r="D386" s="1426"/>
      <c r="E386" s="1426"/>
      <c r="F386" s="3045"/>
    </row>
    <row r="387" spans="1:6" ht="15" thickBot="1">
      <c r="A387" s="3042"/>
      <c r="B387" s="1244"/>
      <c r="C387" s="1244"/>
      <c r="D387" s="1426"/>
      <c r="E387" s="1426"/>
      <c r="F387" s="3045"/>
    </row>
    <row r="388" spans="1:6" ht="15" thickBot="1">
      <c r="A388" s="3042"/>
      <c r="B388" s="1244"/>
      <c r="C388" s="1244"/>
      <c r="D388" s="1426"/>
      <c r="E388" s="1426"/>
      <c r="F388" s="3045"/>
    </row>
    <row r="389" spans="1:6" ht="15" thickBot="1">
      <c r="A389" s="3042"/>
      <c r="B389" s="1244"/>
      <c r="C389" s="1244"/>
      <c r="D389" s="1426"/>
      <c r="E389" s="1426"/>
      <c r="F389" s="3045"/>
    </row>
    <row r="390" spans="1:6" ht="15" thickBot="1">
      <c r="A390" s="3042"/>
      <c r="B390" s="1244"/>
      <c r="C390" s="1244"/>
      <c r="D390" s="1426"/>
      <c r="E390" s="1426"/>
      <c r="F390" s="3045"/>
    </row>
    <row r="391" spans="1:6" ht="15" thickBot="1">
      <c r="A391" s="3042"/>
      <c r="B391" s="1244"/>
      <c r="C391" s="1244"/>
      <c r="D391" s="1426"/>
      <c r="E391" s="1426"/>
      <c r="F391" s="3045"/>
    </row>
    <row r="392" spans="1:6" ht="15" thickBot="1">
      <c r="A392" s="3042"/>
      <c r="B392" s="1244"/>
      <c r="C392" s="1244"/>
      <c r="D392" s="1426"/>
      <c r="E392" s="1426"/>
      <c r="F392" s="3045"/>
    </row>
    <row r="393" spans="1:6" ht="15" thickBot="1">
      <c r="A393" s="3042"/>
      <c r="B393" s="1244"/>
      <c r="C393" s="1244"/>
      <c r="D393" s="1426"/>
      <c r="E393" s="1426"/>
      <c r="F393" s="3045"/>
    </row>
    <row r="394" spans="1:6" ht="15" thickBot="1">
      <c r="A394" s="3042"/>
      <c r="B394" s="1244"/>
      <c r="C394" s="1244"/>
      <c r="D394" s="1426"/>
      <c r="E394" s="1426"/>
      <c r="F394" s="3045"/>
    </row>
    <row r="395" spans="1:6" ht="15" thickBot="1">
      <c r="A395" s="3042"/>
      <c r="B395" s="1244"/>
      <c r="C395" s="1244"/>
      <c r="D395" s="1426"/>
      <c r="E395" s="1426"/>
      <c r="F395" s="3045"/>
    </row>
    <row r="396" spans="1:6" ht="15" thickBot="1">
      <c r="A396" s="3042"/>
      <c r="B396" s="1244"/>
      <c r="C396" s="1244"/>
      <c r="D396" s="1426"/>
      <c r="E396" s="1426"/>
      <c r="F396" s="3045"/>
    </row>
    <row r="397" spans="1:6" ht="15" thickBot="1">
      <c r="A397" s="3043"/>
      <c r="B397" s="1562"/>
      <c r="C397" s="1562"/>
      <c r="D397" s="1868"/>
      <c r="E397" s="1426"/>
      <c r="F397" s="3046"/>
    </row>
    <row r="398" spans="1:6">
      <c r="A398" s="3039"/>
      <c r="B398" s="1644"/>
      <c r="C398" s="1644"/>
      <c r="D398" s="2088"/>
      <c r="E398" s="1426"/>
      <c r="F398" s="3057"/>
    </row>
    <row r="399" spans="1:6">
      <c r="A399" s="3040"/>
      <c r="B399" s="1643"/>
      <c r="C399" s="1643"/>
      <c r="D399" s="2086"/>
      <c r="E399" s="3021"/>
      <c r="F399" s="3058"/>
    </row>
    <row r="400" spans="1:6">
      <c r="A400" s="3040"/>
      <c r="B400" s="1643"/>
      <c r="C400" s="1643"/>
      <c r="D400" s="2086"/>
      <c r="E400" s="3021"/>
      <c r="F400" s="3058"/>
    </row>
    <row r="401" spans="1:6">
      <c r="A401" s="3040"/>
      <c r="B401" s="1643"/>
      <c r="C401" s="1643"/>
      <c r="D401" s="2086"/>
      <c r="E401" s="1645"/>
      <c r="F401" s="3058"/>
    </row>
    <row r="402" spans="1:6">
      <c r="A402" s="3040"/>
      <c r="B402" s="1643"/>
      <c r="C402" s="1643"/>
      <c r="D402" s="2086"/>
      <c r="E402" s="1645"/>
      <c r="F402" s="3058"/>
    </row>
    <row r="403" spans="1:6">
      <c r="A403" s="3040"/>
      <c r="B403" s="1643"/>
      <c r="C403" s="1643"/>
      <c r="D403" s="2086"/>
      <c r="E403" s="3021"/>
      <c r="F403" s="3058"/>
    </row>
    <row r="404" spans="1:6">
      <c r="A404" s="3040"/>
      <c r="B404" s="1643"/>
      <c r="C404" s="1643"/>
      <c r="D404" s="2086"/>
      <c r="E404" s="3021"/>
      <c r="F404" s="3058"/>
    </row>
    <row r="405" spans="1:6">
      <c r="A405" s="3040"/>
      <c r="B405" s="1643"/>
      <c r="C405" s="1643"/>
      <c r="D405" s="2086"/>
      <c r="E405" s="3021"/>
      <c r="F405" s="3058"/>
    </row>
    <row r="406" spans="1:6">
      <c r="A406" s="3040"/>
      <c r="B406" s="1643"/>
      <c r="C406" s="1643"/>
      <c r="D406" s="2086"/>
      <c r="E406" s="3021"/>
      <c r="F406" s="3058"/>
    </row>
    <row r="407" spans="1:6">
      <c r="A407" s="3040"/>
      <c r="B407" s="1643"/>
      <c r="C407" s="1643"/>
      <c r="D407" s="2086"/>
      <c r="E407" s="3021"/>
      <c r="F407" s="3058"/>
    </row>
    <row r="408" spans="1:6">
      <c r="A408" s="3040"/>
      <c r="B408" s="1643"/>
      <c r="C408" s="1643"/>
      <c r="D408" s="2086"/>
      <c r="E408" s="3021"/>
      <c r="F408" s="3058"/>
    </row>
    <row r="409" spans="1:6">
      <c r="A409" s="3040"/>
      <c r="B409" s="1643"/>
      <c r="C409" s="1643"/>
      <c r="D409" s="2086"/>
      <c r="E409" s="3021"/>
      <c r="F409" s="3058"/>
    </row>
    <row r="410" spans="1:6">
      <c r="A410" s="3040"/>
      <c r="B410" s="1643"/>
      <c r="C410" s="1643"/>
      <c r="D410" s="2086"/>
      <c r="E410" s="1645"/>
      <c r="F410" s="3058"/>
    </row>
    <row r="411" spans="1:6">
      <c r="A411" s="3040"/>
      <c r="B411" s="1643"/>
      <c r="C411" s="1643"/>
      <c r="D411" s="2086"/>
      <c r="E411" s="1645"/>
      <c r="F411" s="3058"/>
    </row>
    <row r="412" spans="1:6">
      <c r="A412" s="3040"/>
      <c r="B412" s="1643"/>
      <c r="C412" s="1643"/>
      <c r="D412" s="2086"/>
      <c r="E412" s="1645"/>
      <c r="F412" s="3058"/>
    </row>
    <row r="413" spans="1:6">
      <c r="A413" s="3040"/>
      <c r="B413" s="1643"/>
      <c r="C413" s="1643"/>
      <c r="D413" s="2086"/>
      <c r="E413" s="3021"/>
      <c r="F413" s="3058"/>
    </row>
    <row r="414" spans="1:6">
      <c r="A414" s="3040"/>
      <c r="B414" s="1643"/>
      <c r="C414" s="1643"/>
      <c r="D414" s="2086"/>
      <c r="E414" s="3021"/>
      <c r="F414" s="3058"/>
    </row>
    <row r="415" spans="1:6">
      <c r="A415" s="3040"/>
      <c r="B415" s="1643"/>
      <c r="C415" s="1643"/>
      <c r="D415" s="2086"/>
      <c r="E415" s="1645"/>
      <c r="F415" s="3058"/>
    </row>
    <row r="416" spans="1:6">
      <c r="A416" s="3040"/>
      <c r="B416" s="1643"/>
      <c r="C416" s="1643"/>
      <c r="D416" s="2086"/>
      <c r="E416" s="3021"/>
      <c r="F416" s="3058"/>
    </row>
    <row r="417" spans="1:8">
      <c r="A417" s="3040"/>
      <c r="B417" s="1643"/>
      <c r="C417" s="1643"/>
      <c r="D417" s="2086"/>
      <c r="E417" s="3021"/>
      <c r="F417" s="3058"/>
    </row>
    <row r="418" spans="1:8">
      <c r="A418" s="3040"/>
      <c r="B418" s="1643"/>
      <c r="C418" s="1643"/>
      <c r="D418" s="2086"/>
      <c r="E418" s="3021"/>
      <c r="F418" s="3058"/>
    </row>
    <row r="419" spans="1:8">
      <c r="A419" s="3040"/>
      <c r="B419" s="1643"/>
      <c r="C419" s="1643"/>
      <c r="D419" s="2086"/>
      <c r="E419" s="3021"/>
      <c r="F419" s="3058"/>
    </row>
    <row r="420" spans="1:8">
      <c r="A420" s="3040"/>
      <c r="B420" s="1643"/>
      <c r="C420" s="1643"/>
      <c r="D420" s="2086"/>
      <c r="E420" s="3021"/>
      <c r="F420" s="3058"/>
    </row>
    <row r="421" spans="1:8" ht="15" thickBot="1">
      <c r="A421" s="3041"/>
      <c r="B421" s="1862"/>
      <c r="C421" s="1862"/>
      <c r="D421" s="2092"/>
      <c r="E421" s="3029"/>
      <c r="F421" s="3059"/>
    </row>
    <row r="422" spans="1:8">
      <c r="A422" s="3022"/>
      <c r="B422" s="970"/>
      <c r="C422" s="970"/>
      <c r="D422" s="1864"/>
      <c r="E422" s="3027"/>
      <c r="F422" s="3053"/>
    </row>
    <row r="423" spans="1:8">
      <c r="A423" s="3023"/>
      <c r="B423" s="1244"/>
      <c r="C423" s="1244"/>
      <c r="D423" s="1426"/>
      <c r="E423" s="3028"/>
      <c r="F423" s="3055"/>
      <c r="H423" s="1642"/>
    </row>
    <row r="424" spans="1:8">
      <c r="A424" s="3023"/>
      <c r="B424" s="1244"/>
      <c r="C424" s="1244"/>
      <c r="D424" s="1426"/>
      <c r="E424" s="3017"/>
      <c r="F424" s="3055"/>
    </row>
    <row r="425" spans="1:8">
      <c r="A425" s="3023"/>
      <c r="B425" s="1244"/>
      <c r="C425" s="1244"/>
      <c r="D425" s="1426"/>
      <c r="E425" s="3016"/>
      <c r="F425" s="3055"/>
    </row>
    <row r="426" spans="1:8">
      <c r="A426" s="3023"/>
      <c r="B426" s="1244"/>
      <c r="C426" s="1244"/>
      <c r="D426" s="1426"/>
      <c r="E426" s="3017"/>
      <c r="F426" s="3055"/>
    </row>
    <row r="427" spans="1:8">
      <c r="A427" s="3023"/>
      <c r="B427" s="1244"/>
      <c r="C427" s="1244"/>
      <c r="D427" s="1426"/>
      <c r="E427" s="3016"/>
      <c r="F427" s="3055"/>
    </row>
    <row r="428" spans="1:8">
      <c r="A428" s="3023"/>
      <c r="B428" s="1244"/>
      <c r="C428" s="1244"/>
      <c r="D428" s="1426"/>
      <c r="E428" s="3017"/>
      <c r="F428" s="3055"/>
    </row>
    <row r="429" spans="1:8">
      <c r="A429" s="3023"/>
      <c r="B429" s="1244"/>
      <c r="C429" s="1244"/>
      <c r="D429" s="1426"/>
      <c r="E429" s="3016"/>
      <c r="F429" s="3055"/>
    </row>
    <row r="430" spans="1:8">
      <c r="A430" s="3023"/>
      <c r="B430" s="1244"/>
      <c r="C430" s="1244"/>
      <c r="D430" s="1426"/>
      <c r="E430" s="3017"/>
      <c r="F430" s="3055"/>
    </row>
    <row r="431" spans="1:8">
      <c r="A431" s="3023"/>
      <c r="B431" s="1244"/>
      <c r="C431" s="1244"/>
      <c r="D431" s="1426"/>
      <c r="E431" s="3016"/>
      <c r="F431" s="3055"/>
    </row>
    <row r="432" spans="1:8">
      <c r="A432" s="3023"/>
      <c r="B432" s="1244"/>
      <c r="C432" s="1244"/>
      <c r="D432" s="1426"/>
      <c r="E432" s="3028"/>
      <c r="F432" s="3055"/>
    </row>
    <row r="433" spans="1:6">
      <c r="A433" s="3023"/>
      <c r="B433" s="1244"/>
      <c r="C433" s="1244"/>
      <c r="D433" s="1426"/>
      <c r="E433" s="3028"/>
      <c r="F433" s="3055"/>
    </row>
    <row r="434" spans="1:6">
      <c r="A434" s="3023"/>
      <c r="B434" s="1244"/>
      <c r="C434" s="1244"/>
      <c r="D434" s="1426"/>
      <c r="E434" s="3017"/>
      <c r="F434" s="3055"/>
    </row>
    <row r="435" spans="1:6">
      <c r="A435" s="3023"/>
      <c r="B435" s="1244"/>
      <c r="C435" s="1244"/>
      <c r="D435" s="1426"/>
      <c r="E435" s="3016"/>
      <c r="F435" s="3055"/>
    </row>
    <row r="436" spans="1:6">
      <c r="A436" s="3023"/>
      <c r="B436" s="1244"/>
      <c r="C436" s="1244"/>
      <c r="D436" s="1426"/>
      <c r="E436" s="3017"/>
      <c r="F436" s="3055"/>
    </row>
    <row r="437" spans="1:6">
      <c r="A437" s="3023"/>
      <c r="B437" s="1244"/>
      <c r="C437" s="1244"/>
      <c r="D437" s="1426"/>
      <c r="E437" s="1426"/>
      <c r="F437" s="3055"/>
    </row>
    <row r="438" spans="1:6">
      <c r="A438" s="3023"/>
      <c r="B438" s="1244"/>
      <c r="C438" s="1244"/>
      <c r="D438" s="1426"/>
      <c r="E438" s="3016"/>
      <c r="F438" s="3055"/>
    </row>
    <row r="439" spans="1:6">
      <c r="A439" s="3023"/>
      <c r="B439" s="1244"/>
      <c r="C439" s="1244"/>
      <c r="D439" s="1426"/>
      <c r="E439" s="3017"/>
      <c r="F439" s="3055"/>
    </row>
    <row r="440" spans="1:6">
      <c r="A440" s="3023"/>
      <c r="B440" s="1244"/>
      <c r="C440" s="1244"/>
      <c r="D440" s="1426"/>
      <c r="E440" s="3016"/>
      <c r="F440" s="3055"/>
    </row>
    <row r="441" spans="1:6">
      <c r="A441" s="3023"/>
      <c r="B441" s="1244"/>
      <c r="C441" s="1244"/>
      <c r="D441" s="1426"/>
      <c r="E441" s="3017"/>
      <c r="F441" s="3055"/>
    </row>
    <row r="442" spans="1:6">
      <c r="A442" s="3023"/>
      <c r="B442" s="1244"/>
      <c r="C442" s="1244"/>
      <c r="D442" s="1426"/>
      <c r="E442" s="1426"/>
      <c r="F442" s="3055"/>
    </row>
    <row r="443" spans="1:6">
      <c r="A443" s="3023"/>
      <c r="B443" s="1244"/>
      <c r="C443" s="1244"/>
      <c r="D443" s="1426"/>
      <c r="E443" s="1426"/>
      <c r="F443" s="3055"/>
    </row>
    <row r="444" spans="1:6">
      <c r="A444" s="3023"/>
      <c r="B444" s="1244"/>
      <c r="C444" s="1244"/>
      <c r="D444" s="1426"/>
      <c r="E444" s="1426"/>
      <c r="F444" s="3055"/>
    </row>
    <row r="445" spans="1:6">
      <c r="A445" s="3023"/>
      <c r="B445" s="1244"/>
      <c r="C445" s="1244"/>
      <c r="D445" s="1426"/>
      <c r="E445" s="1426"/>
      <c r="F445" s="3055"/>
    </row>
    <row r="446" spans="1:6">
      <c r="A446" s="3023"/>
      <c r="B446" s="1244"/>
      <c r="C446" s="1244"/>
      <c r="D446" s="1426"/>
      <c r="E446" s="1426"/>
      <c r="F446" s="3055"/>
    </row>
    <row r="447" spans="1:6" ht="15" thickBot="1">
      <c r="A447" s="3024"/>
      <c r="B447" s="1562"/>
      <c r="C447" s="1562"/>
      <c r="D447" s="1868"/>
      <c r="E447" s="1868"/>
      <c r="F447" s="3056"/>
    </row>
    <row r="448" spans="1:6">
      <c r="A448" s="3022"/>
      <c r="B448" s="970"/>
      <c r="C448" s="970"/>
      <c r="D448" s="1864"/>
      <c r="E448" s="3027"/>
      <c r="F448" s="3053"/>
    </row>
    <row r="449" spans="1:6">
      <c r="A449" s="3052"/>
      <c r="B449" s="1244"/>
      <c r="C449" s="1244"/>
      <c r="D449" s="1426"/>
      <c r="E449" s="3017"/>
      <c r="F449" s="3054"/>
    </row>
    <row r="450" spans="1:6">
      <c r="A450" s="3023"/>
      <c r="B450" s="1244"/>
      <c r="C450" s="1244"/>
      <c r="D450" s="1426"/>
      <c r="E450" s="1426"/>
      <c r="F450" s="3055"/>
    </row>
    <row r="451" spans="1:6">
      <c r="A451" s="3023"/>
      <c r="B451" s="1244"/>
      <c r="C451" s="1244"/>
      <c r="D451" s="1426"/>
      <c r="E451" s="3016"/>
      <c r="F451" s="3055"/>
    </row>
    <row r="452" spans="1:6">
      <c r="A452" s="3023"/>
      <c r="B452" s="1244"/>
      <c r="C452" s="1244"/>
      <c r="D452" s="1426"/>
      <c r="E452" s="3017"/>
      <c r="F452" s="3055"/>
    </row>
    <row r="453" spans="1:6">
      <c r="A453" s="3023"/>
      <c r="B453" s="1244"/>
      <c r="C453" s="1244"/>
      <c r="D453" s="1426"/>
      <c r="E453" s="1426"/>
      <c r="F453" s="3055"/>
    </row>
    <row r="454" spans="1:6">
      <c r="A454" s="3023"/>
      <c r="B454" s="1244"/>
      <c r="C454" s="1244"/>
      <c r="D454" s="1426"/>
      <c r="E454" s="1426"/>
      <c r="F454" s="3055"/>
    </row>
    <row r="455" spans="1:6">
      <c r="A455" s="3023"/>
      <c r="B455" s="1244"/>
      <c r="C455" s="1244"/>
      <c r="D455" s="1426"/>
      <c r="E455" s="1426"/>
      <c r="F455" s="3055"/>
    </row>
    <row r="456" spans="1:6">
      <c r="A456" s="3023"/>
      <c r="B456" s="1244"/>
      <c r="C456" s="1244"/>
      <c r="D456" s="1426"/>
      <c r="E456" s="1426"/>
      <c r="F456" s="3055"/>
    </row>
    <row r="457" spans="1:6">
      <c r="A457" s="3023"/>
      <c r="B457" s="1244"/>
      <c r="C457" s="1244"/>
      <c r="D457" s="1426"/>
      <c r="E457" s="1426"/>
      <c r="F457" s="3055"/>
    </row>
    <row r="458" spans="1:6">
      <c r="A458" s="3023"/>
      <c r="B458" s="1244"/>
      <c r="C458" s="1244"/>
      <c r="D458" s="1426"/>
      <c r="E458" s="3016"/>
      <c r="F458" s="3055"/>
    </row>
    <row r="459" spans="1:6">
      <c r="A459" s="3023"/>
      <c r="B459" s="1244"/>
      <c r="C459" s="1244"/>
      <c r="D459" s="1426"/>
      <c r="E459" s="3017"/>
      <c r="F459" s="3055"/>
    </row>
    <row r="460" spans="1:6">
      <c r="A460" s="3023"/>
      <c r="B460" s="1244"/>
      <c r="C460" s="1244"/>
      <c r="D460" s="1426"/>
      <c r="E460" s="3016"/>
      <c r="F460" s="3055"/>
    </row>
    <row r="461" spans="1:6">
      <c r="A461" s="3023"/>
      <c r="B461" s="1244"/>
      <c r="C461" s="1244"/>
      <c r="D461" s="1426"/>
      <c r="E461" s="3017"/>
      <c r="F461" s="3055"/>
    </row>
    <row r="462" spans="1:6">
      <c r="A462" s="3023"/>
      <c r="B462" s="1244"/>
      <c r="C462" s="1244"/>
      <c r="D462" s="1426"/>
      <c r="E462" s="3016"/>
      <c r="F462" s="3055"/>
    </row>
    <row r="463" spans="1:6">
      <c r="A463" s="3023"/>
      <c r="B463" s="1244"/>
      <c r="C463" s="1244"/>
      <c r="D463" s="1426"/>
      <c r="E463" s="3017"/>
      <c r="F463" s="3055"/>
    </row>
    <row r="464" spans="1:6">
      <c r="A464" s="3023"/>
      <c r="B464" s="1244"/>
      <c r="C464" s="1244"/>
      <c r="D464" s="1426"/>
      <c r="E464" s="3016"/>
      <c r="F464" s="3055"/>
    </row>
    <row r="465" spans="1:6">
      <c r="A465" s="3023"/>
      <c r="B465" s="1244"/>
      <c r="C465" s="1244"/>
      <c r="D465" s="1426"/>
      <c r="E465" s="3017"/>
      <c r="F465" s="3055"/>
    </row>
    <row r="466" spans="1:6">
      <c r="A466" s="3023"/>
      <c r="B466" s="1244"/>
      <c r="C466" s="1244"/>
      <c r="D466" s="1426"/>
      <c r="E466" s="1426"/>
      <c r="F466" s="3055"/>
    </row>
    <row r="467" spans="1:6">
      <c r="A467" s="3023"/>
      <c r="B467" s="1244"/>
      <c r="C467" s="1244"/>
      <c r="D467" s="1426"/>
      <c r="E467" s="1426"/>
      <c r="F467" s="3055"/>
    </row>
    <row r="468" spans="1:6">
      <c r="A468" s="3023"/>
      <c r="B468" s="1244"/>
      <c r="C468" s="1244"/>
      <c r="D468" s="1426"/>
      <c r="E468" s="1426"/>
      <c r="F468" s="3055"/>
    </row>
    <row r="469" spans="1:6">
      <c r="A469" s="3023"/>
      <c r="B469" s="1244"/>
      <c r="C469" s="1244"/>
      <c r="D469" s="1426"/>
      <c r="E469" s="1426"/>
      <c r="F469" s="3055"/>
    </row>
    <row r="470" spans="1:6">
      <c r="A470" s="3023"/>
      <c r="B470" s="1244"/>
      <c r="C470" s="1244"/>
      <c r="D470" s="1426"/>
      <c r="E470" s="1426"/>
      <c r="F470" s="3055"/>
    </row>
    <row r="471" spans="1:6">
      <c r="A471" s="3023"/>
      <c r="B471" s="1244"/>
      <c r="C471" s="1244"/>
      <c r="D471" s="1426"/>
      <c r="E471" s="1426"/>
      <c r="F471" s="3055"/>
    </row>
    <row r="472" spans="1:6" ht="15" thickBot="1">
      <c r="A472" s="3024"/>
      <c r="B472" s="1562"/>
      <c r="C472" s="1562"/>
      <c r="D472" s="1868"/>
      <c r="E472" s="1868"/>
      <c r="F472" s="3056"/>
    </row>
    <row r="473" spans="1:6">
      <c r="A473" s="3049"/>
      <c r="B473" s="1584"/>
      <c r="C473" s="1584"/>
      <c r="D473" s="2098"/>
      <c r="E473" s="2087"/>
      <c r="F473" s="3047"/>
    </row>
    <row r="474" spans="1:6">
      <c r="A474" s="3050"/>
      <c r="B474" s="1244"/>
      <c r="C474" s="1244"/>
      <c r="D474" s="2074"/>
      <c r="E474" s="3031"/>
      <c r="F474" s="3048"/>
    </row>
    <row r="475" spans="1:6">
      <c r="A475" s="3050"/>
      <c r="B475" s="1244"/>
      <c r="C475" s="1244"/>
      <c r="D475" s="1641"/>
      <c r="E475" s="3031"/>
      <c r="F475" s="3048"/>
    </row>
    <row r="476" spans="1:6">
      <c r="A476" s="3050"/>
      <c r="B476" s="1244"/>
      <c r="C476" s="1244"/>
      <c r="D476" s="2074"/>
      <c r="E476" s="3031"/>
      <c r="F476" s="3048"/>
    </row>
    <row r="477" spans="1:6">
      <c r="A477" s="3050"/>
      <c r="B477" s="1244"/>
      <c r="C477" s="1244"/>
      <c r="D477" s="2074"/>
      <c r="E477" s="3031"/>
      <c r="F477" s="3048"/>
    </row>
    <row r="478" spans="1:6">
      <c r="A478" s="3050"/>
      <c r="B478" s="1244"/>
      <c r="C478" s="1244"/>
      <c r="D478" s="1242"/>
      <c r="E478" s="3031"/>
      <c r="F478" s="3048"/>
    </row>
    <row r="479" spans="1:6">
      <c r="A479" s="3050"/>
      <c r="B479" s="1244"/>
      <c r="C479" s="1244"/>
      <c r="D479" s="1641"/>
      <c r="E479" s="3031"/>
      <c r="F479" s="3048"/>
    </row>
    <row r="480" spans="1:6">
      <c r="A480" s="3050"/>
      <c r="B480" s="1244"/>
      <c r="C480" s="1244"/>
      <c r="D480" s="1641"/>
      <c r="E480" s="1426"/>
      <c r="F480" s="3048"/>
    </row>
    <row r="481" spans="1:6">
      <c r="A481" s="3050"/>
      <c r="B481" s="1244"/>
      <c r="C481" s="1244"/>
      <c r="D481" s="1641"/>
      <c r="E481" s="3031"/>
      <c r="F481" s="3048"/>
    </row>
    <row r="482" spans="1:6">
      <c r="A482" s="3050"/>
      <c r="B482" s="1244"/>
      <c r="C482" s="1244"/>
      <c r="D482" s="1641"/>
      <c r="E482" s="3031"/>
      <c r="F482" s="3048"/>
    </row>
    <row r="483" spans="1:6">
      <c r="A483" s="3050"/>
      <c r="B483" s="1244"/>
      <c r="C483" s="1244"/>
      <c r="D483" s="1641"/>
      <c r="E483" s="3031"/>
      <c r="F483" s="3048"/>
    </row>
    <row r="484" spans="1:6">
      <c r="A484" s="3050"/>
      <c r="B484" s="1244"/>
      <c r="C484" s="1244"/>
      <c r="D484" s="1641"/>
      <c r="E484" s="3031"/>
      <c r="F484" s="3048"/>
    </row>
    <row r="485" spans="1:6">
      <c r="A485" s="3050"/>
      <c r="B485" s="1244"/>
      <c r="C485" s="1244"/>
      <c r="D485" s="1641"/>
      <c r="E485" s="1426"/>
      <c r="F485" s="3048"/>
    </row>
    <row r="486" spans="1:6">
      <c r="A486" s="3050"/>
      <c r="B486" s="1244"/>
      <c r="C486" s="1244"/>
      <c r="D486" s="1641"/>
      <c r="E486" s="3031"/>
      <c r="F486" s="3048"/>
    </row>
    <row r="487" spans="1:6">
      <c r="A487" s="3050"/>
      <c r="B487" s="1244"/>
      <c r="C487" s="1244"/>
      <c r="D487" s="1641"/>
      <c r="E487" s="3031"/>
      <c r="F487" s="3048"/>
    </row>
    <row r="488" spans="1:6">
      <c r="A488" s="3050"/>
      <c r="B488" s="1244"/>
      <c r="C488" s="1244"/>
      <c r="D488" s="1641"/>
      <c r="E488" s="3031"/>
      <c r="F488" s="3048"/>
    </row>
    <row r="489" spans="1:6">
      <c r="A489" s="3050"/>
      <c r="B489" s="1244"/>
      <c r="C489" s="1244"/>
      <c r="D489" s="1641"/>
      <c r="E489" s="3031"/>
      <c r="F489" s="3048"/>
    </row>
    <row r="490" spans="1:6">
      <c r="A490" s="3050"/>
      <c r="B490" s="1244"/>
      <c r="C490" s="1244"/>
      <c r="D490" s="1641"/>
      <c r="E490" s="3031"/>
      <c r="F490" s="3048"/>
    </row>
    <row r="491" spans="1:6">
      <c r="A491" s="3050"/>
      <c r="B491" s="1244"/>
      <c r="C491" s="1244"/>
      <c r="D491" s="1641"/>
      <c r="E491" s="3031"/>
      <c r="F491" s="3048"/>
    </row>
    <row r="492" spans="1:6">
      <c r="A492" s="3050"/>
      <c r="B492" s="1244"/>
      <c r="C492" s="1244"/>
      <c r="D492" s="1242"/>
      <c r="E492" s="3031"/>
      <c r="F492" s="3048"/>
    </row>
    <row r="493" spans="1:6">
      <c r="A493" s="3050"/>
      <c r="B493" s="1244"/>
      <c r="C493" s="1244"/>
      <c r="D493" s="1242"/>
      <c r="E493" s="3031"/>
      <c r="F493" s="3048"/>
    </row>
    <row r="494" spans="1:6">
      <c r="A494" s="3050"/>
      <c r="B494" s="1244"/>
      <c r="C494" s="1244"/>
      <c r="D494" s="1641"/>
      <c r="E494" s="1426"/>
      <c r="F494" s="3048"/>
    </row>
    <row r="495" spans="1:6">
      <c r="A495" s="3050"/>
      <c r="B495" s="1244"/>
      <c r="C495" s="1244"/>
      <c r="D495" s="1641"/>
      <c r="E495" s="3031"/>
      <c r="F495" s="3048"/>
    </row>
    <row r="496" spans="1:6">
      <c r="A496" s="3050"/>
      <c r="B496" s="1244"/>
      <c r="C496" s="1244"/>
      <c r="D496" s="1641"/>
      <c r="E496" s="3031"/>
      <c r="F496" s="3048"/>
    </row>
    <row r="497" spans="1:6">
      <c r="A497" s="3050"/>
      <c r="B497" s="1244"/>
      <c r="C497" s="1244"/>
      <c r="D497" s="1641"/>
      <c r="E497" s="1426"/>
      <c r="F497" s="3048"/>
    </row>
    <row r="498" spans="1:6">
      <c r="A498" s="3050"/>
      <c r="B498" s="1244"/>
      <c r="C498" s="1244"/>
      <c r="D498" s="1641"/>
      <c r="E498" s="1426"/>
      <c r="F498" s="3048"/>
    </row>
    <row r="499" spans="1:6">
      <c r="A499" s="3050"/>
      <c r="B499" s="1244"/>
      <c r="C499" s="1244"/>
      <c r="D499" s="1641"/>
      <c r="E499" s="1426"/>
      <c r="F499" s="3048"/>
    </row>
    <row r="500" spans="1:6">
      <c r="A500" s="3050"/>
      <c r="B500" s="1244"/>
      <c r="C500" s="1244"/>
      <c r="D500" s="1641"/>
      <c r="E500" s="1426"/>
      <c r="F500" s="3048"/>
    </row>
    <row r="501" spans="1:6">
      <c r="A501" s="3050"/>
      <c r="B501" s="1244"/>
      <c r="C501" s="1244"/>
      <c r="D501" s="1641"/>
      <c r="E501" s="1426"/>
      <c r="F501" s="3048"/>
    </row>
    <row r="502" spans="1:6">
      <c r="A502" s="3050"/>
      <c r="B502" s="1244"/>
      <c r="C502" s="1244"/>
      <c r="D502" s="1242"/>
      <c r="E502" s="1426"/>
      <c r="F502" s="3048"/>
    </row>
    <row r="503" spans="1:6">
      <c r="A503" s="3050"/>
      <c r="B503" s="1244"/>
      <c r="C503" s="1244"/>
      <c r="D503" s="1641"/>
      <c r="E503" s="1426"/>
      <c r="F503" s="3048"/>
    </row>
    <row r="504" spans="1:6" ht="15" thickBot="1">
      <c r="A504" s="3050"/>
      <c r="B504" s="1562"/>
      <c r="C504" s="1562"/>
      <c r="D504" s="1648"/>
      <c r="E504" s="1868"/>
      <c r="F504" s="3048"/>
    </row>
    <row r="505" spans="1:6">
      <c r="A505" s="3007"/>
      <c r="B505" s="970"/>
      <c r="C505" s="970"/>
      <c r="D505" s="1817"/>
      <c r="E505" s="3032"/>
      <c r="F505" s="3011"/>
    </row>
    <row r="506" spans="1:6">
      <c r="A506" s="3009"/>
      <c r="B506" s="1244"/>
      <c r="C506" s="1244"/>
      <c r="D506" s="1641"/>
      <c r="E506" s="3033"/>
      <c r="F506" s="3013"/>
    </row>
    <row r="507" spans="1:6">
      <c r="A507" s="3009"/>
      <c r="B507" s="1244"/>
      <c r="C507" s="1244"/>
      <c r="D507" s="1641"/>
      <c r="E507" s="3033"/>
      <c r="F507" s="3013"/>
    </row>
    <row r="508" spans="1:6">
      <c r="A508" s="3009"/>
      <c r="B508" s="1244"/>
      <c r="C508" s="1244"/>
      <c r="D508" s="1641"/>
      <c r="E508" s="3033"/>
      <c r="F508" s="3013"/>
    </row>
    <row r="509" spans="1:6">
      <c r="A509" s="3009"/>
      <c r="B509" s="1244"/>
      <c r="C509" s="1244"/>
      <c r="D509" s="1242"/>
      <c r="E509" s="3033"/>
      <c r="F509" s="3013"/>
    </row>
    <row r="510" spans="1:6">
      <c r="A510" s="3009"/>
      <c r="B510" s="1244"/>
      <c r="C510" s="1244"/>
      <c r="D510" s="1641"/>
      <c r="E510" s="3033"/>
      <c r="F510" s="3013"/>
    </row>
    <row r="511" spans="1:6">
      <c r="A511" s="3009"/>
      <c r="B511" s="1244"/>
      <c r="C511" s="1244"/>
      <c r="D511" s="1641"/>
      <c r="E511" s="3033"/>
      <c r="F511" s="3013"/>
    </row>
    <row r="512" spans="1:6">
      <c r="A512" s="3009"/>
      <c r="B512" s="1244"/>
      <c r="C512" s="1244"/>
      <c r="D512" s="1641"/>
      <c r="E512" s="3033"/>
      <c r="F512" s="3013"/>
    </row>
    <row r="513" spans="1:6">
      <c r="A513" s="3009"/>
      <c r="B513" s="1244"/>
      <c r="C513" s="1244"/>
      <c r="D513" s="1641"/>
      <c r="E513" s="3033"/>
      <c r="F513" s="3013"/>
    </row>
    <row r="514" spans="1:6">
      <c r="A514" s="3009"/>
      <c r="B514" s="1244"/>
      <c r="C514" s="1244"/>
      <c r="D514" s="1641"/>
      <c r="E514" s="1426"/>
      <c r="F514" s="3013"/>
    </row>
    <row r="515" spans="1:6">
      <c r="A515" s="3009"/>
      <c r="B515" s="1244"/>
      <c r="C515" s="1244"/>
      <c r="D515" s="1641"/>
      <c r="E515" s="3033"/>
      <c r="F515" s="3013"/>
    </row>
    <row r="516" spans="1:6">
      <c r="A516" s="3009"/>
      <c r="B516" s="1244"/>
      <c r="C516" s="1244"/>
      <c r="D516" s="1641"/>
      <c r="E516" s="3033"/>
      <c r="F516" s="3013"/>
    </row>
    <row r="517" spans="1:6">
      <c r="A517" s="3009"/>
      <c r="B517" s="1244"/>
      <c r="C517" s="1244"/>
      <c r="D517" s="1242"/>
      <c r="E517" s="1426"/>
      <c r="F517" s="3013"/>
    </row>
    <row r="518" spans="1:6">
      <c r="A518" s="3009"/>
      <c r="B518" s="1244"/>
      <c r="C518" s="1244"/>
      <c r="D518" s="1641"/>
      <c r="E518" s="3033"/>
      <c r="F518" s="3013"/>
    </row>
    <row r="519" spans="1:6">
      <c r="A519" s="3009"/>
      <c r="B519" s="1244"/>
      <c r="C519" s="1244"/>
      <c r="D519" s="1242"/>
      <c r="E519" s="3033"/>
      <c r="F519" s="3013"/>
    </row>
    <row r="520" spans="1:6">
      <c r="A520" s="3009"/>
      <c r="B520" s="1244"/>
      <c r="C520" s="1244"/>
      <c r="D520" s="1242"/>
      <c r="E520" s="3033"/>
      <c r="F520" s="3013"/>
    </row>
    <row r="521" spans="1:6">
      <c r="A521" s="3009"/>
      <c r="B521" s="1244"/>
      <c r="C521" s="1244"/>
      <c r="D521" s="1641"/>
      <c r="E521" s="3033"/>
      <c r="F521" s="3013"/>
    </row>
    <row r="522" spans="1:6">
      <c r="A522" s="3009"/>
      <c r="B522" s="1244"/>
      <c r="C522" s="1244"/>
      <c r="D522" s="1641"/>
      <c r="E522" s="3033"/>
      <c r="F522" s="3013"/>
    </row>
    <row r="523" spans="1:6">
      <c r="A523" s="3009"/>
      <c r="B523" s="1244"/>
      <c r="C523" s="1244"/>
      <c r="D523" s="1641"/>
      <c r="E523" s="3033"/>
      <c r="F523" s="3013"/>
    </row>
    <row r="524" spans="1:6">
      <c r="A524" s="3009"/>
      <c r="B524" s="1244"/>
      <c r="C524" s="1244"/>
      <c r="D524" s="1641"/>
      <c r="E524" s="3033"/>
      <c r="F524" s="3013"/>
    </row>
    <row r="525" spans="1:6">
      <c r="A525" s="3009"/>
      <c r="B525" s="1244"/>
      <c r="C525" s="1244"/>
      <c r="D525" s="1641"/>
      <c r="E525" s="1426"/>
      <c r="F525" s="3013"/>
    </row>
    <row r="526" spans="1:6">
      <c r="A526" s="3009"/>
      <c r="B526" s="1244"/>
      <c r="C526" s="1244"/>
      <c r="D526" s="1641"/>
      <c r="E526" s="1426"/>
      <c r="F526" s="3013"/>
    </row>
    <row r="527" spans="1:6">
      <c r="A527" s="3009"/>
      <c r="B527" s="1244"/>
      <c r="C527" s="1244"/>
      <c r="D527" s="1641"/>
      <c r="E527" s="1426"/>
      <c r="F527" s="3013"/>
    </row>
    <row r="528" spans="1:6">
      <c r="A528" s="3009"/>
      <c r="B528" s="1244"/>
      <c r="C528" s="1244"/>
      <c r="D528" s="2074"/>
      <c r="E528" s="1426"/>
      <c r="F528" s="3013"/>
    </row>
    <row r="529" spans="1:6">
      <c r="A529" s="3009"/>
      <c r="B529" s="1244"/>
      <c r="C529" s="1244"/>
      <c r="D529" s="1641"/>
      <c r="E529" s="1426"/>
      <c r="F529" s="3013"/>
    </row>
    <row r="530" spans="1:6">
      <c r="A530" s="3009"/>
      <c r="B530" s="1244"/>
      <c r="C530" s="1244"/>
      <c r="D530" s="1641"/>
      <c r="E530" s="1426"/>
      <c r="F530" s="3013"/>
    </row>
    <row r="531" spans="1:6">
      <c r="A531" s="3009"/>
      <c r="B531" s="1244"/>
      <c r="C531" s="1244"/>
      <c r="D531" s="2074"/>
      <c r="E531" s="1426"/>
      <c r="F531" s="3013"/>
    </row>
    <row r="532" spans="1:6">
      <c r="A532" s="3009"/>
      <c r="B532" s="1244"/>
      <c r="C532" s="1244"/>
      <c r="D532" s="2074"/>
      <c r="E532" s="1426"/>
      <c r="F532" s="3013"/>
    </row>
    <row r="533" spans="1:6">
      <c r="A533" s="3009"/>
      <c r="B533" s="1244"/>
      <c r="C533" s="1244"/>
      <c r="D533" s="1641"/>
      <c r="E533" s="1426"/>
      <c r="F533" s="3013"/>
    </row>
    <row r="534" spans="1:6" ht="15" thickBot="1">
      <c r="A534" s="3010"/>
      <c r="B534" s="1562"/>
      <c r="C534" s="1562"/>
      <c r="D534" s="1648"/>
      <c r="E534" s="1868"/>
      <c r="F534" s="3015"/>
    </row>
    <row r="535" spans="1:6">
      <c r="A535" s="3007"/>
      <c r="B535" s="970"/>
      <c r="C535" s="970"/>
      <c r="D535" s="1864"/>
      <c r="E535" s="1864"/>
      <c r="F535" s="3011"/>
    </row>
    <row r="536" spans="1:6">
      <c r="A536" s="3009"/>
      <c r="B536" s="1244"/>
      <c r="C536" s="1244"/>
      <c r="D536" s="1426"/>
      <c r="E536" s="3016"/>
      <c r="F536" s="3013"/>
    </row>
    <row r="537" spans="1:6">
      <c r="A537" s="3009"/>
      <c r="B537" s="1244"/>
      <c r="C537" s="1244"/>
      <c r="D537" s="1426"/>
      <c r="E537" s="3017"/>
      <c r="F537" s="3013"/>
    </row>
    <row r="538" spans="1:6">
      <c r="A538" s="3009"/>
      <c r="B538" s="1244"/>
      <c r="C538" s="1244"/>
      <c r="D538" s="1426"/>
      <c r="E538" s="3016"/>
      <c r="F538" s="3013"/>
    </row>
    <row r="539" spans="1:6">
      <c r="A539" s="3009"/>
      <c r="B539" s="1244"/>
      <c r="C539" s="1244"/>
      <c r="D539" s="1426"/>
      <c r="E539" s="3028"/>
      <c r="F539" s="3013"/>
    </row>
    <row r="540" spans="1:6">
      <c r="A540" s="3009"/>
      <c r="B540" s="1244"/>
      <c r="C540" s="1244"/>
      <c r="D540" s="1426"/>
      <c r="E540" s="3017"/>
      <c r="F540" s="3013"/>
    </row>
    <row r="541" spans="1:6">
      <c r="A541" s="3009"/>
      <c r="B541" s="1244"/>
      <c r="C541" s="1244"/>
      <c r="D541" s="1426"/>
      <c r="E541" s="3016"/>
      <c r="F541" s="3013"/>
    </row>
    <row r="542" spans="1:6">
      <c r="A542" s="3009"/>
      <c r="B542" s="1244"/>
      <c r="C542" s="1244"/>
      <c r="D542" s="1426"/>
      <c r="E542" s="3017"/>
      <c r="F542" s="3013"/>
    </row>
    <row r="543" spans="1:6">
      <c r="A543" s="3009"/>
      <c r="B543" s="1244"/>
      <c r="C543" s="1244"/>
      <c r="D543" s="1426"/>
      <c r="E543" s="3016"/>
      <c r="F543" s="3013"/>
    </row>
    <row r="544" spans="1:6">
      <c r="A544" s="3009"/>
      <c r="B544" s="1244"/>
      <c r="C544" s="1244"/>
      <c r="D544" s="1426"/>
      <c r="E544" s="3028"/>
      <c r="F544" s="3013"/>
    </row>
    <row r="545" spans="1:6">
      <c r="A545" s="3009"/>
      <c r="B545" s="1244"/>
      <c r="C545" s="1244"/>
      <c r="D545" s="1426"/>
      <c r="E545" s="2190"/>
      <c r="F545" s="3013"/>
    </row>
    <row r="546" spans="1:6">
      <c r="A546" s="3009"/>
      <c r="B546" s="1244"/>
      <c r="C546" s="1244"/>
      <c r="D546" s="1426"/>
      <c r="E546" s="2189"/>
      <c r="F546" s="3013"/>
    </row>
    <row r="547" spans="1:6">
      <c r="A547" s="3009"/>
      <c r="B547" s="1244"/>
      <c r="C547" s="1244"/>
      <c r="D547" s="1426"/>
      <c r="E547" s="1426"/>
      <c r="F547" s="3013"/>
    </row>
    <row r="548" spans="1:6">
      <c r="A548" s="3009"/>
      <c r="B548" s="1244"/>
      <c r="C548" s="1244"/>
      <c r="D548" s="1426"/>
      <c r="E548" s="1426"/>
      <c r="F548" s="3013"/>
    </row>
    <row r="549" spans="1:6">
      <c r="A549" s="3009"/>
      <c r="B549" s="1244"/>
      <c r="C549" s="1244"/>
      <c r="D549" s="1426"/>
      <c r="E549" s="3016"/>
      <c r="F549" s="3013"/>
    </row>
    <row r="550" spans="1:6">
      <c r="A550" s="3009"/>
      <c r="B550" s="1244"/>
      <c r="C550" s="1244"/>
      <c r="D550" s="1426"/>
      <c r="E550" s="3017"/>
      <c r="F550" s="3013"/>
    </row>
    <row r="551" spans="1:6">
      <c r="A551" s="3009"/>
      <c r="B551" s="1244"/>
      <c r="C551" s="1244"/>
      <c r="D551" s="1426"/>
      <c r="E551" s="3016"/>
      <c r="F551" s="3013"/>
    </row>
    <row r="552" spans="1:6">
      <c r="A552" s="3009"/>
      <c r="B552" s="1244"/>
      <c r="C552" s="1244"/>
      <c r="D552" s="1426"/>
      <c r="E552" s="3017"/>
      <c r="F552" s="3013"/>
    </row>
    <row r="553" spans="1:6">
      <c r="A553" s="3009"/>
      <c r="B553" s="1244"/>
      <c r="C553" s="1244"/>
      <c r="D553" s="1426"/>
      <c r="E553" s="3016"/>
      <c r="F553" s="3013"/>
    </row>
    <row r="554" spans="1:6">
      <c r="A554" s="3009"/>
      <c r="B554" s="1643"/>
      <c r="C554" s="1643"/>
      <c r="D554" s="2086"/>
      <c r="E554" s="3017"/>
      <c r="F554" s="3013"/>
    </row>
    <row r="555" spans="1:6">
      <c r="A555" s="3009"/>
      <c r="B555" s="1244"/>
      <c r="C555" s="1244"/>
      <c r="D555" s="1426"/>
      <c r="E555" s="1426"/>
      <c r="F555" s="3013"/>
    </row>
    <row r="556" spans="1:6" ht="15" customHeight="1">
      <c r="A556" s="3009"/>
      <c r="B556" s="1244"/>
      <c r="C556" s="1244"/>
      <c r="D556" s="1426"/>
      <c r="E556" s="1426"/>
      <c r="F556" s="3013"/>
    </row>
    <row r="557" spans="1:6">
      <c r="A557" s="3009"/>
      <c r="B557" s="1244"/>
      <c r="C557" s="1244"/>
      <c r="D557" s="1426"/>
      <c r="E557" s="1426"/>
      <c r="F557" s="3013"/>
    </row>
    <row r="558" spans="1:6" ht="15" customHeight="1">
      <c r="A558" s="3009"/>
      <c r="B558" s="1244"/>
      <c r="C558" s="1244"/>
      <c r="D558" s="1426"/>
      <c r="E558" s="1426"/>
      <c r="F558" s="3013"/>
    </row>
    <row r="559" spans="1:6">
      <c r="A559" s="3009"/>
      <c r="B559" s="1244"/>
      <c r="C559" s="1244"/>
      <c r="D559" s="1426"/>
      <c r="E559" s="1426"/>
      <c r="F559" s="3013"/>
    </row>
    <row r="560" spans="1:6">
      <c r="A560" s="3009"/>
      <c r="B560" s="1244"/>
      <c r="C560" s="1244"/>
      <c r="D560" s="1426"/>
      <c r="E560" s="1426"/>
      <c r="F560" s="3013"/>
    </row>
    <row r="561" spans="1:6">
      <c r="A561" s="3009"/>
      <c r="B561" s="1244"/>
      <c r="C561" s="1244"/>
      <c r="D561" s="1426"/>
      <c r="E561" s="1426"/>
      <c r="F561" s="3013"/>
    </row>
    <row r="562" spans="1:6" ht="15" thickBot="1">
      <c r="A562" s="3010"/>
      <c r="B562" s="1562"/>
      <c r="C562" s="1562"/>
      <c r="D562" s="1868"/>
      <c r="E562" s="1868"/>
      <c r="F562" s="3015"/>
    </row>
    <row r="563" spans="1:6">
      <c r="A563" s="3007"/>
      <c r="B563" s="970"/>
      <c r="C563" s="970"/>
      <c r="D563" s="1864"/>
      <c r="E563" s="3030"/>
      <c r="F563" s="3011"/>
    </row>
    <row r="564" spans="1:6">
      <c r="A564" s="3008"/>
      <c r="B564" s="1244"/>
      <c r="C564" s="1244"/>
      <c r="D564" s="1426"/>
      <c r="E564" s="3019"/>
      <c r="F564" s="3012"/>
    </row>
    <row r="565" spans="1:6">
      <c r="A565" s="3009"/>
      <c r="B565" s="1244"/>
      <c r="C565" s="1244"/>
      <c r="D565" s="1426"/>
      <c r="E565" s="3020"/>
      <c r="F565" s="3013"/>
    </row>
    <row r="566" spans="1:6">
      <c r="A566" s="3009"/>
      <c r="B566" s="1244"/>
      <c r="C566" s="1244"/>
      <c r="D566" s="1426"/>
      <c r="E566" s="1544"/>
      <c r="F566" s="3013"/>
    </row>
    <row r="567" spans="1:6">
      <c r="A567" s="3009"/>
      <c r="B567" s="1244"/>
      <c r="C567" s="1244"/>
      <c r="D567" s="1426"/>
      <c r="E567" s="1544"/>
      <c r="F567" s="3013"/>
    </row>
    <row r="568" spans="1:6">
      <c r="A568" s="3009"/>
      <c r="B568" s="1244"/>
      <c r="C568" s="1244"/>
      <c r="D568" s="1426"/>
      <c r="E568" s="3018"/>
      <c r="F568" s="3013"/>
    </row>
    <row r="569" spans="1:6">
      <c r="A569" s="3009"/>
      <c r="B569" s="1244"/>
      <c r="C569" s="1244"/>
      <c r="D569" s="1426"/>
      <c r="E569" s="3019"/>
      <c r="F569" s="3013"/>
    </row>
    <row r="570" spans="1:6">
      <c r="A570" s="3009"/>
      <c r="B570" s="1244"/>
      <c r="C570" s="1244"/>
      <c r="D570" s="1426"/>
      <c r="E570" s="3020"/>
      <c r="F570" s="3013"/>
    </row>
    <row r="571" spans="1:6">
      <c r="A571" s="3009"/>
      <c r="B571" s="1244"/>
      <c r="C571" s="1244"/>
      <c r="D571" s="1426"/>
      <c r="E571" s="1563"/>
      <c r="F571" s="3013"/>
    </row>
    <row r="572" spans="1:6">
      <c r="A572" s="3009"/>
      <c r="B572" s="1244"/>
      <c r="C572" s="1244"/>
      <c r="D572" s="1426"/>
      <c r="E572" s="1563"/>
      <c r="F572" s="3013"/>
    </row>
    <row r="573" spans="1:6">
      <c r="A573" s="3009"/>
      <c r="B573" s="1244"/>
      <c r="C573" s="1244"/>
      <c r="D573" s="2060"/>
      <c r="E573" s="3021"/>
      <c r="F573" s="3014"/>
    </row>
    <row r="574" spans="1:6">
      <c r="A574" s="3009"/>
      <c r="B574" s="1244"/>
      <c r="C574" s="1244"/>
      <c r="D574" s="2060"/>
      <c r="E574" s="3021"/>
      <c r="F574" s="3014"/>
    </row>
    <row r="575" spans="1:6">
      <c r="A575" s="3009"/>
      <c r="B575" s="1244"/>
      <c r="C575" s="1244"/>
      <c r="D575" s="2060"/>
      <c r="E575" s="2206"/>
      <c r="F575" s="3014"/>
    </row>
    <row r="576" spans="1:6">
      <c r="A576" s="3009"/>
      <c r="B576" s="1244"/>
      <c r="C576" s="1244"/>
      <c r="D576" s="2060"/>
      <c r="E576" s="1645"/>
      <c r="F576" s="3014"/>
    </row>
    <row r="577" spans="1:6">
      <c r="A577" s="3009"/>
      <c r="B577" s="1244"/>
      <c r="C577" s="1244"/>
      <c r="D577" s="1426"/>
      <c r="E577" s="3019"/>
      <c r="F577" s="3013"/>
    </row>
    <row r="578" spans="1:6">
      <c r="A578" s="3009"/>
      <c r="B578" s="1244"/>
      <c r="C578" s="1244"/>
      <c r="D578" s="1426"/>
      <c r="E578" s="3020"/>
      <c r="F578" s="3013"/>
    </row>
    <row r="579" spans="1:6">
      <c r="A579" s="3009"/>
      <c r="B579" s="1244"/>
      <c r="C579" s="1244"/>
      <c r="D579" s="1426"/>
      <c r="E579" s="3018"/>
      <c r="F579" s="3013"/>
    </row>
    <row r="580" spans="1:6">
      <c r="A580" s="3009"/>
      <c r="B580" s="1244"/>
      <c r="C580" s="1244"/>
      <c r="D580" s="1426"/>
      <c r="E580" s="3020"/>
      <c r="F580" s="3013"/>
    </row>
    <row r="581" spans="1:6">
      <c r="A581" s="3009"/>
      <c r="B581" s="1244"/>
      <c r="C581" s="1244"/>
      <c r="D581" s="1426"/>
      <c r="E581" s="1544"/>
      <c r="F581" s="3013"/>
    </row>
    <row r="582" spans="1:6">
      <c r="A582" s="3009"/>
      <c r="B582" s="1244"/>
      <c r="C582" s="1244"/>
      <c r="D582" s="1426"/>
      <c r="E582" s="1544"/>
      <c r="F582" s="3013"/>
    </row>
    <row r="583" spans="1:6">
      <c r="A583" s="3009"/>
      <c r="B583" s="1244"/>
      <c r="C583" s="1244"/>
      <c r="D583" s="1426"/>
      <c r="E583" s="1544"/>
      <c r="F583" s="3013"/>
    </row>
    <row r="584" spans="1:6">
      <c r="A584" s="3009"/>
      <c r="B584" s="1244"/>
      <c r="C584" s="1244"/>
      <c r="D584" s="1426"/>
      <c r="E584" s="1544"/>
      <c r="F584" s="3013"/>
    </row>
    <row r="585" spans="1:6">
      <c r="A585" s="3009"/>
      <c r="B585" s="1244"/>
      <c r="C585" s="1244"/>
      <c r="D585" s="1426"/>
      <c r="E585" s="1544"/>
      <c r="F585" s="3013"/>
    </row>
    <row r="586" spans="1:6" ht="15" thickBot="1">
      <c r="A586" s="3010"/>
      <c r="B586" s="1562"/>
      <c r="C586" s="1562"/>
      <c r="D586" s="1868"/>
      <c r="E586" s="1563"/>
      <c r="F586" s="3015"/>
    </row>
    <row r="587" spans="1:6">
      <c r="A587" s="3007"/>
      <c r="B587" s="970"/>
      <c r="C587" s="970"/>
      <c r="D587" s="1864"/>
      <c r="E587" s="2223"/>
      <c r="F587" s="3011"/>
    </row>
    <row r="588" spans="1:6">
      <c r="A588" s="3009"/>
      <c r="B588" s="1244"/>
      <c r="C588" s="1244"/>
      <c r="D588" s="1426"/>
      <c r="E588" s="3018"/>
      <c r="F588" s="3013"/>
    </row>
    <row r="589" spans="1:6">
      <c r="A589" s="3009"/>
      <c r="B589" s="1244"/>
      <c r="C589" s="1244"/>
      <c r="D589" s="1426"/>
      <c r="E589" s="3019"/>
      <c r="F589" s="3013"/>
    </row>
    <row r="590" spans="1:6">
      <c r="A590" s="3009"/>
      <c r="B590" s="1244"/>
      <c r="C590" s="1244"/>
      <c r="D590" s="1426"/>
      <c r="E590" s="3020"/>
      <c r="F590" s="3013"/>
    </row>
    <row r="591" spans="1:6">
      <c r="A591" s="3009"/>
      <c r="B591" s="2224"/>
      <c r="C591" s="2224"/>
      <c r="D591" s="2225"/>
      <c r="E591" s="2226"/>
      <c r="F591" s="3013"/>
    </row>
    <row r="592" spans="1:6">
      <c r="A592" s="3009"/>
      <c r="B592" s="970"/>
      <c r="C592" s="970"/>
      <c r="D592" s="1864"/>
      <c r="E592" s="3030"/>
      <c r="F592" s="3013"/>
    </row>
    <row r="593" spans="1:6">
      <c r="A593" s="3009"/>
      <c r="B593" s="1244"/>
      <c r="C593" s="1244"/>
      <c r="D593" s="1426"/>
      <c r="E593" s="3019"/>
      <c r="F593" s="3013"/>
    </row>
    <row r="594" spans="1:6">
      <c r="A594" s="3009"/>
      <c r="B594" s="1244"/>
      <c r="C594" s="1244"/>
      <c r="D594" s="1426"/>
      <c r="E594" s="3019"/>
      <c r="F594" s="3013"/>
    </row>
    <row r="595" spans="1:6">
      <c r="A595" s="3009"/>
      <c r="B595" s="1244"/>
      <c r="C595" s="1244"/>
      <c r="D595" s="1426"/>
      <c r="E595" s="3020"/>
      <c r="F595" s="3013"/>
    </row>
    <row r="596" spans="1:6">
      <c r="A596" s="3009"/>
      <c r="B596" s="1244"/>
      <c r="C596" s="1244"/>
      <c r="D596" s="1426"/>
      <c r="E596" s="1544"/>
      <c r="F596" s="3013"/>
    </row>
    <row r="597" spans="1:6">
      <c r="A597" s="3009"/>
      <c r="B597" s="1244"/>
      <c r="C597" s="1244"/>
      <c r="D597" s="1426"/>
      <c r="E597" s="1544"/>
      <c r="F597" s="3013"/>
    </row>
    <row r="598" spans="1:6">
      <c r="A598" s="3009"/>
      <c r="B598" s="1244"/>
      <c r="C598" s="1244"/>
      <c r="D598" s="1426"/>
      <c r="E598" s="1544"/>
      <c r="F598" s="3013"/>
    </row>
    <row r="599" spans="1:6">
      <c r="A599" s="3009"/>
      <c r="B599" s="1244"/>
      <c r="C599" s="1244"/>
      <c r="D599" s="1426"/>
      <c r="E599" s="3018"/>
      <c r="F599" s="3013"/>
    </row>
    <row r="600" spans="1:6">
      <c r="A600" s="3009"/>
      <c r="B600" s="1244"/>
      <c r="C600" s="1244"/>
      <c r="D600" s="1426"/>
      <c r="E600" s="3020"/>
      <c r="F600" s="3013"/>
    </row>
    <row r="601" spans="1:6">
      <c r="A601" s="3009"/>
      <c r="B601" s="1244"/>
      <c r="C601" s="1244"/>
      <c r="D601" s="1426"/>
      <c r="E601" s="3018"/>
      <c r="F601" s="3013"/>
    </row>
    <row r="602" spans="1:6">
      <c r="A602" s="3009"/>
      <c r="B602" s="1244"/>
      <c r="C602" s="1244"/>
      <c r="D602" s="1426"/>
      <c r="E602" s="3019"/>
      <c r="F602" s="3013"/>
    </row>
    <row r="603" spans="1:6">
      <c r="A603" s="3009"/>
      <c r="B603" s="1244"/>
      <c r="C603" s="1244"/>
      <c r="D603" s="1426"/>
      <c r="E603" s="3020"/>
      <c r="F603" s="3013"/>
    </row>
    <row r="604" spans="1:6">
      <c r="A604" s="3009"/>
      <c r="B604" s="1244"/>
      <c r="C604" s="1244"/>
      <c r="D604" s="1426"/>
      <c r="E604" s="3018"/>
      <c r="F604" s="3013"/>
    </row>
    <row r="605" spans="1:6">
      <c r="A605" s="3009"/>
      <c r="B605" s="1244"/>
      <c r="C605" s="1244"/>
      <c r="D605" s="1426"/>
      <c r="E605" s="3020"/>
      <c r="F605" s="3013"/>
    </row>
    <row r="606" spans="1:6">
      <c r="A606" s="3009"/>
      <c r="B606" s="1244"/>
      <c r="C606" s="1244"/>
      <c r="D606" s="1426"/>
      <c r="E606" s="3018"/>
      <c r="F606" s="3013"/>
    </row>
    <row r="607" spans="1:6">
      <c r="A607" s="3009"/>
      <c r="B607" s="1244"/>
      <c r="C607" s="1244"/>
      <c r="D607" s="1426"/>
      <c r="E607" s="3020"/>
      <c r="F607" s="3013"/>
    </row>
    <row r="608" spans="1:6">
      <c r="A608" s="3009"/>
      <c r="B608" s="1244"/>
      <c r="C608" s="1244"/>
      <c r="D608" s="1426"/>
      <c r="E608" s="1544"/>
      <c r="F608" s="3013"/>
    </row>
    <row r="609" spans="1:6">
      <c r="A609" s="3009"/>
      <c r="B609" s="1244"/>
      <c r="C609" s="1244"/>
      <c r="D609" s="1426"/>
      <c r="E609" s="1544"/>
      <c r="F609" s="3013"/>
    </row>
    <row r="610" spans="1:6">
      <c r="A610" s="3009"/>
      <c r="B610" s="1244"/>
      <c r="C610" s="1244"/>
      <c r="D610" s="1426"/>
      <c r="E610" s="1544"/>
      <c r="F610" s="3013"/>
    </row>
    <row r="611" spans="1:6">
      <c r="A611" s="3009"/>
      <c r="B611" s="1244"/>
      <c r="C611" s="1244"/>
      <c r="D611" s="1426"/>
      <c r="E611" s="1544"/>
      <c r="F611" s="3013"/>
    </row>
    <row r="612" spans="1:6">
      <c r="A612" s="3009"/>
      <c r="B612" s="1244"/>
      <c r="C612" s="1244"/>
      <c r="D612" s="1426"/>
      <c r="E612" s="1544"/>
      <c r="F612" s="3013"/>
    </row>
    <row r="613" spans="1:6" ht="15" thickBot="1">
      <c r="A613" s="3010"/>
      <c r="B613" s="1562"/>
      <c r="C613" s="1562"/>
      <c r="D613" s="1868"/>
      <c r="E613" s="1563"/>
      <c r="F613" s="3015"/>
    </row>
    <row r="614" spans="1:6">
      <c r="A614" s="3007"/>
      <c r="B614" s="970"/>
      <c r="C614" s="970"/>
      <c r="D614" s="1864"/>
      <c r="E614" s="1864"/>
      <c r="F614" s="3011"/>
    </row>
    <row r="615" spans="1:6">
      <c r="A615" s="3009"/>
      <c r="B615" s="1244"/>
      <c r="C615" s="1244"/>
      <c r="D615" s="1426"/>
      <c r="E615" s="3016"/>
      <c r="F615" s="3013"/>
    </row>
    <row r="616" spans="1:6">
      <c r="A616" s="3009"/>
      <c r="B616" s="1244"/>
      <c r="C616" s="1244"/>
      <c r="D616" s="1426"/>
      <c r="E616" s="3028"/>
      <c r="F616" s="3013"/>
    </row>
    <row r="617" spans="1:6">
      <c r="A617" s="3009"/>
      <c r="B617" s="1244"/>
      <c r="C617" s="1244"/>
      <c r="D617" s="1426"/>
      <c r="E617" s="3017"/>
      <c r="F617" s="3013"/>
    </row>
    <row r="618" spans="1:6">
      <c r="A618" s="3009"/>
      <c r="B618" s="1244"/>
      <c r="C618" s="1244"/>
      <c r="D618" s="1426"/>
      <c r="F618" s="3013"/>
    </row>
    <row r="619" spans="1:6">
      <c r="A619" s="3009"/>
      <c r="B619" s="1244"/>
      <c r="C619" s="1244"/>
      <c r="D619" s="1426"/>
      <c r="E619" s="3016"/>
      <c r="F619" s="3013"/>
    </row>
    <row r="620" spans="1:6">
      <c r="A620" s="3009"/>
      <c r="B620" s="1244"/>
      <c r="C620" s="1244"/>
      <c r="D620" s="1426"/>
      <c r="E620" s="3017"/>
      <c r="F620" s="3013"/>
    </row>
    <row r="621" spans="1:6">
      <c r="A621" s="3009"/>
      <c r="B621" s="1244"/>
      <c r="C621" s="1244"/>
      <c r="D621" s="1426"/>
      <c r="E621" s="3016"/>
      <c r="F621" s="3013"/>
    </row>
    <row r="622" spans="1:6">
      <c r="A622" s="3009"/>
      <c r="B622" s="1244"/>
      <c r="C622" s="1244"/>
      <c r="D622" s="1426"/>
      <c r="E622" s="3017"/>
      <c r="F622" s="3013"/>
    </row>
    <row r="623" spans="1:6">
      <c r="A623" s="3009"/>
      <c r="B623" s="1244"/>
      <c r="C623" s="1244"/>
      <c r="D623" s="1426"/>
      <c r="E623" s="3016"/>
      <c r="F623" s="3013"/>
    </row>
    <row r="624" spans="1:6">
      <c r="A624" s="3009"/>
      <c r="B624" s="1244"/>
      <c r="C624" s="1244"/>
      <c r="D624" s="1426"/>
      <c r="E624" s="3017"/>
      <c r="F624" s="3013"/>
    </row>
    <row r="625" spans="1:6">
      <c r="A625" s="3009"/>
      <c r="B625" s="1244"/>
      <c r="C625" s="1244"/>
      <c r="D625" s="1426"/>
      <c r="E625" s="3016"/>
      <c r="F625" s="3013"/>
    </row>
    <row r="626" spans="1:6">
      <c r="A626" s="3009"/>
      <c r="B626" s="1244"/>
      <c r="C626" s="1244"/>
      <c r="D626" s="1426"/>
      <c r="E626" s="3017"/>
      <c r="F626" s="3013"/>
    </row>
    <row r="627" spans="1:6">
      <c r="A627" s="3009"/>
      <c r="B627" s="1244"/>
      <c r="C627" s="1244"/>
      <c r="D627" s="1426"/>
      <c r="E627" s="3016"/>
      <c r="F627" s="3013"/>
    </row>
    <row r="628" spans="1:6">
      <c r="A628" s="3009"/>
      <c r="B628" s="1244"/>
      <c r="C628" s="1244"/>
      <c r="D628" s="1426"/>
      <c r="E628" s="3028"/>
      <c r="F628" s="3013"/>
    </row>
    <row r="629" spans="1:6">
      <c r="A629" s="3009"/>
      <c r="B629" s="1244"/>
      <c r="C629" s="1244"/>
      <c r="D629" s="1426"/>
      <c r="E629" s="3017"/>
      <c r="F629" s="3013"/>
    </row>
    <row r="630" spans="1:6">
      <c r="A630" s="3009"/>
      <c r="B630" s="1244"/>
      <c r="C630" s="1244"/>
      <c r="D630" s="1426"/>
      <c r="E630" s="1426"/>
      <c r="F630" s="3013"/>
    </row>
    <row r="631" spans="1:6">
      <c r="A631" s="3009"/>
      <c r="B631" s="1244"/>
      <c r="C631" s="1244"/>
      <c r="D631" s="1426"/>
      <c r="E631" s="1426"/>
      <c r="F631" s="3013"/>
    </row>
    <row r="632" spans="1:6">
      <c r="A632" s="3009"/>
      <c r="B632" s="1244"/>
      <c r="C632" s="1244"/>
      <c r="D632" s="1426"/>
      <c r="E632" s="1426"/>
      <c r="F632" s="3013"/>
    </row>
    <row r="633" spans="1:6">
      <c r="A633" s="3009"/>
      <c r="B633" s="1244"/>
      <c r="C633" s="1244"/>
      <c r="D633" s="1426"/>
      <c r="E633" s="1426"/>
      <c r="F633" s="3013"/>
    </row>
    <row r="634" spans="1:6">
      <c r="A634" s="3009"/>
      <c r="B634" s="1244"/>
      <c r="C634" s="1244"/>
      <c r="D634" s="1426"/>
      <c r="E634" s="1426"/>
      <c r="F634" s="3013"/>
    </row>
    <row r="635" spans="1:6" ht="15" thickBot="1">
      <c r="A635" s="3010"/>
      <c r="B635" s="1562"/>
      <c r="C635" s="1562"/>
      <c r="D635" s="1868"/>
      <c r="E635" s="1868"/>
      <c r="F635" s="3015"/>
    </row>
    <row r="636" spans="1:6">
      <c r="A636" s="3007"/>
      <c r="B636" s="970"/>
      <c r="C636" s="970"/>
      <c r="D636" s="1864"/>
      <c r="E636" s="3027"/>
      <c r="F636" s="3011"/>
    </row>
    <row r="637" spans="1:6">
      <c r="A637" s="3008"/>
      <c r="B637" s="1244"/>
      <c r="C637" s="1244"/>
      <c r="D637" s="1426"/>
      <c r="E637" s="3017"/>
      <c r="F637" s="3012"/>
    </row>
    <row r="638" spans="1:6">
      <c r="A638" s="3009"/>
      <c r="B638" s="1244"/>
      <c r="C638" s="1244"/>
      <c r="D638" s="1426"/>
      <c r="E638" s="3016"/>
      <c r="F638" s="3013"/>
    </row>
    <row r="639" spans="1:6">
      <c r="A639" s="3009"/>
      <c r="B639" s="1244"/>
      <c r="C639" s="1244"/>
      <c r="D639" s="1426"/>
      <c r="E639" s="3017"/>
      <c r="F639" s="3013"/>
    </row>
    <row r="640" spans="1:6">
      <c r="A640" s="3009"/>
      <c r="B640" s="1244"/>
      <c r="C640" s="1244"/>
      <c r="D640" s="1426"/>
      <c r="E640" s="3016"/>
      <c r="F640" s="3013"/>
    </row>
    <row r="641" spans="1:6">
      <c r="A641" s="3009"/>
      <c r="B641" s="1244"/>
      <c r="C641" s="1244"/>
      <c r="D641" s="1426"/>
      <c r="E641" s="3028"/>
      <c r="F641" s="3013"/>
    </row>
    <row r="642" spans="1:6">
      <c r="A642" s="3009"/>
      <c r="B642" s="1244"/>
      <c r="C642" s="1244"/>
      <c r="D642" s="1426"/>
      <c r="E642" s="3017"/>
      <c r="F642" s="3013"/>
    </row>
    <row r="643" spans="1:6">
      <c r="A643" s="3009"/>
      <c r="B643" s="1244"/>
      <c r="C643" s="1244"/>
      <c r="D643" s="1426"/>
      <c r="E643" s="1426"/>
      <c r="F643" s="3013"/>
    </row>
    <row r="644" spans="1:6">
      <c r="A644" s="3009"/>
      <c r="B644" s="1244"/>
      <c r="C644" s="1244"/>
      <c r="D644" s="1426"/>
      <c r="E644" s="1426"/>
      <c r="F644" s="3013"/>
    </row>
    <row r="645" spans="1:6">
      <c r="A645" s="3009"/>
      <c r="B645" s="1244"/>
      <c r="C645" s="1244"/>
      <c r="D645" s="1426"/>
      <c r="E645" s="3016"/>
      <c r="F645" s="3013"/>
    </row>
    <row r="646" spans="1:6">
      <c r="A646" s="3009"/>
      <c r="B646" s="1244"/>
      <c r="C646" s="1244"/>
      <c r="D646" s="1426"/>
      <c r="E646" s="3017"/>
      <c r="F646" s="3013"/>
    </row>
    <row r="647" spans="1:6">
      <c r="A647" s="3009"/>
      <c r="B647" s="1244"/>
      <c r="C647" s="1244"/>
      <c r="D647" s="1426"/>
      <c r="E647" s="3016"/>
      <c r="F647" s="3013"/>
    </row>
    <row r="648" spans="1:6">
      <c r="A648" s="3009"/>
      <c r="B648" s="1244"/>
      <c r="C648" s="1244"/>
      <c r="D648" s="1426"/>
      <c r="E648" s="3017"/>
      <c r="F648" s="3013"/>
    </row>
    <row r="649" spans="1:6">
      <c r="A649" s="3009"/>
      <c r="B649" s="1244"/>
      <c r="C649" s="1244"/>
      <c r="D649" s="1426"/>
      <c r="E649" s="3016"/>
      <c r="F649" s="3013"/>
    </row>
    <row r="650" spans="1:6">
      <c r="A650" s="3009"/>
      <c r="B650" s="1244"/>
      <c r="C650" s="1244"/>
      <c r="D650" s="1426"/>
      <c r="E650" s="3017"/>
      <c r="F650" s="3013"/>
    </row>
    <row r="651" spans="1:6">
      <c r="A651" s="3009"/>
      <c r="B651" s="1244"/>
      <c r="C651" s="1244"/>
      <c r="D651" s="1426"/>
      <c r="E651" s="1426"/>
      <c r="F651" s="3013"/>
    </row>
    <row r="652" spans="1:6">
      <c r="A652" s="3009"/>
      <c r="B652" s="1244"/>
      <c r="C652" s="1244"/>
      <c r="D652" s="1426"/>
      <c r="E652" s="1426"/>
      <c r="F652" s="3013"/>
    </row>
    <row r="653" spans="1:6">
      <c r="A653" s="3009"/>
      <c r="B653" s="1244"/>
      <c r="C653" s="1244"/>
      <c r="D653" s="1426"/>
      <c r="E653" s="1426"/>
      <c r="F653" s="3013"/>
    </row>
    <row r="654" spans="1:6">
      <c r="A654" s="3009"/>
      <c r="B654" s="1244"/>
      <c r="C654" s="1244"/>
      <c r="D654" s="1426"/>
      <c r="E654" s="1426"/>
      <c r="F654" s="3013"/>
    </row>
    <row r="655" spans="1:6" ht="15" thickBot="1">
      <c r="A655" s="3010"/>
      <c r="B655" s="1562"/>
      <c r="C655" s="1562"/>
      <c r="D655" s="1868"/>
      <c r="E655" s="1868"/>
      <c r="F655" s="3015"/>
    </row>
    <row r="656" spans="1:6">
      <c r="A656" s="3061"/>
      <c r="B656" s="1584"/>
      <c r="C656" s="1584"/>
      <c r="D656" s="2087"/>
      <c r="E656" s="3067"/>
      <c r="F656" s="3064"/>
    </row>
    <row r="657" spans="1:6">
      <c r="A657" s="3062"/>
      <c r="B657" s="1244"/>
      <c r="C657" s="1244"/>
      <c r="D657" s="1426"/>
      <c r="E657" s="3051"/>
      <c r="F657" s="3065"/>
    </row>
    <row r="658" spans="1:6">
      <c r="A658" s="3062"/>
      <c r="B658" s="1244"/>
      <c r="C658" s="1244"/>
      <c r="D658" s="1426"/>
      <c r="E658" s="3051"/>
      <c r="F658" s="3065"/>
    </row>
    <row r="659" spans="1:6">
      <c r="A659" s="3062"/>
      <c r="B659" s="1244"/>
      <c r="C659" s="1244"/>
      <c r="D659" s="1426"/>
      <c r="E659" s="3051"/>
      <c r="F659" s="3065"/>
    </row>
    <row r="660" spans="1:6">
      <c r="A660" s="3062"/>
      <c r="B660" s="1244"/>
      <c r="C660" s="1244"/>
      <c r="D660" s="1426"/>
      <c r="E660" s="3051"/>
      <c r="F660" s="3065"/>
    </row>
    <row r="661" spans="1:6">
      <c r="A661" s="3062"/>
      <c r="B661" s="1244"/>
      <c r="C661" s="1244"/>
      <c r="D661" s="1426"/>
      <c r="E661" s="3051"/>
      <c r="F661" s="3065"/>
    </row>
    <row r="662" spans="1:6">
      <c r="A662" s="3062"/>
      <c r="B662" s="1244"/>
      <c r="C662" s="1244"/>
      <c r="D662" s="1426"/>
      <c r="E662" s="1544"/>
      <c r="F662" s="3065"/>
    </row>
    <row r="663" spans="1:6">
      <c r="A663" s="3062"/>
      <c r="B663" s="1244"/>
      <c r="C663" s="1244"/>
      <c r="D663" s="1426"/>
      <c r="E663" s="1544"/>
      <c r="F663" s="3065"/>
    </row>
    <row r="664" spans="1:6">
      <c r="A664" s="3062"/>
      <c r="B664" s="1244"/>
      <c r="C664" s="1244"/>
      <c r="D664" s="1426"/>
      <c r="E664" s="1544"/>
      <c r="F664" s="3065"/>
    </row>
    <row r="665" spans="1:6">
      <c r="A665" s="3062"/>
      <c r="B665" s="1244"/>
      <c r="C665" s="1244"/>
      <c r="D665" s="1426"/>
      <c r="E665" s="3051"/>
      <c r="F665" s="3065"/>
    </row>
    <row r="666" spans="1:6">
      <c r="A666" s="3062"/>
      <c r="B666" s="1244"/>
      <c r="C666" s="1244"/>
      <c r="D666" s="1426"/>
      <c r="E666" s="3051"/>
      <c r="F666" s="3065"/>
    </row>
    <row r="667" spans="1:6">
      <c r="A667" s="3062"/>
      <c r="B667" s="1244"/>
      <c r="C667" s="1244"/>
      <c r="D667" s="1426"/>
      <c r="E667" s="3051"/>
      <c r="F667" s="3065"/>
    </row>
    <row r="668" spans="1:6">
      <c r="A668" s="3062"/>
      <c r="B668" s="1244"/>
      <c r="C668" s="1244"/>
      <c r="D668" s="1426"/>
      <c r="E668" s="3051"/>
      <c r="F668" s="3065"/>
    </row>
    <row r="669" spans="1:6">
      <c r="A669" s="3062"/>
      <c r="B669" s="1244"/>
      <c r="C669" s="1244"/>
      <c r="D669" s="1426"/>
      <c r="E669" s="3051"/>
      <c r="F669" s="3065"/>
    </row>
    <row r="670" spans="1:6">
      <c r="A670" s="3062"/>
      <c r="B670" s="1244"/>
      <c r="C670" s="1244"/>
      <c r="D670" s="1426"/>
      <c r="E670" s="3051"/>
      <c r="F670" s="3065"/>
    </row>
    <row r="671" spans="1:6">
      <c r="A671" s="3062"/>
      <c r="B671" s="1244"/>
      <c r="C671" s="1244"/>
      <c r="D671" s="1426"/>
      <c r="E671" s="1544"/>
      <c r="F671" s="3065"/>
    </row>
    <row r="672" spans="1:6">
      <c r="A672" s="3062"/>
      <c r="B672" s="1244"/>
      <c r="C672" s="1244"/>
      <c r="D672" s="1426"/>
      <c r="E672" s="1426"/>
      <c r="F672" s="3065"/>
    </row>
    <row r="673" spans="1:6">
      <c r="A673" s="3062"/>
      <c r="B673" s="1244"/>
      <c r="C673" s="1244"/>
      <c r="D673" s="1426"/>
      <c r="E673" s="1426"/>
      <c r="F673" s="3065"/>
    </row>
    <row r="674" spans="1:6">
      <c r="A674" s="3062"/>
      <c r="B674" s="1244"/>
      <c r="C674" s="1244"/>
      <c r="D674" s="1426"/>
      <c r="E674" s="1426"/>
      <c r="F674" s="3065"/>
    </row>
    <row r="675" spans="1:6">
      <c r="A675" s="3062"/>
      <c r="B675" s="1244"/>
      <c r="C675" s="1244"/>
      <c r="D675" s="1426"/>
      <c r="E675" s="1426"/>
      <c r="F675" s="3065"/>
    </row>
    <row r="676" spans="1:6" ht="15" thickBot="1">
      <c r="A676" s="3063"/>
      <c r="B676" s="1562"/>
      <c r="C676" s="1562"/>
      <c r="D676" s="1868"/>
      <c r="E676" s="1868"/>
      <c r="F676" s="3066"/>
    </row>
    <row r="677" spans="1:6">
      <c r="A677" s="3061"/>
      <c r="B677" s="1584"/>
      <c r="C677" s="1584"/>
      <c r="D677" s="2087"/>
      <c r="E677" s="3068"/>
      <c r="F677" s="3064"/>
    </row>
    <row r="678" spans="1:6">
      <c r="A678" s="3062"/>
      <c r="B678" s="1244"/>
      <c r="C678" s="1244"/>
      <c r="D678" s="1426"/>
      <c r="E678" s="3020"/>
      <c r="F678" s="3065"/>
    </row>
    <row r="679" spans="1:6">
      <c r="A679" s="3062"/>
      <c r="B679" s="1244"/>
      <c r="C679" s="1244"/>
      <c r="D679" s="1426"/>
      <c r="E679" s="1563"/>
      <c r="F679" s="3065"/>
    </row>
    <row r="680" spans="1:6">
      <c r="A680" s="3062"/>
      <c r="B680" s="1244"/>
      <c r="C680" s="1244"/>
      <c r="D680" s="2243"/>
      <c r="E680" s="3051"/>
      <c r="F680" s="3065"/>
    </row>
    <row r="681" spans="1:6">
      <c r="A681" s="3062"/>
      <c r="B681" s="1244"/>
      <c r="C681" s="1244"/>
      <c r="D681" s="2243"/>
      <c r="E681" s="3051"/>
      <c r="F681" s="3065"/>
    </row>
    <row r="682" spans="1:6">
      <c r="A682" s="3062"/>
      <c r="B682" s="1244"/>
      <c r="C682" s="1244"/>
      <c r="D682" s="2243"/>
      <c r="E682" s="3051"/>
      <c r="F682" s="3065"/>
    </row>
    <row r="683" spans="1:6">
      <c r="A683" s="3062"/>
      <c r="B683" s="1244"/>
      <c r="C683" s="1244"/>
      <c r="D683" s="1544"/>
      <c r="E683" s="1870"/>
      <c r="F683" s="3065"/>
    </row>
    <row r="684" spans="1:6">
      <c r="A684" s="3062"/>
      <c r="B684" s="1244"/>
      <c r="C684" s="1244"/>
      <c r="D684" s="1544"/>
      <c r="E684" s="3069"/>
      <c r="F684" s="3065"/>
    </row>
    <row r="685" spans="1:6">
      <c r="A685" s="3062"/>
      <c r="B685" s="1244"/>
      <c r="C685" s="1244"/>
      <c r="D685" s="1544"/>
      <c r="E685" s="3070"/>
      <c r="F685" s="3065"/>
    </row>
    <row r="686" spans="1:6">
      <c r="A686" s="3062"/>
      <c r="B686" s="1643"/>
      <c r="C686" s="1643"/>
      <c r="D686" s="2086"/>
      <c r="E686" s="3071"/>
      <c r="F686" s="3065"/>
    </row>
    <row r="687" spans="1:6">
      <c r="A687" s="3062"/>
      <c r="B687" s="1244"/>
      <c r="C687" s="1244"/>
      <c r="D687" s="1544"/>
      <c r="E687" s="3072"/>
      <c r="F687" s="3065"/>
    </row>
    <row r="688" spans="1:6">
      <c r="A688" s="3062"/>
      <c r="B688" s="1244"/>
      <c r="C688" s="1244"/>
      <c r="D688" s="1544"/>
      <c r="E688" s="3073"/>
      <c r="F688" s="3065"/>
    </row>
    <row r="689" spans="1:6">
      <c r="A689" s="3062"/>
      <c r="B689" s="1244"/>
      <c r="C689" s="1244"/>
      <c r="D689" s="1544"/>
      <c r="E689" s="3069"/>
      <c r="F689" s="3065"/>
    </row>
    <row r="690" spans="1:6">
      <c r="A690" s="3062"/>
      <c r="B690" s="1244"/>
      <c r="C690" s="1244"/>
      <c r="D690" s="1544"/>
      <c r="E690" s="3071"/>
      <c r="F690" s="3065"/>
    </row>
    <row r="691" spans="1:6">
      <c r="A691" s="3062"/>
      <c r="B691" s="1244"/>
      <c r="C691" s="1244"/>
      <c r="D691" s="1544"/>
      <c r="E691" s="3069"/>
      <c r="F691" s="3065"/>
    </row>
    <row r="692" spans="1:6">
      <c r="A692" s="3062"/>
      <c r="B692" s="1244"/>
      <c r="C692" s="1244"/>
      <c r="D692" s="1544"/>
      <c r="E692" s="3071"/>
      <c r="F692" s="3065"/>
    </row>
    <row r="693" spans="1:6">
      <c r="A693" s="3062"/>
      <c r="B693" s="1244"/>
      <c r="C693" s="1244"/>
      <c r="D693" s="1544"/>
      <c r="E693" s="2239"/>
      <c r="F693" s="3065"/>
    </row>
    <row r="694" spans="1:6">
      <c r="A694" s="3062"/>
      <c r="B694" s="1244"/>
      <c r="C694" s="1244"/>
      <c r="D694" s="1544"/>
      <c r="E694" s="2239"/>
      <c r="F694" s="3065"/>
    </row>
    <row r="695" spans="1:6">
      <c r="A695" s="3062"/>
      <c r="B695" s="1244"/>
      <c r="C695" s="1244"/>
      <c r="D695" s="1544"/>
      <c r="E695" s="2239"/>
      <c r="F695" s="3065"/>
    </row>
    <row r="696" spans="1:6" ht="15" thickBot="1">
      <c r="A696" s="3063"/>
      <c r="B696" s="1562"/>
      <c r="C696" s="1562"/>
      <c r="D696" s="1563"/>
      <c r="E696" s="2240"/>
      <c r="F696" s="3066"/>
    </row>
    <row r="697" spans="1:6">
      <c r="A697" s="3007"/>
      <c r="B697" s="970"/>
      <c r="C697" s="970"/>
      <c r="D697" s="2223"/>
      <c r="E697" s="3030"/>
      <c r="F697" s="3011"/>
    </row>
    <row r="698" spans="1:6">
      <c r="A698" s="3009"/>
      <c r="B698" s="1244"/>
      <c r="C698" s="1244"/>
      <c r="D698" s="1544"/>
      <c r="E698" s="3019"/>
      <c r="F698" s="3013"/>
    </row>
    <row r="699" spans="1:6">
      <c r="A699" s="3009"/>
      <c r="B699" s="1244"/>
      <c r="C699" s="1244"/>
      <c r="D699" s="1544"/>
      <c r="E699" s="3020"/>
      <c r="F699" s="3013"/>
    </row>
    <row r="700" spans="1:6">
      <c r="A700" s="3009"/>
      <c r="B700" s="1244"/>
      <c r="C700" s="1244"/>
      <c r="D700" s="1544"/>
      <c r="E700" s="1544"/>
      <c r="F700" s="3013"/>
    </row>
    <row r="701" spans="1:6">
      <c r="A701" s="3009"/>
      <c r="B701" s="1244"/>
      <c r="C701" s="1244"/>
      <c r="D701" s="1544"/>
      <c r="E701" s="3018"/>
      <c r="F701" s="3013"/>
    </row>
    <row r="702" spans="1:6">
      <c r="A702" s="3009"/>
      <c r="B702" s="1244"/>
      <c r="C702" s="1244"/>
      <c r="D702" s="1544"/>
      <c r="E702" s="3020"/>
      <c r="F702" s="3013"/>
    </row>
    <row r="703" spans="1:6">
      <c r="A703" s="3009"/>
      <c r="B703" s="1244"/>
      <c r="C703" s="1244"/>
      <c r="D703" s="1544"/>
      <c r="E703" s="1544"/>
      <c r="F703" s="3013"/>
    </row>
    <row r="704" spans="1:6">
      <c r="A704" s="3009"/>
      <c r="B704" s="1244"/>
      <c r="C704" s="1244"/>
      <c r="D704" s="1544"/>
      <c r="E704" s="3018"/>
      <c r="F704" s="3013"/>
    </row>
    <row r="705" spans="1:6">
      <c r="A705" s="3009"/>
      <c r="B705" s="1244"/>
      <c r="C705" s="1244"/>
      <c r="D705" s="1544"/>
      <c r="E705" s="3020"/>
      <c r="F705" s="3013"/>
    </row>
    <row r="706" spans="1:6">
      <c r="A706" s="3009"/>
      <c r="B706" s="1244"/>
      <c r="C706" s="1244"/>
      <c r="D706" s="1544"/>
      <c r="E706" s="3018"/>
      <c r="F706" s="3013"/>
    </row>
    <row r="707" spans="1:6">
      <c r="A707" s="3009"/>
      <c r="B707" s="1244"/>
      <c r="C707" s="1244"/>
      <c r="D707" s="1544"/>
      <c r="E707" s="3020"/>
      <c r="F707" s="3013"/>
    </row>
    <row r="708" spans="1:6">
      <c r="A708" s="3009"/>
      <c r="B708" s="1244"/>
      <c r="C708" s="1244"/>
      <c r="D708" s="1544"/>
      <c r="E708" s="1544"/>
      <c r="F708" s="3013"/>
    </row>
    <row r="709" spans="1:6">
      <c r="A709" s="3009"/>
      <c r="B709" s="1244"/>
      <c r="C709" s="1244"/>
      <c r="D709" s="1544"/>
      <c r="E709" s="3018"/>
      <c r="F709" s="3013"/>
    </row>
    <row r="710" spans="1:6">
      <c r="A710" s="3009"/>
      <c r="B710" s="1244"/>
      <c r="C710" s="1244"/>
      <c r="D710" s="1544"/>
      <c r="E710" s="3020"/>
      <c r="F710" s="3013"/>
    </row>
    <row r="711" spans="1:6">
      <c r="A711" s="3009"/>
      <c r="B711" s="1244"/>
      <c r="C711" s="1244"/>
      <c r="D711" s="1544"/>
      <c r="E711" s="1544"/>
      <c r="F711" s="3013"/>
    </row>
    <row r="712" spans="1:6">
      <c r="A712" s="3009"/>
      <c r="B712" s="1244"/>
      <c r="C712" s="1244"/>
      <c r="D712" s="1544"/>
      <c r="E712" s="1544"/>
      <c r="F712" s="3013"/>
    </row>
    <row r="713" spans="1:6">
      <c r="A713" s="3009"/>
      <c r="B713" s="1244"/>
      <c r="C713" s="1244"/>
      <c r="D713" s="1544"/>
      <c r="E713" s="1544"/>
      <c r="F713" s="3013"/>
    </row>
    <row r="714" spans="1:6" ht="15" thickBot="1">
      <c r="A714" s="3010"/>
      <c r="B714" s="1562"/>
      <c r="C714" s="1562"/>
      <c r="D714" s="1563"/>
      <c r="E714" s="1563"/>
      <c r="F714" s="3015"/>
    </row>
    <row r="715" spans="1:6">
      <c r="A715" s="3007"/>
      <c r="B715" s="970"/>
      <c r="C715" s="970"/>
      <c r="D715" s="2223"/>
      <c r="E715" s="3030"/>
      <c r="F715" s="3011"/>
    </row>
    <row r="716" spans="1:6">
      <c r="A716" s="3009"/>
      <c r="B716" s="1244"/>
      <c r="C716" s="1244"/>
      <c r="D716" s="1544"/>
      <c r="E716" s="3019"/>
      <c r="F716" s="3013"/>
    </row>
    <row r="717" spans="1:6">
      <c r="A717" s="3009"/>
      <c r="B717" s="1244"/>
      <c r="C717" s="1244"/>
      <c r="D717" s="1544"/>
      <c r="E717" s="3020"/>
      <c r="F717" s="3013"/>
    </row>
    <row r="718" spans="1:6">
      <c r="A718" s="3009"/>
      <c r="B718" s="1244"/>
      <c r="C718" s="1244"/>
      <c r="D718" s="1544"/>
      <c r="E718" s="1544"/>
      <c r="F718" s="3013"/>
    </row>
    <row r="719" spans="1:6">
      <c r="A719" s="3009"/>
      <c r="B719" s="1244"/>
      <c r="C719" s="1244"/>
      <c r="D719" s="1544"/>
      <c r="E719" s="1544"/>
      <c r="F719" s="3013"/>
    </row>
    <row r="720" spans="1:6">
      <c r="A720" s="3009"/>
      <c r="B720" s="1244"/>
      <c r="C720" s="1244"/>
      <c r="D720" s="1544"/>
      <c r="E720" s="3018"/>
      <c r="F720" s="3013"/>
    </row>
    <row r="721" spans="1:6">
      <c r="A721" s="3009"/>
      <c r="B721" s="1244"/>
      <c r="C721" s="1244"/>
      <c r="D721" s="1544"/>
      <c r="E721" s="3019"/>
      <c r="F721" s="3013"/>
    </row>
    <row r="722" spans="1:6">
      <c r="A722" s="3009"/>
      <c r="B722" s="1244"/>
      <c r="C722" s="1244"/>
      <c r="D722" s="1544"/>
      <c r="E722" s="3020"/>
      <c r="F722" s="3013"/>
    </row>
    <row r="723" spans="1:6">
      <c r="A723" s="3009"/>
      <c r="B723" s="1244"/>
      <c r="C723" s="1244"/>
      <c r="D723" s="1544"/>
      <c r="E723" s="3018"/>
      <c r="F723" s="3013"/>
    </row>
    <row r="724" spans="1:6">
      <c r="A724" s="3009"/>
      <c r="B724" s="1244"/>
      <c r="C724" s="1244"/>
      <c r="D724" s="1544"/>
      <c r="E724" s="3020"/>
      <c r="F724" s="3013"/>
    </row>
    <row r="725" spans="1:6">
      <c r="A725" s="3009"/>
      <c r="B725" s="1244"/>
      <c r="C725" s="1244"/>
      <c r="D725" s="1544"/>
      <c r="E725" s="1544"/>
      <c r="F725" s="3013"/>
    </row>
    <row r="726" spans="1:6">
      <c r="A726" s="3009"/>
      <c r="B726" s="1244"/>
      <c r="C726" s="1244"/>
      <c r="D726" s="1544"/>
      <c r="E726" s="3018"/>
      <c r="F726" s="3013"/>
    </row>
    <row r="727" spans="1:6">
      <c r="A727" s="3009"/>
      <c r="B727" s="1244"/>
      <c r="C727" s="1244"/>
      <c r="D727" s="1544"/>
      <c r="E727" s="3020"/>
      <c r="F727" s="3013"/>
    </row>
    <row r="728" spans="1:6">
      <c r="A728" s="3009"/>
      <c r="B728" s="1244"/>
      <c r="C728" s="1244"/>
      <c r="D728" s="1544"/>
      <c r="E728" s="1544"/>
      <c r="F728" s="3013"/>
    </row>
    <row r="729" spans="1:6">
      <c r="A729" s="3009"/>
      <c r="B729" s="1244"/>
      <c r="C729" s="1244"/>
      <c r="D729" s="1544"/>
      <c r="E729" s="3018"/>
      <c r="F729" s="3013"/>
    </row>
    <row r="730" spans="1:6">
      <c r="A730" s="3009"/>
      <c r="B730" s="1244"/>
      <c r="C730" s="1244"/>
      <c r="D730" s="1544"/>
      <c r="E730" s="3020"/>
      <c r="F730" s="3013"/>
    </row>
    <row r="731" spans="1:6">
      <c r="A731" s="3009"/>
      <c r="B731" s="1244"/>
      <c r="C731" s="1244"/>
      <c r="D731" s="1544"/>
      <c r="E731" s="1544"/>
      <c r="F731" s="3013"/>
    </row>
    <row r="732" spans="1:6">
      <c r="A732" s="3009"/>
      <c r="B732" s="1244"/>
      <c r="C732" s="1244"/>
      <c r="D732" s="1544"/>
      <c r="E732" s="1544"/>
      <c r="F732" s="3013"/>
    </row>
    <row r="733" spans="1:6">
      <c r="A733" s="3009"/>
      <c r="B733" s="1244"/>
      <c r="C733" s="1244"/>
      <c r="D733" s="1544"/>
      <c r="E733" s="1544"/>
      <c r="F733" s="3013"/>
    </row>
    <row r="734" spans="1:6">
      <c r="A734" s="3009"/>
      <c r="B734" s="1244"/>
      <c r="C734" s="1244"/>
      <c r="D734" s="1544"/>
      <c r="E734" s="1544"/>
      <c r="F734" s="3013"/>
    </row>
    <row r="735" spans="1:6" ht="15" thickBot="1">
      <c r="A735" s="3010"/>
      <c r="B735" s="1562"/>
      <c r="C735" s="1562"/>
      <c r="D735" s="1563"/>
      <c r="E735" s="1563"/>
      <c r="F735" s="3015"/>
    </row>
    <row r="736" spans="1:6">
      <c r="A736" s="3049"/>
      <c r="B736" s="1584"/>
      <c r="C736" s="1584"/>
      <c r="D736" s="2253"/>
      <c r="E736" s="3068"/>
      <c r="F736" s="3047"/>
    </row>
    <row r="737" spans="1:6">
      <c r="A737" s="3050"/>
      <c r="B737" s="1244"/>
      <c r="C737" s="1244"/>
      <c r="D737" s="1544"/>
      <c r="E737" s="3019"/>
      <c r="F737" s="3048"/>
    </row>
    <row r="738" spans="1:6">
      <c r="A738" s="3050"/>
      <c r="B738" s="1244"/>
      <c r="C738" s="1244"/>
      <c r="D738" s="1544"/>
      <c r="E738" s="3019"/>
      <c r="F738" s="3048"/>
    </row>
    <row r="739" spans="1:6">
      <c r="A739" s="3050"/>
      <c r="B739" s="1244"/>
      <c r="C739" s="1244"/>
      <c r="D739" s="1544"/>
      <c r="E739" s="3020"/>
      <c r="F739" s="3048"/>
    </row>
    <row r="740" spans="1:6">
      <c r="A740" s="3050"/>
      <c r="B740" s="1244"/>
      <c r="C740" s="1244"/>
      <c r="D740" s="2243"/>
      <c r="E740" s="3018"/>
      <c r="F740" s="3080"/>
    </row>
    <row r="741" spans="1:6">
      <c r="A741" s="3050"/>
      <c r="B741" s="1244"/>
      <c r="C741" s="1244"/>
      <c r="D741" s="2243"/>
      <c r="E741" s="3019"/>
      <c r="F741" s="3080"/>
    </row>
    <row r="742" spans="1:6">
      <c r="A742" s="3050"/>
      <c r="B742" s="1244"/>
      <c r="C742" s="1244"/>
      <c r="D742" s="2243"/>
      <c r="E742" s="3081"/>
      <c r="F742" s="3080"/>
    </row>
    <row r="743" spans="1:6">
      <c r="A743" s="3050"/>
      <c r="B743" s="1244"/>
      <c r="C743" s="1244"/>
      <c r="D743" s="1544"/>
      <c r="E743" s="2254"/>
      <c r="F743" s="3048"/>
    </row>
    <row r="744" spans="1:6">
      <c r="A744" s="3050"/>
      <c r="B744" s="1244"/>
      <c r="C744" s="1244"/>
      <c r="D744" s="1544"/>
      <c r="E744" s="1544"/>
      <c r="F744" s="3048"/>
    </row>
    <row r="745" spans="1:6">
      <c r="A745" s="3050"/>
      <c r="B745" s="1244"/>
      <c r="C745" s="1244"/>
      <c r="D745" s="1544"/>
      <c r="E745" s="3018"/>
      <c r="F745" s="3048"/>
    </row>
    <row r="746" spans="1:6">
      <c r="A746" s="3050"/>
      <c r="B746" s="1244"/>
      <c r="C746" s="1244"/>
      <c r="D746" s="1544"/>
      <c r="E746" s="3020"/>
      <c r="F746" s="3048"/>
    </row>
    <row r="747" spans="1:6">
      <c r="A747" s="3050"/>
      <c r="B747" s="1244"/>
      <c r="C747" s="1244"/>
      <c r="D747" s="1544"/>
      <c r="E747" s="1544"/>
      <c r="F747" s="3048"/>
    </row>
    <row r="748" spans="1:6">
      <c r="A748" s="3050"/>
      <c r="B748" s="1244"/>
      <c r="C748" s="1244"/>
      <c r="D748" s="1544"/>
      <c r="E748" s="3018"/>
      <c r="F748" s="3048"/>
    </row>
    <row r="749" spans="1:6">
      <c r="A749" s="3050"/>
      <c r="B749" s="1244"/>
      <c r="C749" s="1244"/>
      <c r="D749" s="1544"/>
      <c r="E749" s="3020"/>
      <c r="F749" s="3048"/>
    </row>
    <row r="750" spans="1:6">
      <c r="A750" s="3050"/>
      <c r="B750" s="1244"/>
      <c r="C750" s="1244"/>
      <c r="D750" s="1544"/>
      <c r="E750" s="1544"/>
      <c r="F750" s="3048"/>
    </row>
    <row r="751" spans="1:6">
      <c r="A751" s="3050"/>
      <c r="B751" s="1244"/>
      <c r="C751" s="1244"/>
      <c r="D751" s="1544"/>
      <c r="E751" s="3018"/>
      <c r="F751" s="3048"/>
    </row>
    <row r="752" spans="1:6">
      <c r="A752" s="3050"/>
      <c r="B752" s="1244"/>
      <c r="C752" s="1244"/>
      <c r="D752" s="1544"/>
      <c r="E752" s="3020"/>
      <c r="F752" s="3048"/>
    </row>
    <row r="753" spans="1:6">
      <c r="A753" s="3050"/>
      <c r="B753" s="1244"/>
      <c r="C753" s="1244"/>
      <c r="D753" s="1544"/>
      <c r="E753" s="3018"/>
      <c r="F753" s="3048"/>
    </row>
    <row r="754" spans="1:6">
      <c r="A754" s="3050"/>
      <c r="B754" s="1244"/>
      <c r="C754" s="1244"/>
      <c r="D754" s="1544"/>
      <c r="E754" s="3020"/>
      <c r="F754" s="3048"/>
    </row>
    <row r="755" spans="1:6">
      <c r="A755" s="3050"/>
      <c r="B755" s="1244"/>
      <c r="C755" s="1244"/>
      <c r="D755" s="1544"/>
      <c r="E755" s="3018"/>
      <c r="F755" s="3048"/>
    </row>
    <row r="756" spans="1:6">
      <c r="A756" s="3050"/>
      <c r="B756" s="1244"/>
      <c r="C756" s="1244"/>
      <c r="D756" s="1544"/>
      <c r="E756" s="3020"/>
      <c r="F756" s="3048"/>
    </row>
    <row r="757" spans="1:6">
      <c r="A757" s="3050"/>
      <c r="B757" s="1244"/>
      <c r="C757" s="1244"/>
      <c r="D757" s="1544"/>
      <c r="E757" s="1544"/>
      <c r="F757" s="3048"/>
    </row>
    <row r="758" spans="1:6">
      <c r="A758" s="3050"/>
      <c r="B758" s="1244"/>
      <c r="C758" s="1244"/>
      <c r="D758" s="1544"/>
      <c r="E758" s="1544"/>
      <c r="F758" s="3048"/>
    </row>
    <row r="759" spans="1:6">
      <c r="A759" s="3050"/>
      <c r="B759" s="1244"/>
      <c r="C759" s="1244"/>
      <c r="D759" s="1544"/>
      <c r="E759" s="1544"/>
      <c r="F759" s="3048"/>
    </row>
    <row r="760" spans="1:6">
      <c r="A760" s="3050"/>
      <c r="B760" s="1244"/>
      <c r="C760" s="1244"/>
      <c r="D760" s="1544"/>
      <c r="E760" s="1544"/>
      <c r="F760" s="3048"/>
    </row>
    <row r="761" spans="1:6">
      <c r="A761" s="3050"/>
      <c r="B761" s="1244"/>
      <c r="C761" s="1244"/>
      <c r="D761" s="1544"/>
      <c r="E761" s="1544"/>
      <c r="F761" s="3048"/>
    </row>
    <row r="762" spans="1:6" ht="15" thickBot="1">
      <c r="A762" s="3050"/>
      <c r="B762" s="1562"/>
      <c r="C762" s="1562"/>
      <c r="D762" s="1563"/>
      <c r="E762" s="1563"/>
      <c r="F762" s="3048"/>
    </row>
    <row r="763" spans="1:6">
      <c r="A763" s="3077">
        <v>45870</v>
      </c>
      <c r="B763" s="2411" t="s">
        <v>1247</v>
      </c>
      <c r="C763" s="970" t="s">
        <v>1248</v>
      </c>
      <c r="D763" s="2223"/>
      <c r="E763" s="2223"/>
      <c r="F763" s="3074">
        <v>45869</v>
      </c>
    </row>
    <row r="764" spans="1:6">
      <c r="A764" s="3078"/>
      <c r="B764" s="2412" t="s">
        <v>1249</v>
      </c>
      <c r="C764" s="1244" t="s">
        <v>1250</v>
      </c>
      <c r="D764" s="1544"/>
      <c r="E764" s="1544"/>
      <c r="F764" s="3075"/>
    </row>
    <row r="765" spans="1:6">
      <c r="A765" s="3078"/>
      <c r="B765" s="2412" t="s">
        <v>1251</v>
      </c>
      <c r="C765" s="1244" t="s">
        <v>1252</v>
      </c>
      <c r="D765" s="1544"/>
      <c r="E765" s="1544"/>
      <c r="F765" s="3075"/>
    </row>
    <row r="766" spans="1:6">
      <c r="A766" s="3078"/>
      <c r="B766" s="2412" t="s">
        <v>1253</v>
      </c>
      <c r="C766" s="1244" t="s">
        <v>1254</v>
      </c>
      <c r="D766" s="1544"/>
      <c r="E766" s="1544"/>
      <c r="F766" s="3075"/>
    </row>
    <row r="767" spans="1:6">
      <c r="A767" s="3078"/>
      <c r="B767" s="2412" t="s">
        <v>1255</v>
      </c>
      <c r="C767" s="1244" t="s">
        <v>1256</v>
      </c>
      <c r="D767" s="1544"/>
      <c r="E767" s="1544"/>
      <c r="F767" s="3075"/>
    </row>
    <row r="768" spans="1:6">
      <c r="A768" s="3078"/>
      <c r="B768" s="2412" t="s">
        <v>1458</v>
      </c>
      <c r="C768" s="1244" t="s">
        <v>1258</v>
      </c>
      <c r="D768" s="1544"/>
      <c r="E768" s="1544"/>
      <c r="F768" s="3075"/>
    </row>
    <row r="769" spans="1:8">
      <c r="A769" s="3078"/>
      <c r="B769" s="2412" t="s">
        <v>1459</v>
      </c>
      <c r="C769" s="1244" t="s">
        <v>1260</v>
      </c>
      <c r="D769" s="1544"/>
      <c r="E769" s="1544"/>
      <c r="F769" s="3075"/>
    </row>
    <row r="770" spans="1:8">
      <c r="A770" s="3078"/>
      <c r="B770" s="2412" t="s">
        <v>1261</v>
      </c>
      <c r="C770" s="1244" t="s">
        <v>1262</v>
      </c>
      <c r="D770" s="1544"/>
      <c r="E770" s="1544"/>
      <c r="F770" s="3075"/>
    </row>
    <row r="771" spans="1:8">
      <c r="A771" s="3078"/>
      <c r="B771" s="2412" t="s">
        <v>1264</v>
      </c>
      <c r="C771" s="1244" t="s">
        <v>1265</v>
      </c>
      <c r="D771" s="1544"/>
      <c r="E771" s="1544"/>
      <c r="F771" s="3075"/>
    </row>
    <row r="772" spans="1:8">
      <c r="A772" s="3078"/>
      <c r="B772" s="2412" t="s">
        <v>1267</v>
      </c>
      <c r="C772" s="1244" t="s">
        <v>1268</v>
      </c>
      <c r="D772" s="1544"/>
      <c r="E772" s="1544"/>
      <c r="F772" s="3075"/>
    </row>
    <row r="773" spans="1:8" ht="15" thickBot="1">
      <c r="A773" s="3079"/>
      <c r="B773" s="2413" t="s">
        <v>1269</v>
      </c>
      <c r="C773" s="2283" t="s">
        <v>1270</v>
      </c>
      <c r="D773" s="2284"/>
      <c r="E773" s="2284"/>
      <c r="F773" s="3076"/>
    </row>
    <row r="774" spans="1:8">
      <c r="A774" s="2408"/>
      <c r="B774" s="2411" t="s">
        <v>1253</v>
      </c>
      <c r="C774" s="970" t="s">
        <v>1293</v>
      </c>
      <c r="D774" s="2223">
        <v>1.59</v>
      </c>
      <c r="E774" s="2223"/>
      <c r="F774" s="2418"/>
      <c r="G774" s="64" t="s">
        <v>1293</v>
      </c>
      <c r="H774" s="64">
        <v>1.59</v>
      </c>
    </row>
    <row r="775" spans="1:8">
      <c r="A775" s="2408"/>
      <c r="B775" s="2412" t="s">
        <v>1267</v>
      </c>
      <c r="C775" s="1244" t="s">
        <v>1295</v>
      </c>
      <c r="D775" s="1544">
        <v>8.15</v>
      </c>
      <c r="E775" s="1544"/>
      <c r="F775" s="2419"/>
      <c r="G775" s="64" t="s">
        <v>1295</v>
      </c>
      <c r="H775" s="64">
        <v>8.15</v>
      </c>
    </row>
    <row r="776" spans="1:8">
      <c r="A776" s="2408"/>
      <c r="B776" s="2412" t="s">
        <v>1249</v>
      </c>
      <c r="C776" s="1244" t="s">
        <v>1297</v>
      </c>
      <c r="D776" s="1544">
        <v>4.3099999999999996</v>
      </c>
      <c r="E776" s="1544"/>
      <c r="F776" s="2419"/>
      <c r="G776" s="64" t="s">
        <v>1297</v>
      </c>
      <c r="H776" s="64">
        <v>4.3099999999999996</v>
      </c>
    </row>
    <row r="777" spans="1:8">
      <c r="A777" s="2408"/>
      <c r="B777" s="2412" t="s">
        <v>1251</v>
      </c>
      <c r="C777" s="1244" t="s">
        <v>1299</v>
      </c>
      <c r="D777" s="1544">
        <v>2.29</v>
      </c>
      <c r="E777" s="1544"/>
      <c r="F777" s="2419"/>
      <c r="G777" s="64" t="s">
        <v>1299</v>
      </c>
      <c r="H777" s="64">
        <v>2.29</v>
      </c>
    </row>
    <row r="778" spans="1:8">
      <c r="A778" s="2408"/>
      <c r="B778" s="2412" t="s">
        <v>1269</v>
      </c>
      <c r="C778" s="1244" t="s">
        <v>1301</v>
      </c>
      <c r="D778" s="1544">
        <v>2.14</v>
      </c>
      <c r="E778" s="1544"/>
      <c r="F778" s="2419"/>
      <c r="G778" s="64" t="s">
        <v>1301</v>
      </c>
      <c r="H778" s="64">
        <v>2.14</v>
      </c>
    </row>
    <row r="779" spans="1:8">
      <c r="A779" s="2408"/>
      <c r="B779" s="2412" t="s">
        <v>1302</v>
      </c>
      <c r="C779" s="1244" t="s">
        <v>1303</v>
      </c>
      <c r="D779" s="1544">
        <v>0.96</v>
      </c>
      <c r="E779" s="1544"/>
      <c r="F779" s="2419"/>
      <c r="G779" s="64" t="s">
        <v>1303</v>
      </c>
      <c r="H779" s="64">
        <v>0.96</v>
      </c>
    </row>
    <row r="780" spans="1:8">
      <c r="A780" s="2408"/>
      <c r="B780" s="2412" t="s">
        <v>1304</v>
      </c>
      <c r="C780" s="1244" t="s">
        <v>1305</v>
      </c>
      <c r="D780" s="1544">
        <v>0.65</v>
      </c>
      <c r="E780" s="1544"/>
      <c r="F780" s="2419"/>
      <c r="G780" s="64" t="s">
        <v>1305</v>
      </c>
      <c r="H780" s="64">
        <v>0.65</v>
      </c>
    </row>
    <row r="781" spans="1:8">
      <c r="A781" s="2408"/>
      <c r="B781" s="2412" t="s">
        <v>1264</v>
      </c>
      <c r="C781" s="1244" t="s">
        <v>1306</v>
      </c>
      <c r="D781" s="1544">
        <v>2.69</v>
      </c>
      <c r="E781" s="1544"/>
      <c r="F781" s="2419"/>
      <c r="G781" s="64" t="s">
        <v>1306</v>
      </c>
      <c r="H781" s="64">
        <v>2.69</v>
      </c>
    </row>
    <row r="782" spans="1:8">
      <c r="A782" s="2408"/>
      <c r="B782" s="2412" t="s">
        <v>1460</v>
      </c>
      <c r="C782" s="1244" t="s">
        <v>1307</v>
      </c>
      <c r="D782" s="1544">
        <v>1.08</v>
      </c>
      <c r="E782" s="1544"/>
      <c r="F782" s="2419"/>
      <c r="G782" s="64" t="s">
        <v>1307</v>
      </c>
      <c r="H782" s="64">
        <v>1.08</v>
      </c>
    </row>
    <row r="783" spans="1:8">
      <c r="A783" s="2408"/>
      <c r="B783" s="2412" t="s">
        <v>1284</v>
      </c>
      <c r="C783" s="1244" t="s">
        <v>1308</v>
      </c>
      <c r="D783" s="1544">
        <v>0</v>
      </c>
      <c r="E783" s="1544"/>
      <c r="F783" s="2419"/>
      <c r="G783" s="64" t="s">
        <v>1308</v>
      </c>
      <c r="H783" s="64">
        <v>0</v>
      </c>
    </row>
    <row r="784" spans="1:8">
      <c r="A784" s="2408"/>
      <c r="B784" s="2412" t="s">
        <v>1461</v>
      </c>
      <c r="C784" s="1244" t="s">
        <v>1310</v>
      </c>
      <c r="D784" s="1544">
        <v>4.96</v>
      </c>
      <c r="E784" s="1544"/>
      <c r="F784" s="2419"/>
      <c r="G784" s="64" t="s">
        <v>1310</v>
      </c>
      <c r="H784" s="64">
        <v>4.96</v>
      </c>
    </row>
    <row r="785" spans="1:6">
      <c r="A785" s="2408"/>
      <c r="B785" s="2412" t="s">
        <v>1288</v>
      </c>
      <c r="C785" s="1244" t="s">
        <v>1311</v>
      </c>
      <c r="D785" s="1544"/>
      <c r="E785" s="1544"/>
      <c r="F785" s="2419"/>
    </row>
    <row r="786" spans="1:6">
      <c r="A786" s="2408"/>
      <c r="B786" s="2412" t="s">
        <v>1290</v>
      </c>
      <c r="C786" s="1244" t="s">
        <v>1312</v>
      </c>
      <c r="D786" s="1544"/>
      <c r="E786" s="1544"/>
      <c r="F786" s="2419"/>
    </row>
    <row r="787" spans="1:6">
      <c r="A787" s="2408"/>
      <c r="B787" s="2412"/>
      <c r="C787" s="1244" t="s">
        <v>1314</v>
      </c>
      <c r="D787" s="1544"/>
      <c r="E787" s="1544"/>
      <c r="F787" s="2419"/>
    </row>
    <row r="788" spans="1:6">
      <c r="A788" s="2408"/>
      <c r="B788" s="2412"/>
      <c r="C788" s="1244" t="s">
        <v>1315</v>
      </c>
      <c r="D788" s="1544"/>
      <c r="E788" s="1544"/>
      <c r="F788" s="2419"/>
    </row>
    <row r="789" spans="1:6" ht="15" thickBot="1">
      <c r="A789" s="2409"/>
      <c r="B789" s="2412"/>
      <c r="C789" s="1244" t="s">
        <v>1317</v>
      </c>
      <c r="D789" s="1544"/>
      <c r="E789" s="1544"/>
      <c r="F789" s="2419"/>
    </row>
    <row r="790" spans="1:6">
      <c r="B790" s="2412"/>
      <c r="C790" s="1244" t="s">
        <v>1318</v>
      </c>
      <c r="D790" s="1544"/>
      <c r="E790" s="1544"/>
      <c r="F790" s="2420"/>
    </row>
    <row r="791" spans="1:6">
      <c r="B791" s="2412"/>
      <c r="C791" s="1244" t="s">
        <v>1320</v>
      </c>
      <c r="D791" s="1544"/>
      <c r="E791" s="1544"/>
      <c r="F791" s="2420"/>
    </row>
    <row r="792" spans="1:6">
      <c r="B792" s="2412"/>
      <c r="C792" s="1244" t="s">
        <v>1322</v>
      </c>
      <c r="D792" s="1544"/>
      <c r="E792" s="1544"/>
      <c r="F792" s="2420"/>
    </row>
    <row r="793" spans="1:6">
      <c r="B793" s="2412"/>
      <c r="C793" s="1244" t="s">
        <v>1324</v>
      </c>
      <c r="D793" s="1544"/>
      <c r="E793" s="1544"/>
      <c r="F793" s="2420"/>
    </row>
    <row r="794" spans="1:6">
      <c r="B794" s="2412"/>
      <c r="C794" s="1244" t="s">
        <v>1325</v>
      </c>
      <c r="D794" s="1544"/>
      <c r="E794" s="1544"/>
      <c r="F794" s="2420"/>
    </row>
    <row r="795" spans="1:6">
      <c r="B795" s="2412"/>
      <c r="C795" s="1244" t="s">
        <v>1326</v>
      </c>
      <c r="D795" s="1544"/>
      <c r="E795" s="1544"/>
      <c r="F795" s="2420"/>
    </row>
    <row r="796" spans="1:6" ht="15" thickBot="1">
      <c r="B796" s="2413"/>
      <c r="C796" s="2283" t="s">
        <v>1328</v>
      </c>
      <c r="D796" s="2284"/>
      <c r="E796" s="2284"/>
      <c r="F796" s="2421"/>
    </row>
    <row r="797" spans="1:6">
      <c r="B797" s="2340"/>
      <c r="C797" s="2340"/>
      <c r="D797" s="2254"/>
      <c r="E797" s="2254"/>
      <c r="F797" s="2417"/>
    </row>
    <row r="798" spans="1:6">
      <c r="B798" s="1244"/>
      <c r="C798" s="1244"/>
      <c r="D798" s="1544"/>
      <c r="E798" s="1544"/>
      <c r="F798" s="2410"/>
    </row>
    <row r="799" spans="1:6">
      <c r="D799" s="2206"/>
      <c r="E799" s="2206"/>
    </row>
    <row r="800" spans="1:6">
      <c r="D800" s="1645"/>
      <c r="E800" s="1645"/>
    </row>
    <row r="801" spans="4:5">
      <c r="D801" s="1645"/>
      <c r="E801" s="1645"/>
    </row>
    <row r="802" spans="4:5">
      <c r="D802" s="1645"/>
      <c r="E802" s="1645"/>
    </row>
    <row r="803" spans="4:5">
      <c r="D803" s="1645"/>
      <c r="E803" s="1645"/>
    </row>
    <row r="804" spans="4:5">
      <c r="D804" s="1645"/>
      <c r="E804" s="1645"/>
    </row>
    <row r="805" spans="4:5">
      <c r="D805" s="1645"/>
      <c r="E805" s="1645"/>
    </row>
    <row r="806" spans="4:5">
      <c r="D806" s="1645"/>
      <c r="E806" s="1645"/>
    </row>
    <row r="807" spans="4:5">
      <c r="D807" s="1645"/>
      <c r="E807" s="1645"/>
    </row>
    <row r="808" spans="4:5">
      <c r="D808" s="1645"/>
      <c r="E808" s="1645"/>
    </row>
    <row r="809" spans="4:5">
      <c r="D809" s="1645"/>
      <c r="E809" s="1645"/>
    </row>
    <row r="810" spans="4:5">
      <c r="D810" s="1645"/>
      <c r="E810" s="1645"/>
    </row>
    <row r="811" spans="4:5">
      <c r="D811" s="1645"/>
      <c r="E811" s="1645"/>
    </row>
    <row r="812" spans="4:5">
      <c r="D812" s="1645"/>
      <c r="E812" s="1645"/>
    </row>
    <row r="813" spans="4:5">
      <c r="D813" s="1645"/>
      <c r="E813" s="1645"/>
    </row>
    <row r="814" spans="4:5">
      <c r="D814" s="1645"/>
      <c r="E814" s="1645"/>
    </row>
    <row r="815" spans="4:5">
      <c r="D815" s="1645"/>
      <c r="E815" s="1645"/>
    </row>
    <row r="816" spans="4:5">
      <c r="D816" s="1645"/>
      <c r="E816" s="1645"/>
    </row>
    <row r="817" spans="4:5">
      <c r="D817" s="1645"/>
      <c r="E817" s="1645"/>
    </row>
    <row r="818" spans="4:5">
      <c r="D818" s="1645"/>
      <c r="E818" s="1645"/>
    </row>
    <row r="819" spans="4:5">
      <c r="D819" s="1645"/>
      <c r="E819" s="1645"/>
    </row>
    <row r="820" spans="4:5">
      <c r="D820" s="1645"/>
      <c r="E820" s="1645"/>
    </row>
    <row r="821" spans="4:5">
      <c r="D821" s="1645"/>
      <c r="E821" s="1645"/>
    </row>
    <row r="822" spans="4:5">
      <c r="D822" s="1645"/>
      <c r="E822" s="1645"/>
    </row>
    <row r="823" spans="4:5">
      <c r="D823" s="1645"/>
      <c r="E823" s="1645"/>
    </row>
    <row r="824" spans="4:5">
      <c r="D824" s="1645"/>
      <c r="E824" s="1645"/>
    </row>
    <row r="825" spans="4:5">
      <c r="D825" s="1645"/>
      <c r="E825" s="1645"/>
    </row>
    <row r="826" spans="4:5">
      <c r="D826" s="1645"/>
      <c r="E826" s="1645"/>
    </row>
    <row r="827" spans="4:5">
      <c r="D827" s="1645"/>
      <c r="E827" s="1645"/>
    </row>
    <row r="828" spans="4:5">
      <c r="D828" s="1645"/>
      <c r="E828" s="1645"/>
    </row>
    <row r="829" spans="4:5">
      <c r="D829" s="1645"/>
      <c r="E829" s="1645"/>
    </row>
    <row r="830" spans="4:5">
      <c r="D830" s="1645"/>
      <c r="E830" s="1645"/>
    </row>
    <row r="831" spans="4:5">
      <c r="D831" s="1645"/>
      <c r="E831" s="1645"/>
    </row>
    <row r="832" spans="4:5">
      <c r="D832" s="1645"/>
      <c r="E832" s="1645"/>
    </row>
    <row r="833" spans="4:5">
      <c r="D833" s="1645"/>
      <c r="E833" s="1645"/>
    </row>
    <row r="834" spans="4:5">
      <c r="D834" s="1645"/>
      <c r="E834" s="1645"/>
    </row>
    <row r="835" spans="4:5">
      <c r="D835" s="1645"/>
      <c r="E835" s="1645"/>
    </row>
    <row r="836" spans="4:5">
      <c r="D836" s="1645"/>
      <c r="E836" s="1645"/>
    </row>
    <row r="837" spans="4:5">
      <c r="D837" s="1645"/>
      <c r="E837" s="1645"/>
    </row>
    <row r="838" spans="4:5">
      <c r="D838" s="1645"/>
      <c r="E838" s="1645"/>
    </row>
    <row r="839" spans="4:5">
      <c r="D839" s="1645"/>
      <c r="E839" s="1645"/>
    </row>
    <row r="840" spans="4:5">
      <c r="D840" s="1645"/>
      <c r="E840" s="1645"/>
    </row>
    <row r="841" spans="4:5">
      <c r="D841" s="1645"/>
      <c r="E841" s="1645"/>
    </row>
    <row r="842" spans="4:5">
      <c r="D842" s="1645"/>
      <c r="E842" s="1645"/>
    </row>
    <row r="843" spans="4:5">
      <c r="D843" s="1645"/>
      <c r="E843" s="1645"/>
    </row>
    <row r="844" spans="4:5">
      <c r="D844" s="1645"/>
      <c r="E844" s="1645"/>
    </row>
    <row r="845" spans="4:5">
      <c r="D845" s="1645"/>
      <c r="E845" s="1645"/>
    </row>
    <row r="846" spans="4:5">
      <c r="D846" s="1645"/>
      <c r="E846" s="1645"/>
    </row>
    <row r="847" spans="4:5">
      <c r="D847" s="1645"/>
      <c r="E847" s="1645"/>
    </row>
    <row r="848" spans="4:5">
      <c r="D848" s="1645"/>
      <c r="E848" s="1645"/>
    </row>
    <row r="849" spans="4:5">
      <c r="D849" s="1645"/>
      <c r="E849" s="1645"/>
    </row>
    <row r="850" spans="4:5">
      <c r="D850" s="1645"/>
      <c r="E850" s="1645"/>
    </row>
    <row r="851" spans="4:5">
      <c r="D851" s="1645"/>
      <c r="E851" s="1645"/>
    </row>
    <row r="852" spans="4:5">
      <c r="D852" s="1645"/>
      <c r="E852" s="1645"/>
    </row>
    <row r="853" spans="4:5">
      <c r="D853" s="1645"/>
      <c r="E853" s="1645"/>
    </row>
    <row r="854" spans="4:5">
      <c r="D854" s="1645"/>
      <c r="E854" s="1645"/>
    </row>
    <row r="855" spans="4:5">
      <c r="D855" s="1645"/>
      <c r="E855" s="1645"/>
    </row>
    <row r="856" spans="4:5">
      <c r="D856" s="1645"/>
      <c r="E856" s="1645"/>
    </row>
    <row r="857" spans="4:5">
      <c r="D857" s="1645"/>
      <c r="E857" s="1645"/>
    </row>
    <row r="858" spans="4:5">
      <c r="D858" s="1645"/>
      <c r="E858" s="1645"/>
    </row>
    <row r="859" spans="4:5">
      <c r="D859" s="1645"/>
      <c r="E859" s="1645"/>
    </row>
    <row r="860" spans="4:5">
      <c r="D860" s="1645"/>
      <c r="E860" s="1645"/>
    </row>
    <row r="861" spans="4:5">
      <c r="D861" s="1645"/>
      <c r="E861" s="1645"/>
    </row>
    <row r="862" spans="4:5">
      <c r="D862" s="1645"/>
      <c r="E862" s="1645"/>
    </row>
    <row r="863" spans="4:5">
      <c r="D863" s="1645"/>
      <c r="E863" s="1645"/>
    </row>
    <row r="864" spans="4:5">
      <c r="D864" s="1645"/>
      <c r="E864" s="1645"/>
    </row>
    <row r="865" spans="4:5">
      <c r="D865" s="1645"/>
      <c r="E865" s="1645"/>
    </row>
    <row r="866" spans="4:5">
      <c r="D866" s="1645"/>
      <c r="E866" s="1645"/>
    </row>
    <row r="867" spans="4:5">
      <c r="D867" s="1645"/>
      <c r="E867" s="1645"/>
    </row>
    <row r="868" spans="4:5">
      <c r="D868" s="1645"/>
      <c r="E868" s="1645"/>
    </row>
    <row r="869" spans="4:5">
      <c r="D869" s="1645"/>
      <c r="E869" s="1645"/>
    </row>
    <row r="870" spans="4:5">
      <c r="D870" s="1645"/>
      <c r="E870" s="1645"/>
    </row>
    <row r="871" spans="4:5">
      <c r="D871" s="1645"/>
      <c r="E871" s="1645"/>
    </row>
    <row r="872" spans="4:5">
      <c r="D872" s="1645"/>
      <c r="E872" s="1645"/>
    </row>
    <row r="873" spans="4:5">
      <c r="D873" s="1645"/>
      <c r="E873" s="1645"/>
    </row>
    <row r="874" spans="4:5">
      <c r="D874" s="1645"/>
      <c r="E874" s="1645"/>
    </row>
    <row r="875" spans="4:5">
      <c r="D875" s="1645"/>
      <c r="E875" s="1645"/>
    </row>
    <row r="876" spans="4:5">
      <c r="D876" s="1645"/>
      <c r="E876" s="1645"/>
    </row>
    <row r="877" spans="4:5">
      <c r="D877" s="1645"/>
      <c r="E877" s="1645"/>
    </row>
    <row r="878" spans="4:5">
      <c r="D878" s="1645"/>
      <c r="E878" s="1645"/>
    </row>
    <row r="879" spans="4:5">
      <c r="D879" s="1645"/>
      <c r="E879" s="1645"/>
    </row>
    <row r="880" spans="4:5">
      <c r="D880" s="1645"/>
      <c r="E880" s="1645"/>
    </row>
    <row r="881" spans="4:5">
      <c r="D881" s="1645"/>
      <c r="E881" s="1645"/>
    </row>
    <row r="882" spans="4:5">
      <c r="D882" s="1645"/>
      <c r="E882" s="1645"/>
    </row>
    <row r="883" spans="4:5">
      <c r="D883" s="1645"/>
      <c r="E883" s="1645"/>
    </row>
    <row r="884" spans="4:5">
      <c r="D884" s="1645"/>
      <c r="E884" s="1645"/>
    </row>
    <row r="885" spans="4:5">
      <c r="D885" s="1645"/>
      <c r="E885" s="1645"/>
    </row>
    <row r="886" spans="4:5">
      <c r="D886" s="1645"/>
      <c r="E886" s="1645"/>
    </row>
    <row r="887" spans="4:5">
      <c r="D887" s="1645"/>
      <c r="E887" s="1645"/>
    </row>
    <row r="888" spans="4:5">
      <c r="D888" s="1645"/>
      <c r="E888" s="1645"/>
    </row>
    <row r="889" spans="4:5">
      <c r="D889" s="1645"/>
      <c r="E889" s="1645"/>
    </row>
    <row r="890" spans="4:5">
      <c r="D890" s="1645"/>
      <c r="E890" s="1645"/>
    </row>
    <row r="891" spans="4:5">
      <c r="D891" s="1645"/>
      <c r="E891" s="1645"/>
    </row>
    <row r="892" spans="4:5">
      <c r="D892" s="1645"/>
      <c r="E892" s="1645"/>
    </row>
    <row r="893" spans="4:5">
      <c r="D893" s="1645"/>
      <c r="E893" s="1645"/>
    </row>
    <row r="894" spans="4:5">
      <c r="D894" s="1645"/>
      <c r="E894" s="1645"/>
    </row>
    <row r="895" spans="4:5">
      <c r="D895" s="1645"/>
      <c r="E895" s="1645"/>
    </row>
    <row r="896" spans="4:5">
      <c r="D896" s="1645"/>
      <c r="E896" s="1645"/>
    </row>
    <row r="897" spans="4:5">
      <c r="D897" s="1645"/>
      <c r="E897" s="1645"/>
    </row>
    <row r="898" spans="4:5">
      <c r="D898" s="1645"/>
      <c r="E898" s="1645"/>
    </row>
    <row r="899" spans="4:5">
      <c r="D899" s="1645"/>
      <c r="E899" s="1645"/>
    </row>
    <row r="900" spans="4:5">
      <c r="D900" s="1645"/>
      <c r="E900" s="1645"/>
    </row>
    <row r="901" spans="4:5">
      <c r="D901" s="1645"/>
      <c r="E901" s="1645"/>
    </row>
    <row r="902" spans="4:5">
      <c r="D902" s="1645"/>
      <c r="E902" s="1645"/>
    </row>
    <row r="903" spans="4:5">
      <c r="D903" s="1645"/>
      <c r="E903" s="1645"/>
    </row>
    <row r="904" spans="4:5">
      <c r="D904" s="1645"/>
      <c r="E904" s="1645"/>
    </row>
    <row r="905" spans="4:5">
      <c r="D905" s="1645"/>
      <c r="E905" s="1645"/>
    </row>
    <row r="906" spans="4:5">
      <c r="D906" s="1645"/>
      <c r="E906" s="1645"/>
    </row>
    <row r="907" spans="4:5">
      <c r="D907" s="1645"/>
      <c r="E907" s="1645"/>
    </row>
    <row r="908" spans="4:5">
      <c r="D908" s="1645"/>
      <c r="E908" s="1645"/>
    </row>
    <row r="909" spans="4:5">
      <c r="D909" s="1645"/>
      <c r="E909" s="1645"/>
    </row>
    <row r="910" spans="4:5">
      <c r="D910" s="1645"/>
      <c r="E910" s="1645"/>
    </row>
    <row r="911" spans="4:5">
      <c r="D911" s="1645"/>
      <c r="E911" s="1645"/>
    </row>
    <row r="912" spans="4:5">
      <c r="D912" s="1645"/>
      <c r="E912" s="1645"/>
    </row>
    <row r="913" spans="4:5">
      <c r="D913" s="1645"/>
      <c r="E913" s="1645"/>
    </row>
    <row r="914" spans="4:5">
      <c r="D914" s="1645"/>
      <c r="E914" s="1645"/>
    </row>
    <row r="915" spans="4:5">
      <c r="D915" s="1645"/>
      <c r="E915" s="1645"/>
    </row>
    <row r="916" spans="4:5">
      <c r="D916" s="1645"/>
      <c r="E916" s="1645"/>
    </row>
    <row r="917" spans="4:5">
      <c r="D917" s="1645"/>
      <c r="E917" s="1645"/>
    </row>
    <row r="918" spans="4:5">
      <c r="D918" s="1645"/>
      <c r="E918" s="1645"/>
    </row>
    <row r="919" spans="4:5">
      <c r="D919" s="1645"/>
      <c r="E919" s="1645"/>
    </row>
    <row r="920" spans="4:5">
      <c r="D920" s="1645"/>
      <c r="E920" s="1645"/>
    </row>
    <row r="921" spans="4:5">
      <c r="D921" s="1645"/>
      <c r="E921" s="1645"/>
    </row>
    <row r="922" spans="4:5">
      <c r="D922" s="1645"/>
      <c r="E922" s="1645"/>
    </row>
    <row r="923" spans="4:5">
      <c r="D923" s="1645"/>
      <c r="E923" s="1645"/>
    </row>
    <row r="924" spans="4:5">
      <c r="D924" s="1645"/>
      <c r="E924" s="1645"/>
    </row>
    <row r="925" spans="4:5">
      <c r="D925" s="1645"/>
      <c r="E925" s="1645"/>
    </row>
    <row r="926" spans="4:5">
      <c r="D926" s="1645"/>
      <c r="E926" s="1645"/>
    </row>
    <row r="927" spans="4:5">
      <c r="D927" s="1645"/>
      <c r="E927" s="1645"/>
    </row>
    <row r="928" spans="4:5">
      <c r="D928" s="1645"/>
      <c r="E928" s="1645"/>
    </row>
    <row r="929" spans="4:5">
      <c r="D929" s="1645"/>
      <c r="E929" s="1645"/>
    </row>
    <row r="930" spans="4:5">
      <c r="D930" s="1645"/>
      <c r="E930" s="1645"/>
    </row>
    <row r="931" spans="4:5">
      <c r="D931" s="1645"/>
      <c r="E931" s="1645"/>
    </row>
    <row r="932" spans="4:5">
      <c r="D932" s="1645"/>
      <c r="E932" s="1645"/>
    </row>
    <row r="933" spans="4:5">
      <c r="D933" s="1645"/>
      <c r="E933" s="1645"/>
    </row>
    <row r="934" spans="4:5">
      <c r="D934" s="1645"/>
      <c r="E934" s="1645"/>
    </row>
    <row r="935" spans="4:5">
      <c r="D935" s="1645"/>
      <c r="E935" s="1645"/>
    </row>
    <row r="936" spans="4:5">
      <c r="D936" s="1645"/>
      <c r="E936" s="1645"/>
    </row>
    <row r="937" spans="4:5">
      <c r="D937" s="1645"/>
      <c r="E937" s="1645"/>
    </row>
    <row r="938" spans="4:5">
      <c r="D938" s="1645"/>
      <c r="E938" s="1645"/>
    </row>
    <row r="939" spans="4:5">
      <c r="D939" s="1645"/>
      <c r="E939" s="1645"/>
    </row>
    <row r="940" spans="4:5">
      <c r="D940" s="1645"/>
      <c r="E940" s="1645"/>
    </row>
    <row r="941" spans="4:5">
      <c r="D941" s="1645"/>
      <c r="E941" s="1645"/>
    </row>
    <row r="942" spans="4:5">
      <c r="D942" s="1645"/>
      <c r="E942" s="1645"/>
    </row>
    <row r="943" spans="4:5">
      <c r="D943" s="1645"/>
      <c r="E943" s="1645"/>
    </row>
    <row r="944" spans="4:5">
      <c r="D944" s="1645"/>
      <c r="E944" s="1645"/>
    </row>
    <row r="945" spans="4:5">
      <c r="D945" s="1645"/>
      <c r="E945" s="1645"/>
    </row>
    <row r="946" spans="4:5">
      <c r="D946" s="1645"/>
      <c r="E946" s="1645"/>
    </row>
    <row r="947" spans="4:5">
      <c r="D947" s="1645"/>
      <c r="E947" s="1645"/>
    </row>
    <row r="948" spans="4:5">
      <c r="D948" s="1645"/>
      <c r="E948" s="1645"/>
    </row>
    <row r="949" spans="4:5">
      <c r="D949" s="1645"/>
      <c r="E949" s="1645"/>
    </row>
    <row r="950" spans="4:5">
      <c r="D950" s="1645"/>
      <c r="E950" s="1645"/>
    </row>
    <row r="951" spans="4:5">
      <c r="D951" s="1645"/>
      <c r="E951" s="1645"/>
    </row>
    <row r="952" spans="4:5">
      <c r="D952" s="1645"/>
      <c r="E952" s="1645"/>
    </row>
    <row r="953" spans="4:5">
      <c r="D953" s="1645"/>
      <c r="E953" s="1645"/>
    </row>
    <row r="954" spans="4:5">
      <c r="D954" s="1645"/>
      <c r="E954" s="1645"/>
    </row>
    <row r="955" spans="4:5">
      <c r="D955" s="1645"/>
      <c r="E955" s="1645"/>
    </row>
    <row r="956" spans="4:5">
      <c r="D956" s="1645"/>
      <c r="E956" s="1645"/>
    </row>
    <row r="957" spans="4:5">
      <c r="D957" s="1645"/>
      <c r="E957" s="1645"/>
    </row>
    <row r="958" spans="4:5">
      <c r="D958" s="1645"/>
      <c r="E958" s="1645"/>
    </row>
    <row r="959" spans="4:5">
      <c r="D959" s="1645"/>
      <c r="E959" s="1645"/>
    </row>
    <row r="960" spans="4:5">
      <c r="D960" s="1645"/>
      <c r="E960" s="1645"/>
    </row>
    <row r="961" spans="4:5">
      <c r="D961" s="1645"/>
      <c r="E961" s="1645"/>
    </row>
    <row r="962" spans="4:5">
      <c r="D962" s="1645"/>
      <c r="E962" s="1645"/>
    </row>
    <row r="963" spans="4:5">
      <c r="D963" s="1645"/>
      <c r="E963" s="1645"/>
    </row>
    <row r="964" spans="4:5">
      <c r="D964" s="1645"/>
      <c r="E964" s="1645"/>
    </row>
    <row r="965" spans="4:5">
      <c r="D965" s="1645"/>
      <c r="E965" s="1645"/>
    </row>
    <row r="966" spans="4:5">
      <c r="D966" s="1645"/>
      <c r="E966" s="1645"/>
    </row>
    <row r="967" spans="4:5">
      <c r="D967" s="1645"/>
      <c r="E967" s="1645"/>
    </row>
    <row r="968" spans="4:5">
      <c r="D968" s="1645"/>
      <c r="E968" s="1645"/>
    </row>
    <row r="969" spans="4:5">
      <c r="D969" s="1645"/>
      <c r="E969" s="1645"/>
    </row>
    <row r="970" spans="4:5">
      <c r="D970" s="1645"/>
      <c r="E970" s="1645"/>
    </row>
    <row r="971" spans="4:5">
      <c r="D971" s="1645"/>
      <c r="E971" s="1645"/>
    </row>
    <row r="972" spans="4:5">
      <c r="D972" s="1645"/>
      <c r="E972" s="1645"/>
    </row>
    <row r="973" spans="4:5">
      <c r="D973" s="1645"/>
      <c r="E973" s="1645"/>
    </row>
    <row r="974" spans="4:5">
      <c r="D974" s="1645"/>
      <c r="E974" s="1645"/>
    </row>
    <row r="975" spans="4:5">
      <c r="D975" s="1645"/>
      <c r="E975" s="1645"/>
    </row>
    <row r="976" spans="4:5">
      <c r="D976" s="1645"/>
      <c r="E976" s="1645"/>
    </row>
    <row r="977" spans="4:5">
      <c r="D977" s="1645"/>
      <c r="E977" s="1645"/>
    </row>
    <row r="978" spans="4:5">
      <c r="D978" s="1645"/>
      <c r="E978" s="1645"/>
    </row>
    <row r="979" spans="4:5">
      <c r="D979" s="1645"/>
      <c r="E979" s="1645"/>
    </row>
    <row r="980" spans="4:5">
      <c r="D980" s="1645"/>
      <c r="E980" s="1645"/>
    </row>
    <row r="981" spans="4:5">
      <c r="D981" s="1645"/>
      <c r="E981" s="1645"/>
    </row>
    <row r="982" spans="4:5">
      <c r="D982" s="1645"/>
      <c r="E982" s="1645"/>
    </row>
    <row r="983" spans="4:5">
      <c r="D983" s="1645"/>
      <c r="E983" s="1645"/>
    </row>
    <row r="984" spans="4:5">
      <c r="D984" s="1645"/>
      <c r="E984" s="1645"/>
    </row>
    <row r="985" spans="4:5">
      <c r="D985" s="1645"/>
      <c r="E985" s="1645"/>
    </row>
    <row r="986" spans="4:5">
      <c r="D986" s="1645"/>
      <c r="E986" s="1645"/>
    </row>
    <row r="987" spans="4:5">
      <c r="D987" s="1645"/>
      <c r="E987" s="1645"/>
    </row>
    <row r="988" spans="4:5">
      <c r="D988" s="1645"/>
      <c r="E988" s="1645"/>
    </row>
    <row r="989" spans="4:5">
      <c r="D989" s="1645"/>
      <c r="E989" s="1645"/>
    </row>
    <row r="990" spans="4:5">
      <c r="D990" s="1645"/>
      <c r="E990" s="1645"/>
    </row>
    <row r="991" spans="4:5">
      <c r="D991" s="1645"/>
      <c r="E991" s="1645"/>
    </row>
    <row r="992" spans="4:5">
      <c r="D992" s="1645"/>
      <c r="E992" s="1645"/>
    </row>
    <row r="993" spans="4:5">
      <c r="D993" s="1645"/>
      <c r="E993" s="1645"/>
    </row>
    <row r="994" spans="4:5">
      <c r="D994" s="1645"/>
      <c r="E994" s="1645"/>
    </row>
    <row r="995" spans="4:5">
      <c r="D995" s="1645"/>
      <c r="E995" s="1645"/>
    </row>
    <row r="996" spans="4:5">
      <c r="D996" s="1645"/>
      <c r="E996" s="1645"/>
    </row>
    <row r="997" spans="4:5">
      <c r="D997" s="1645"/>
      <c r="E997" s="1645"/>
    </row>
    <row r="998" spans="4:5">
      <c r="D998" s="1645"/>
      <c r="E998" s="1645"/>
    </row>
    <row r="999" spans="4:5">
      <c r="D999" s="1645"/>
      <c r="E999" s="1645"/>
    </row>
    <row r="1000" spans="4:5">
      <c r="D1000" s="1645"/>
      <c r="E1000" s="1645"/>
    </row>
    <row r="1001" spans="4:5">
      <c r="D1001" s="1645"/>
      <c r="E1001" s="1645"/>
    </row>
    <row r="1002" spans="4:5">
      <c r="D1002" s="1645"/>
      <c r="E1002" s="1645"/>
    </row>
    <row r="1003" spans="4:5">
      <c r="D1003" s="1645"/>
      <c r="E1003" s="1645"/>
    </row>
    <row r="1004" spans="4:5">
      <c r="D1004" s="1645"/>
      <c r="E1004" s="1645"/>
    </row>
    <row r="1005" spans="4:5">
      <c r="D1005" s="1645"/>
      <c r="E1005" s="1645"/>
    </row>
    <row r="1006" spans="4:5">
      <c r="D1006" s="1645"/>
      <c r="E1006" s="1645"/>
    </row>
    <row r="1007" spans="4:5">
      <c r="D1007" s="1645"/>
      <c r="E1007" s="1645"/>
    </row>
    <row r="1008" spans="4:5">
      <c r="D1008" s="1645"/>
      <c r="E1008" s="1645"/>
    </row>
  </sheetData>
  <autoFilter ref="A1:L23" xr:uid="{1D77C78B-3055-49FF-8BE6-94F1FC5FE95D}"/>
  <sortState xmlns:xlrd2="http://schemas.microsoft.com/office/spreadsheetml/2017/richdata2" ref="B97:D121">
    <sortCondition ref="B97:B121"/>
  </sortState>
  <mergeCells count="173">
    <mergeCell ref="E104:E106"/>
    <mergeCell ref="E114:E116"/>
    <mergeCell ref="E100:E101"/>
    <mergeCell ref="E102:E103"/>
    <mergeCell ref="E107:E108"/>
    <mergeCell ref="E109:E110"/>
    <mergeCell ref="E111:E113"/>
    <mergeCell ref="A96:A121"/>
    <mergeCell ref="F96:F121"/>
    <mergeCell ref="A122:A145"/>
    <mergeCell ref="F122:F145"/>
    <mergeCell ref="A71:A95"/>
    <mergeCell ref="F71:F95"/>
    <mergeCell ref="A47:A70"/>
    <mergeCell ref="F47:F70"/>
    <mergeCell ref="E63:E64"/>
    <mergeCell ref="E61:E62"/>
    <mergeCell ref="E58:E59"/>
    <mergeCell ref="E47:E48"/>
    <mergeCell ref="E54:E55"/>
    <mergeCell ref="E52:E53"/>
    <mergeCell ref="E50:E51"/>
    <mergeCell ref="E56:E57"/>
    <mergeCell ref="E72:E74"/>
    <mergeCell ref="E76:E77"/>
    <mergeCell ref="E78:E79"/>
    <mergeCell ref="E80:E81"/>
    <mergeCell ref="E82:E83"/>
    <mergeCell ref="E84:E85"/>
    <mergeCell ref="E86:E87"/>
    <mergeCell ref="E89:E90"/>
    <mergeCell ref="E97:E99"/>
    <mergeCell ref="F763:F773"/>
    <mergeCell ref="A763:A773"/>
    <mergeCell ref="A715:A735"/>
    <mergeCell ref="F715:F735"/>
    <mergeCell ref="E715:E717"/>
    <mergeCell ref="E720:E722"/>
    <mergeCell ref="E723:E724"/>
    <mergeCell ref="E726:E727"/>
    <mergeCell ref="E729:E730"/>
    <mergeCell ref="A736:A762"/>
    <mergeCell ref="F736:F762"/>
    <mergeCell ref="E748:E749"/>
    <mergeCell ref="E751:E752"/>
    <mergeCell ref="E753:E754"/>
    <mergeCell ref="E755:E756"/>
    <mergeCell ref="E736:E739"/>
    <mergeCell ref="E740:E742"/>
    <mergeCell ref="E745:E746"/>
    <mergeCell ref="A697:A714"/>
    <mergeCell ref="F697:F714"/>
    <mergeCell ref="A677:A696"/>
    <mergeCell ref="F677:F696"/>
    <mergeCell ref="E656:E658"/>
    <mergeCell ref="E659:E661"/>
    <mergeCell ref="E665:E666"/>
    <mergeCell ref="E667:E668"/>
    <mergeCell ref="E669:E670"/>
    <mergeCell ref="F656:F676"/>
    <mergeCell ref="A656:A676"/>
    <mergeCell ref="E677:E678"/>
    <mergeCell ref="E684:E686"/>
    <mergeCell ref="E687:E688"/>
    <mergeCell ref="E689:E690"/>
    <mergeCell ref="E691:E692"/>
    <mergeCell ref="E680:E682"/>
    <mergeCell ref="E697:E699"/>
    <mergeCell ref="E701:E702"/>
    <mergeCell ref="E704:E705"/>
    <mergeCell ref="E706:E707"/>
    <mergeCell ref="E709:E710"/>
    <mergeCell ref="E3:E4"/>
    <mergeCell ref="A2:A23"/>
    <mergeCell ref="F2:F23"/>
    <mergeCell ref="A448:A472"/>
    <mergeCell ref="F448:F472"/>
    <mergeCell ref="A422:A447"/>
    <mergeCell ref="F422:F447"/>
    <mergeCell ref="E435:E436"/>
    <mergeCell ref="E438:E439"/>
    <mergeCell ref="E440:E441"/>
    <mergeCell ref="E429:E430"/>
    <mergeCell ref="E427:E428"/>
    <mergeCell ref="E425:E426"/>
    <mergeCell ref="E422:E424"/>
    <mergeCell ref="E431:E434"/>
    <mergeCell ref="E448:E449"/>
    <mergeCell ref="E451:E452"/>
    <mergeCell ref="E458:E459"/>
    <mergeCell ref="E460:E461"/>
    <mergeCell ref="E462:E463"/>
    <mergeCell ref="E464:E465"/>
    <mergeCell ref="F398:F421"/>
    <mergeCell ref="E399:E400"/>
    <mergeCell ref="F350:F372"/>
    <mergeCell ref="A350:A372"/>
    <mergeCell ref="A325:A349"/>
    <mergeCell ref="F325:F349"/>
    <mergeCell ref="A587:A613"/>
    <mergeCell ref="E495:E496"/>
    <mergeCell ref="A398:A421"/>
    <mergeCell ref="E523:E524"/>
    <mergeCell ref="A373:A397"/>
    <mergeCell ref="F373:F397"/>
    <mergeCell ref="E403:E405"/>
    <mergeCell ref="E406:E407"/>
    <mergeCell ref="F473:F504"/>
    <mergeCell ref="A473:A504"/>
    <mergeCell ref="A505:A534"/>
    <mergeCell ref="F505:F534"/>
    <mergeCell ref="E474:E475"/>
    <mergeCell ref="E476:E477"/>
    <mergeCell ref="E478:E479"/>
    <mergeCell ref="E481:E482"/>
    <mergeCell ref="E483:E484"/>
    <mergeCell ref="E486:E487"/>
    <mergeCell ref="E488:E489"/>
    <mergeCell ref="E579:E580"/>
    <mergeCell ref="E563:E565"/>
    <mergeCell ref="E416:E417"/>
    <mergeCell ref="E418:E419"/>
    <mergeCell ref="E420:E421"/>
    <mergeCell ref="E601:E603"/>
    <mergeCell ref="E592:E595"/>
    <mergeCell ref="E588:E590"/>
    <mergeCell ref="E490:E491"/>
    <mergeCell ref="E492:E493"/>
    <mergeCell ref="E505:E506"/>
    <mergeCell ref="E507:E508"/>
    <mergeCell ref="E509:E511"/>
    <mergeCell ref="E512:E513"/>
    <mergeCell ref="E515:E516"/>
    <mergeCell ref="E518:E520"/>
    <mergeCell ref="E521:E522"/>
    <mergeCell ref="E538:E540"/>
    <mergeCell ref="E541:E542"/>
    <mergeCell ref="E543:E544"/>
    <mergeCell ref="E549:E550"/>
    <mergeCell ref="A24:A46"/>
    <mergeCell ref="F24:F46"/>
    <mergeCell ref="A636:A655"/>
    <mergeCell ref="F636:F655"/>
    <mergeCell ref="E636:E637"/>
    <mergeCell ref="E638:E639"/>
    <mergeCell ref="E640:E642"/>
    <mergeCell ref="E645:E646"/>
    <mergeCell ref="E647:E648"/>
    <mergeCell ref="E649:E650"/>
    <mergeCell ref="A614:A635"/>
    <mergeCell ref="F614:F635"/>
    <mergeCell ref="E615:E617"/>
    <mergeCell ref="E621:E622"/>
    <mergeCell ref="E623:E624"/>
    <mergeCell ref="E625:E626"/>
    <mergeCell ref="E627:E629"/>
    <mergeCell ref="E619:E620"/>
    <mergeCell ref="F587:F613"/>
    <mergeCell ref="E599:E600"/>
    <mergeCell ref="E604:E605"/>
    <mergeCell ref="E606:E607"/>
    <mergeCell ref="E408:E409"/>
    <mergeCell ref="E413:E414"/>
    <mergeCell ref="A563:A586"/>
    <mergeCell ref="F563:F586"/>
    <mergeCell ref="A535:A562"/>
    <mergeCell ref="F535:F562"/>
    <mergeCell ref="E536:E537"/>
    <mergeCell ref="E551:E552"/>
    <mergeCell ref="E553:E554"/>
    <mergeCell ref="E568:E570"/>
    <mergeCell ref="E573:E574"/>
    <mergeCell ref="E577:E578"/>
  </mergeCells>
  <phoneticPr fontId="52" type="noConversion"/>
  <conditionalFormatting sqref="D13:D27 D29 D31 D33:D39 D41 D43 D45 D47:D50 E52 D53:D55 D56:E56 D57 D58:E58 D59 D60:E61 D62 D63:E63 D64 D65:E68 D69:D70 E71:E72 D72:D74 D75:E76 D77:D81 D82:E82 D83 D84:E84 D85 D86:E86 D87 D88:E89 D90 D91:E91 D351:D398 D399:E399 D400 D401:E404 D405 D406:E406 D407 D408:E408 D409 D410:E413 D414 D415:E416 D417 D418:E418 D419 D420:E420 D421 D422:E422 D423:D424 D425:E425 D426 D427:E427 D428 D429:E429 D430 D431:E431 D432:D434 D435:E435 D436 D437:E438 D439 D440:E440 D441 D442:E448 D449 D450:E451 D452 D453:E458 D459 D460:E460 D461 D462:E462 D463 D464:E464 D465 D466:E474 D475:D479 E476 E478 D480:E480 E481 D481:D484 E483 D485:E485 E486 D486:D493 E488 E490 E492 D494:E494 E495 D495:D496 D497:E505 D506 D507:E507 D508 D509:E509 D510:D511 D512:E512 D513 D514:E515 D516 D517:E518 D519:D520 D521:E521 D522 D523:E523 D524 D525:E536 D537 D538:E538 D539:D540 D541:E541 D542 D543:E543 D544:D546 D547:E549 D550 D551:E551 D552:D554 E553 D555:E563 D564:D565 D566:E568 D569:D570 D571:E573 D574 D575:E575 D576 D577:E577 D578 D579:E579 D580 D581:E588 D589:D590 D591:E592 D593:D595 D596:E599 D600 D601:E601 D602:D603 D604:E604 D605 D606:E606 D607 D608:E615 D616:D620 E619 D621:E621 D622 D623:E623 D624 D625:E625 D626 D627:E627 D628:D629 D630:E636 D637 D638:E638 D639 D640:E640 D641:D642 D643:E645 D646 D647:E647 D648 D649:E649 D650 D651:E656 D657:D658 D659:E659 D660:D661 D662:E665 D666 D667:E667 D668 D669:E669 D670 D671:E677 D678 D679:E679 D680:D696 D697:E697 D698:D699 D700:E701 D702 D703:E704 D705 D706:E706 D707 D708:E709 D710 D711:E715 D716:D717 D718:E720 D721:D722 D723:E723 D724 D725:E726 D727 D728:E729 D730 D731:E736 D737:D739 D740:E740 D741:D743 D744:E745 D746 D747:E748 D749 D750:E751 D752 D753:E753 D754 D755:E755 D756 D757:E1008">
    <cfRule type="cellIs" dxfId="133" priority="99" operator="between">
      <formula>1.5</formula>
      <formula>1.89</formula>
    </cfRule>
    <cfRule type="cellIs" dxfId="132" priority="100" operator="greaterThan">
      <formula>1.89</formula>
    </cfRule>
  </conditionalFormatting>
  <conditionalFormatting sqref="D92:D349">
    <cfRule type="cellIs" dxfId="131" priority="7" operator="between">
      <formula>1.5</formula>
      <formula>1.89</formula>
    </cfRule>
    <cfRule type="cellIs" dxfId="130" priority="8" operator="greaterThan">
      <formula>1.89</formula>
    </cfRule>
  </conditionalFormatting>
  <conditionalFormatting sqref="D2:E3 D4 D5:E12">
    <cfRule type="cellIs" dxfId="129" priority="3" operator="between">
      <formula>1.5</formula>
      <formula>1.89</formula>
    </cfRule>
    <cfRule type="cellIs" dxfId="128" priority="4" operator="greaterThan">
      <formula>1.89</formula>
    </cfRule>
  </conditionalFormatting>
  <conditionalFormatting sqref="E15">
    <cfRule type="cellIs" dxfId="127" priority="17" operator="between">
      <formula>1.5</formula>
      <formula>1.89</formula>
    </cfRule>
    <cfRule type="cellIs" dxfId="126" priority="18" operator="greaterThan">
      <formula>1.89</formula>
    </cfRule>
  </conditionalFormatting>
  <conditionalFormatting sqref="E23">
    <cfRule type="cellIs" dxfId="125" priority="65" operator="between">
      <formula>1.5</formula>
      <formula>1.89</formula>
    </cfRule>
    <cfRule type="cellIs" dxfId="124" priority="66" operator="greaterThan">
      <formula>1.89</formula>
    </cfRule>
  </conditionalFormatting>
  <conditionalFormatting sqref="E46">
    <cfRule type="cellIs" dxfId="123" priority="13" operator="between">
      <formula>1.5</formula>
      <formula>1.89</formula>
    </cfRule>
    <cfRule type="cellIs" dxfId="122" priority="14" operator="greaterThan">
      <formula>1.89</formula>
    </cfRule>
  </conditionalFormatting>
  <conditionalFormatting sqref="E93">
    <cfRule type="cellIs" dxfId="121" priority="5" operator="between">
      <formula>1.5</formula>
      <formula>1.89</formula>
    </cfRule>
    <cfRule type="cellIs" dxfId="120" priority="6" operator="greaterThan">
      <formula>1.89</formula>
    </cfRule>
  </conditionalFormatting>
  <conditionalFormatting sqref="E95:E97 E100 E102 E104 E107 E109 E111 E114 E117:E398">
    <cfRule type="cellIs" dxfId="119" priority="1" operator="between">
      <formula>1.5</formula>
      <formula>1.89</formula>
    </cfRule>
    <cfRule type="cellIs" dxfId="118" priority="2" operator="greaterThan">
      <formula>1.89</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B1A5-18A5-4D69-AA8F-F06525FC949A}">
  <sheetPr>
    <tabColor theme="9" tint="0.39997558519241921"/>
  </sheetPr>
  <dimension ref="A1:J403"/>
  <sheetViews>
    <sheetView zoomScale="85" zoomScaleNormal="85" workbookViewId="0">
      <pane ySplit="1" topLeftCell="A34" activePane="bottomLeft" state="frozen"/>
      <selection pane="bottomLeft" activeCell="B49" sqref="B49"/>
    </sheetView>
  </sheetViews>
  <sheetFormatPr defaultColWidth="8.21875" defaultRowHeight="13.8"/>
  <cols>
    <col min="1" max="1" width="16.21875" style="484" customWidth="1"/>
    <col min="2" max="2" width="25.21875" style="302" customWidth="1"/>
    <col min="3" max="3" width="16.21875" style="439" customWidth="1"/>
    <col min="4" max="4" width="7" style="485" customWidth="1"/>
    <col min="5" max="5" width="15.21875" style="716" customWidth="1"/>
    <col min="6" max="6" width="14.77734375" style="484" customWidth="1"/>
    <col min="7" max="7" width="13.21875" style="302" bestFit="1" customWidth="1"/>
    <col min="8" max="8" width="14.21875" style="302" customWidth="1"/>
    <col min="9" max="9" width="20.21875" style="302" bestFit="1" customWidth="1"/>
    <col min="10" max="10" width="13.21875" style="302" bestFit="1" customWidth="1"/>
    <col min="11" max="16384" width="8.21875" style="302"/>
  </cols>
  <sheetData>
    <row r="1" spans="1:10" ht="14.4" thickBot="1">
      <c r="A1" s="480" t="s">
        <v>1242</v>
      </c>
      <c r="B1" s="481" t="s">
        <v>1243</v>
      </c>
      <c r="C1" s="489" t="s">
        <v>1244</v>
      </c>
      <c r="D1" s="482" t="s">
        <v>460</v>
      </c>
      <c r="E1" s="715" t="s">
        <v>1462</v>
      </c>
      <c r="F1" s="483" t="s">
        <v>1246</v>
      </c>
    </row>
    <row r="2" spans="1:10" ht="14.85" customHeight="1">
      <c r="A2" s="3104">
        <v>45870</v>
      </c>
      <c r="B2" s="1069" t="s">
        <v>1463</v>
      </c>
      <c r="C2" s="1942" t="s">
        <v>1464</v>
      </c>
      <c r="D2" s="968">
        <v>1.88</v>
      </c>
      <c r="E2" s="3118">
        <f>+AVERAGE(D2:D7)</f>
        <v>1.99</v>
      </c>
      <c r="F2" s="3107">
        <v>45869</v>
      </c>
    </row>
    <row r="3" spans="1:10" ht="14.85" customHeight="1">
      <c r="A3" s="3105"/>
      <c r="B3" s="1120" t="s">
        <v>1465</v>
      </c>
      <c r="C3" s="1274" t="s">
        <v>1466</v>
      </c>
      <c r="D3" s="1242">
        <v>2</v>
      </c>
      <c r="E3" s="2979"/>
      <c r="F3" s="3108"/>
    </row>
    <row r="4" spans="1:10" ht="14.85" customHeight="1">
      <c r="A4" s="3105"/>
      <c r="B4" s="1120" t="s">
        <v>1467</v>
      </c>
      <c r="C4" s="1274" t="s">
        <v>1468</v>
      </c>
      <c r="D4" s="1242">
        <v>1.69</v>
      </c>
      <c r="E4" s="2979"/>
      <c r="F4" s="3108"/>
    </row>
    <row r="5" spans="1:10" ht="14.85" customHeight="1">
      <c r="A5" s="3105"/>
      <c r="B5" s="1120" t="s">
        <v>1469</v>
      </c>
      <c r="C5" s="1274" t="s">
        <v>1470</v>
      </c>
      <c r="D5" s="1242">
        <v>2.95</v>
      </c>
      <c r="E5" s="2979"/>
      <c r="F5" s="3108"/>
    </row>
    <row r="6" spans="1:10" ht="14.85" customHeight="1">
      <c r="A6" s="3105"/>
      <c r="B6" s="1120" t="s">
        <v>1261</v>
      </c>
      <c r="C6" s="1274" t="s">
        <v>1471</v>
      </c>
      <c r="D6" s="1242">
        <v>1.44</v>
      </c>
      <c r="E6" s="2979"/>
      <c r="F6" s="3108"/>
    </row>
    <row r="7" spans="1:10" ht="14.85" customHeight="1">
      <c r="A7" s="3105"/>
      <c r="B7" s="1120" t="s">
        <v>529</v>
      </c>
      <c r="C7" s="1274" t="s">
        <v>1472</v>
      </c>
      <c r="D7" s="1242">
        <v>1.98</v>
      </c>
      <c r="E7" s="2980"/>
      <c r="F7" s="3108"/>
    </row>
    <row r="8" spans="1:10" ht="14.85" customHeight="1">
      <c r="A8" s="3105"/>
      <c r="B8" s="1120" t="s">
        <v>1473</v>
      </c>
      <c r="C8" s="1274" t="s">
        <v>1474</v>
      </c>
      <c r="D8" s="1242">
        <v>3.2</v>
      </c>
      <c r="E8" s="1242" t="s">
        <v>1266</v>
      </c>
      <c r="F8" s="3108"/>
      <c r="J8" s="485"/>
    </row>
    <row r="9" spans="1:10" ht="14.85" customHeight="1">
      <c r="A9" s="3105"/>
      <c r="B9" s="1120" t="s">
        <v>1475</v>
      </c>
      <c r="C9" s="1274" t="s">
        <v>1476</v>
      </c>
      <c r="D9" s="1242">
        <v>3.24</v>
      </c>
      <c r="E9" s="1242" t="s">
        <v>1263</v>
      </c>
      <c r="F9" s="3108"/>
    </row>
    <row r="10" spans="1:10" ht="14.85" customHeight="1" thickBot="1">
      <c r="A10" s="3105"/>
      <c r="B10" s="1518" t="s">
        <v>1477</v>
      </c>
      <c r="C10" s="1980" t="s">
        <v>1478</v>
      </c>
      <c r="D10" s="1527">
        <v>2.66</v>
      </c>
      <c r="E10" s="1527" t="s">
        <v>1266</v>
      </c>
      <c r="F10" s="3108"/>
    </row>
    <row r="11" spans="1:10">
      <c r="A11" s="3104">
        <v>45871</v>
      </c>
      <c r="B11" s="1069" t="s">
        <v>1475</v>
      </c>
      <c r="C11" s="1942" t="s">
        <v>1479</v>
      </c>
      <c r="D11" s="968">
        <v>3.15</v>
      </c>
      <c r="E11" s="3110">
        <f>AVERAGE(D11:D15,D18:D22)</f>
        <v>2.1320000000000006</v>
      </c>
      <c r="F11" s="3107">
        <v>45870</v>
      </c>
    </row>
    <row r="12" spans="1:10" ht="14.4" customHeight="1">
      <c r="A12" s="3105"/>
      <c r="B12" s="1120" t="s">
        <v>1477</v>
      </c>
      <c r="C12" s="1274" t="s">
        <v>1480</v>
      </c>
      <c r="D12" s="1242">
        <v>5.17</v>
      </c>
      <c r="E12" s="3111"/>
      <c r="F12" s="3108"/>
    </row>
    <row r="13" spans="1:10" ht="14.4" customHeight="1">
      <c r="A13" s="3105"/>
      <c r="B13" s="1120" t="s">
        <v>1463</v>
      </c>
      <c r="C13" s="1274" t="s">
        <v>1481</v>
      </c>
      <c r="D13" s="1242">
        <v>3.27</v>
      </c>
      <c r="E13" s="3111"/>
      <c r="F13" s="3108"/>
    </row>
    <row r="14" spans="1:10" ht="14.4" customHeight="1">
      <c r="A14" s="3105"/>
      <c r="B14" s="1120" t="s">
        <v>1465</v>
      </c>
      <c r="C14" s="1274" t="s">
        <v>1482</v>
      </c>
      <c r="D14" s="1242">
        <v>1.1200000000000001</v>
      </c>
      <c r="E14" s="3111"/>
      <c r="F14" s="3108"/>
    </row>
    <row r="15" spans="1:10" ht="14.4" customHeight="1">
      <c r="A15" s="3105"/>
      <c r="B15" s="1120" t="s">
        <v>1483</v>
      </c>
      <c r="C15" s="1274" t="s">
        <v>1484</v>
      </c>
      <c r="D15" s="1242">
        <v>3.2</v>
      </c>
      <c r="E15" s="3111"/>
      <c r="F15" s="3108"/>
    </row>
    <row r="16" spans="1:10" ht="14.4" customHeight="1">
      <c r="A16" s="3105"/>
      <c r="B16" s="1120" t="s">
        <v>1485</v>
      </c>
      <c r="C16" s="1274" t="s">
        <v>1486</v>
      </c>
      <c r="D16" s="1242">
        <v>0.7</v>
      </c>
      <c r="E16" s="3111"/>
      <c r="F16" s="3108"/>
    </row>
    <row r="17" spans="1:6" ht="14.4" customHeight="1">
      <c r="A17" s="3105"/>
      <c r="B17" s="1120" t="s">
        <v>1487</v>
      </c>
      <c r="C17" s="1274" t="s">
        <v>1488</v>
      </c>
      <c r="D17" s="1242">
        <v>0.66</v>
      </c>
      <c r="E17" s="3111"/>
      <c r="F17" s="3108"/>
    </row>
    <row r="18" spans="1:6" ht="14.4" customHeight="1">
      <c r="A18" s="3105"/>
      <c r="B18" s="1120" t="s">
        <v>1489</v>
      </c>
      <c r="C18" s="1274" t="s">
        <v>1490</v>
      </c>
      <c r="D18" s="1242">
        <v>0.96</v>
      </c>
      <c r="E18" s="3111"/>
      <c r="F18" s="3108"/>
    </row>
    <row r="19" spans="1:6" ht="14.4" customHeight="1">
      <c r="A19" s="3105"/>
      <c r="B19" s="1120" t="s">
        <v>1491</v>
      </c>
      <c r="C19" s="1274" t="s">
        <v>1492</v>
      </c>
      <c r="D19" s="1242">
        <v>1.1200000000000001</v>
      </c>
      <c r="E19" s="3111"/>
      <c r="F19" s="3108"/>
    </row>
    <row r="20" spans="1:6" ht="14.4">
      <c r="A20" s="3105"/>
      <c r="B20" s="1120" t="s">
        <v>1493</v>
      </c>
      <c r="C20" s="1274" t="s">
        <v>1494</v>
      </c>
      <c r="D20" s="1641">
        <v>1.1200000000000001</v>
      </c>
      <c r="E20" s="3111"/>
      <c r="F20" s="3108"/>
    </row>
    <row r="21" spans="1:6" ht="15" customHeight="1">
      <c r="A21" s="3105"/>
      <c r="B21" s="1120" t="s">
        <v>1467</v>
      </c>
      <c r="C21" s="1274" t="s">
        <v>1495</v>
      </c>
      <c r="D21" s="1641">
        <v>1.36</v>
      </c>
      <c r="E21" s="3111"/>
      <c r="F21" s="3108"/>
    </row>
    <row r="22" spans="1:6" ht="15" customHeight="1">
      <c r="A22" s="3105"/>
      <c r="B22" s="1120" t="s">
        <v>1469</v>
      </c>
      <c r="C22" s="1274" t="s">
        <v>1496</v>
      </c>
      <c r="D22" s="1641">
        <v>0.85</v>
      </c>
      <c r="E22" s="3112"/>
      <c r="F22" s="3108"/>
    </row>
    <row r="23" spans="1:6" ht="15" customHeight="1">
      <c r="A23" s="3105"/>
      <c r="B23" s="1120" t="s">
        <v>851</v>
      </c>
      <c r="C23" s="1274" t="s">
        <v>1497</v>
      </c>
      <c r="D23" s="1242">
        <v>1.01</v>
      </c>
      <c r="E23" s="1242" t="s">
        <v>1263</v>
      </c>
      <c r="F23" s="3108"/>
    </row>
    <row r="24" spans="1:6" ht="15" customHeight="1">
      <c r="A24" s="3105"/>
      <c r="B24" s="1120" t="s">
        <v>529</v>
      </c>
      <c r="C24" s="1274" t="s">
        <v>1498</v>
      </c>
      <c r="D24" s="1641">
        <v>0</v>
      </c>
      <c r="E24" s="1710" t="s">
        <v>1266</v>
      </c>
      <c r="F24" s="3108"/>
    </row>
    <row r="25" spans="1:6" ht="15" customHeight="1" thickBot="1">
      <c r="A25" s="3105"/>
      <c r="B25" s="1518" t="s">
        <v>1499</v>
      </c>
      <c r="C25" s="1980" t="s">
        <v>1500</v>
      </c>
      <c r="D25" s="1648">
        <v>0.51</v>
      </c>
      <c r="E25" s="1527"/>
      <c r="F25" s="3108"/>
    </row>
    <row r="26" spans="1:6" ht="15" customHeight="1">
      <c r="A26" s="3104">
        <v>45872</v>
      </c>
      <c r="B26" s="1069" t="s">
        <v>1475</v>
      </c>
      <c r="C26" s="1942" t="s">
        <v>1501</v>
      </c>
      <c r="D26" s="1817">
        <v>1.57</v>
      </c>
      <c r="E26" s="3113">
        <f>+AVERAGE(D26,D28)</f>
        <v>1.67</v>
      </c>
      <c r="F26" s="3107">
        <v>45871</v>
      </c>
    </row>
    <row r="27" spans="1:6" ht="15" customHeight="1">
      <c r="A27" s="3105"/>
      <c r="B27" s="1120" t="s">
        <v>1477</v>
      </c>
      <c r="C27" s="1274" t="s">
        <v>1502</v>
      </c>
      <c r="D27" s="1641">
        <v>1.17</v>
      </c>
      <c r="E27" s="3114"/>
      <c r="F27" s="3108"/>
    </row>
    <row r="28" spans="1:6" ht="15" customHeight="1">
      <c r="A28" s="3105"/>
      <c r="B28" s="1120" t="s">
        <v>1463</v>
      </c>
      <c r="C28" s="1274" t="s">
        <v>1503</v>
      </c>
      <c r="D28" s="1641">
        <v>1.77</v>
      </c>
      <c r="E28" s="3114"/>
      <c r="F28" s="3108"/>
    </row>
    <row r="29" spans="1:6" ht="15" customHeight="1">
      <c r="A29" s="3105"/>
      <c r="B29" s="1120" t="s">
        <v>1465</v>
      </c>
      <c r="C29" s="1274" t="s">
        <v>1504</v>
      </c>
      <c r="D29" s="1641">
        <v>1.21</v>
      </c>
      <c r="E29" s="3115"/>
      <c r="F29" s="3108"/>
    </row>
    <row r="30" spans="1:6" ht="15" customHeight="1">
      <c r="A30" s="3105"/>
      <c r="B30" s="1120" t="s">
        <v>529</v>
      </c>
      <c r="C30" s="1274" t="s">
        <v>1505</v>
      </c>
      <c r="D30" s="1641">
        <v>0</v>
      </c>
      <c r="E30" s="1242" t="s">
        <v>1266</v>
      </c>
      <c r="F30" s="3108"/>
    </row>
    <row r="31" spans="1:6" ht="15.75" customHeight="1">
      <c r="A31" s="3105"/>
      <c r="B31" s="1120" t="s">
        <v>1506</v>
      </c>
      <c r="C31" s="1274" t="s">
        <v>1507</v>
      </c>
      <c r="D31" s="1641">
        <v>1.23</v>
      </c>
      <c r="E31" s="1242"/>
      <c r="F31" s="3108"/>
    </row>
    <row r="32" spans="1:6" ht="14.7" customHeight="1" thickBot="1">
      <c r="A32" s="3105"/>
      <c r="B32" s="1518" t="s">
        <v>851</v>
      </c>
      <c r="C32" s="1980" t="s">
        <v>1508</v>
      </c>
      <c r="D32" s="1527">
        <v>3.1</v>
      </c>
      <c r="E32" s="2616" t="s">
        <v>1266</v>
      </c>
      <c r="F32" s="3108"/>
    </row>
    <row r="33" spans="1:7" ht="14.7" customHeight="1">
      <c r="A33" s="3104">
        <v>45873</v>
      </c>
      <c r="B33" s="1069" t="s">
        <v>1463</v>
      </c>
      <c r="C33" s="1942" t="s">
        <v>1509</v>
      </c>
      <c r="D33" s="968">
        <v>2.19</v>
      </c>
      <c r="E33" s="3116">
        <f>AVERAGE(D33:D38)</f>
        <v>1.8160000000000001</v>
      </c>
      <c r="F33" s="3107">
        <v>45872</v>
      </c>
    </row>
    <row r="34" spans="1:7" ht="14.7" customHeight="1">
      <c r="A34" s="3105"/>
      <c r="B34" s="1120" t="s">
        <v>1465</v>
      </c>
      <c r="C34" s="1274" t="s">
        <v>1510</v>
      </c>
      <c r="D34" s="1242">
        <v>1.18</v>
      </c>
      <c r="E34" s="3117"/>
      <c r="F34" s="3108"/>
    </row>
    <row r="35" spans="1:7" ht="14.7" customHeight="1">
      <c r="A35" s="3105"/>
      <c r="B35" s="1120" t="s">
        <v>1487</v>
      </c>
      <c r="C35" s="1274" t="s">
        <v>1511</v>
      </c>
      <c r="D35" s="1242">
        <v>0.96</v>
      </c>
      <c r="E35" s="3117"/>
      <c r="F35" s="3108"/>
    </row>
    <row r="36" spans="1:7" ht="14.7" hidden="1" customHeight="1">
      <c r="A36" s="3105"/>
      <c r="B36" s="1120" t="s">
        <v>1489</v>
      </c>
      <c r="C36" s="1274" t="s">
        <v>1512</v>
      </c>
      <c r="D36" s="1242"/>
      <c r="E36" s="3117"/>
      <c r="F36" s="3108"/>
    </row>
    <row r="37" spans="1:7" ht="14.7" customHeight="1">
      <c r="A37" s="3105"/>
      <c r="B37" s="1120" t="s">
        <v>1467</v>
      </c>
      <c r="C37" s="1274" t="s">
        <v>1513</v>
      </c>
      <c r="D37" s="1242">
        <v>3.23</v>
      </c>
      <c r="E37" s="3117"/>
      <c r="F37" s="3108"/>
    </row>
    <row r="38" spans="1:7" ht="14.7" customHeight="1">
      <c r="A38" s="3105"/>
      <c r="B38" s="1120" t="s">
        <v>1469</v>
      </c>
      <c r="C38" s="1274" t="s">
        <v>1514</v>
      </c>
      <c r="D38" s="1242">
        <v>1.52</v>
      </c>
      <c r="E38" s="3117"/>
      <c r="F38" s="3108"/>
    </row>
    <row r="39" spans="1:7" ht="15" customHeight="1">
      <c r="A39" s="3105"/>
      <c r="B39" s="1120" t="s">
        <v>954</v>
      </c>
      <c r="C39" s="1274" t="s">
        <v>1515</v>
      </c>
      <c r="D39" s="1242">
        <v>1.08</v>
      </c>
      <c r="E39" s="3117"/>
      <c r="F39" s="3108"/>
    </row>
    <row r="40" spans="1:7" ht="14.4">
      <c r="A40" s="3105"/>
      <c r="B40" s="1120" t="s">
        <v>529</v>
      </c>
      <c r="C40" s="1274" t="s">
        <v>1516</v>
      </c>
      <c r="D40" s="1242">
        <v>0</v>
      </c>
      <c r="E40" s="3117"/>
      <c r="F40" s="3108"/>
      <c r="G40" s="1579"/>
    </row>
    <row r="41" spans="1:7" ht="15" customHeight="1" thickBot="1">
      <c r="A41" s="3105"/>
      <c r="B41" s="1518" t="s">
        <v>1517</v>
      </c>
      <c r="C41" s="1980" t="s">
        <v>1518</v>
      </c>
      <c r="D41" s="1527">
        <v>2.0299999999999998</v>
      </c>
      <c r="E41" s="3117"/>
      <c r="F41" s="3108"/>
      <c r="G41" s="1579"/>
    </row>
    <row r="42" spans="1:7" ht="15" customHeight="1">
      <c r="A42" s="3104">
        <v>45874</v>
      </c>
      <c r="B42" s="1069" t="s">
        <v>1463</v>
      </c>
      <c r="C42" s="1942" t="s">
        <v>1519</v>
      </c>
      <c r="D42" s="968">
        <v>1.34</v>
      </c>
      <c r="E42" s="3116">
        <f>+AVERAGE(D42:D47)</f>
        <v>3.1300000000000003</v>
      </c>
      <c r="F42" s="3107">
        <v>45873</v>
      </c>
      <c r="G42" s="1579"/>
    </row>
    <row r="43" spans="1:7" ht="15" customHeight="1">
      <c r="A43" s="3105"/>
      <c r="B43" s="1120" t="s">
        <v>1465</v>
      </c>
      <c r="C43" s="1274" t="s">
        <v>1520</v>
      </c>
      <c r="D43" s="1242">
        <v>2.34</v>
      </c>
      <c r="E43" s="3117"/>
      <c r="F43" s="3108"/>
      <c r="G43" s="1580"/>
    </row>
    <row r="44" spans="1:7" ht="15" customHeight="1">
      <c r="A44" s="3105"/>
      <c r="B44" s="1120" t="s">
        <v>1475</v>
      </c>
      <c r="C44" s="1274" t="s">
        <v>1521</v>
      </c>
      <c r="D44" s="1242">
        <v>3.73</v>
      </c>
      <c r="E44" s="3117"/>
      <c r="F44" s="3108"/>
      <c r="G44" s="1579"/>
    </row>
    <row r="45" spans="1:7" ht="15" customHeight="1">
      <c r="A45" s="3105"/>
      <c r="B45" s="1120" t="s">
        <v>1477</v>
      </c>
      <c r="C45" s="1274" t="s">
        <v>1522</v>
      </c>
      <c r="D45" s="1242">
        <v>2.3199999999999998</v>
      </c>
      <c r="E45" s="3117"/>
      <c r="F45" s="3108"/>
      <c r="G45" s="1579"/>
    </row>
    <row r="46" spans="1:7" ht="15" customHeight="1">
      <c r="A46" s="3105"/>
      <c r="B46" s="1120" t="s">
        <v>1487</v>
      </c>
      <c r="C46" s="1274" t="s">
        <v>1523</v>
      </c>
      <c r="D46" s="1242">
        <v>2.2400000000000002</v>
      </c>
      <c r="E46" s="3117"/>
      <c r="F46" s="3108"/>
      <c r="G46" s="1579"/>
    </row>
    <row r="47" spans="1:7" ht="15" customHeight="1">
      <c r="A47" s="3105"/>
      <c r="B47" s="1120" t="s">
        <v>1489</v>
      </c>
      <c r="C47" s="1274" t="s">
        <v>1524</v>
      </c>
      <c r="D47" s="1242">
        <v>6.81</v>
      </c>
      <c r="E47" s="3119"/>
      <c r="F47" s="3108"/>
      <c r="G47" s="1579"/>
    </row>
    <row r="48" spans="1:7" ht="15" customHeight="1">
      <c r="A48" s="3105"/>
      <c r="B48" s="1120" t="s">
        <v>529</v>
      </c>
      <c r="C48" s="1274" t="s">
        <v>1525</v>
      </c>
      <c r="D48" s="1242">
        <v>0</v>
      </c>
      <c r="E48" s="1242" t="s">
        <v>1266</v>
      </c>
      <c r="F48" s="3108"/>
      <c r="G48" s="1579"/>
    </row>
    <row r="49" spans="1:7" ht="15" customHeight="1">
      <c r="A49" s="3105"/>
      <c r="B49" s="1120" t="s">
        <v>1526</v>
      </c>
      <c r="C49" s="1274" t="s">
        <v>1527</v>
      </c>
      <c r="D49" s="1242">
        <v>1.63</v>
      </c>
      <c r="E49" s="1615"/>
      <c r="F49" s="3108"/>
      <c r="G49" s="1579"/>
    </row>
    <row r="50" spans="1:7" ht="15" customHeight="1" thickBot="1">
      <c r="A50" s="3105"/>
      <c r="B50" s="1518" t="s">
        <v>851</v>
      </c>
      <c r="C50" s="1980" t="s">
        <v>1528</v>
      </c>
      <c r="D50" s="1527">
        <v>3.09</v>
      </c>
      <c r="E50" s="1527" t="s">
        <v>1266</v>
      </c>
      <c r="F50" s="3108"/>
      <c r="G50" s="1580"/>
    </row>
    <row r="51" spans="1:7" ht="15" customHeight="1">
      <c r="A51" s="3104">
        <v>45875</v>
      </c>
      <c r="B51" s="1069" t="s">
        <v>1463</v>
      </c>
      <c r="C51" s="1942" t="s">
        <v>1529</v>
      </c>
      <c r="D51" s="968">
        <v>11.51</v>
      </c>
      <c r="E51" s="3116">
        <f>+AVERAGE(D51:D54)</f>
        <v>4.6864999999999997</v>
      </c>
      <c r="F51" s="3107">
        <v>45874</v>
      </c>
      <c r="G51" s="1580"/>
    </row>
    <row r="52" spans="1:7" ht="15" customHeight="1">
      <c r="A52" s="3105"/>
      <c r="B52" s="1120" t="s">
        <v>1465</v>
      </c>
      <c r="C52" s="1274" t="s">
        <v>1530</v>
      </c>
      <c r="D52" s="1242">
        <v>3.11</v>
      </c>
      <c r="E52" s="3117"/>
      <c r="F52" s="3108"/>
      <c r="G52" s="1580"/>
    </row>
    <row r="53" spans="1:7" ht="15" customHeight="1">
      <c r="A53" s="3105"/>
      <c r="B53" s="1120" t="s">
        <v>1491</v>
      </c>
      <c r="C53" s="1274" t="s">
        <v>1531</v>
      </c>
      <c r="D53" s="1242">
        <v>2.367</v>
      </c>
      <c r="E53" s="3117"/>
      <c r="F53" s="3108"/>
      <c r="G53" s="1580"/>
    </row>
    <row r="54" spans="1:7" ht="15" customHeight="1">
      <c r="A54" s="3105"/>
      <c r="B54" s="1120" t="s">
        <v>1493</v>
      </c>
      <c r="C54" s="1274" t="s">
        <v>1532</v>
      </c>
      <c r="D54" s="1242">
        <v>1.7589999999999999</v>
      </c>
      <c r="E54" s="3117"/>
      <c r="F54" s="3108"/>
      <c r="G54" s="1580"/>
    </row>
    <row r="55" spans="1:7" ht="15.75" customHeight="1">
      <c r="A55" s="3105"/>
      <c r="B55" s="1120" t="s">
        <v>529</v>
      </c>
      <c r="C55" s="1274" t="s">
        <v>1533</v>
      </c>
      <c r="D55" s="1242">
        <v>0</v>
      </c>
      <c r="E55" s="1615"/>
      <c r="F55" s="3108"/>
    </row>
    <row r="56" spans="1:7" ht="14.4" customHeight="1">
      <c r="A56" s="3105"/>
      <c r="B56" s="1120" t="s">
        <v>851</v>
      </c>
      <c r="C56" s="1274" t="s">
        <v>1534</v>
      </c>
      <c r="D56" s="1242">
        <v>3.23</v>
      </c>
      <c r="E56" s="1242"/>
      <c r="F56" s="3108"/>
    </row>
    <row r="57" spans="1:7" ht="15" customHeight="1" thickBot="1">
      <c r="A57" s="3106"/>
      <c r="B57" s="1017" t="s">
        <v>1535</v>
      </c>
      <c r="C57" s="1019" t="s">
        <v>1536</v>
      </c>
      <c r="D57" s="1588">
        <v>1.3009999999999999</v>
      </c>
      <c r="E57" s="1588"/>
      <c r="F57" s="3109"/>
    </row>
    <row r="58" spans="1:7" ht="15" customHeight="1">
      <c r="A58" s="2374"/>
      <c r="B58" s="1583"/>
      <c r="C58" s="1934"/>
      <c r="D58" s="1242"/>
      <c r="E58" s="1242"/>
      <c r="F58" s="2375"/>
    </row>
    <row r="59" spans="1:7" ht="15" customHeight="1">
      <c r="A59" s="2357"/>
      <c r="B59" s="1120"/>
      <c r="C59" s="1243"/>
      <c r="D59" s="1242"/>
      <c r="E59" s="1242"/>
      <c r="F59" s="2361"/>
    </row>
    <row r="60" spans="1:7" ht="15" customHeight="1" thickBot="1">
      <c r="A60" s="2358"/>
      <c r="B60" s="1518"/>
      <c r="C60" s="1542"/>
      <c r="D60" s="1242"/>
      <c r="E60" s="1242"/>
      <c r="F60" s="2362"/>
    </row>
    <row r="61" spans="1:7" ht="15.75" customHeight="1">
      <c r="A61" s="2372"/>
      <c r="B61" s="1547"/>
      <c r="C61" s="1866"/>
      <c r="D61" s="1242"/>
      <c r="E61" s="1242"/>
      <c r="F61" s="2370"/>
    </row>
    <row r="62" spans="1:7" ht="15" customHeight="1">
      <c r="A62" s="2095"/>
      <c r="B62" s="1120"/>
      <c r="C62" s="1243"/>
      <c r="D62" s="1242"/>
      <c r="E62" s="1242"/>
      <c r="F62" s="2094"/>
    </row>
    <row r="63" spans="1:7" ht="14.7" customHeight="1">
      <c r="A63" s="2095"/>
      <c r="B63" s="1120"/>
      <c r="C63" s="1243"/>
      <c r="D63" s="1242"/>
      <c r="E63" s="1242"/>
      <c r="F63" s="2094"/>
    </row>
    <row r="64" spans="1:7" ht="14.7" customHeight="1">
      <c r="A64" s="2095"/>
      <c r="B64" s="1120"/>
      <c r="C64" s="1243"/>
      <c r="D64" s="1242"/>
      <c r="E64" s="1242"/>
      <c r="F64" s="2094"/>
    </row>
    <row r="65" spans="1:6" ht="14.7" customHeight="1">
      <c r="A65" s="2095"/>
      <c r="B65" s="1120"/>
      <c r="C65" s="1243"/>
      <c r="D65" s="1242"/>
      <c r="E65" s="1242"/>
      <c r="F65" s="2094"/>
    </row>
    <row r="66" spans="1:6" ht="14.7" customHeight="1">
      <c r="A66" s="2095"/>
      <c r="B66" s="1120"/>
      <c r="C66" s="1243"/>
      <c r="D66" s="1242"/>
      <c r="E66" s="1242"/>
      <c r="F66" s="2094"/>
    </row>
    <row r="67" spans="1:6" ht="14.7" customHeight="1">
      <c r="A67" s="2095"/>
      <c r="B67" s="1120"/>
      <c r="C67" s="1243"/>
      <c r="D67" s="1242"/>
      <c r="E67" s="1242"/>
      <c r="F67" s="2094"/>
    </row>
    <row r="68" spans="1:6" ht="14.7" customHeight="1">
      <c r="A68" s="2095"/>
      <c r="B68" s="1120"/>
      <c r="C68" s="1243"/>
      <c r="D68" s="1242"/>
      <c r="E68" s="1242"/>
      <c r="F68" s="2094"/>
    </row>
    <row r="69" spans="1:6" ht="14.7" customHeight="1">
      <c r="A69" s="2095"/>
      <c r="B69" s="1120"/>
      <c r="C69" s="1243"/>
      <c r="D69" s="1242"/>
      <c r="E69" s="1242"/>
      <c r="F69" s="2094"/>
    </row>
    <row r="70" spans="1:6" ht="14.7" customHeight="1">
      <c r="A70" s="2095"/>
      <c r="B70" s="1120"/>
      <c r="C70" s="1243"/>
      <c r="D70" s="1242"/>
      <c r="E70" s="1242"/>
      <c r="F70" s="2094"/>
    </row>
    <row r="71" spans="1:6" ht="14.7" customHeight="1">
      <c r="A71" s="2095"/>
      <c r="B71" s="1120"/>
      <c r="C71" s="1243"/>
      <c r="D71" s="1242"/>
      <c r="E71" s="1242"/>
      <c r="F71" s="2094"/>
    </row>
    <row r="72" spans="1:6" ht="14.7" customHeight="1">
      <c r="A72" s="2095"/>
      <c r="B72" s="1120"/>
      <c r="C72" s="1243"/>
      <c r="D72" s="1242"/>
      <c r="E72" s="1242"/>
      <c r="F72" s="2094"/>
    </row>
    <row r="73" spans="1:6" ht="14.7" customHeight="1">
      <c r="A73" s="2095"/>
      <c r="B73" s="1120"/>
      <c r="C73" s="1243"/>
      <c r="D73" s="1242"/>
      <c r="E73" s="1242"/>
      <c r="F73" s="2094"/>
    </row>
    <row r="74" spans="1:6" ht="14.7" customHeight="1">
      <c r="A74" s="2095"/>
      <c r="B74" s="1120"/>
      <c r="C74" s="1243"/>
      <c r="D74" s="1242"/>
      <c r="E74" s="1242"/>
      <c r="F74" s="2094"/>
    </row>
    <row r="75" spans="1:6" ht="14.7" customHeight="1">
      <c r="A75" s="2095"/>
      <c r="B75" s="1120"/>
      <c r="C75" s="1243"/>
      <c r="D75" s="1242"/>
      <c r="E75" s="1242"/>
      <c r="F75" s="2094"/>
    </row>
    <row r="76" spans="1:6" ht="14.7" customHeight="1">
      <c r="A76" s="2095"/>
      <c r="B76" s="1120"/>
      <c r="C76" s="1243"/>
      <c r="D76" s="1242"/>
      <c r="E76" s="1242"/>
      <c r="F76" s="2094"/>
    </row>
    <row r="77" spans="1:6" ht="14.7" customHeight="1" thickBot="1">
      <c r="A77" s="2373"/>
      <c r="B77" s="1581"/>
      <c r="C77" s="1582"/>
      <c r="D77" s="1242"/>
      <c r="E77" s="1242"/>
      <c r="F77" s="2371"/>
    </row>
    <row r="78" spans="1:6" ht="14.7" customHeight="1">
      <c r="A78" s="2374"/>
      <c r="B78" s="1583"/>
      <c r="C78" s="1934"/>
      <c r="D78" s="1242"/>
      <c r="E78" s="1242"/>
      <c r="F78" s="2375"/>
    </row>
    <row r="79" spans="1:6" ht="14.7" customHeight="1">
      <c r="A79" s="2357"/>
      <c r="B79" s="1120"/>
      <c r="C79" s="1243"/>
      <c r="D79" s="1242"/>
      <c r="E79" s="1242"/>
      <c r="F79" s="2361"/>
    </row>
    <row r="80" spans="1:6" ht="14.7" customHeight="1">
      <c r="A80" s="2357"/>
      <c r="B80" s="1120"/>
      <c r="C80" s="1243"/>
      <c r="D80" s="1242"/>
      <c r="E80" s="1242"/>
      <c r="F80" s="2361"/>
    </row>
    <row r="81" spans="1:6" ht="14.7" customHeight="1">
      <c r="A81" s="2357"/>
      <c r="B81" s="1120"/>
      <c r="C81" s="1243"/>
      <c r="D81" s="1242"/>
      <c r="E81" s="1242"/>
      <c r="F81" s="2361"/>
    </row>
    <row r="82" spans="1:6">
      <c r="A82" s="2357"/>
      <c r="B82" s="1120"/>
      <c r="C82" s="1243"/>
      <c r="D82" s="1242"/>
      <c r="E82" s="1242"/>
      <c r="F82" s="2361"/>
    </row>
    <row r="83" spans="1:6" ht="14.7" customHeight="1">
      <c r="A83" s="2357"/>
      <c r="B83" s="1120"/>
      <c r="C83" s="1243"/>
      <c r="D83" s="1242"/>
      <c r="E83" s="1242"/>
      <c r="F83" s="2361"/>
    </row>
    <row r="84" spans="1:6" ht="14.7" customHeight="1">
      <c r="A84" s="2357"/>
      <c r="B84" s="1120"/>
      <c r="C84" s="1243"/>
      <c r="D84" s="1242"/>
      <c r="E84" s="1242"/>
      <c r="F84" s="2361"/>
    </row>
    <row r="85" spans="1:6" ht="14.7" customHeight="1">
      <c r="A85" s="2357"/>
      <c r="B85" s="1120"/>
      <c r="C85" s="1243"/>
      <c r="D85" s="1242"/>
      <c r="E85" s="1242"/>
      <c r="F85" s="2361"/>
    </row>
    <row r="86" spans="1:6" ht="14.7" customHeight="1">
      <c r="A86" s="2357"/>
      <c r="B86" s="1120"/>
      <c r="C86" s="1243"/>
      <c r="D86" s="1242"/>
      <c r="E86" s="1242"/>
      <c r="F86" s="2361"/>
    </row>
    <row r="87" spans="1:6" ht="14.7" customHeight="1">
      <c r="A87" s="2357"/>
      <c r="B87" s="1120"/>
      <c r="C87" s="1243"/>
      <c r="D87" s="1242"/>
      <c r="E87" s="1242"/>
      <c r="F87" s="2361"/>
    </row>
    <row r="88" spans="1:6" ht="14.7" customHeight="1">
      <c r="A88" s="2357"/>
      <c r="B88" s="1120"/>
      <c r="C88" s="1243"/>
      <c r="D88" s="1242"/>
      <c r="E88" s="1242"/>
      <c r="F88" s="2361"/>
    </row>
    <row r="89" spans="1:6" ht="14.7" customHeight="1" thickBot="1">
      <c r="A89" s="2358"/>
      <c r="B89" s="1518"/>
      <c r="C89" s="1542"/>
      <c r="D89" s="1242"/>
      <c r="E89" s="1242"/>
      <c r="F89" s="2362"/>
    </row>
    <row r="90" spans="1:6">
      <c r="A90" s="2356"/>
      <c r="B90" s="1069"/>
      <c r="C90" s="1070"/>
      <c r="D90" s="1242"/>
      <c r="E90" s="1242"/>
      <c r="F90" s="2360"/>
    </row>
    <row r="91" spans="1:6" ht="14.7" customHeight="1">
      <c r="A91" s="2357"/>
      <c r="B91" s="1120"/>
      <c r="C91" s="1243"/>
      <c r="D91" s="1242"/>
      <c r="E91" s="1242"/>
      <c r="F91" s="2361"/>
    </row>
    <row r="92" spans="1:6" ht="14.7" customHeight="1">
      <c r="A92" s="2357"/>
      <c r="B92" s="1120"/>
      <c r="C92" s="1243"/>
      <c r="D92" s="1242"/>
      <c r="E92" s="1242"/>
      <c r="F92" s="2361"/>
    </row>
    <row r="93" spans="1:6" ht="14.7" customHeight="1">
      <c r="A93" s="2357"/>
      <c r="B93" s="1120"/>
      <c r="C93" s="1243"/>
      <c r="D93" s="1242"/>
      <c r="E93" s="1242"/>
      <c r="F93" s="2361"/>
    </row>
    <row r="94" spans="1:6" ht="14.7" customHeight="1">
      <c r="A94" s="2357"/>
      <c r="B94" s="1120"/>
      <c r="C94" s="1243"/>
      <c r="D94" s="1242"/>
      <c r="E94" s="1242"/>
      <c r="F94" s="2361"/>
    </row>
    <row r="95" spans="1:6" ht="14.7" customHeight="1">
      <c r="A95" s="2357"/>
      <c r="B95" s="1120"/>
      <c r="C95" s="1243"/>
      <c r="D95" s="1242"/>
      <c r="E95" s="1242"/>
      <c r="F95" s="2361"/>
    </row>
    <row r="96" spans="1:6" ht="14.7" customHeight="1">
      <c r="A96" s="2357"/>
      <c r="B96" s="1120"/>
      <c r="C96" s="1243"/>
      <c r="D96" s="1242"/>
      <c r="E96" s="1242"/>
      <c r="F96" s="2361"/>
    </row>
    <row r="97" spans="1:6" ht="14.7" customHeight="1">
      <c r="A97" s="2357"/>
      <c r="B97" s="1120"/>
      <c r="C97" s="1243"/>
      <c r="D97" s="1242"/>
      <c r="E97" s="1242"/>
      <c r="F97" s="2361"/>
    </row>
    <row r="98" spans="1:6" ht="14.7" customHeight="1">
      <c r="A98" s="2357"/>
      <c r="B98" s="1120"/>
      <c r="C98" s="1243"/>
      <c r="D98" s="1242"/>
      <c r="E98" s="1242"/>
      <c r="F98" s="2361"/>
    </row>
    <row r="99" spans="1:6" ht="14.7" customHeight="1">
      <c r="A99" s="2357"/>
      <c r="B99" s="1120"/>
      <c r="C99" s="1243"/>
      <c r="D99" s="1242"/>
      <c r="E99" s="1242"/>
      <c r="F99" s="2361"/>
    </row>
    <row r="100" spans="1:6" ht="14.7" customHeight="1">
      <c r="A100" s="2357"/>
      <c r="B100" s="1120"/>
      <c r="C100" s="1243"/>
      <c r="D100" s="1242"/>
      <c r="E100" s="1242"/>
      <c r="F100" s="2361"/>
    </row>
    <row r="101" spans="1:6" ht="14.7" customHeight="1">
      <c r="A101" s="2357"/>
      <c r="B101" s="1120"/>
      <c r="C101" s="1243"/>
      <c r="D101" s="1242"/>
      <c r="E101" s="1242"/>
      <c r="F101" s="2361"/>
    </row>
    <row r="102" spans="1:6" ht="14.7" customHeight="1">
      <c r="A102" s="2357"/>
      <c r="B102" s="1120"/>
      <c r="C102" s="1243"/>
      <c r="D102" s="1242"/>
      <c r="E102" s="1242"/>
      <c r="F102" s="2361"/>
    </row>
    <row r="103" spans="1:6" ht="14.7" customHeight="1">
      <c r="A103" s="2357"/>
      <c r="B103" s="1120"/>
      <c r="C103" s="1243"/>
      <c r="D103" s="1242"/>
      <c r="E103" s="1242"/>
      <c r="F103" s="2361"/>
    </row>
    <row r="104" spans="1:6" ht="14.7" customHeight="1" thickBot="1">
      <c r="A104" s="2358"/>
      <c r="B104" s="1518"/>
      <c r="C104" s="1542"/>
      <c r="D104" s="1242"/>
      <c r="E104" s="1242"/>
      <c r="F104" s="2362"/>
    </row>
    <row r="105" spans="1:6">
      <c r="A105" s="2356"/>
      <c r="B105" s="1069"/>
      <c r="C105" s="1942"/>
      <c r="D105" s="1242"/>
      <c r="E105" s="1242"/>
      <c r="F105" s="2360"/>
    </row>
    <row r="106" spans="1:6" ht="14.7" customHeight="1">
      <c r="A106" s="2357"/>
      <c r="B106" s="1120"/>
      <c r="C106" s="1274"/>
      <c r="D106" s="1242"/>
      <c r="E106" s="1242"/>
      <c r="F106" s="2361"/>
    </row>
    <row r="107" spans="1:6" ht="14.7" customHeight="1">
      <c r="A107" s="2357"/>
      <c r="B107" s="1120"/>
      <c r="C107" s="1274"/>
      <c r="D107" s="1242"/>
      <c r="E107" s="1242"/>
      <c r="F107" s="2361"/>
    </row>
    <row r="108" spans="1:6" ht="14.7" customHeight="1">
      <c r="A108" s="2357"/>
      <c r="B108" s="1120"/>
      <c r="C108" s="1274"/>
      <c r="D108" s="1242"/>
      <c r="E108" s="1242"/>
      <c r="F108" s="2361"/>
    </row>
    <row r="109" spans="1:6" ht="14.7" customHeight="1">
      <c r="A109" s="2357"/>
      <c r="B109" s="1120"/>
      <c r="C109" s="1274"/>
      <c r="D109" s="1242"/>
      <c r="E109" s="1242"/>
      <c r="F109" s="2361"/>
    </row>
    <row r="110" spans="1:6" ht="14.7" customHeight="1">
      <c r="A110" s="2357"/>
      <c r="B110" s="1120"/>
      <c r="C110" s="1274"/>
      <c r="D110" s="1242"/>
      <c r="E110" s="1242"/>
      <c r="F110" s="2361"/>
    </row>
    <row r="111" spans="1:6" ht="14.7" customHeight="1">
      <c r="A111" s="2357"/>
      <c r="B111" s="1120"/>
      <c r="C111" s="1274"/>
      <c r="D111" s="1242"/>
      <c r="E111" s="1242"/>
      <c r="F111" s="2361"/>
    </row>
    <row r="112" spans="1:6" ht="14.7" customHeight="1">
      <c r="A112" s="2357"/>
      <c r="B112" s="1120"/>
      <c r="C112" s="1274"/>
      <c r="D112" s="1242"/>
      <c r="E112" s="1242"/>
      <c r="F112" s="2361"/>
    </row>
    <row r="113" spans="1:6" ht="14.7" customHeight="1">
      <c r="A113" s="2357"/>
      <c r="B113" s="1120"/>
      <c r="C113" s="1274"/>
      <c r="D113" s="1242"/>
      <c r="E113" s="1242"/>
      <c r="F113" s="2361"/>
    </row>
    <row r="114" spans="1:6" ht="14.7" customHeight="1">
      <c r="A114" s="2357"/>
      <c r="B114" s="1120"/>
      <c r="C114" s="1274"/>
      <c r="D114" s="1242"/>
      <c r="E114" s="1242"/>
      <c r="F114" s="2361"/>
    </row>
    <row r="115" spans="1:6" ht="14.7" customHeight="1">
      <c r="A115" s="2357"/>
      <c r="B115" s="1120"/>
      <c r="C115" s="1274"/>
      <c r="D115" s="1242"/>
      <c r="E115" s="1242"/>
      <c r="F115" s="2361"/>
    </row>
    <row r="116" spans="1:6" ht="14.7" customHeight="1">
      <c r="A116" s="2357"/>
      <c r="B116" s="1120"/>
      <c r="C116" s="1274"/>
      <c r="D116" s="1242"/>
      <c r="E116" s="1242"/>
      <c r="F116" s="2361"/>
    </row>
    <row r="117" spans="1:6">
      <c r="A117" s="2357"/>
      <c r="B117" s="2081"/>
      <c r="C117" s="2082"/>
      <c r="D117" s="1242"/>
      <c r="E117" s="1242"/>
      <c r="F117" s="2361"/>
    </row>
    <row r="118" spans="1:6" ht="14.4" thickBot="1">
      <c r="A118" s="2358"/>
      <c r="B118" s="1518"/>
      <c r="C118" s="1980"/>
      <c r="D118" s="1242"/>
      <c r="E118" s="1242"/>
      <c r="F118" s="2362"/>
    </row>
    <row r="119" spans="1:6" ht="15" customHeight="1">
      <c r="A119" s="2356"/>
      <c r="B119" s="1069"/>
      <c r="C119" s="1942"/>
      <c r="D119" s="1242"/>
      <c r="E119" s="1242"/>
      <c r="F119" s="2360"/>
    </row>
    <row r="120" spans="1:6" ht="15" customHeight="1">
      <c r="A120" s="2357"/>
      <c r="B120" s="1120"/>
      <c r="C120" s="1274"/>
      <c r="D120" s="1242"/>
      <c r="E120" s="1242"/>
      <c r="F120" s="2361"/>
    </row>
    <row r="121" spans="1:6" ht="15" customHeight="1">
      <c r="A121" s="2357"/>
      <c r="B121" s="1120"/>
      <c r="C121" s="1274"/>
      <c r="D121" s="1242"/>
      <c r="E121" s="1242"/>
      <c r="F121" s="2361"/>
    </row>
    <row r="122" spans="1:6" ht="15" customHeight="1">
      <c r="A122" s="2357"/>
      <c r="B122" s="1120"/>
      <c r="C122" s="1274"/>
      <c r="D122" s="1242"/>
      <c r="E122" s="1242"/>
      <c r="F122" s="2361"/>
    </row>
    <row r="123" spans="1:6" ht="15" customHeight="1">
      <c r="A123" s="2357"/>
      <c r="B123" s="1120"/>
      <c r="C123" s="1274"/>
      <c r="D123" s="1242"/>
      <c r="E123" s="1242"/>
      <c r="F123" s="2361"/>
    </row>
    <row r="124" spans="1:6" ht="15" customHeight="1">
      <c r="A124" s="2357"/>
      <c r="B124" s="1120"/>
      <c r="C124" s="1274"/>
      <c r="D124" s="1242"/>
      <c r="E124" s="1242"/>
      <c r="F124" s="2361"/>
    </row>
    <row r="125" spans="1:6" ht="15" customHeight="1">
      <c r="A125" s="2357"/>
      <c r="B125" s="1120"/>
      <c r="C125" s="1274"/>
      <c r="D125" s="1242"/>
      <c r="E125" s="1242"/>
      <c r="F125" s="2361"/>
    </row>
    <row r="126" spans="1:6" ht="15" customHeight="1">
      <c r="A126" s="2357"/>
      <c r="B126" s="1120"/>
      <c r="C126" s="1274"/>
      <c r="D126" s="1242"/>
      <c r="E126" s="1242"/>
      <c r="F126" s="2361"/>
    </row>
    <row r="127" spans="1:6" ht="15.75" customHeight="1">
      <c r="A127" s="2357"/>
      <c r="B127" s="1120"/>
      <c r="C127" s="1274"/>
      <c r="D127" s="1242"/>
      <c r="E127" s="1242"/>
      <c r="F127" s="2361"/>
    </row>
    <row r="128" spans="1:6">
      <c r="A128" s="2357"/>
      <c r="B128" s="1120"/>
      <c r="C128" s="1274"/>
      <c r="D128" s="1242"/>
      <c r="E128" s="1242"/>
      <c r="F128" s="2361"/>
    </row>
    <row r="129" spans="1:6">
      <c r="A129" s="2357"/>
      <c r="B129" s="1120"/>
      <c r="C129" s="1274"/>
      <c r="D129" s="1242"/>
      <c r="E129" s="1242"/>
      <c r="F129" s="2361"/>
    </row>
    <row r="130" spans="1:6">
      <c r="A130" s="2357"/>
      <c r="B130" s="1120"/>
      <c r="C130" s="1274"/>
      <c r="D130" s="1242"/>
      <c r="E130" s="1242"/>
      <c r="F130" s="2361"/>
    </row>
    <row r="131" spans="1:6" ht="14.4" thickBot="1">
      <c r="A131" s="2358"/>
      <c r="B131" s="2077"/>
      <c r="C131" s="2078"/>
      <c r="D131" s="1242"/>
      <c r="E131" s="1242"/>
      <c r="F131" s="2362"/>
    </row>
    <row r="132" spans="1:6">
      <c r="A132" s="2356"/>
      <c r="B132" s="1069"/>
      <c r="C132" s="1942"/>
      <c r="D132" s="1242"/>
      <c r="E132" s="1242"/>
      <c r="F132" s="2360"/>
    </row>
    <row r="133" spans="1:6">
      <c r="A133" s="2357"/>
      <c r="B133" s="1120"/>
      <c r="C133" s="1274"/>
      <c r="D133" s="1242"/>
      <c r="E133" s="1242"/>
      <c r="F133" s="2361"/>
    </row>
    <row r="134" spans="1:6">
      <c r="A134" s="2357"/>
      <c r="B134" s="1120"/>
      <c r="C134" s="1274"/>
      <c r="D134" s="1242"/>
      <c r="E134" s="1242"/>
      <c r="F134" s="2361"/>
    </row>
    <row r="135" spans="1:6">
      <c r="A135" s="2357"/>
      <c r="B135" s="1120"/>
      <c r="C135" s="1274"/>
      <c r="D135" s="1242"/>
      <c r="E135" s="1242"/>
      <c r="F135" s="2361"/>
    </row>
    <row r="136" spans="1:6">
      <c r="A136" s="2357"/>
      <c r="B136" s="1120"/>
      <c r="C136" s="1274"/>
      <c r="D136" s="1242"/>
      <c r="E136" s="1242"/>
      <c r="F136" s="2361"/>
    </row>
    <row r="137" spans="1:6">
      <c r="A137" s="2357"/>
      <c r="B137" s="1120"/>
      <c r="C137" s="1274"/>
      <c r="D137" s="1242"/>
      <c r="E137" s="1242"/>
      <c r="F137" s="2361"/>
    </row>
    <row r="138" spans="1:6">
      <c r="A138" s="2357"/>
      <c r="B138" s="1120"/>
      <c r="C138" s="1274"/>
      <c r="D138" s="1242"/>
      <c r="E138" s="1242"/>
      <c r="F138" s="2361"/>
    </row>
    <row r="139" spans="1:6">
      <c r="A139" s="2357"/>
      <c r="B139" s="1120"/>
      <c r="C139" s="1274"/>
      <c r="D139" s="1242"/>
      <c r="E139" s="1242"/>
      <c r="F139" s="2361"/>
    </row>
    <row r="140" spans="1:6">
      <c r="A140" s="2357"/>
      <c r="B140" s="1120"/>
      <c r="C140" s="1274"/>
      <c r="D140" s="1242"/>
      <c r="E140" s="1242"/>
      <c r="F140" s="2361"/>
    </row>
    <row r="141" spans="1:6">
      <c r="A141" s="2357"/>
      <c r="B141" s="1120"/>
      <c r="C141" s="1274"/>
      <c r="D141" s="1242"/>
      <c r="E141" s="1242"/>
      <c r="F141" s="2361"/>
    </row>
    <row r="142" spans="1:6">
      <c r="A142" s="2357"/>
      <c r="B142" s="1120"/>
      <c r="C142" s="1274"/>
      <c r="D142" s="1242"/>
      <c r="E142" s="1242"/>
      <c r="F142" s="2361"/>
    </row>
    <row r="143" spans="1:6">
      <c r="A143" s="2357"/>
      <c r="B143" s="1120"/>
      <c r="C143" s="1274"/>
      <c r="D143" s="1242"/>
      <c r="E143" s="1242"/>
      <c r="F143" s="2361"/>
    </row>
    <row r="144" spans="1:6">
      <c r="A144" s="2357"/>
      <c r="B144" s="1120"/>
      <c r="C144" s="1274"/>
      <c r="D144" s="1242"/>
      <c r="E144" s="1242"/>
      <c r="F144" s="2361"/>
    </row>
    <row r="145" spans="1:6" ht="14.4" thickBot="1">
      <c r="A145" s="2359"/>
      <c r="B145" s="2079"/>
      <c r="C145" s="2080"/>
      <c r="D145" s="1242"/>
      <c r="E145" s="1242"/>
      <c r="F145" s="2363"/>
    </row>
    <row r="146" spans="1:6">
      <c r="A146" s="2374"/>
      <c r="B146" s="1583"/>
      <c r="C146" s="2004"/>
      <c r="D146" s="1242"/>
      <c r="E146" s="1242"/>
      <c r="F146" s="2375"/>
    </row>
    <row r="147" spans="1:6" ht="15" customHeight="1">
      <c r="A147" s="2357"/>
      <c r="B147" s="1120"/>
      <c r="C147" s="1274"/>
      <c r="D147" s="1242"/>
      <c r="E147" s="1242"/>
      <c r="F147" s="2361"/>
    </row>
    <row r="148" spans="1:6" ht="15" customHeight="1">
      <c r="A148" s="2357"/>
      <c r="B148" s="1120"/>
      <c r="C148" s="1274"/>
      <c r="D148" s="1242"/>
      <c r="E148" s="1242"/>
      <c r="F148" s="2361"/>
    </row>
    <row r="149" spans="1:6" ht="15" customHeight="1">
      <c r="A149" s="2357"/>
      <c r="B149" s="1120"/>
      <c r="C149" s="1274"/>
      <c r="D149" s="1242"/>
      <c r="E149" s="1242"/>
      <c r="F149" s="2361"/>
    </row>
    <row r="150" spans="1:6" ht="15" customHeight="1">
      <c r="A150" s="2357"/>
      <c r="B150" s="1120"/>
      <c r="C150" s="1274"/>
      <c r="D150" s="1242"/>
      <c r="E150" s="1242"/>
      <c r="F150" s="2361"/>
    </row>
    <row r="151" spans="1:6" ht="15" customHeight="1">
      <c r="A151" s="2357"/>
      <c r="B151" s="1120"/>
      <c r="C151" s="1274"/>
      <c r="D151" s="1242"/>
      <c r="E151" s="1242"/>
      <c r="F151" s="2361"/>
    </row>
    <row r="152" spans="1:6" ht="15" customHeight="1">
      <c r="A152" s="2357"/>
      <c r="B152" s="1120"/>
      <c r="C152" s="1274"/>
      <c r="D152" s="1242"/>
      <c r="E152" s="1242"/>
      <c r="F152" s="2361"/>
    </row>
    <row r="153" spans="1:6" ht="15" customHeight="1">
      <c r="A153" s="2357"/>
      <c r="B153" s="1120"/>
      <c r="C153" s="1274"/>
      <c r="D153" s="1242"/>
      <c r="E153" s="1242"/>
      <c r="F153" s="2361"/>
    </row>
    <row r="154" spans="1:6" ht="15" customHeight="1">
      <c r="A154" s="2357"/>
      <c r="B154" s="1120"/>
      <c r="C154" s="1274"/>
      <c r="D154" s="1242"/>
      <c r="E154" s="1242"/>
      <c r="F154" s="2361"/>
    </row>
    <row r="155" spans="1:6" ht="15" customHeight="1">
      <c r="A155" s="2357"/>
      <c r="B155" s="1120"/>
      <c r="C155" s="1274"/>
      <c r="D155" s="1242"/>
      <c r="E155" s="1242"/>
      <c r="F155" s="2361"/>
    </row>
    <row r="156" spans="1:6" ht="15.75" customHeight="1" thickBot="1">
      <c r="A156" s="2358"/>
      <c r="B156" s="2077"/>
      <c r="C156" s="2078"/>
      <c r="D156" s="1242"/>
      <c r="E156" s="1242"/>
      <c r="F156" s="2362"/>
    </row>
    <row r="157" spans="1:6">
      <c r="A157" s="2356"/>
      <c r="B157" s="1069"/>
      <c r="C157" s="1942"/>
      <c r="D157" s="1242"/>
      <c r="E157" s="1242"/>
      <c r="F157" s="2360"/>
    </row>
    <row r="158" spans="1:6">
      <c r="A158" s="2357"/>
      <c r="B158" s="1120"/>
      <c r="C158" s="1274"/>
      <c r="D158" s="1242"/>
      <c r="E158" s="1242"/>
      <c r="F158" s="2361"/>
    </row>
    <row r="159" spans="1:6">
      <c r="A159" s="2357"/>
      <c r="B159" s="1120"/>
      <c r="C159" s="1274"/>
      <c r="D159" s="1242"/>
      <c r="E159" s="1242"/>
      <c r="F159" s="2361"/>
    </row>
    <row r="160" spans="1:6">
      <c r="A160" s="2357"/>
      <c r="B160" s="1120"/>
      <c r="C160" s="1274"/>
      <c r="D160" s="1242"/>
      <c r="E160" s="1242"/>
      <c r="F160" s="2361"/>
    </row>
    <row r="161" spans="1:6">
      <c r="A161" s="2357"/>
      <c r="B161" s="1120"/>
      <c r="C161" s="1274"/>
      <c r="D161" s="1242"/>
      <c r="E161" s="1242"/>
      <c r="F161" s="2361"/>
    </row>
    <row r="162" spans="1:6">
      <c r="A162" s="2357"/>
      <c r="B162" s="1120"/>
      <c r="C162" s="1274"/>
      <c r="D162" s="1242"/>
      <c r="E162" s="1242"/>
      <c r="F162" s="2361"/>
    </row>
    <row r="163" spans="1:6">
      <c r="A163" s="2357"/>
      <c r="B163" s="1120"/>
      <c r="C163" s="1274"/>
      <c r="D163" s="1242"/>
      <c r="E163" s="1242"/>
      <c r="F163" s="2361"/>
    </row>
    <row r="164" spans="1:6">
      <c r="A164" s="2357"/>
      <c r="B164" s="1120"/>
      <c r="C164" s="1274"/>
      <c r="D164" s="1242"/>
      <c r="E164" s="1242"/>
      <c r="F164" s="2361"/>
    </row>
    <row r="165" spans="1:6">
      <c r="A165" s="2357"/>
      <c r="B165" s="1120"/>
      <c r="C165" s="1274"/>
      <c r="D165" s="1242"/>
      <c r="E165" s="1242"/>
      <c r="F165" s="2361"/>
    </row>
    <row r="166" spans="1:6">
      <c r="A166" s="2357"/>
      <c r="B166" s="1120"/>
      <c r="C166" s="1274"/>
      <c r="D166" s="1242"/>
      <c r="E166" s="1242"/>
      <c r="F166" s="2361"/>
    </row>
    <row r="167" spans="1:6" ht="15" customHeight="1">
      <c r="A167" s="2357"/>
      <c r="B167" s="1120"/>
      <c r="C167" s="1274"/>
      <c r="D167" s="1242"/>
      <c r="E167" s="1242"/>
      <c r="F167" s="2361"/>
    </row>
    <row r="168" spans="1:6" ht="15" customHeight="1">
      <c r="A168" s="2357"/>
      <c r="B168" s="1120"/>
      <c r="C168" s="1274"/>
      <c r="D168" s="1242"/>
      <c r="E168" s="1242"/>
      <c r="F168" s="2361"/>
    </row>
    <row r="169" spans="1:6" ht="15" customHeight="1">
      <c r="A169" s="2357"/>
      <c r="B169" s="1120"/>
      <c r="C169" s="1274"/>
      <c r="D169" s="1242"/>
      <c r="E169" s="1242"/>
      <c r="F169" s="2361"/>
    </row>
    <row r="170" spans="1:6" ht="15" customHeight="1" thickBot="1">
      <c r="A170" s="2358"/>
      <c r="B170" s="1518"/>
      <c r="C170" s="1980"/>
      <c r="D170" s="1242"/>
      <c r="E170" s="1242"/>
      <c r="F170" s="2362"/>
    </row>
    <row r="171" spans="1:6" ht="15" customHeight="1">
      <c r="A171" s="2372"/>
      <c r="B171" s="1547"/>
      <c r="C171" s="2065"/>
      <c r="D171" s="1242"/>
      <c r="E171" s="1242"/>
      <c r="F171" s="2370"/>
    </row>
    <row r="172" spans="1:6" ht="15" customHeight="1">
      <c r="A172" s="2095"/>
      <c r="B172" s="1120"/>
      <c r="C172" s="1274"/>
      <c r="D172" s="1242"/>
      <c r="E172" s="1242"/>
      <c r="F172" s="2094"/>
    </row>
    <row r="173" spans="1:6" ht="15" customHeight="1">
      <c r="A173" s="2095"/>
      <c r="B173" s="1120"/>
      <c r="C173" s="1274"/>
      <c r="D173" s="1242"/>
      <c r="E173" s="1242"/>
      <c r="F173" s="2094"/>
    </row>
    <row r="174" spans="1:6" ht="15" customHeight="1">
      <c r="A174" s="2095"/>
      <c r="B174" s="1120"/>
      <c r="C174" s="1274"/>
      <c r="D174" s="1242"/>
      <c r="E174" s="1242"/>
      <c r="F174" s="2094"/>
    </row>
    <row r="175" spans="1:6" ht="15" customHeight="1">
      <c r="A175" s="2095"/>
      <c r="B175" s="1120"/>
      <c r="C175" s="1274"/>
      <c r="D175" s="1242"/>
      <c r="E175" s="1242"/>
      <c r="F175" s="2094"/>
    </row>
    <row r="176" spans="1:6" ht="15.75" customHeight="1">
      <c r="A176" s="2095"/>
      <c r="B176" s="1120"/>
      <c r="C176" s="1274"/>
      <c r="D176" s="1242"/>
      <c r="E176" s="1242"/>
      <c r="F176" s="2094"/>
    </row>
    <row r="177" spans="1:6">
      <c r="A177" s="2095"/>
      <c r="B177" s="1120"/>
      <c r="C177" s="1274"/>
      <c r="D177" s="1242"/>
      <c r="E177" s="1242"/>
      <c r="F177" s="2094"/>
    </row>
    <row r="178" spans="1:6">
      <c r="A178" s="2095"/>
      <c r="B178" s="1120"/>
      <c r="C178" s="1274"/>
      <c r="D178" s="1242"/>
      <c r="E178" s="1242"/>
      <c r="F178" s="2094"/>
    </row>
    <row r="179" spans="1:6">
      <c r="A179" s="2095"/>
      <c r="B179" s="1120"/>
      <c r="C179" s="1274"/>
      <c r="D179" s="1242"/>
      <c r="E179" s="1242"/>
      <c r="F179" s="2094"/>
    </row>
    <row r="180" spans="1:6">
      <c r="A180" s="2095"/>
      <c r="B180" s="1120"/>
      <c r="C180" s="1274"/>
      <c r="D180" s="1242"/>
      <c r="E180" s="1242"/>
      <c r="F180" s="2094"/>
    </row>
    <row r="181" spans="1:6">
      <c r="A181" s="2095"/>
      <c r="B181" s="1120"/>
      <c r="C181" s="1274"/>
      <c r="D181" s="1242"/>
      <c r="E181" s="1242"/>
      <c r="F181" s="2094"/>
    </row>
    <row r="182" spans="1:6">
      <c r="A182" s="2095"/>
      <c r="B182" s="1120"/>
      <c r="C182" s="1274"/>
      <c r="D182" s="1242"/>
      <c r="E182" s="1242"/>
      <c r="F182" s="2094"/>
    </row>
    <row r="183" spans="1:6" ht="14.4" thickBot="1">
      <c r="A183" s="2376"/>
      <c r="B183" s="1518"/>
      <c r="C183" s="1980"/>
      <c r="D183" s="1242"/>
      <c r="E183" s="1242"/>
      <c r="F183" s="2377"/>
    </row>
    <row r="184" spans="1:6">
      <c r="A184" s="2356"/>
      <c r="B184" s="1069"/>
      <c r="C184" s="1942"/>
      <c r="D184" s="1242"/>
      <c r="E184" s="1242"/>
      <c r="F184" s="2366"/>
    </row>
    <row r="185" spans="1:6">
      <c r="A185" s="2357"/>
      <c r="B185" s="1120"/>
      <c r="C185" s="1607"/>
      <c r="D185" s="1242"/>
      <c r="E185" s="1242"/>
      <c r="F185" s="2367"/>
    </row>
    <row r="186" spans="1:6">
      <c r="A186" s="2357"/>
      <c r="B186" s="1120"/>
      <c r="C186" s="1274"/>
      <c r="D186" s="1242"/>
      <c r="E186" s="1242"/>
      <c r="F186" s="2367"/>
    </row>
    <row r="187" spans="1:6" ht="15" customHeight="1">
      <c r="A187" s="2357"/>
      <c r="B187" s="1120"/>
      <c r="C187" s="1274"/>
      <c r="D187" s="1242"/>
      <c r="E187" s="1242"/>
      <c r="F187" s="2367"/>
    </row>
    <row r="188" spans="1:6">
      <c r="A188" s="2357"/>
      <c r="B188" s="1120"/>
      <c r="C188" s="1274"/>
      <c r="D188" s="1242"/>
      <c r="E188" s="1242"/>
      <c r="F188" s="2367"/>
    </row>
    <row r="189" spans="1:6">
      <c r="A189" s="2357"/>
      <c r="B189" s="1120"/>
      <c r="C189" s="1274"/>
      <c r="D189" s="1242"/>
      <c r="E189" s="1242"/>
      <c r="F189" s="2367"/>
    </row>
    <row r="190" spans="1:6">
      <c r="A190" s="2357"/>
      <c r="B190" s="1120"/>
      <c r="C190" s="1274"/>
      <c r="D190" s="1242"/>
      <c r="E190" s="1242"/>
      <c r="F190" s="2367"/>
    </row>
    <row r="191" spans="1:6">
      <c r="A191" s="2357"/>
      <c r="B191" s="1120"/>
      <c r="C191" s="1274"/>
      <c r="D191" s="1242"/>
      <c r="E191" s="1242"/>
      <c r="F191" s="2367"/>
    </row>
    <row r="192" spans="1:6">
      <c r="A192" s="2357"/>
      <c r="B192" s="1120"/>
      <c r="C192" s="1274"/>
      <c r="D192" s="1242"/>
      <c r="E192" s="1242"/>
      <c r="F192" s="2367"/>
    </row>
    <row r="193" spans="1:6">
      <c r="A193" s="2357"/>
      <c r="B193" s="1120"/>
      <c r="C193" s="1274"/>
      <c r="D193" s="1242"/>
      <c r="E193" s="1242"/>
      <c r="F193" s="2367"/>
    </row>
    <row r="194" spans="1:6">
      <c r="A194" s="2357"/>
      <c r="B194" s="1120"/>
      <c r="C194" s="1274"/>
      <c r="D194" s="1242"/>
      <c r="E194" s="1242"/>
      <c r="F194" s="2367"/>
    </row>
    <row r="195" spans="1:6">
      <c r="A195" s="2357"/>
      <c r="B195" s="1120"/>
      <c r="C195" s="1274"/>
      <c r="D195" s="1242"/>
      <c r="E195" s="1242"/>
      <c r="F195" s="2367"/>
    </row>
    <row r="196" spans="1:6">
      <c r="A196" s="2357"/>
      <c r="B196" s="1120"/>
      <c r="C196" s="1274"/>
      <c r="D196" s="1242"/>
      <c r="E196" s="1242"/>
      <c r="F196" s="2367"/>
    </row>
    <row r="197" spans="1:6" ht="15" customHeight="1">
      <c r="A197" s="2357"/>
      <c r="B197" s="1120"/>
      <c r="C197" s="1274"/>
      <c r="D197" s="1242"/>
      <c r="E197" s="1242"/>
      <c r="F197" s="2367"/>
    </row>
    <row r="198" spans="1:6">
      <c r="A198" s="2357"/>
      <c r="B198" s="1120"/>
      <c r="C198" s="1274"/>
      <c r="D198" s="1242"/>
      <c r="E198" s="1242"/>
      <c r="F198" s="2367"/>
    </row>
    <row r="199" spans="1:6">
      <c r="A199" s="2357"/>
      <c r="B199" s="1120"/>
      <c r="C199" s="1274"/>
      <c r="D199" s="1242"/>
      <c r="E199" s="1242"/>
      <c r="F199" s="2367"/>
    </row>
    <row r="200" spans="1:6">
      <c r="A200" s="2357"/>
      <c r="B200" s="1120"/>
      <c r="C200" s="1274"/>
      <c r="D200" s="1242"/>
      <c r="E200" s="1242"/>
      <c r="F200" s="2367"/>
    </row>
    <row r="201" spans="1:6" ht="14.4" thickBot="1">
      <c r="A201" s="2358"/>
      <c r="B201" s="1518"/>
      <c r="C201" s="1980"/>
      <c r="D201" s="1242"/>
      <c r="E201" s="1242"/>
      <c r="F201" s="2367"/>
    </row>
    <row r="202" spans="1:6">
      <c r="A202" s="2356"/>
      <c r="B202" s="1069"/>
      <c r="C202" s="1942"/>
      <c r="D202" s="1242"/>
      <c r="E202" s="1242"/>
      <c r="F202" s="2360"/>
    </row>
    <row r="203" spans="1:6">
      <c r="A203" s="2357"/>
      <c r="B203" s="1120"/>
      <c r="C203" s="1274"/>
      <c r="D203" s="1242"/>
      <c r="E203" s="1242"/>
      <c r="F203" s="2361"/>
    </row>
    <row r="204" spans="1:6" ht="15" customHeight="1">
      <c r="A204" s="2357"/>
      <c r="B204" s="1120"/>
      <c r="C204" s="1274"/>
      <c r="D204" s="1242"/>
      <c r="E204" s="1242"/>
      <c r="F204" s="2361"/>
    </row>
    <row r="205" spans="1:6" ht="15" customHeight="1">
      <c r="A205" s="2357"/>
      <c r="B205" s="1120"/>
      <c r="C205" s="1274"/>
      <c r="D205" s="1242"/>
      <c r="E205" s="1242"/>
      <c r="F205" s="2361"/>
    </row>
    <row r="206" spans="1:6" ht="15" customHeight="1">
      <c r="A206" s="2357"/>
      <c r="B206" s="1120"/>
      <c r="C206" s="1274"/>
      <c r="D206" s="1242"/>
      <c r="E206" s="1242"/>
      <c r="F206" s="2361"/>
    </row>
    <row r="207" spans="1:6" ht="15" customHeight="1">
      <c r="A207" s="2357"/>
      <c r="B207" s="1120"/>
      <c r="C207" s="1274"/>
      <c r="D207" s="1242"/>
      <c r="E207" s="1242"/>
      <c r="F207" s="2361"/>
    </row>
    <row r="208" spans="1:6" ht="15" customHeight="1">
      <c r="A208" s="2357"/>
      <c r="B208" s="1120"/>
      <c r="C208" s="1274"/>
      <c r="D208" s="1242"/>
      <c r="E208" s="1242"/>
      <c r="F208" s="2361"/>
    </row>
    <row r="209" spans="1:6" ht="15" customHeight="1">
      <c r="A209" s="2357"/>
      <c r="B209" s="1120"/>
      <c r="C209" s="1274"/>
      <c r="D209" s="1242"/>
      <c r="E209" s="1242"/>
      <c r="F209" s="2361"/>
    </row>
    <row r="210" spans="1:6" ht="15" customHeight="1">
      <c r="A210" s="2357"/>
      <c r="B210" s="1120"/>
      <c r="C210" s="1274"/>
      <c r="D210" s="1242"/>
      <c r="E210" s="1242"/>
      <c r="F210" s="2361"/>
    </row>
    <row r="211" spans="1:6" ht="15" customHeight="1">
      <c r="A211" s="2357"/>
      <c r="B211" s="1120"/>
      <c r="C211" s="1274"/>
      <c r="D211" s="1242"/>
      <c r="E211" s="1242"/>
      <c r="F211" s="2361"/>
    </row>
    <row r="212" spans="1:6" ht="15" customHeight="1">
      <c r="A212" s="2357"/>
      <c r="B212" s="1120"/>
      <c r="C212" s="1274"/>
      <c r="D212" s="1242"/>
      <c r="E212" s="1242"/>
      <c r="F212" s="2361"/>
    </row>
    <row r="213" spans="1:6" ht="15" customHeight="1">
      <c r="A213" s="2357"/>
      <c r="B213" s="1120"/>
      <c r="C213" s="1274"/>
      <c r="D213" s="1242"/>
      <c r="E213" s="1242"/>
      <c r="F213" s="2361"/>
    </row>
    <row r="214" spans="1:6" ht="15" customHeight="1">
      <c r="A214" s="2357"/>
      <c r="B214" s="1120"/>
      <c r="C214" s="1274"/>
      <c r="D214" s="1242"/>
      <c r="E214" s="1242"/>
      <c r="F214" s="2361"/>
    </row>
    <row r="215" spans="1:6" ht="15" customHeight="1">
      <c r="A215" s="2357"/>
      <c r="B215" s="1120"/>
      <c r="C215" s="1274"/>
      <c r="D215" s="1242"/>
      <c r="E215" s="1242"/>
      <c r="F215" s="2361"/>
    </row>
    <row r="216" spans="1:6" ht="15.75" customHeight="1" thickBot="1">
      <c r="A216" s="2358"/>
      <c r="B216" s="1518"/>
      <c r="C216" s="1980"/>
      <c r="D216" s="1242"/>
      <c r="E216" s="1242"/>
      <c r="F216" s="2362"/>
    </row>
    <row r="217" spans="1:6" ht="15.75" customHeight="1">
      <c r="A217" s="2356"/>
      <c r="B217" s="1069"/>
      <c r="C217" s="1942"/>
      <c r="D217" s="1242"/>
      <c r="E217" s="1242"/>
      <c r="F217" s="2360"/>
    </row>
    <row r="218" spans="1:6">
      <c r="A218" s="2357"/>
      <c r="B218" s="1120"/>
      <c r="C218" s="1274"/>
      <c r="D218" s="1242"/>
      <c r="E218" s="1242"/>
      <c r="F218" s="2361"/>
    </row>
    <row r="219" spans="1:6">
      <c r="A219" s="2357"/>
      <c r="B219" s="1120"/>
      <c r="C219" s="1274"/>
      <c r="D219" s="1242"/>
      <c r="E219" s="1242"/>
      <c r="F219" s="2361"/>
    </row>
    <row r="220" spans="1:6">
      <c r="A220" s="2357"/>
      <c r="B220" s="1120"/>
      <c r="C220" s="1274"/>
      <c r="D220" s="1242"/>
      <c r="E220" s="1242"/>
      <c r="F220" s="2361"/>
    </row>
    <row r="221" spans="1:6">
      <c r="A221" s="2357"/>
      <c r="B221" s="1120"/>
      <c r="C221" s="1274"/>
      <c r="D221" s="1242"/>
      <c r="E221" s="1242"/>
      <c r="F221" s="2361"/>
    </row>
    <row r="222" spans="1:6">
      <c r="A222" s="2357"/>
      <c r="B222" s="1120"/>
      <c r="C222" s="1274"/>
      <c r="D222" s="1242"/>
      <c r="E222" s="1242"/>
      <c r="F222" s="2361"/>
    </row>
    <row r="223" spans="1:6">
      <c r="A223" s="2357"/>
      <c r="B223" s="1120"/>
      <c r="C223" s="1274"/>
      <c r="D223" s="1242"/>
      <c r="E223" s="1242"/>
      <c r="F223" s="2361"/>
    </row>
    <row r="224" spans="1:6">
      <c r="A224" s="2357"/>
      <c r="B224" s="1120"/>
      <c r="C224" s="1274"/>
      <c r="D224" s="1242"/>
      <c r="E224" s="1242"/>
      <c r="F224" s="2361"/>
    </row>
    <row r="225" spans="1:6">
      <c r="A225" s="2357"/>
      <c r="B225" s="1120"/>
      <c r="C225" s="1274"/>
      <c r="D225" s="1242"/>
      <c r="E225" s="1242"/>
      <c r="F225" s="2361"/>
    </row>
    <row r="226" spans="1:6">
      <c r="A226" s="2357"/>
      <c r="B226" s="1120"/>
      <c r="C226" s="1274"/>
      <c r="D226" s="1242"/>
      <c r="E226" s="1242"/>
      <c r="F226" s="2361"/>
    </row>
    <row r="227" spans="1:6">
      <c r="A227" s="2357"/>
      <c r="B227" s="1120"/>
      <c r="C227" s="1274"/>
      <c r="D227" s="1242"/>
      <c r="E227" s="1242"/>
      <c r="F227" s="2361"/>
    </row>
    <row r="228" spans="1:6">
      <c r="A228" s="2357"/>
      <c r="B228" s="1120"/>
      <c r="C228" s="1274"/>
      <c r="D228" s="1242"/>
      <c r="E228" s="1242"/>
      <c r="F228" s="2361"/>
    </row>
    <row r="229" spans="1:6">
      <c r="A229" s="2357"/>
      <c r="B229" s="1120"/>
      <c r="C229" s="1274"/>
      <c r="D229" s="1242"/>
      <c r="E229" s="1242"/>
      <c r="F229" s="2361"/>
    </row>
    <row r="230" spans="1:6">
      <c r="A230" s="2357"/>
      <c r="B230" s="1120"/>
      <c r="C230" s="1274"/>
      <c r="D230" s="1242"/>
      <c r="E230" s="1242"/>
      <c r="F230" s="2361"/>
    </row>
    <row r="231" spans="1:6" ht="14.4" thickBot="1">
      <c r="A231" s="2358"/>
      <c r="B231" s="1518"/>
      <c r="C231" s="1980"/>
      <c r="D231" s="1242"/>
      <c r="E231" s="1242"/>
      <c r="F231" s="2362"/>
    </row>
    <row r="232" spans="1:6">
      <c r="A232" s="2356"/>
      <c r="B232" s="1069"/>
      <c r="C232" s="1942"/>
      <c r="D232" s="1242"/>
      <c r="E232" s="1242"/>
      <c r="F232" s="2360"/>
    </row>
    <row r="233" spans="1:6">
      <c r="A233" s="2357"/>
      <c r="B233" s="1120"/>
      <c r="C233" s="1274"/>
      <c r="D233" s="1242"/>
      <c r="E233" s="1242"/>
      <c r="F233" s="2361"/>
    </row>
    <row r="234" spans="1:6">
      <c r="A234" s="2357"/>
      <c r="B234" s="1120"/>
      <c r="C234" s="1274"/>
      <c r="D234" s="1242"/>
      <c r="E234" s="1242"/>
      <c r="F234" s="2361"/>
    </row>
    <row r="235" spans="1:6">
      <c r="A235" s="2357"/>
      <c r="B235" s="1120"/>
      <c r="C235" s="1274"/>
      <c r="D235" s="1242"/>
      <c r="E235" s="1242"/>
      <c r="F235" s="2361"/>
    </row>
    <row r="236" spans="1:6">
      <c r="A236" s="2357"/>
      <c r="B236" s="1120"/>
      <c r="C236" s="1274"/>
      <c r="D236" s="1242"/>
      <c r="E236" s="1242"/>
      <c r="F236" s="2361"/>
    </row>
    <row r="237" spans="1:6">
      <c r="A237" s="2357"/>
      <c r="B237" s="1120"/>
      <c r="C237" s="1274"/>
      <c r="D237" s="1242"/>
      <c r="E237" s="1242"/>
      <c r="F237" s="2361"/>
    </row>
    <row r="238" spans="1:6">
      <c r="A238" s="2357"/>
      <c r="B238" s="1120"/>
      <c r="C238" s="1274"/>
      <c r="D238" s="1242"/>
      <c r="E238" s="1242"/>
      <c r="F238" s="2361"/>
    </row>
    <row r="239" spans="1:6">
      <c r="A239" s="2357"/>
      <c r="B239" s="1120"/>
      <c r="C239" s="1274"/>
      <c r="D239" s="1242"/>
      <c r="E239" s="1242"/>
      <c r="F239" s="2361"/>
    </row>
    <row r="240" spans="1:6">
      <c r="A240" s="2357"/>
      <c r="B240" s="1120"/>
      <c r="C240" s="1274"/>
      <c r="D240" s="1242"/>
      <c r="E240" s="1242"/>
      <c r="F240" s="2361"/>
    </row>
    <row r="241" spans="1:6">
      <c r="A241" s="2357"/>
      <c r="B241" s="1120"/>
      <c r="C241" s="1274"/>
      <c r="D241" s="1242"/>
      <c r="E241" s="1242"/>
      <c r="F241" s="2361"/>
    </row>
    <row r="242" spans="1:6">
      <c r="A242" s="2357"/>
      <c r="B242" s="1120"/>
      <c r="C242" s="1274"/>
      <c r="D242" s="1242"/>
      <c r="E242" s="1242"/>
      <c r="F242" s="2361"/>
    </row>
    <row r="243" spans="1:6" ht="14.4" thickBot="1">
      <c r="A243" s="2358"/>
      <c r="B243" s="1518"/>
      <c r="C243" s="1980"/>
      <c r="D243" s="1242"/>
      <c r="E243" s="1242"/>
      <c r="F243" s="2362"/>
    </row>
    <row r="244" spans="1:6">
      <c r="A244" s="2356"/>
      <c r="B244" s="1069"/>
      <c r="C244" s="1942"/>
      <c r="D244" s="1242"/>
      <c r="E244" s="1242"/>
      <c r="F244" s="2360"/>
    </row>
    <row r="245" spans="1:6">
      <c r="A245" s="2357"/>
      <c r="B245" s="1120"/>
      <c r="C245" s="1274"/>
      <c r="D245" s="1242"/>
      <c r="E245" s="1242"/>
      <c r="F245" s="2361"/>
    </row>
    <row r="246" spans="1:6">
      <c r="A246" s="2357"/>
      <c r="B246" s="1120"/>
      <c r="C246" s="1274"/>
      <c r="D246" s="1242"/>
      <c r="E246" s="1242"/>
      <c r="F246" s="2361"/>
    </row>
    <row r="247" spans="1:6" ht="14.4" thickBot="1">
      <c r="A247" s="2358"/>
      <c r="B247" s="1518"/>
      <c r="C247" s="1980"/>
      <c r="D247" s="1242"/>
      <c r="E247" s="1242"/>
      <c r="F247" s="2362"/>
    </row>
    <row r="248" spans="1:6">
      <c r="A248" s="2356"/>
      <c r="B248" s="1069"/>
      <c r="C248" s="1942"/>
      <c r="D248" s="1242"/>
      <c r="E248" s="1242"/>
      <c r="F248" s="2360"/>
    </row>
    <row r="249" spans="1:6">
      <c r="A249" s="2357"/>
      <c r="B249" s="1120"/>
      <c r="C249" s="1274"/>
      <c r="D249" s="1242"/>
      <c r="E249" s="1242"/>
      <c r="F249" s="2361"/>
    </row>
    <row r="250" spans="1:6">
      <c r="A250" s="2357"/>
      <c r="B250" s="1120"/>
      <c r="C250" s="1274"/>
      <c r="D250" s="1242"/>
      <c r="E250" s="1242"/>
      <c r="F250" s="2361"/>
    </row>
    <row r="251" spans="1:6">
      <c r="A251" s="2357"/>
      <c r="B251" s="1120"/>
      <c r="C251" s="1274"/>
      <c r="D251" s="1242"/>
      <c r="E251" s="1242"/>
      <c r="F251" s="2361"/>
    </row>
    <row r="252" spans="1:6">
      <c r="A252" s="2357"/>
      <c r="B252" s="1120"/>
      <c r="C252" s="1274"/>
      <c r="D252" s="1242"/>
      <c r="E252" s="1242"/>
      <c r="F252" s="2361"/>
    </row>
    <row r="253" spans="1:6">
      <c r="A253" s="2357"/>
      <c r="B253" s="1120"/>
      <c r="C253" s="1274"/>
      <c r="D253" s="1242"/>
      <c r="E253" s="1242"/>
      <c r="F253" s="2361"/>
    </row>
    <row r="254" spans="1:6">
      <c r="A254" s="2357"/>
      <c r="B254" s="1120"/>
      <c r="C254" s="1274"/>
      <c r="D254" s="1242"/>
      <c r="E254" s="1242"/>
      <c r="F254" s="2361"/>
    </row>
    <row r="255" spans="1:6">
      <c r="A255" s="2357"/>
      <c r="B255" s="1120"/>
      <c r="C255" s="1274"/>
      <c r="D255" s="1242"/>
      <c r="E255" s="1242"/>
      <c r="F255" s="2361"/>
    </row>
    <row r="256" spans="1:6">
      <c r="A256" s="2357"/>
      <c r="B256" s="1120"/>
      <c r="C256" s="1274"/>
      <c r="D256" s="1242"/>
      <c r="E256" s="1242"/>
      <c r="F256" s="2361"/>
    </row>
    <row r="257" spans="1:6">
      <c r="A257" s="2357"/>
      <c r="B257" s="1120"/>
      <c r="C257" s="1274"/>
      <c r="D257" s="1242"/>
      <c r="E257" s="1242"/>
      <c r="F257" s="2361"/>
    </row>
    <row r="258" spans="1:6">
      <c r="A258" s="2357"/>
      <c r="B258" s="1120"/>
      <c r="C258" s="1274"/>
      <c r="D258" s="1242"/>
      <c r="E258" s="1242"/>
      <c r="F258" s="2361"/>
    </row>
    <row r="259" spans="1:6">
      <c r="A259" s="2357"/>
      <c r="B259" s="1120"/>
      <c r="C259" s="1274"/>
      <c r="D259" s="1242"/>
      <c r="E259" s="1242"/>
      <c r="F259" s="2361"/>
    </row>
    <row r="260" spans="1:6">
      <c r="A260" s="2357"/>
      <c r="B260" s="1120"/>
      <c r="C260" s="1274"/>
      <c r="D260" s="1242"/>
      <c r="E260" s="1242"/>
      <c r="F260" s="2361"/>
    </row>
    <row r="261" spans="1:6" ht="15" customHeight="1">
      <c r="A261" s="2357"/>
      <c r="B261" s="1120"/>
      <c r="C261" s="1274"/>
      <c r="D261" s="1242"/>
      <c r="E261" s="1242"/>
      <c r="F261" s="2361"/>
    </row>
    <row r="262" spans="1:6" ht="15" customHeight="1" thickBot="1">
      <c r="A262" s="2358"/>
      <c r="B262" s="1518"/>
      <c r="C262" s="1980"/>
      <c r="D262" s="1242"/>
      <c r="E262" s="1242"/>
      <c r="F262" s="2362"/>
    </row>
    <row r="263" spans="1:6" ht="15" customHeight="1">
      <c r="A263" s="2356"/>
      <c r="B263" s="1069"/>
      <c r="C263" s="1942"/>
      <c r="D263" s="1242"/>
      <c r="E263" s="1242"/>
      <c r="F263" s="2360"/>
    </row>
    <row r="264" spans="1:6" ht="15" customHeight="1">
      <c r="A264" s="2357"/>
      <c r="B264" s="1120"/>
      <c r="C264" s="1274"/>
      <c r="D264" s="1242"/>
      <c r="E264" s="1242"/>
      <c r="F264" s="2361"/>
    </row>
    <row r="265" spans="1:6" ht="15" customHeight="1">
      <c r="A265" s="2357"/>
      <c r="B265" s="1120"/>
      <c r="C265" s="1274"/>
      <c r="D265" s="1242"/>
      <c r="E265" s="1242"/>
      <c r="F265" s="2361"/>
    </row>
    <row r="266" spans="1:6" ht="15" customHeight="1">
      <c r="A266" s="2357"/>
      <c r="B266" s="1120"/>
      <c r="C266" s="1274"/>
      <c r="D266" s="1242"/>
      <c r="E266" s="1242"/>
      <c r="F266" s="2361"/>
    </row>
    <row r="267" spans="1:6" ht="15" customHeight="1">
      <c r="A267" s="2357"/>
      <c r="B267" s="1120"/>
      <c r="C267" s="1274"/>
      <c r="D267" s="1242"/>
      <c r="E267" s="1242"/>
      <c r="F267" s="2361"/>
    </row>
    <row r="268" spans="1:6" ht="15" customHeight="1">
      <c r="A268" s="2357"/>
      <c r="B268" s="1120"/>
      <c r="C268" s="1274"/>
      <c r="D268" s="1242"/>
      <c r="E268" s="1242"/>
      <c r="F268" s="2361"/>
    </row>
    <row r="269" spans="1:6" ht="15" customHeight="1">
      <c r="A269" s="2357"/>
      <c r="B269" s="1120"/>
      <c r="C269" s="1274"/>
      <c r="D269" s="1242"/>
      <c r="E269" s="1242"/>
      <c r="F269" s="2361"/>
    </row>
    <row r="270" spans="1:6" ht="15" customHeight="1">
      <c r="A270" s="2357"/>
      <c r="B270" s="1120"/>
      <c r="C270" s="1274"/>
      <c r="D270" s="1242"/>
      <c r="E270" s="1242"/>
      <c r="F270" s="2361"/>
    </row>
    <row r="271" spans="1:6" ht="15" customHeight="1">
      <c r="A271" s="2357"/>
      <c r="B271" s="1120"/>
      <c r="C271" s="1274"/>
      <c r="D271" s="1242"/>
      <c r="E271" s="1242"/>
      <c r="F271" s="2361"/>
    </row>
    <row r="272" spans="1:6" ht="15" customHeight="1">
      <c r="A272" s="2357"/>
      <c r="B272" s="1120"/>
      <c r="C272" s="1274"/>
      <c r="D272" s="1242"/>
      <c r="E272" s="1242"/>
      <c r="F272" s="2361"/>
    </row>
    <row r="273" spans="1:6" ht="15" customHeight="1">
      <c r="A273" s="2357"/>
      <c r="B273" s="1120"/>
      <c r="C273" s="1274"/>
      <c r="D273" s="1242"/>
      <c r="E273" s="1242"/>
      <c r="F273" s="2361"/>
    </row>
    <row r="274" spans="1:6" ht="15.75" customHeight="1" thickBot="1">
      <c r="A274" s="2358"/>
      <c r="B274" s="1518"/>
      <c r="C274" s="1980"/>
      <c r="D274" s="1242"/>
      <c r="E274" s="1242"/>
      <c r="F274" s="2362"/>
    </row>
    <row r="275" spans="1:6" ht="14.7" customHeight="1">
      <c r="A275" s="2356"/>
      <c r="B275" s="1069"/>
      <c r="C275" s="1942"/>
      <c r="D275" s="1242"/>
      <c r="E275" s="1242"/>
      <c r="F275" s="2360"/>
    </row>
    <row r="276" spans="1:6" ht="14.7" customHeight="1">
      <c r="A276" s="2357"/>
      <c r="B276" s="1120"/>
      <c r="C276" s="1274"/>
      <c r="D276" s="1242"/>
      <c r="E276" s="1242"/>
      <c r="F276" s="2361"/>
    </row>
    <row r="277" spans="1:6" ht="14.7" customHeight="1">
      <c r="A277" s="2357"/>
      <c r="B277" s="1120"/>
      <c r="C277" s="1274"/>
      <c r="D277" s="1242"/>
      <c r="E277" s="1242"/>
      <c r="F277" s="2361"/>
    </row>
    <row r="278" spans="1:6" ht="15" customHeight="1">
      <c r="A278" s="2357"/>
      <c r="B278" s="1120"/>
      <c r="C278" s="1274"/>
      <c r="D278" s="1242"/>
      <c r="E278" s="1242"/>
      <c r="F278" s="2361"/>
    </row>
    <row r="279" spans="1:6" ht="13.2" customHeight="1">
      <c r="A279" s="2357"/>
      <c r="B279" s="1120"/>
      <c r="C279" s="1274"/>
      <c r="D279" s="1242"/>
      <c r="E279" s="1242"/>
      <c r="F279" s="2361"/>
    </row>
    <row r="280" spans="1:6" ht="13.2" customHeight="1">
      <c r="A280" s="2357"/>
      <c r="B280" s="1120"/>
      <c r="C280" s="1274"/>
      <c r="D280" s="1242"/>
      <c r="E280" s="1242"/>
      <c r="F280" s="2361"/>
    </row>
    <row r="281" spans="1:6" ht="13.2" customHeight="1">
      <c r="A281" s="2357"/>
      <c r="B281" s="1120"/>
      <c r="C281" s="1274"/>
      <c r="D281" s="1242"/>
      <c r="E281" s="1242"/>
      <c r="F281" s="2361"/>
    </row>
    <row r="282" spans="1:6" ht="13.2" customHeight="1">
      <c r="A282" s="2357"/>
      <c r="B282" s="1120"/>
      <c r="C282" s="1274"/>
      <c r="D282" s="1242"/>
      <c r="E282" s="1242"/>
      <c r="F282" s="2361"/>
    </row>
    <row r="283" spans="1:6" ht="13.2" customHeight="1">
      <c r="A283" s="2357"/>
      <c r="B283" s="1120"/>
      <c r="C283" s="1274"/>
      <c r="D283" s="1242"/>
      <c r="E283" s="1242"/>
      <c r="F283" s="2361"/>
    </row>
    <row r="284" spans="1:6" ht="13.2" customHeight="1">
      <c r="A284" s="2357"/>
      <c r="B284" s="1120"/>
      <c r="C284" s="1274"/>
      <c r="D284" s="1242"/>
      <c r="E284" s="1242"/>
      <c r="F284" s="2361"/>
    </row>
    <row r="285" spans="1:6" ht="13.2" customHeight="1">
      <c r="A285" s="2357"/>
      <c r="B285" s="1120"/>
      <c r="C285" s="1274"/>
      <c r="D285" s="1242"/>
      <c r="E285" s="1242"/>
      <c r="F285" s="2361"/>
    </row>
    <row r="286" spans="1:6" ht="13.2" customHeight="1">
      <c r="A286" s="2357"/>
      <c r="B286" s="1120"/>
      <c r="C286" s="1274"/>
      <c r="D286" s="1242"/>
      <c r="E286" s="1242"/>
      <c r="F286" s="2361"/>
    </row>
    <row r="287" spans="1:6" ht="13.2" customHeight="1">
      <c r="A287" s="2357"/>
      <c r="B287" s="1120"/>
      <c r="C287" s="1274"/>
      <c r="D287" s="1242"/>
      <c r="E287" s="1242"/>
      <c r="F287" s="2361"/>
    </row>
    <row r="288" spans="1:6" ht="13.2" customHeight="1" thickBot="1">
      <c r="A288" s="2358"/>
      <c r="B288" s="1518"/>
      <c r="C288" s="1980"/>
      <c r="D288" s="1242"/>
      <c r="E288" s="1242"/>
      <c r="F288" s="2362"/>
    </row>
    <row r="289" spans="1:6">
      <c r="A289" s="2356"/>
      <c r="B289" s="1069"/>
      <c r="C289" s="1942"/>
      <c r="D289" s="1242"/>
      <c r="E289" s="1242"/>
      <c r="F289" s="2368"/>
    </row>
    <row r="290" spans="1:6">
      <c r="A290" s="2357"/>
      <c r="B290" s="1120"/>
      <c r="C290" s="1274"/>
      <c r="D290" s="1242"/>
      <c r="E290" s="1242"/>
      <c r="F290" s="2369"/>
    </row>
    <row r="291" spans="1:6">
      <c r="A291" s="2357"/>
      <c r="B291" s="1120"/>
      <c r="C291" s="1274"/>
      <c r="D291" s="1242"/>
      <c r="E291" s="1242"/>
      <c r="F291" s="2369"/>
    </row>
    <row r="292" spans="1:6">
      <c r="A292" s="2357"/>
      <c r="B292" s="1120"/>
      <c r="C292" s="1274"/>
      <c r="D292" s="1242"/>
      <c r="E292" s="1242"/>
      <c r="F292" s="2369"/>
    </row>
    <row r="293" spans="1:6">
      <c r="A293" s="2357"/>
      <c r="B293" s="1120"/>
      <c r="C293" s="1274"/>
      <c r="D293" s="1242"/>
      <c r="E293" s="1242"/>
      <c r="F293" s="2369"/>
    </row>
    <row r="294" spans="1:6">
      <c r="A294" s="2357"/>
      <c r="B294" s="1120"/>
      <c r="C294" s="1274"/>
      <c r="D294" s="1242"/>
      <c r="E294" s="1242"/>
      <c r="F294" s="2369"/>
    </row>
    <row r="295" spans="1:6">
      <c r="A295" s="2357"/>
      <c r="B295" s="1120"/>
      <c r="C295" s="1274"/>
      <c r="D295" s="1242"/>
      <c r="E295" s="1242"/>
      <c r="F295" s="2369"/>
    </row>
    <row r="296" spans="1:6">
      <c r="A296" s="2357"/>
      <c r="B296" s="1120"/>
      <c r="C296" s="1274"/>
      <c r="D296" s="1242"/>
      <c r="E296" s="1242"/>
      <c r="F296" s="2369"/>
    </row>
    <row r="297" spans="1:6">
      <c r="A297" s="2357"/>
      <c r="B297" s="1120"/>
      <c r="C297" s="1274"/>
      <c r="D297" s="1242"/>
      <c r="E297" s="1242"/>
      <c r="F297" s="2369"/>
    </row>
    <row r="298" spans="1:6">
      <c r="A298" s="2357"/>
      <c r="B298" s="1120"/>
      <c r="C298" s="1274"/>
      <c r="D298" s="1242"/>
      <c r="E298" s="1242"/>
      <c r="F298" s="2361"/>
    </row>
    <row r="299" spans="1:6">
      <c r="A299" s="2357"/>
      <c r="B299" s="1120"/>
      <c r="C299" s="1274"/>
      <c r="D299" s="1242"/>
      <c r="E299" s="1242"/>
      <c r="F299" s="2361"/>
    </row>
    <row r="300" spans="1:6" ht="14.4" thickBot="1">
      <c r="A300" s="2358"/>
      <c r="B300" s="1518"/>
      <c r="C300" s="1980"/>
      <c r="D300" s="1242"/>
      <c r="E300" s="1242"/>
      <c r="F300" s="2362"/>
    </row>
    <row r="301" spans="1:6">
      <c r="A301" s="2356"/>
      <c r="B301" s="1069"/>
      <c r="C301" s="1942"/>
      <c r="D301" s="1242"/>
      <c r="E301" s="1242"/>
      <c r="F301" s="2360"/>
    </row>
    <row r="302" spans="1:6">
      <c r="A302" s="2357"/>
      <c r="B302" s="1120"/>
      <c r="C302" s="1274"/>
      <c r="D302" s="1242"/>
      <c r="E302" s="1242"/>
      <c r="F302" s="2361"/>
    </row>
    <row r="303" spans="1:6">
      <c r="A303" s="2357"/>
      <c r="B303" s="1120"/>
      <c r="C303" s="1274"/>
      <c r="D303" s="1242"/>
      <c r="E303" s="1242"/>
      <c r="F303" s="2361"/>
    </row>
    <row r="304" spans="1:6">
      <c r="A304" s="2357"/>
      <c r="B304" s="1120"/>
      <c r="C304" s="1274"/>
      <c r="D304" s="1242"/>
      <c r="E304" s="1242"/>
      <c r="F304" s="2361"/>
    </row>
    <row r="305" spans="1:6">
      <c r="A305" s="2357"/>
      <c r="B305" s="1120"/>
      <c r="C305" s="1274"/>
      <c r="D305" s="1242"/>
      <c r="E305" s="1242"/>
      <c r="F305" s="2361"/>
    </row>
    <row r="306" spans="1:6">
      <c r="A306" s="2357"/>
      <c r="B306" s="1120"/>
      <c r="C306" s="1274"/>
      <c r="D306" s="1242"/>
      <c r="E306" s="1242"/>
      <c r="F306" s="2361"/>
    </row>
    <row r="307" spans="1:6">
      <c r="A307" s="2357"/>
      <c r="B307" s="1120"/>
      <c r="C307" s="1274"/>
      <c r="D307" s="1242"/>
      <c r="E307" s="1242"/>
      <c r="F307" s="2361"/>
    </row>
    <row r="308" spans="1:6">
      <c r="A308" s="2357"/>
      <c r="B308" s="1120"/>
      <c r="C308" s="1274"/>
      <c r="D308" s="1242"/>
      <c r="E308" s="1242"/>
      <c r="F308" s="2361"/>
    </row>
    <row r="309" spans="1:6">
      <c r="A309" s="2357"/>
      <c r="B309" s="1120"/>
      <c r="C309" s="1274"/>
      <c r="D309" s="1242"/>
      <c r="E309" s="1242"/>
      <c r="F309" s="2361"/>
    </row>
    <row r="310" spans="1:6">
      <c r="A310" s="2357"/>
      <c r="B310" s="1120"/>
      <c r="C310" s="1274"/>
      <c r="D310" s="1242"/>
      <c r="E310" s="1242"/>
      <c r="F310" s="2361"/>
    </row>
    <row r="311" spans="1:6">
      <c r="A311" s="2357"/>
      <c r="B311" s="1120"/>
      <c r="C311" s="1274"/>
      <c r="D311" s="1242"/>
      <c r="E311" s="1242"/>
      <c r="F311" s="2361"/>
    </row>
    <row r="312" spans="1:6" ht="14.4" thickBot="1">
      <c r="A312" s="2358"/>
      <c r="B312" s="1518"/>
      <c r="C312" s="1980"/>
      <c r="D312" s="1242"/>
      <c r="E312" s="1242"/>
      <c r="F312" s="2362"/>
    </row>
    <row r="313" spans="1:6">
      <c r="A313" s="2356"/>
      <c r="B313" s="1069"/>
      <c r="C313" s="1942"/>
      <c r="D313" s="1242"/>
      <c r="E313" s="1242"/>
      <c r="F313" s="2360"/>
    </row>
    <row r="314" spans="1:6">
      <c r="A314" s="2357"/>
      <c r="B314" s="1120"/>
      <c r="C314" s="1274"/>
      <c r="D314" s="1242"/>
      <c r="E314" s="1242"/>
      <c r="F314" s="2361"/>
    </row>
    <row r="315" spans="1:6">
      <c r="A315" s="2357"/>
      <c r="B315" s="1120"/>
      <c r="C315" s="1274"/>
      <c r="D315" s="1242"/>
      <c r="E315" s="1242"/>
      <c r="F315" s="2361"/>
    </row>
    <row r="316" spans="1:6">
      <c r="A316" s="2357"/>
      <c r="B316" s="1120"/>
      <c r="C316" s="1274"/>
      <c r="D316" s="1242"/>
      <c r="E316" s="1242"/>
      <c r="F316" s="2361"/>
    </row>
    <row r="317" spans="1:6">
      <c r="A317" s="2357"/>
      <c r="B317" s="1120"/>
      <c r="C317" s="1274"/>
      <c r="D317" s="1242"/>
      <c r="E317" s="1242"/>
      <c r="F317" s="2361"/>
    </row>
    <row r="318" spans="1:6">
      <c r="A318" s="2357"/>
      <c r="B318" s="1120"/>
      <c r="C318" s="1274"/>
      <c r="D318" s="1242"/>
      <c r="E318" s="1242"/>
      <c r="F318" s="2361"/>
    </row>
    <row r="319" spans="1:6">
      <c r="A319" s="2357"/>
      <c r="B319" s="1120"/>
      <c r="C319" s="1274"/>
      <c r="D319" s="1242"/>
      <c r="E319" s="1242"/>
      <c r="F319" s="2361"/>
    </row>
    <row r="320" spans="1:6">
      <c r="A320" s="2357"/>
      <c r="B320" s="1120"/>
      <c r="C320" s="1274"/>
      <c r="D320" s="1242"/>
      <c r="E320" s="1242"/>
      <c r="F320" s="2361"/>
    </row>
    <row r="321" spans="1:6">
      <c r="A321" s="2357"/>
      <c r="B321" s="1120"/>
      <c r="C321" s="1274"/>
      <c r="D321" s="1242"/>
      <c r="E321" s="1242"/>
      <c r="F321" s="2361"/>
    </row>
    <row r="322" spans="1:6">
      <c r="A322" s="2357"/>
      <c r="B322" s="1120"/>
      <c r="C322" s="1274"/>
      <c r="D322" s="1242"/>
      <c r="E322" s="1242"/>
      <c r="F322" s="2361"/>
    </row>
    <row r="323" spans="1:6">
      <c r="A323" s="2357"/>
      <c r="B323" s="1120"/>
      <c r="C323" s="1274"/>
      <c r="D323" s="1242"/>
      <c r="E323" s="1242"/>
      <c r="F323" s="2361"/>
    </row>
    <row r="324" spans="1:6">
      <c r="A324" s="2357"/>
      <c r="B324" s="1120"/>
      <c r="C324" s="1274"/>
      <c r="D324" s="1242"/>
      <c r="E324" s="1242"/>
      <c r="F324" s="2361"/>
    </row>
    <row r="325" spans="1:6">
      <c r="A325" s="2357"/>
      <c r="B325" s="1120"/>
      <c r="C325" s="1274"/>
      <c r="D325" s="1242"/>
      <c r="E325" s="1242"/>
      <c r="F325" s="2361"/>
    </row>
    <row r="326" spans="1:6" ht="15" customHeight="1">
      <c r="A326" s="2357"/>
      <c r="B326" s="1120"/>
      <c r="C326" s="1274"/>
      <c r="D326" s="1242"/>
      <c r="E326" s="1242"/>
      <c r="F326" s="2361"/>
    </row>
    <row r="327" spans="1:6" ht="15" customHeight="1" thickBot="1">
      <c r="A327" s="2359"/>
      <c r="B327" s="1017"/>
      <c r="C327" s="1019"/>
      <c r="D327" s="1242"/>
      <c r="E327" s="1242"/>
      <c r="F327" s="2363"/>
    </row>
    <row r="328" spans="1:6" ht="15" customHeight="1">
      <c r="A328" s="2364"/>
      <c r="B328" s="1069"/>
      <c r="C328" s="1942"/>
      <c r="D328" s="1242"/>
      <c r="E328" s="1242"/>
      <c r="F328" s="2366"/>
    </row>
    <row r="329" spans="1:6" ht="15" customHeight="1">
      <c r="A329" s="2365"/>
      <c r="B329" s="1120"/>
      <c r="C329" s="2004"/>
      <c r="D329" s="1242"/>
      <c r="E329" s="1242"/>
      <c r="F329" s="2367"/>
    </row>
    <row r="330" spans="1:6" ht="15" customHeight="1">
      <c r="A330" s="2365"/>
      <c r="B330" s="1120"/>
      <c r="C330" s="2004"/>
      <c r="D330" s="1242"/>
      <c r="E330" s="1242"/>
      <c r="F330" s="2367"/>
    </row>
    <row r="331" spans="1:6" ht="15" customHeight="1">
      <c r="A331" s="2365"/>
      <c r="B331" s="1120"/>
      <c r="C331" s="2004"/>
      <c r="D331" s="1242"/>
      <c r="E331" s="1242"/>
      <c r="F331" s="2367"/>
    </row>
    <row r="332" spans="1:6" ht="15" customHeight="1">
      <c r="A332" s="2365"/>
      <c r="B332" s="1120"/>
      <c r="C332" s="2004"/>
      <c r="D332" s="1242"/>
      <c r="E332" s="1242"/>
      <c r="F332" s="2367"/>
    </row>
    <row r="333" spans="1:6" ht="15" customHeight="1">
      <c r="A333" s="2365"/>
      <c r="B333" s="1120"/>
      <c r="C333" s="2230"/>
      <c r="D333" s="1242"/>
      <c r="E333" s="1242"/>
      <c r="F333" s="2367"/>
    </row>
    <row r="334" spans="1:6" ht="15" customHeight="1">
      <c r="A334" s="2365"/>
      <c r="B334" s="1120"/>
      <c r="C334" s="2004"/>
      <c r="D334" s="1242"/>
      <c r="E334" s="1242"/>
      <c r="F334" s="2367"/>
    </row>
    <row r="335" spans="1:6" ht="15" customHeight="1">
      <c r="A335" s="2365"/>
      <c r="B335" s="1120"/>
      <c r="C335" s="2230"/>
      <c r="D335" s="1242"/>
      <c r="E335" s="1242"/>
      <c r="F335" s="2367"/>
    </row>
    <row r="336" spans="1:6" ht="15" customHeight="1" thickBot="1">
      <c r="A336" s="2365"/>
      <c r="B336" s="1518"/>
      <c r="C336" s="2237"/>
      <c r="D336" s="1242"/>
      <c r="E336" s="1242"/>
      <c r="F336" s="2367"/>
    </row>
    <row r="337" spans="1:6">
      <c r="A337" s="2364"/>
      <c r="B337" s="1069"/>
      <c r="C337" s="2238"/>
      <c r="D337" s="1242"/>
      <c r="E337" s="1242"/>
      <c r="F337" s="2378"/>
    </row>
    <row r="338" spans="1:6">
      <c r="A338" s="2365"/>
      <c r="B338" s="1120"/>
      <c r="C338" s="2230"/>
      <c r="D338" s="1242"/>
      <c r="E338" s="1242"/>
      <c r="F338" s="2379"/>
    </row>
    <row r="339" spans="1:6">
      <c r="A339" s="2365"/>
      <c r="B339" s="1120"/>
      <c r="C339" s="2230"/>
      <c r="D339" s="1242"/>
      <c r="E339" s="1242"/>
      <c r="F339" s="2379"/>
    </row>
    <row r="340" spans="1:6" ht="14.4" thickBot="1">
      <c r="A340" s="2365"/>
      <c r="B340" s="1518"/>
      <c r="C340" s="2237"/>
      <c r="D340" s="1242"/>
      <c r="E340" s="1242"/>
      <c r="F340" s="2379"/>
    </row>
    <row r="341" spans="1:6">
      <c r="A341" s="2356"/>
      <c r="B341" s="1069"/>
      <c r="C341" s="1942"/>
      <c r="D341" s="1242"/>
      <c r="E341" s="1242"/>
      <c r="F341" s="2360"/>
    </row>
    <row r="342" spans="1:6">
      <c r="A342" s="2357"/>
      <c r="B342" s="1120"/>
      <c r="C342" s="1274"/>
      <c r="D342" s="1242"/>
      <c r="E342" s="1242"/>
      <c r="F342" s="2361"/>
    </row>
    <row r="343" spans="1:6">
      <c r="A343" s="2357"/>
      <c r="B343" s="1120"/>
      <c r="C343" s="1274"/>
      <c r="D343" s="1242"/>
      <c r="E343" s="1242"/>
      <c r="F343" s="2361"/>
    </row>
    <row r="344" spans="1:6">
      <c r="A344" s="2357"/>
      <c r="B344" s="1120"/>
      <c r="C344" s="1274"/>
      <c r="D344" s="1242"/>
      <c r="E344" s="1242"/>
      <c r="F344" s="2361"/>
    </row>
    <row r="345" spans="1:6">
      <c r="A345" s="2357"/>
      <c r="B345" s="1120"/>
      <c r="C345" s="1274"/>
      <c r="D345" s="1242"/>
      <c r="E345" s="1242"/>
      <c r="F345" s="2361"/>
    </row>
    <row r="346" spans="1:6">
      <c r="A346" s="2357"/>
      <c r="B346" s="1120"/>
      <c r="C346" s="1274"/>
      <c r="D346" s="1242"/>
      <c r="E346" s="1242"/>
      <c r="F346" s="2361"/>
    </row>
    <row r="347" spans="1:6">
      <c r="A347" s="2357"/>
      <c r="B347" s="1120"/>
      <c r="C347" s="1274"/>
      <c r="D347" s="1242"/>
      <c r="E347" s="1242"/>
      <c r="F347" s="2361"/>
    </row>
    <row r="348" spans="1:6">
      <c r="A348" s="2357"/>
      <c r="B348" s="1120"/>
      <c r="C348" s="1274"/>
      <c r="D348" s="1242"/>
      <c r="E348" s="1242"/>
      <c r="F348" s="2361"/>
    </row>
    <row r="349" spans="1:6">
      <c r="A349" s="2357"/>
      <c r="B349" s="1120"/>
      <c r="C349" s="1274"/>
      <c r="D349" s="1242"/>
      <c r="E349" s="1242"/>
      <c r="F349" s="2361"/>
    </row>
    <row r="350" spans="1:6" ht="14.4" thickBot="1">
      <c r="A350" s="2358"/>
      <c r="B350" s="1518"/>
      <c r="C350" s="1980"/>
      <c r="D350" s="1242"/>
      <c r="E350" s="1242"/>
      <c r="F350" s="2362"/>
    </row>
    <row r="351" spans="1:6">
      <c r="A351" s="2356"/>
      <c r="B351" s="1069"/>
      <c r="C351" s="1942"/>
      <c r="D351" s="1242"/>
      <c r="E351" s="1242"/>
      <c r="F351" s="2380"/>
    </row>
    <row r="352" spans="1:6">
      <c r="A352" s="2357"/>
      <c r="B352" s="1120"/>
      <c r="C352" s="1274"/>
      <c r="D352" s="1242"/>
      <c r="E352" s="1242"/>
      <c r="F352" s="2381"/>
    </row>
    <row r="353" spans="1:6">
      <c r="A353" s="2357"/>
      <c r="B353" s="1120"/>
      <c r="C353" s="1274"/>
      <c r="D353" s="1242"/>
      <c r="E353" s="1242"/>
      <c r="F353" s="2381"/>
    </row>
    <row r="354" spans="1:6">
      <c r="A354" s="2357"/>
      <c r="B354" s="1120"/>
      <c r="C354" s="1274"/>
      <c r="D354" s="1242"/>
      <c r="E354" s="1242"/>
      <c r="F354" s="2381"/>
    </row>
    <row r="355" spans="1:6">
      <c r="A355" s="2357"/>
      <c r="B355" s="1120"/>
      <c r="C355" s="1274"/>
      <c r="D355" s="1242"/>
      <c r="E355" s="1242"/>
      <c r="F355" s="2381"/>
    </row>
    <row r="356" spans="1:6">
      <c r="A356" s="2357"/>
      <c r="B356" s="1120"/>
      <c r="C356" s="1274"/>
      <c r="D356" s="1242"/>
      <c r="E356" s="1242"/>
      <c r="F356" s="2381"/>
    </row>
    <row r="357" spans="1:6">
      <c r="A357" s="2357"/>
      <c r="B357" s="1120"/>
      <c r="C357" s="1274"/>
      <c r="D357" s="1242"/>
      <c r="E357" s="1242"/>
      <c r="F357" s="2381"/>
    </row>
    <row r="358" spans="1:6">
      <c r="A358" s="2357"/>
      <c r="B358" s="1120"/>
      <c r="C358" s="1274"/>
      <c r="D358" s="1242"/>
      <c r="E358" s="1242"/>
      <c r="F358" s="2381"/>
    </row>
    <row r="359" spans="1:6">
      <c r="A359" s="2357"/>
      <c r="B359" s="1120"/>
      <c r="C359" s="1274"/>
      <c r="D359" s="1242"/>
      <c r="E359" s="1242"/>
      <c r="F359" s="2381"/>
    </row>
    <row r="360" spans="1:6">
      <c r="A360" s="2357"/>
      <c r="B360" s="1120"/>
      <c r="C360" s="1274"/>
      <c r="D360" s="1242"/>
      <c r="E360" s="1242"/>
      <c r="F360" s="2381"/>
    </row>
    <row r="361" spans="1:6">
      <c r="A361" s="2357"/>
      <c r="B361" s="1120"/>
      <c r="C361" s="1274"/>
      <c r="D361" s="1242"/>
      <c r="E361" s="1242"/>
      <c r="F361" s="2381"/>
    </row>
    <row r="362" spans="1:6">
      <c r="A362" s="2357"/>
      <c r="B362" s="1120"/>
      <c r="C362" s="1274"/>
      <c r="D362" s="1242"/>
      <c r="E362" s="1242"/>
      <c r="F362" s="2381"/>
    </row>
    <row r="363" spans="1:6">
      <c r="A363" s="2357"/>
      <c r="B363" s="1120"/>
      <c r="C363" s="1274"/>
      <c r="D363" s="1242"/>
      <c r="E363" s="1242"/>
      <c r="F363" s="2381"/>
    </row>
    <row r="364" spans="1:6" ht="14.4" thickBot="1">
      <c r="A364" s="2358"/>
      <c r="B364" s="1518"/>
      <c r="C364" s="1980"/>
      <c r="D364" s="1242"/>
      <c r="E364" s="1242"/>
      <c r="F364" s="2382"/>
    </row>
    <row r="365" spans="1:6">
      <c r="A365" s="2356"/>
      <c r="B365" s="1069"/>
      <c r="C365" s="1942"/>
      <c r="D365" s="1242"/>
      <c r="E365" s="1242"/>
      <c r="F365" s="2360"/>
    </row>
    <row r="366" spans="1:6">
      <c r="A366" s="2357"/>
      <c r="B366" s="1120"/>
      <c r="C366" s="1274"/>
      <c r="D366" s="1242"/>
      <c r="E366" s="1242"/>
      <c r="F366" s="2361"/>
    </row>
    <row r="367" spans="1:6">
      <c r="A367" s="2357"/>
      <c r="B367" s="1120"/>
      <c r="C367" s="1274"/>
      <c r="D367" s="1242"/>
      <c r="E367" s="1242"/>
      <c r="F367" s="2361"/>
    </row>
    <row r="368" spans="1:6">
      <c r="A368" s="2357"/>
      <c r="B368" s="1120"/>
      <c r="C368" s="1274"/>
      <c r="D368" s="1242"/>
      <c r="E368" s="1242"/>
      <c r="F368" s="2361"/>
    </row>
    <row r="369" spans="1:6">
      <c r="A369" s="2357"/>
      <c r="B369" s="1120"/>
      <c r="C369" s="1274"/>
      <c r="D369" s="1242"/>
      <c r="E369" s="1242"/>
      <c r="F369" s="2361"/>
    </row>
    <row r="370" spans="1:6">
      <c r="A370" s="2357"/>
      <c r="B370" s="1120"/>
      <c r="C370" s="1274"/>
      <c r="D370" s="1242"/>
      <c r="E370" s="1242"/>
      <c r="F370" s="2361"/>
    </row>
    <row r="371" spans="1:6">
      <c r="A371" s="2357"/>
      <c r="B371" s="1120"/>
      <c r="C371" s="1274"/>
      <c r="D371" s="1242"/>
      <c r="E371" s="1242"/>
      <c r="F371" s="2361"/>
    </row>
    <row r="372" spans="1:6">
      <c r="A372" s="2357"/>
      <c r="B372" s="1120"/>
      <c r="C372" s="1274"/>
      <c r="D372" s="1242"/>
      <c r="E372" s="1242"/>
      <c r="F372" s="2361"/>
    </row>
    <row r="373" spans="1:6">
      <c r="A373" s="2357"/>
      <c r="B373" s="1120"/>
      <c r="C373" s="1274"/>
      <c r="D373" s="1242"/>
      <c r="E373" s="1242"/>
      <c r="F373" s="2361"/>
    </row>
    <row r="374" spans="1:6">
      <c r="A374" s="2357"/>
      <c r="B374" s="1120"/>
      <c r="C374" s="1274"/>
      <c r="D374" s="1242"/>
      <c r="E374" s="1242"/>
      <c r="F374" s="2361"/>
    </row>
    <row r="375" spans="1:6">
      <c r="A375" s="2357"/>
      <c r="B375" s="1120"/>
      <c r="C375" s="1274"/>
      <c r="D375" s="1242"/>
      <c r="E375" s="1242"/>
      <c r="F375" s="2361"/>
    </row>
    <row r="376" spans="1:6">
      <c r="A376" s="2357"/>
      <c r="B376" s="1120"/>
      <c r="C376" s="1274"/>
      <c r="D376" s="1242"/>
      <c r="E376" s="1242"/>
      <c r="F376" s="2361"/>
    </row>
    <row r="377" spans="1:6">
      <c r="A377" s="2357"/>
      <c r="B377" s="1120"/>
      <c r="C377" s="1274"/>
      <c r="D377" s="1242"/>
      <c r="E377" s="1242"/>
      <c r="F377" s="2369"/>
    </row>
    <row r="378" spans="1:6">
      <c r="A378" s="2357"/>
      <c r="B378" s="1120"/>
      <c r="C378" s="1274"/>
      <c r="D378" s="1242"/>
      <c r="E378" s="1242"/>
      <c r="F378" s="2361"/>
    </row>
    <row r="379" spans="1:6" ht="14.4" thickBot="1">
      <c r="A379" s="2358"/>
      <c r="B379" s="1518"/>
      <c r="C379" s="1980"/>
      <c r="D379" s="1242"/>
      <c r="E379" s="1242"/>
      <c r="F379" s="2362"/>
    </row>
    <row r="380" spans="1:6">
      <c r="A380" s="3104"/>
      <c r="B380" s="1069"/>
      <c r="C380" s="1942"/>
      <c r="D380" s="1242"/>
      <c r="E380" s="1242"/>
      <c r="F380" s="3107"/>
    </row>
    <row r="381" spans="1:6" ht="14.7" customHeight="1">
      <c r="A381" s="3105"/>
      <c r="B381" s="1120"/>
      <c r="C381" s="1274"/>
      <c r="D381" s="1242"/>
      <c r="E381" s="1242"/>
      <c r="F381" s="3108"/>
    </row>
    <row r="382" spans="1:6" ht="14.7" customHeight="1">
      <c r="A382" s="3105"/>
      <c r="B382" s="1120"/>
      <c r="C382" s="1274"/>
      <c r="D382" s="1242"/>
      <c r="E382" s="1242"/>
      <c r="F382" s="3108"/>
    </row>
    <row r="383" spans="1:6" ht="14.7" customHeight="1">
      <c r="A383" s="3105"/>
      <c r="B383" s="1120"/>
      <c r="C383" s="1274"/>
      <c r="D383" s="1242"/>
      <c r="E383" s="1242"/>
      <c r="F383" s="3108"/>
    </row>
    <row r="384" spans="1:6" ht="14.7" customHeight="1">
      <c r="A384" s="3105"/>
      <c r="B384" s="1120"/>
      <c r="C384" s="1274"/>
      <c r="D384" s="1242"/>
      <c r="E384" s="1242"/>
      <c r="F384" s="3108"/>
    </row>
    <row r="385" spans="1:6" ht="14.7" customHeight="1">
      <c r="A385" s="3105"/>
      <c r="B385" s="1120"/>
      <c r="C385" s="1274"/>
      <c r="D385" s="1242"/>
      <c r="E385" s="1242"/>
      <c r="F385" s="3108"/>
    </row>
    <row r="386" spans="1:6" ht="14.7" customHeight="1">
      <c r="A386" s="3105"/>
      <c r="B386" s="1120"/>
      <c r="C386" s="1274"/>
      <c r="D386" s="1242"/>
      <c r="E386" s="1242"/>
      <c r="F386" s="3108"/>
    </row>
    <row r="387" spans="1:6" ht="14.7" customHeight="1">
      <c r="A387" s="3105"/>
      <c r="B387" s="1120"/>
      <c r="C387" s="1274"/>
      <c r="D387" s="1242"/>
      <c r="E387" s="1242"/>
      <c r="F387" s="3108"/>
    </row>
    <row r="388" spans="1:6" ht="15" customHeight="1" thickBot="1">
      <c r="A388" s="3106"/>
      <c r="B388" s="1017"/>
      <c r="C388" s="1980"/>
      <c r="D388" s="1242"/>
      <c r="E388" s="1242"/>
      <c r="F388" s="3109"/>
    </row>
    <row r="389" spans="1:6">
      <c r="A389" s="3098"/>
      <c r="B389" s="2414"/>
      <c r="C389" s="1274"/>
      <c r="D389" s="1242"/>
      <c r="E389" s="1242"/>
      <c r="F389" s="3101"/>
    </row>
    <row r="390" spans="1:6">
      <c r="A390" s="3099"/>
      <c r="B390" s="2415"/>
      <c r="C390" s="1274"/>
      <c r="D390" s="1242"/>
      <c r="E390" s="1242"/>
      <c r="F390" s="3102"/>
    </row>
    <row r="391" spans="1:6">
      <c r="A391" s="3099"/>
      <c r="B391" s="2415"/>
      <c r="C391" s="1274"/>
      <c r="D391" s="1242"/>
      <c r="E391" s="1242"/>
      <c r="F391" s="3102"/>
    </row>
    <row r="392" spans="1:6">
      <c r="A392" s="3099"/>
      <c r="B392" s="2415"/>
      <c r="C392" s="1274"/>
      <c r="D392" s="1242"/>
      <c r="E392" s="1242"/>
      <c r="F392" s="3102"/>
    </row>
    <row r="393" spans="1:6">
      <c r="A393" s="3099"/>
      <c r="B393" s="2415"/>
      <c r="C393" s="1274"/>
      <c r="D393" s="1242"/>
      <c r="E393" s="1242"/>
      <c r="F393" s="3102"/>
    </row>
    <row r="394" spans="1:6">
      <c r="A394" s="3099"/>
      <c r="B394" s="2415"/>
      <c r="C394" s="1274"/>
      <c r="D394" s="1242"/>
      <c r="E394" s="1242"/>
      <c r="F394" s="3102"/>
    </row>
    <row r="395" spans="1:6">
      <c r="A395" s="3099"/>
      <c r="B395" s="2415"/>
      <c r="C395" s="1274"/>
      <c r="D395" s="1242"/>
      <c r="E395" s="1242"/>
      <c r="F395" s="3102"/>
    </row>
    <row r="396" spans="1:6">
      <c r="A396" s="3099"/>
      <c r="B396" s="2415"/>
      <c r="C396" s="1274"/>
      <c r="D396" s="1242"/>
      <c r="E396" s="1242"/>
      <c r="F396" s="3102"/>
    </row>
    <row r="397" spans="1:6">
      <c r="A397" s="3099"/>
      <c r="B397" s="2415"/>
      <c r="C397" s="1274"/>
      <c r="D397" s="1242"/>
      <c r="E397" s="1242"/>
      <c r="F397" s="3102"/>
    </row>
    <row r="398" spans="1:6">
      <c r="A398" s="3099"/>
      <c r="B398" s="2415"/>
      <c r="C398" s="1274"/>
      <c r="D398" s="1242"/>
      <c r="E398" s="1242"/>
      <c r="F398" s="3102"/>
    </row>
    <row r="399" spans="1:6">
      <c r="A399" s="3099"/>
      <c r="B399" s="2415"/>
      <c r="C399" s="1274"/>
      <c r="D399" s="1242"/>
      <c r="E399" s="1242"/>
      <c r="F399" s="3102"/>
    </row>
    <row r="400" spans="1:6">
      <c r="A400" s="3099"/>
      <c r="B400" s="2415"/>
      <c r="C400" s="1274"/>
      <c r="D400" s="1242"/>
      <c r="E400" s="1242"/>
      <c r="F400" s="3102"/>
    </row>
    <row r="401" spans="1:6">
      <c r="A401" s="3099"/>
      <c r="B401" s="2415"/>
      <c r="C401" s="1274"/>
      <c r="D401" s="1242"/>
      <c r="E401" s="1242"/>
      <c r="F401" s="3102"/>
    </row>
    <row r="402" spans="1:6">
      <c r="A402" s="3099"/>
      <c r="B402" s="2415"/>
      <c r="C402" s="1274"/>
      <c r="D402" s="1242"/>
      <c r="E402" s="1242"/>
      <c r="F402" s="3102"/>
    </row>
    <row r="403" spans="1:6" ht="14.4" thickBot="1">
      <c r="A403" s="3100"/>
      <c r="B403" s="2416"/>
      <c r="C403" s="1274"/>
      <c r="D403" s="1242"/>
      <c r="E403" s="1242"/>
      <c r="F403" s="3103"/>
    </row>
  </sheetData>
  <sortState xmlns:xlrd2="http://schemas.microsoft.com/office/spreadsheetml/2017/richdata2" ref="B119:D127">
    <sortCondition ref="B119:B127"/>
  </sortState>
  <mergeCells count="22">
    <mergeCell ref="A2:A10"/>
    <mergeCell ref="F2:F10"/>
    <mergeCell ref="E2:E7"/>
    <mergeCell ref="E42:E47"/>
    <mergeCell ref="E51:E54"/>
    <mergeCell ref="A51:A57"/>
    <mergeCell ref="F51:F57"/>
    <mergeCell ref="A389:A403"/>
    <mergeCell ref="F389:F403"/>
    <mergeCell ref="A380:A388"/>
    <mergeCell ref="F380:F388"/>
    <mergeCell ref="A11:A25"/>
    <mergeCell ref="F11:F25"/>
    <mergeCell ref="E11:E22"/>
    <mergeCell ref="A26:A32"/>
    <mergeCell ref="F26:F32"/>
    <mergeCell ref="E26:E29"/>
    <mergeCell ref="A33:A41"/>
    <mergeCell ref="F33:F41"/>
    <mergeCell ref="E33:E41"/>
    <mergeCell ref="A42:A50"/>
    <mergeCell ref="F42:F50"/>
  </mergeCells>
  <phoneticPr fontId="52" type="noConversion"/>
  <conditionalFormatting sqref="D11:D29 D56:E56 D57">
    <cfRule type="cellIs" dxfId="117" priority="29" operator="between">
      <formula>1.5</formula>
      <formula>1.89</formula>
    </cfRule>
    <cfRule type="cellIs" dxfId="116" priority="30" operator="greaterThan">
      <formula>1.89</formula>
    </cfRule>
  </conditionalFormatting>
  <conditionalFormatting sqref="D31:D55 D58:E403">
    <cfRule type="cellIs" dxfId="115" priority="7" operator="between">
      <formula>1.5</formula>
      <formula>1.89</formula>
    </cfRule>
    <cfRule type="cellIs" dxfId="114" priority="8" operator="greaterThan">
      <formula>1.89</formula>
    </cfRule>
  </conditionalFormatting>
  <conditionalFormatting sqref="D2:E2 D3:D7 D8:E10">
    <cfRule type="cellIs" dxfId="113" priority="1" operator="between">
      <formula>1.5</formula>
      <formula>1.89</formula>
    </cfRule>
    <cfRule type="cellIs" dxfId="112" priority="2" operator="greaterThan">
      <formula>1.89</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BB94E-DBFA-41F9-B565-0E1AAF1B93FA}">
  <dimension ref="A1:AK65"/>
  <sheetViews>
    <sheetView workbookViewId="0">
      <pane xSplit="1" ySplit="2" topLeftCell="B12" activePane="bottomRight" state="frozen"/>
      <selection pane="topRight" activeCell="B1" sqref="B1"/>
      <selection pane="bottomLeft" activeCell="A2" sqref="A2"/>
      <selection pane="bottomRight" activeCell="Z41" sqref="Z41"/>
    </sheetView>
  </sheetViews>
  <sheetFormatPr defaultColWidth="9.109375" defaultRowHeight="14.4"/>
  <cols>
    <col min="1" max="1" width="22.21875" style="58" bestFit="1" customWidth="1"/>
    <col min="2" max="3" width="5.109375" style="34" customWidth="1"/>
    <col min="4" max="4" width="5.21875" style="34" customWidth="1"/>
    <col min="5" max="5" width="5.88671875" style="34" customWidth="1"/>
    <col min="6" max="6" width="4.88671875" style="34" customWidth="1"/>
    <col min="7" max="7" width="5" style="34" customWidth="1"/>
    <col min="8" max="8" width="4.21875" style="34" customWidth="1"/>
    <col min="9" max="9" width="5" style="34" customWidth="1"/>
    <col min="10" max="10" width="5.88671875" style="34" customWidth="1"/>
    <col min="11" max="13" width="6.88671875" style="34" customWidth="1"/>
    <col min="14" max="16" width="5.109375" style="34" customWidth="1"/>
    <col min="17" max="18" width="6.21875" style="34" customWidth="1"/>
    <col min="19" max="19" width="4.21875" style="34" customWidth="1"/>
    <col min="20" max="20" width="5.21875" style="34" customWidth="1"/>
    <col min="21" max="21" width="6.88671875" style="36" customWidth="1"/>
    <col min="22" max="26" width="6.88671875" style="34" customWidth="1"/>
    <col min="27" max="27" width="5.109375" style="34" customWidth="1"/>
    <col min="28" max="28" width="5.109375" style="36" customWidth="1"/>
    <col min="29" max="31" width="5.109375" style="34" customWidth="1"/>
    <col min="32" max="32" width="4.21875" style="34" bestFit="1" customWidth="1"/>
    <col min="33" max="33" width="7.21875" style="34" customWidth="1"/>
    <col min="34" max="34" width="14.77734375" style="34" bestFit="1" customWidth="1"/>
    <col min="35" max="35" width="5.21875" style="34" customWidth="1"/>
    <col min="36" max="16384" width="9.109375" style="34"/>
  </cols>
  <sheetData>
    <row r="1" spans="1:37">
      <c r="A1" s="496">
        <v>45870</v>
      </c>
      <c r="B1" s="497"/>
      <c r="C1" s="497"/>
      <c r="D1" s="2657"/>
      <c r="E1" s="2657"/>
      <c r="F1" s="2657"/>
      <c r="G1" s="2657"/>
      <c r="H1" s="2657"/>
      <c r="I1" s="2657"/>
      <c r="J1" s="2657"/>
      <c r="K1" s="2657"/>
      <c r="L1" s="2657"/>
      <c r="M1" s="2657"/>
      <c r="N1" s="2657"/>
      <c r="O1" s="2657" t="s">
        <v>1537</v>
      </c>
      <c r="P1" s="2657" t="s">
        <v>1538</v>
      </c>
      <c r="Q1" s="2657" t="s">
        <v>1538</v>
      </c>
      <c r="R1" s="2657"/>
      <c r="S1" s="2657"/>
      <c r="T1" s="2657"/>
      <c r="U1" s="2657"/>
      <c r="V1" s="2657"/>
      <c r="W1" s="2657"/>
      <c r="X1" s="2657"/>
      <c r="Y1" s="2657"/>
      <c r="Z1" s="2657"/>
      <c r="AA1" s="2657"/>
      <c r="AB1" s="2657"/>
      <c r="AC1" s="2657"/>
      <c r="AD1" s="2657"/>
      <c r="AE1" s="2657"/>
      <c r="AF1" s="2657"/>
      <c r="AG1" s="2658"/>
      <c r="AH1" s="2658"/>
      <c r="AI1" s="2658"/>
      <c r="AJ1" s="2658"/>
      <c r="AK1" s="2658"/>
    </row>
    <row r="2" spans="1:37" s="35" customFormat="1">
      <c r="A2" s="1245"/>
      <c r="B2" s="1576">
        <v>1</v>
      </c>
      <c r="C2" s="1577">
        <v>2</v>
      </c>
      <c r="D2" s="1246">
        <v>3</v>
      </c>
      <c r="E2" s="1246">
        <v>4</v>
      </c>
      <c r="F2" s="1246">
        <v>5</v>
      </c>
      <c r="G2" s="1246">
        <v>6</v>
      </c>
      <c r="H2" s="1246">
        <v>7</v>
      </c>
      <c r="I2" s="1246">
        <v>8</v>
      </c>
      <c r="J2" s="1246">
        <v>9</v>
      </c>
      <c r="K2" s="1246">
        <v>10</v>
      </c>
      <c r="L2" s="1246">
        <v>11</v>
      </c>
      <c r="M2" s="1246">
        <v>12</v>
      </c>
      <c r="N2" s="1246">
        <v>13</v>
      </c>
      <c r="O2" s="1246">
        <v>14</v>
      </c>
      <c r="P2" s="1246">
        <v>15</v>
      </c>
      <c r="Q2" s="1246">
        <v>16</v>
      </c>
      <c r="R2" s="1246">
        <v>17</v>
      </c>
      <c r="S2" s="1246">
        <v>18</v>
      </c>
      <c r="T2" s="1246">
        <v>19</v>
      </c>
      <c r="U2" s="1246">
        <v>20</v>
      </c>
      <c r="V2" s="1246">
        <v>21</v>
      </c>
      <c r="W2" s="1246">
        <v>22</v>
      </c>
      <c r="X2" s="1246">
        <v>23</v>
      </c>
      <c r="Y2" s="1246">
        <v>24</v>
      </c>
      <c r="Z2" s="1246">
        <v>25</v>
      </c>
      <c r="AA2" s="1246">
        <v>26</v>
      </c>
      <c r="AB2" s="1246">
        <v>27</v>
      </c>
      <c r="AC2" s="1246">
        <v>28</v>
      </c>
      <c r="AD2" s="1246">
        <v>29</v>
      </c>
      <c r="AE2" s="1247">
        <v>30</v>
      </c>
      <c r="AF2" s="1247">
        <v>31</v>
      </c>
      <c r="AG2" s="2068" t="s">
        <v>1539</v>
      </c>
      <c r="AH2" s="1248" t="s">
        <v>1540</v>
      </c>
      <c r="AI2" s="1249" t="s">
        <v>1541</v>
      </c>
      <c r="AJ2" s="2659"/>
      <c r="AK2" s="2659"/>
    </row>
    <row r="3" spans="1:37">
      <c r="A3" s="1250" t="s">
        <v>1542</v>
      </c>
      <c r="B3" s="1236"/>
      <c r="C3" s="1236"/>
      <c r="D3" s="1236"/>
      <c r="E3" s="1236"/>
      <c r="F3" s="1236"/>
      <c r="G3" s="1236"/>
      <c r="H3" s="1236"/>
      <c r="I3" s="1236"/>
      <c r="J3" s="1236"/>
      <c r="K3" s="1236"/>
      <c r="L3" s="1236"/>
      <c r="M3" s="1236"/>
      <c r="N3" s="1236"/>
      <c r="O3" s="1236"/>
      <c r="P3" s="1236"/>
      <c r="Q3" s="1236"/>
      <c r="R3" s="1236"/>
      <c r="S3" s="1236"/>
      <c r="T3" s="1236"/>
      <c r="U3" s="1236"/>
      <c r="V3" s="1236"/>
      <c r="W3" s="1236"/>
      <c r="X3" s="1236"/>
      <c r="Y3" s="1236"/>
      <c r="Z3" s="1236"/>
      <c r="AA3" s="1236"/>
      <c r="AB3" s="1236"/>
      <c r="AC3" s="1236"/>
      <c r="AD3" s="1236"/>
      <c r="AE3" s="1236"/>
      <c r="AF3" s="1236"/>
      <c r="AG3" s="1236" t="str">
        <f t="shared" ref="AG3" si="0">IFERROR(AVERAGE(B3:AF3), "")</f>
        <v/>
      </c>
      <c r="AH3" s="2660"/>
      <c r="AI3" s="1613"/>
      <c r="AJ3" s="2658"/>
      <c r="AK3" s="2658"/>
    </row>
    <row r="4" spans="1:37">
      <c r="A4" s="1250" t="s">
        <v>1543</v>
      </c>
      <c r="B4" s="1236"/>
      <c r="C4" s="1236"/>
      <c r="D4" s="1236"/>
      <c r="E4" s="1236"/>
      <c r="F4" s="1236"/>
      <c r="G4" s="1236"/>
      <c r="H4" s="1236"/>
      <c r="I4" s="1236"/>
      <c r="J4" s="1236"/>
      <c r="K4" s="1236"/>
      <c r="L4" s="1236"/>
      <c r="M4" s="1236"/>
      <c r="N4" s="1236"/>
      <c r="O4" s="1236"/>
      <c r="P4" s="1236"/>
      <c r="Q4" s="1236"/>
      <c r="R4" s="1236"/>
      <c r="S4" s="1236"/>
      <c r="T4" s="1236"/>
      <c r="U4" s="1236"/>
      <c r="V4" s="1236"/>
      <c r="W4" s="1236"/>
      <c r="X4" s="1236"/>
      <c r="Y4" s="1236"/>
      <c r="Z4" s="1236"/>
      <c r="AA4" s="1236"/>
      <c r="AB4" s="1236"/>
      <c r="AC4" s="1236"/>
      <c r="AD4" s="1236"/>
      <c r="AE4" s="1236"/>
      <c r="AF4" s="1236"/>
      <c r="AG4" s="1236"/>
      <c r="AH4" s="1248"/>
      <c r="AI4" s="1251"/>
      <c r="AJ4" s="2658"/>
      <c r="AK4" s="2658"/>
    </row>
    <row r="5" spans="1:37">
      <c r="A5" s="1250" t="s">
        <v>1544</v>
      </c>
      <c r="B5" s="1236"/>
      <c r="C5" s="1236"/>
      <c r="D5" s="1236"/>
      <c r="E5" s="1236"/>
      <c r="F5" s="1236"/>
      <c r="G5" s="1236"/>
      <c r="H5" s="1236"/>
      <c r="I5" s="1236"/>
      <c r="J5" s="1236"/>
      <c r="K5" s="1236"/>
      <c r="L5" s="1236"/>
      <c r="M5" s="1236"/>
      <c r="N5" s="1236"/>
      <c r="O5" s="1236"/>
      <c r="P5" s="1236"/>
      <c r="Q5" s="1236"/>
      <c r="R5" s="1236"/>
      <c r="S5" s="1236"/>
      <c r="T5" s="1236"/>
      <c r="U5" s="1236"/>
      <c r="V5" s="1236"/>
      <c r="W5" s="1236"/>
      <c r="X5" s="1236"/>
      <c r="Y5" s="1236"/>
      <c r="Z5" s="1236"/>
      <c r="AA5" s="1236"/>
      <c r="AB5" s="1236"/>
      <c r="AC5" s="1236"/>
      <c r="AD5" s="1236"/>
      <c r="AE5" s="1236"/>
      <c r="AF5" s="1236"/>
      <c r="AG5" s="1236"/>
      <c r="AH5" s="2658"/>
      <c r="AI5" s="2658"/>
      <c r="AJ5" s="2658"/>
      <c r="AK5" s="2658"/>
    </row>
    <row r="6" spans="1:37">
      <c r="A6" s="1250" t="s">
        <v>1545</v>
      </c>
      <c r="B6" s="1236"/>
      <c r="C6" s="1236"/>
      <c r="D6" s="1236"/>
      <c r="E6" s="1236"/>
      <c r="F6" s="1236"/>
      <c r="G6" s="1236"/>
      <c r="H6" s="1236"/>
      <c r="I6" s="1236"/>
      <c r="J6" s="1236"/>
      <c r="K6" s="1236"/>
      <c r="L6" s="1236"/>
      <c r="M6" s="1236"/>
      <c r="N6" s="1236"/>
      <c r="O6" s="1236"/>
      <c r="P6" s="1236"/>
      <c r="Q6" s="1236"/>
      <c r="R6" s="1236"/>
      <c r="S6" s="1236"/>
      <c r="T6" s="1236"/>
      <c r="U6" s="1236"/>
      <c r="V6" s="1236"/>
      <c r="W6" s="1236"/>
      <c r="X6" s="1236"/>
      <c r="Y6" s="1236"/>
      <c r="Z6" s="1236"/>
      <c r="AA6" s="1236"/>
      <c r="AB6" s="1236"/>
      <c r="AC6" s="1236"/>
      <c r="AD6" s="1236"/>
      <c r="AE6" s="1236"/>
      <c r="AF6" s="1236"/>
      <c r="AG6" s="1236"/>
      <c r="AH6" s="2658"/>
      <c r="AI6" s="2658"/>
      <c r="AJ6" s="2658"/>
      <c r="AK6" s="2658"/>
    </row>
    <row r="7" spans="1:37">
      <c r="A7" s="1250" t="s">
        <v>1546</v>
      </c>
      <c r="B7" s="1236"/>
      <c r="C7" s="1236"/>
      <c r="D7" s="1236"/>
      <c r="E7" s="1236"/>
      <c r="F7" s="1236"/>
      <c r="G7" s="1236"/>
      <c r="H7" s="1236"/>
      <c r="I7" s="1236"/>
      <c r="J7" s="1236"/>
      <c r="K7" s="1236"/>
      <c r="L7" s="1236"/>
      <c r="M7" s="1236"/>
      <c r="N7" s="1236"/>
      <c r="O7" s="1236"/>
      <c r="P7" s="1236"/>
      <c r="Q7" s="1236"/>
      <c r="R7" s="1236"/>
      <c r="S7" s="1236"/>
      <c r="T7" s="1236"/>
      <c r="U7" s="1236"/>
      <c r="V7" s="1236"/>
      <c r="W7" s="1236"/>
      <c r="X7" s="1236"/>
      <c r="Y7" s="1236"/>
      <c r="Z7" s="1236"/>
      <c r="AA7" s="1236"/>
      <c r="AB7" s="1236"/>
      <c r="AC7" s="1236"/>
      <c r="AD7" s="1236"/>
      <c r="AE7" s="1236"/>
      <c r="AF7" s="1236"/>
      <c r="AG7" s="1236"/>
      <c r="AH7" s="2658"/>
      <c r="AI7" s="2658"/>
      <c r="AJ7" s="2658"/>
      <c r="AK7" s="2658"/>
    </row>
    <row r="8" spans="1:37">
      <c r="A8" s="1250" t="s">
        <v>1547</v>
      </c>
      <c r="B8" s="1236"/>
      <c r="C8" s="1236"/>
      <c r="D8" s="1236"/>
      <c r="E8" s="1236"/>
      <c r="F8" s="1236"/>
      <c r="G8" s="1236"/>
      <c r="H8" s="1236"/>
      <c r="I8" s="1236"/>
      <c r="J8" s="1236"/>
      <c r="K8" s="1236"/>
      <c r="L8" s="1236"/>
      <c r="M8" s="1236"/>
      <c r="N8" s="1236"/>
      <c r="O8" s="1236"/>
      <c r="P8" s="1236"/>
      <c r="Q8" s="1236"/>
      <c r="R8" s="1236"/>
      <c r="S8" s="1236"/>
      <c r="T8" s="1236"/>
      <c r="U8" s="1236"/>
      <c r="V8" s="1236"/>
      <c r="W8" s="1236"/>
      <c r="X8" s="1236"/>
      <c r="Y8" s="1236"/>
      <c r="Z8" s="1236"/>
      <c r="AA8" s="1236"/>
      <c r="AB8" s="1236"/>
      <c r="AC8" s="1236"/>
      <c r="AD8" s="1236"/>
      <c r="AE8" s="1236"/>
      <c r="AF8" s="1236"/>
      <c r="AG8" s="1236"/>
      <c r="AH8" s="2658"/>
      <c r="AI8" s="2658"/>
      <c r="AJ8" s="2658"/>
      <c r="AK8" s="2658"/>
    </row>
    <row r="9" spans="1:37">
      <c r="A9" s="1250" t="s">
        <v>1548</v>
      </c>
      <c r="B9" s="1236"/>
      <c r="C9" s="1236"/>
      <c r="D9" s="1236"/>
      <c r="E9" s="1236"/>
      <c r="F9" s="1236"/>
      <c r="G9" s="1236"/>
      <c r="H9" s="1236"/>
      <c r="I9" s="1236"/>
      <c r="J9" s="1236"/>
      <c r="K9" s="1236"/>
      <c r="L9" s="1236"/>
      <c r="M9" s="1236"/>
      <c r="N9" s="1236"/>
      <c r="O9" s="1236"/>
      <c r="P9" s="1236"/>
      <c r="Q9" s="1236"/>
      <c r="R9" s="1236"/>
      <c r="S9" s="1236"/>
      <c r="T9" s="1236"/>
      <c r="U9" s="1236"/>
      <c r="V9" s="1236"/>
      <c r="W9" s="1236"/>
      <c r="X9" s="1236"/>
      <c r="Y9" s="1236"/>
      <c r="Z9" s="1236"/>
      <c r="AA9" s="1236"/>
      <c r="AB9" s="1236"/>
      <c r="AC9" s="1236"/>
      <c r="AD9" s="1236"/>
      <c r="AE9" s="1236"/>
      <c r="AF9" s="1236"/>
      <c r="AG9" s="1236"/>
      <c r="AH9" s="2658"/>
      <c r="AI9" s="2658"/>
      <c r="AJ9" s="2658"/>
      <c r="AK9" s="2658"/>
    </row>
    <row r="10" spans="1:37">
      <c r="A10" s="1250" t="s">
        <v>1549</v>
      </c>
      <c r="B10" s="1236"/>
      <c r="C10" s="1236"/>
      <c r="D10" s="1236"/>
      <c r="E10" s="1236"/>
      <c r="F10" s="1236"/>
      <c r="G10" s="1236"/>
      <c r="H10" s="1236"/>
      <c r="I10" s="1236"/>
      <c r="J10" s="1236"/>
      <c r="K10" s="1236"/>
      <c r="L10" s="1236"/>
      <c r="M10" s="1236"/>
      <c r="N10" s="1236"/>
      <c r="O10" s="1236"/>
      <c r="P10" s="1236"/>
      <c r="Q10" s="1236"/>
      <c r="R10" s="1236"/>
      <c r="S10" s="1236"/>
      <c r="T10" s="1236"/>
      <c r="U10" s="1236"/>
      <c r="V10" s="1236"/>
      <c r="W10" s="1236"/>
      <c r="X10" s="1236"/>
      <c r="Y10" s="1236"/>
      <c r="Z10" s="1236"/>
      <c r="AA10" s="1236"/>
      <c r="AB10" s="1236"/>
      <c r="AC10" s="1236"/>
      <c r="AD10" s="1236"/>
      <c r="AE10" s="1236"/>
      <c r="AF10" s="1236"/>
      <c r="AG10" s="1236"/>
      <c r="AH10" s="2658"/>
      <c r="AI10" s="2658"/>
      <c r="AJ10" s="2658"/>
      <c r="AK10" s="2658"/>
    </row>
    <row r="11" spans="1:37">
      <c r="A11" s="1250" t="s">
        <v>1550</v>
      </c>
      <c r="B11" s="1236"/>
      <c r="C11" s="1236"/>
      <c r="D11" s="1236"/>
      <c r="E11" s="1236"/>
      <c r="F11" s="1236"/>
      <c r="G11" s="1236"/>
      <c r="H11" s="1236"/>
      <c r="I11" s="1236"/>
      <c r="J11" s="1236"/>
      <c r="K11" s="1236"/>
      <c r="L11" s="1236"/>
      <c r="M11" s="1236"/>
      <c r="N11" s="1236"/>
      <c r="O11" s="1236"/>
      <c r="P11" s="1236"/>
      <c r="Q11" s="1236"/>
      <c r="R11" s="1236"/>
      <c r="S11" s="1236"/>
      <c r="T11" s="1236"/>
      <c r="U11" s="1236"/>
      <c r="V11" s="1236"/>
      <c r="W11" s="1236"/>
      <c r="X11" s="1236"/>
      <c r="Y11" s="1236"/>
      <c r="Z11" s="1236"/>
      <c r="AA11" s="1236"/>
      <c r="AB11" s="1236"/>
      <c r="AC11" s="1236"/>
      <c r="AD11" s="1236"/>
      <c r="AE11" s="1236"/>
      <c r="AF11" s="1236"/>
      <c r="AG11" s="1236"/>
      <c r="AH11" s="2658"/>
      <c r="AI11" s="2658"/>
      <c r="AJ11" s="2658"/>
      <c r="AK11" s="2658"/>
    </row>
    <row r="12" spans="1:37">
      <c r="A12" s="1250" t="s">
        <v>1551</v>
      </c>
      <c r="B12" s="1236"/>
      <c r="C12" s="1236"/>
      <c r="D12" s="1236"/>
      <c r="E12" s="1236"/>
      <c r="F12" s="1236"/>
      <c r="G12" s="1236"/>
      <c r="H12" s="1236"/>
      <c r="I12" s="1236"/>
      <c r="J12" s="1236"/>
      <c r="K12" s="1236"/>
      <c r="L12" s="1236"/>
      <c r="M12" s="1236"/>
      <c r="N12" s="1236"/>
      <c r="O12" s="1236"/>
      <c r="P12" s="1236"/>
      <c r="Q12" s="1236"/>
      <c r="R12" s="1236"/>
      <c r="S12" s="1236"/>
      <c r="T12" s="1236"/>
      <c r="U12" s="1236"/>
      <c r="V12" s="1236"/>
      <c r="W12" s="1236"/>
      <c r="X12" s="1236"/>
      <c r="Y12" s="1236"/>
      <c r="Z12" s="1236"/>
      <c r="AA12" s="1236"/>
      <c r="AB12" s="1236"/>
      <c r="AC12" s="1236"/>
      <c r="AD12" s="1236"/>
      <c r="AE12" s="1236"/>
      <c r="AF12" s="1236"/>
      <c r="AG12" s="1236"/>
      <c r="AH12" s="2658"/>
      <c r="AI12" s="2658"/>
      <c r="AJ12" s="2658"/>
      <c r="AK12" s="2658"/>
    </row>
    <row r="13" spans="1:37">
      <c r="A13" s="1250" t="s">
        <v>1552</v>
      </c>
      <c r="B13" s="1236"/>
      <c r="C13" s="1236"/>
      <c r="D13" s="1236"/>
      <c r="E13" s="1236"/>
      <c r="F13" s="1236"/>
      <c r="G13" s="1236"/>
      <c r="H13" s="1236"/>
      <c r="I13" s="1236"/>
      <c r="J13" s="1236"/>
      <c r="K13" s="1236"/>
      <c r="L13" s="1236"/>
      <c r="M13" s="1236"/>
      <c r="N13" s="1236"/>
      <c r="O13" s="1236"/>
      <c r="P13" s="1236"/>
      <c r="Q13" s="1236"/>
      <c r="R13" s="1236"/>
      <c r="S13" s="1236"/>
      <c r="T13" s="1236"/>
      <c r="U13" s="1236"/>
      <c r="V13" s="1236"/>
      <c r="W13" s="1236"/>
      <c r="X13" s="1236"/>
      <c r="Y13" s="1236"/>
      <c r="Z13" s="1236"/>
      <c r="AA13" s="1236"/>
      <c r="AB13" s="1236"/>
      <c r="AC13" s="1236"/>
      <c r="AD13" s="1236"/>
      <c r="AE13" s="1236"/>
      <c r="AF13" s="1236"/>
      <c r="AG13" s="1236"/>
      <c r="AH13" s="2658"/>
      <c r="AI13" s="2658"/>
      <c r="AJ13" s="2658"/>
      <c r="AK13" s="2658"/>
    </row>
    <row r="14" spans="1:37">
      <c r="A14" s="1250" t="s">
        <v>1553</v>
      </c>
      <c r="B14" s="1236"/>
      <c r="C14" s="1236"/>
      <c r="D14" s="1236"/>
      <c r="E14" s="1236"/>
      <c r="F14" s="1236"/>
      <c r="G14" s="1236"/>
      <c r="H14" s="1236"/>
      <c r="I14" s="1236"/>
      <c r="J14" s="1236"/>
      <c r="K14" s="1236"/>
      <c r="L14" s="1236"/>
      <c r="M14" s="1236"/>
      <c r="N14" s="1236"/>
      <c r="O14" s="1236"/>
      <c r="P14" s="1236"/>
      <c r="Q14" s="1236"/>
      <c r="R14" s="1236"/>
      <c r="S14" s="1236"/>
      <c r="T14" s="1236"/>
      <c r="U14" s="1236"/>
      <c r="V14" s="1236"/>
      <c r="W14" s="1236"/>
      <c r="X14" s="1236"/>
      <c r="Y14" s="1236"/>
      <c r="Z14" s="1236"/>
      <c r="AA14" s="1236"/>
      <c r="AB14" s="1236"/>
      <c r="AC14" s="1236"/>
      <c r="AD14" s="1236"/>
      <c r="AE14" s="1236"/>
      <c r="AF14" s="1236"/>
      <c r="AG14" s="1236"/>
      <c r="AH14" s="2658"/>
      <c r="AI14" s="2658"/>
      <c r="AJ14" s="2658"/>
      <c r="AK14" s="2658"/>
    </row>
    <row r="15" spans="1:37">
      <c r="A15" s="1250" t="s">
        <v>1554</v>
      </c>
      <c r="B15" s="1236"/>
      <c r="C15" s="1236"/>
      <c r="D15" s="1236"/>
      <c r="E15" s="1236"/>
      <c r="F15" s="1236"/>
      <c r="G15" s="1236"/>
      <c r="H15" s="1236"/>
      <c r="I15" s="1236"/>
      <c r="J15" s="1236"/>
      <c r="K15" s="1236"/>
      <c r="L15" s="1236"/>
      <c r="M15" s="1236"/>
      <c r="N15" s="1236"/>
      <c r="O15" s="1236"/>
      <c r="P15" s="1236"/>
      <c r="Q15" s="1236"/>
      <c r="R15" s="1236"/>
      <c r="S15" s="1236"/>
      <c r="T15" s="1236"/>
      <c r="U15" s="1236"/>
      <c r="V15" s="1236"/>
      <c r="W15" s="1236"/>
      <c r="X15" s="1236"/>
      <c r="Y15" s="1236"/>
      <c r="Z15" s="1236"/>
      <c r="AA15" s="1236"/>
      <c r="AB15" s="1236"/>
      <c r="AC15" s="1236"/>
      <c r="AD15" s="1236"/>
      <c r="AE15" s="1236"/>
      <c r="AF15" s="1236"/>
      <c r="AG15" s="1236"/>
      <c r="AH15" s="2658"/>
      <c r="AI15" s="2658"/>
      <c r="AJ15" s="2658"/>
      <c r="AK15" s="2658"/>
    </row>
    <row r="16" spans="1:37">
      <c r="A16" s="1250" t="s">
        <v>1555</v>
      </c>
      <c r="B16" s="1236"/>
      <c r="C16" s="1236"/>
      <c r="D16" s="1236"/>
      <c r="E16" s="1236"/>
      <c r="F16" s="1236"/>
      <c r="G16" s="1236"/>
      <c r="H16" s="1236"/>
      <c r="I16" s="1236"/>
      <c r="J16" s="1236"/>
      <c r="K16" s="1236"/>
      <c r="L16" s="1236"/>
      <c r="M16" s="1236"/>
      <c r="N16" s="1236"/>
      <c r="O16" s="1236"/>
      <c r="P16" s="1236"/>
      <c r="Q16" s="1236"/>
      <c r="R16" s="1236"/>
      <c r="S16" s="1236"/>
      <c r="T16" s="1236"/>
      <c r="U16" s="1236"/>
      <c r="V16" s="1236"/>
      <c r="W16" s="1236"/>
      <c r="X16" s="1236"/>
      <c r="Y16" s="1236"/>
      <c r="Z16" s="1236"/>
      <c r="AA16" s="1236"/>
      <c r="AB16" s="1236"/>
      <c r="AC16" s="1236"/>
      <c r="AD16" s="1236"/>
      <c r="AE16" s="1236"/>
      <c r="AF16" s="1236"/>
      <c r="AG16" s="1236"/>
      <c r="AH16" s="2658"/>
      <c r="AI16" s="2658"/>
      <c r="AJ16" s="2658"/>
      <c r="AK16" s="2658"/>
    </row>
    <row r="17" spans="1:37">
      <c r="A17" s="1250" t="s">
        <v>1556</v>
      </c>
      <c r="B17" s="1236"/>
      <c r="C17" s="1236"/>
      <c r="D17" s="1236"/>
      <c r="E17" s="1236"/>
      <c r="F17" s="1236"/>
      <c r="G17" s="1236"/>
      <c r="H17" s="1236"/>
      <c r="I17" s="1236"/>
      <c r="J17" s="1236"/>
      <c r="K17" s="1236"/>
      <c r="L17" s="1236"/>
      <c r="M17" s="1236"/>
      <c r="N17" s="1236"/>
      <c r="O17" s="1236"/>
      <c r="P17" s="1236"/>
      <c r="Q17" s="1236"/>
      <c r="R17" s="1236"/>
      <c r="S17" s="1236"/>
      <c r="T17" s="1236"/>
      <c r="U17" s="1236"/>
      <c r="V17" s="1236"/>
      <c r="W17" s="1236"/>
      <c r="X17" s="1236"/>
      <c r="Y17" s="1236"/>
      <c r="Z17" s="1236"/>
      <c r="AA17" s="1236"/>
      <c r="AB17" s="1236"/>
      <c r="AC17" s="1236"/>
      <c r="AD17" s="1236"/>
      <c r="AE17" s="1236"/>
      <c r="AF17" s="1236"/>
      <c r="AG17" s="1236"/>
      <c r="AH17" s="2658"/>
      <c r="AI17" s="2658"/>
      <c r="AJ17" s="2658"/>
      <c r="AK17" s="2658"/>
    </row>
    <row r="18" spans="1:37">
      <c r="A18" s="1250" t="s">
        <v>1557</v>
      </c>
      <c r="B18" s="1236"/>
      <c r="C18" s="1236"/>
      <c r="D18" s="1236"/>
      <c r="E18" s="1236"/>
      <c r="F18" s="1236"/>
      <c r="G18" s="1236"/>
      <c r="H18" s="1236"/>
      <c r="I18" s="1236"/>
      <c r="J18" s="1236"/>
      <c r="K18" s="1236"/>
      <c r="L18" s="1236"/>
      <c r="M18" s="1236"/>
      <c r="N18" s="1236"/>
      <c r="O18" s="1236"/>
      <c r="P18" s="1236"/>
      <c r="Q18" s="1236"/>
      <c r="R18" s="1236"/>
      <c r="S18" s="1236"/>
      <c r="T18" s="1236"/>
      <c r="U18" s="1236"/>
      <c r="V18" s="1236"/>
      <c r="W18" s="1236"/>
      <c r="X18" s="1236"/>
      <c r="Y18" s="1236"/>
      <c r="Z18" s="1236"/>
      <c r="AA18" s="1236"/>
      <c r="AB18" s="1236"/>
      <c r="AC18" s="1236"/>
      <c r="AD18" s="1236"/>
      <c r="AE18" s="1236"/>
      <c r="AF18" s="1236"/>
      <c r="AG18" s="1236"/>
      <c r="AH18" s="2658"/>
      <c r="AI18" s="2658"/>
      <c r="AJ18" s="2658"/>
      <c r="AK18" s="2658"/>
    </row>
    <row r="19" spans="1:37" ht="15.6" customHeight="1">
      <c r="A19" s="1329" t="s">
        <v>1558</v>
      </c>
      <c r="B19" s="1236"/>
      <c r="C19" s="1236"/>
      <c r="D19" s="1236"/>
      <c r="E19" s="1236"/>
      <c r="F19" s="1236"/>
      <c r="G19" s="1236"/>
      <c r="H19" s="1236"/>
      <c r="I19" s="1236"/>
      <c r="J19" s="1236"/>
      <c r="K19" s="1236"/>
      <c r="L19" s="1236"/>
      <c r="M19" s="1236"/>
      <c r="N19" s="1236"/>
      <c r="O19" s="1236"/>
      <c r="P19" s="1236"/>
      <c r="Q19" s="1236"/>
      <c r="R19" s="1236"/>
      <c r="S19" s="1236"/>
      <c r="T19" s="1236"/>
      <c r="U19" s="1236"/>
      <c r="V19" s="1236"/>
      <c r="W19" s="1236"/>
      <c r="X19" s="1236"/>
      <c r="Y19" s="1236"/>
      <c r="Z19" s="1236"/>
      <c r="AA19" s="1236"/>
      <c r="AB19" s="1236"/>
      <c r="AC19" s="1236"/>
      <c r="AD19" s="1236"/>
      <c r="AE19" s="1236"/>
      <c r="AF19" s="1236"/>
      <c r="AG19" s="1236"/>
      <c r="AH19" s="2658"/>
      <c r="AI19" s="2658"/>
      <c r="AJ19" s="2658"/>
      <c r="AK19" s="2658"/>
    </row>
    <row r="20" spans="1:37">
      <c r="A20" s="1329" t="s">
        <v>1559</v>
      </c>
      <c r="B20" s="1236"/>
      <c r="C20" s="1236"/>
      <c r="D20" s="1236"/>
      <c r="E20" s="1236"/>
      <c r="F20" s="1236"/>
      <c r="G20" s="1236"/>
      <c r="H20" s="1236"/>
      <c r="I20" s="1236"/>
      <c r="J20" s="1236"/>
      <c r="K20" s="1236"/>
      <c r="L20" s="1236"/>
      <c r="M20" s="1236"/>
      <c r="N20" s="1236"/>
      <c r="O20" s="1236"/>
      <c r="P20" s="1236"/>
      <c r="Q20" s="1236"/>
      <c r="R20" s="1236"/>
      <c r="S20" s="1236"/>
      <c r="T20" s="1236"/>
      <c r="U20" s="1236"/>
      <c r="V20" s="1236"/>
      <c r="W20" s="1236"/>
      <c r="X20" s="1236"/>
      <c r="Y20" s="1236"/>
      <c r="Z20" s="1236"/>
      <c r="AA20" s="1236"/>
      <c r="AB20" s="1236"/>
      <c r="AC20" s="1236"/>
      <c r="AD20" s="1236"/>
      <c r="AE20" s="1236"/>
      <c r="AF20" s="1236"/>
      <c r="AG20" s="1236"/>
      <c r="AH20" s="2658"/>
      <c r="AI20" s="2658"/>
      <c r="AJ20" s="2658"/>
      <c r="AK20" s="2658"/>
    </row>
    <row r="21" spans="1:37">
      <c r="A21" s="2071" t="s">
        <v>1560</v>
      </c>
      <c r="B21" s="1236"/>
      <c r="C21" s="1236"/>
      <c r="D21" s="1236"/>
      <c r="E21" s="1236"/>
      <c r="F21" s="1236"/>
      <c r="G21" s="1236"/>
      <c r="H21" s="1236"/>
      <c r="I21" s="1236"/>
      <c r="J21" s="1236"/>
      <c r="K21" s="1236"/>
      <c r="L21" s="1236"/>
      <c r="M21" s="1236"/>
      <c r="N21" s="1236"/>
      <c r="O21" s="1236"/>
      <c r="P21" s="1236"/>
      <c r="Q21" s="1236"/>
      <c r="R21" s="1236"/>
      <c r="S21" s="1236"/>
      <c r="T21" s="1236"/>
      <c r="U21" s="1236"/>
      <c r="V21" s="1236"/>
      <c r="W21" s="1236"/>
      <c r="X21" s="1236"/>
      <c r="Y21" s="1236"/>
      <c r="Z21" s="1236"/>
      <c r="AA21" s="1236"/>
      <c r="AB21" s="1236"/>
      <c r="AC21" s="1236"/>
      <c r="AD21" s="1236"/>
      <c r="AE21" s="1236"/>
      <c r="AF21" s="1236"/>
      <c r="AG21" s="1236"/>
      <c r="AH21" s="2658"/>
      <c r="AI21" s="2658"/>
      <c r="AJ21" s="2658"/>
      <c r="AK21" s="2658"/>
    </row>
    <row r="22" spans="1:37">
      <c r="A22" s="2070" t="s">
        <v>1561</v>
      </c>
      <c r="B22" s="1236"/>
      <c r="C22" s="1236"/>
      <c r="D22" s="1236"/>
      <c r="E22" s="1236"/>
      <c r="F22" s="1236"/>
      <c r="G22" s="1236"/>
      <c r="H22" s="1236"/>
      <c r="I22" s="1236"/>
      <c r="J22" s="1236"/>
      <c r="K22" s="1236"/>
      <c r="L22" s="1236"/>
      <c r="M22" s="1236"/>
      <c r="N22" s="1236"/>
      <c r="O22" s="1236"/>
      <c r="P22" s="1236"/>
      <c r="Q22" s="1236"/>
      <c r="R22" s="1236"/>
      <c r="S22" s="1236"/>
      <c r="T22" s="1236"/>
      <c r="U22" s="1236"/>
      <c r="V22" s="1236"/>
      <c r="W22" s="1236"/>
      <c r="X22" s="1236"/>
      <c r="Y22" s="1236"/>
      <c r="Z22" s="1236"/>
      <c r="AA22" s="1236"/>
      <c r="AB22" s="1236"/>
      <c r="AC22" s="1236"/>
      <c r="AD22" s="1236"/>
      <c r="AE22" s="1236"/>
      <c r="AF22" s="1236"/>
      <c r="AG22" s="1236"/>
      <c r="AH22" s="2658"/>
      <c r="AI22" s="2658"/>
      <c r="AJ22" s="2658"/>
      <c r="AK22" s="2658"/>
    </row>
    <row r="23" spans="1:37">
      <c r="A23" s="2070" t="s">
        <v>1562</v>
      </c>
      <c r="B23" s="1236"/>
      <c r="C23" s="1236"/>
      <c r="D23" s="1236"/>
      <c r="E23" s="1236"/>
      <c r="F23" s="1236"/>
      <c r="G23" s="1236"/>
      <c r="H23" s="1236"/>
      <c r="I23" s="1236"/>
      <c r="J23" s="1236"/>
      <c r="K23" s="1236"/>
      <c r="L23" s="1236"/>
      <c r="M23" s="1236"/>
      <c r="N23" s="1236"/>
      <c r="O23" s="1236"/>
      <c r="P23" s="1236"/>
      <c r="Q23" s="1236"/>
      <c r="R23" s="1236"/>
      <c r="S23" s="1236"/>
      <c r="T23" s="1236"/>
      <c r="U23" s="1236"/>
      <c r="V23" s="1236"/>
      <c r="W23" s="1236"/>
      <c r="X23" s="1236"/>
      <c r="Y23" s="1236"/>
      <c r="Z23" s="1236"/>
      <c r="AA23" s="1236"/>
      <c r="AB23" s="1236"/>
      <c r="AC23" s="1236"/>
      <c r="AD23" s="1236"/>
      <c r="AE23" s="1236"/>
      <c r="AF23" s="1236"/>
      <c r="AG23" s="1236"/>
      <c r="AH23" s="2658"/>
      <c r="AI23" s="2658"/>
      <c r="AJ23" s="2658"/>
      <c r="AK23" s="2658"/>
    </row>
    <row r="24" spans="1:37">
      <c r="A24" s="2069" t="s">
        <v>1563</v>
      </c>
      <c r="B24" s="1236"/>
      <c r="C24" s="1236"/>
      <c r="D24" s="1236"/>
      <c r="E24" s="1236"/>
      <c r="F24" s="1236"/>
      <c r="G24" s="1236"/>
      <c r="H24" s="1236"/>
      <c r="I24" s="1236"/>
      <c r="J24" s="1236"/>
      <c r="K24" s="1236"/>
      <c r="L24" s="1236"/>
      <c r="M24" s="1236"/>
      <c r="N24" s="1236"/>
      <c r="O24" s="1236"/>
      <c r="P24" s="1236"/>
      <c r="Q24" s="1236"/>
      <c r="R24" s="1236"/>
      <c r="S24" s="1236"/>
      <c r="T24" s="1236"/>
      <c r="U24" s="1236"/>
      <c r="V24" s="1236"/>
      <c r="W24" s="1236"/>
      <c r="X24" s="1236"/>
      <c r="Y24" s="1236"/>
      <c r="Z24" s="1236"/>
      <c r="AA24" s="1236"/>
      <c r="AB24" s="1236"/>
      <c r="AC24" s="1236"/>
      <c r="AD24" s="1236"/>
      <c r="AE24" s="1236"/>
      <c r="AF24" s="1236"/>
      <c r="AG24" s="1236"/>
      <c r="AH24" s="2658"/>
      <c r="AI24" s="2658"/>
      <c r="AJ24" s="2658"/>
      <c r="AK24" s="2658"/>
    </row>
    <row r="25" spans="1:37">
      <c r="A25" s="2069" t="s">
        <v>1564</v>
      </c>
      <c r="B25" s="1236"/>
      <c r="C25" s="1236"/>
      <c r="D25" s="1236"/>
      <c r="E25" s="1236"/>
      <c r="F25" s="1236"/>
      <c r="G25" s="1236"/>
      <c r="H25" s="1236"/>
      <c r="I25" s="1236"/>
      <c r="J25" s="1236"/>
      <c r="K25" s="1236"/>
      <c r="L25" s="1236"/>
      <c r="M25" s="1236"/>
      <c r="N25" s="1236"/>
      <c r="O25" s="1236"/>
      <c r="P25" s="1236"/>
      <c r="Q25" s="1236"/>
      <c r="R25" s="1236"/>
      <c r="S25" s="1236"/>
      <c r="T25" s="1236"/>
      <c r="U25" s="1236"/>
      <c r="V25" s="1236"/>
      <c r="W25" s="1236"/>
      <c r="X25" s="1236"/>
      <c r="Y25" s="1236"/>
      <c r="Z25" s="1236"/>
      <c r="AA25" s="1236"/>
      <c r="AB25" s="1236"/>
      <c r="AC25" s="1236"/>
      <c r="AD25" s="1236"/>
      <c r="AE25" s="1236"/>
      <c r="AF25" s="1236"/>
      <c r="AG25" s="1236"/>
      <c r="AH25" s="2658"/>
      <c r="AI25" s="2658"/>
      <c r="AJ25" s="2658"/>
      <c r="AK25" s="2658"/>
    </row>
    <row r="26" spans="1:37">
      <c r="A26" s="2069" t="s">
        <v>1565</v>
      </c>
      <c r="B26" s="1236"/>
      <c r="C26" s="1236"/>
      <c r="D26" s="1236"/>
      <c r="E26" s="1236"/>
      <c r="F26" s="1236"/>
      <c r="G26" s="1236"/>
      <c r="H26" s="1236"/>
      <c r="I26" s="1236"/>
      <c r="J26" s="1236"/>
      <c r="K26" s="1236"/>
      <c r="L26" s="1236"/>
      <c r="M26" s="1236"/>
      <c r="N26" s="1236"/>
      <c r="O26" s="1236"/>
      <c r="P26" s="1236"/>
      <c r="Q26" s="1236"/>
      <c r="R26" s="1236"/>
      <c r="S26" s="1236"/>
      <c r="T26" s="1236"/>
      <c r="U26" s="1236"/>
      <c r="V26" s="1236"/>
      <c r="W26" s="1236"/>
      <c r="X26" s="1236"/>
      <c r="Y26" s="1236"/>
      <c r="Z26" s="1236"/>
      <c r="AA26" s="1236"/>
      <c r="AB26" s="1236"/>
      <c r="AC26" s="1236"/>
      <c r="AD26" s="1236"/>
      <c r="AE26" s="1236"/>
      <c r="AF26" s="1236"/>
      <c r="AG26" s="1236"/>
      <c r="AH26" s="2658"/>
      <c r="AI26" s="2658"/>
      <c r="AJ26" s="2658"/>
      <c r="AK26" s="2658"/>
    </row>
    <row r="27" spans="1:37">
      <c r="A27" s="2069" t="s">
        <v>1566</v>
      </c>
      <c r="B27" s="1236"/>
      <c r="C27" s="1236"/>
      <c r="D27" s="1236"/>
      <c r="E27" s="1236"/>
      <c r="F27" s="1236"/>
      <c r="G27" s="1236"/>
      <c r="H27" s="1236"/>
      <c r="I27" s="1236"/>
      <c r="J27" s="1236"/>
      <c r="K27" s="1236"/>
      <c r="L27" s="1236"/>
      <c r="M27" s="1236"/>
      <c r="N27" s="1236"/>
      <c r="O27" s="1236"/>
      <c r="P27" s="1236"/>
      <c r="Q27" s="1236"/>
      <c r="R27" s="1236"/>
      <c r="S27" s="1236"/>
      <c r="T27" s="1236"/>
      <c r="U27" s="1236"/>
      <c r="V27" s="1236"/>
      <c r="W27" s="1236"/>
      <c r="X27" s="1236"/>
      <c r="Y27" s="1236"/>
      <c r="Z27" s="1236"/>
      <c r="AA27" s="1236"/>
      <c r="AB27" s="1236"/>
      <c r="AC27" s="1236"/>
      <c r="AD27" s="1236"/>
      <c r="AE27" s="1236"/>
      <c r="AF27" s="1236"/>
      <c r="AG27" s="1236"/>
      <c r="AH27" s="2658"/>
      <c r="AI27" s="2658"/>
      <c r="AJ27" s="2658"/>
      <c r="AK27" s="2658"/>
    </row>
    <row r="28" spans="1:37">
      <c r="A28" s="2069" t="s">
        <v>1567</v>
      </c>
      <c r="B28" s="1236"/>
      <c r="C28" s="1236"/>
      <c r="D28" s="1236"/>
      <c r="E28" s="1236"/>
      <c r="F28" s="1236"/>
      <c r="G28" s="1236"/>
      <c r="H28" s="1236"/>
      <c r="I28" s="1236"/>
      <c r="J28" s="1236"/>
      <c r="K28" s="1236"/>
      <c r="L28" s="1236"/>
      <c r="M28" s="1236"/>
      <c r="N28" s="1236"/>
      <c r="O28" s="1236"/>
      <c r="P28" s="1236"/>
      <c r="Q28" s="1236"/>
      <c r="R28" s="1236"/>
      <c r="S28" s="1236"/>
      <c r="T28" s="1236"/>
      <c r="U28" s="1236"/>
      <c r="V28" s="1236"/>
      <c r="W28" s="1236"/>
      <c r="X28" s="1236"/>
      <c r="Y28" s="1236"/>
      <c r="Z28" s="1236"/>
      <c r="AA28" s="1236"/>
      <c r="AB28" s="1236"/>
      <c r="AC28" s="1236"/>
      <c r="AD28" s="1236"/>
      <c r="AE28" s="1236"/>
      <c r="AF28" s="1236"/>
      <c r="AG28" s="1236"/>
      <c r="AH28" s="2658"/>
      <c r="AI28" s="2658"/>
      <c r="AJ28" s="2658"/>
      <c r="AK28" s="2658"/>
    </row>
    <row r="29" spans="1:37">
      <c r="A29" s="2069" t="s">
        <v>1568</v>
      </c>
      <c r="B29" s="1236"/>
      <c r="C29" s="1236"/>
      <c r="D29" s="1236"/>
      <c r="E29" s="1236"/>
      <c r="F29" s="1236"/>
      <c r="G29" s="1236"/>
      <c r="H29" s="1236"/>
      <c r="I29" s="1236"/>
      <c r="J29" s="1236"/>
      <c r="K29" s="1236"/>
      <c r="L29" s="1236"/>
      <c r="M29" s="1236"/>
      <c r="N29" s="1236"/>
      <c r="O29" s="1236"/>
      <c r="P29" s="1236"/>
      <c r="Q29" s="1236"/>
      <c r="R29" s="1236"/>
      <c r="S29" s="1236"/>
      <c r="T29" s="1236"/>
      <c r="U29" s="1236"/>
      <c r="V29" s="1236"/>
      <c r="W29" s="1236"/>
      <c r="X29" s="1236"/>
      <c r="Y29" s="1236"/>
      <c r="Z29" s="1236"/>
      <c r="AA29" s="1236"/>
      <c r="AB29" s="1236"/>
      <c r="AC29" s="1236"/>
      <c r="AD29" s="1236"/>
      <c r="AE29" s="1236"/>
      <c r="AF29" s="1236"/>
      <c r="AG29" s="1236"/>
      <c r="AH29" s="2658"/>
      <c r="AI29" s="2658"/>
      <c r="AJ29" s="2658"/>
      <c r="AK29" s="2658"/>
    </row>
    <row r="30" spans="1:37">
      <c r="A30" s="2069" t="s">
        <v>1569</v>
      </c>
      <c r="B30" s="1236"/>
      <c r="C30" s="1236"/>
      <c r="D30" s="1236"/>
      <c r="E30" s="1236"/>
      <c r="F30" s="1236"/>
      <c r="G30" s="1236"/>
      <c r="H30" s="1236"/>
      <c r="I30" s="1236"/>
      <c r="J30" s="1236"/>
      <c r="K30" s="1236"/>
      <c r="L30" s="1236"/>
      <c r="M30" s="1236"/>
      <c r="N30" s="1236"/>
      <c r="O30" s="1236"/>
      <c r="P30" s="1236"/>
      <c r="Q30" s="1236"/>
      <c r="R30" s="1236"/>
      <c r="S30" s="1236"/>
      <c r="T30" s="1236"/>
      <c r="U30" s="1236"/>
      <c r="V30" s="1236"/>
      <c r="W30" s="1236"/>
      <c r="X30" s="1236"/>
      <c r="Y30" s="1236"/>
      <c r="Z30" s="1236"/>
      <c r="AA30" s="1236"/>
      <c r="AB30" s="1236"/>
      <c r="AC30" s="1236"/>
      <c r="AD30" s="1236"/>
      <c r="AE30" s="1236"/>
      <c r="AF30" s="1236"/>
      <c r="AG30" s="1236"/>
      <c r="AH30" s="2658"/>
      <c r="AI30" s="2658"/>
      <c r="AJ30" s="2658"/>
      <c r="AK30" s="2658"/>
    </row>
    <row r="31" spans="1:37">
      <c r="A31" s="2069" t="s">
        <v>1570</v>
      </c>
      <c r="B31" s="1236"/>
      <c r="C31" s="1236"/>
      <c r="D31" s="1236"/>
      <c r="E31" s="1236"/>
      <c r="F31" s="1236"/>
      <c r="G31" s="1236"/>
      <c r="H31" s="1236"/>
      <c r="I31" s="1236"/>
      <c r="J31" s="1236"/>
      <c r="K31" s="1236"/>
      <c r="L31" s="1236"/>
      <c r="M31" s="1236"/>
      <c r="N31" s="1236"/>
      <c r="O31" s="1236"/>
      <c r="P31" s="1236"/>
      <c r="Q31" s="1236"/>
      <c r="R31" s="1236"/>
      <c r="S31" s="1236"/>
      <c r="T31" s="1236"/>
      <c r="U31" s="1236"/>
      <c r="V31" s="1236"/>
      <c r="W31" s="1236"/>
      <c r="X31" s="1236"/>
      <c r="Y31" s="1236"/>
      <c r="Z31" s="1236"/>
      <c r="AA31" s="1236"/>
      <c r="AB31" s="1236"/>
      <c r="AC31" s="1236"/>
      <c r="AD31" s="1236"/>
      <c r="AE31" s="1236"/>
      <c r="AF31" s="1236"/>
      <c r="AG31" s="1236"/>
      <c r="AH31" s="2658"/>
      <c r="AI31" s="2658"/>
      <c r="AJ31" s="2658"/>
      <c r="AK31" s="2658"/>
    </row>
    <row r="32" spans="1:37">
      <c r="A32" s="2069" t="s">
        <v>1571</v>
      </c>
      <c r="B32" s="1236"/>
      <c r="C32" s="1236"/>
      <c r="D32" s="1236"/>
      <c r="E32" s="1236"/>
      <c r="F32" s="1236"/>
      <c r="G32" s="1236"/>
      <c r="H32" s="1236"/>
      <c r="I32" s="1236"/>
      <c r="J32" s="1236"/>
      <c r="K32" s="1236"/>
      <c r="L32" s="1236"/>
      <c r="M32" s="1236"/>
      <c r="N32" s="1236"/>
      <c r="O32" s="1236"/>
      <c r="P32" s="1236"/>
      <c r="Q32" s="1236"/>
      <c r="R32" s="1236"/>
      <c r="S32" s="1236"/>
      <c r="T32" s="1236"/>
      <c r="U32" s="1236"/>
      <c r="V32" s="1236"/>
      <c r="W32" s="1236"/>
      <c r="X32" s="1236"/>
      <c r="Y32" s="1236"/>
      <c r="Z32" s="1236"/>
      <c r="AA32" s="1236"/>
      <c r="AB32" s="1236"/>
      <c r="AC32" s="1236"/>
      <c r="AD32" s="1236"/>
      <c r="AE32" s="1236"/>
      <c r="AF32" s="1236"/>
      <c r="AG32" s="1236"/>
      <c r="AH32" s="2658"/>
      <c r="AI32" s="2658"/>
      <c r="AJ32" s="2658"/>
      <c r="AK32" s="2658"/>
    </row>
    <row r="33" spans="1:37">
      <c r="A33" s="2069" t="s">
        <v>1572</v>
      </c>
      <c r="B33" s="1236"/>
      <c r="C33" s="1236"/>
      <c r="D33" s="1236"/>
      <c r="E33" s="1236"/>
      <c r="F33" s="1236"/>
      <c r="G33" s="1236"/>
      <c r="H33" s="1236"/>
      <c r="I33" s="1236"/>
      <c r="J33" s="1236"/>
      <c r="K33" s="1236"/>
      <c r="L33" s="1236"/>
      <c r="M33" s="1236"/>
      <c r="N33" s="1236"/>
      <c r="O33" s="1236"/>
      <c r="P33" s="1236"/>
      <c r="Q33" s="1236"/>
      <c r="R33" s="1236"/>
      <c r="S33" s="1236"/>
      <c r="T33" s="1236"/>
      <c r="U33" s="1236"/>
      <c r="V33" s="1236"/>
      <c r="W33" s="1236"/>
      <c r="X33" s="1236"/>
      <c r="Y33" s="1236"/>
      <c r="Z33" s="1236"/>
      <c r="AA33" s="1236"/>
      <c r="AB33" s="1236"/>
      <c r="AC33" s="1236"/>
      <c r="AD33" s="1236"/>
      <c r="AE33" s="1236"/>
      <c r="AF33" s="1236"/>
      <c r="AG33" s="1236"/>
      <c r="AH33" s="2658"/>
      <c r="AI33" s="2658"/>
      <c r="AJ33" s="2658"/>
      <c r="AK33" s="2658"/>
    </row>
    <row r="34" spans="1:37">
      <c r="A34" s="2069" t="s">
        <v>1573</v>
      </c>
      <c r="B34" s="1236"/>
      <c r="C34" s="1236"/>
      <c r="D34" s="1236"/>
      <c r="E34" s="1236"/>
      <c r="F34" s="1236"/>
      <c r="G34" s="1236"/>
      <c r="H34" s="1236"/>
      <c r="I34" s="1236"/>
      <c r="J34" s="1236"/>
      <c r="K34" s="1236"/>
      <c r="L34" s="1236"/>
      <c r="M34" s="1236"/>
      <c r="N34" s="1236"/>
      <c r="O34" s="1236"/>
      <c r="P34" s="1236"/>
      <c r="Q34" s="1236"/>
      <c r="R34" s="1236"/>
      <c r="S34" s="1236"/>
      <c r="T34" s="1236"/>
      <c r="U34" s="1236"/>
      <c r="V34" s="1236"/>
      <c r="W34" s="1236"/>
      <c r="X34" s="1236"/>
      <c r="Y34" s="1236"/>
      <c r="Z34" s="1236"/>
      <c r="AA34" s="1236"/>
      <c r="AB34" s="1236"/>
      <c r="AC34" s="1236"/>
      <c r="AD34" s="1236"/>
      <c r="AE34" s="1236"/>
      <c r="AF34" s="1236"/>
      <c r="AG34" s="1236"/>
      <c r="AH34" s="2658"/>
      <c r="AI34" s="2658"/>
      <c r="AJ34" s="2658"/>
      <c r="AK34" s="2658"/>
    </row>
    <row r="35" spans="1:37">
      <c r="A35" s="2069" t="s">
        <v>1574</v>
      </c>
      <c r="B35" s="1236"/>
      <c r="C35" s="1236"/>
      <c r="D35" s="1236"/>
      <c r="E35" s="1236"/>
      <c r="F35" s="1236"/>
      <c r="G35" s="1236"/>
      <c r="H35" s="1236"/>
      <c r="I35" s="1236"/>
      <c r="J35" s="1236"/>
      <c r="K35" s="1236"/>
      <c r="L35" s="1236"/>
      <c r="M35" s="1236"/>
      <c r="N35" s="1236"/>
      <c r="O35" s="1236"/>
      <c r="P35" s="1236"/>
      <c r="Q35" s="1236"/>
      <c r="R35" s="1236"/>
      <c r="S35" s="1236"/>
      <c r="T35" s="1236"/>
      <c r="U35" s="1236"/>
      <c r="V35" s="1236"/>
      <c r="W35" s="1236"/>
      <c r="X35" s="1236"/>
      <c r="Y35" s="1236"/>
      <c r="Z35" s="1236"/>
      <c r="AA35" s="1236"/>
      <c r="AB35" s="1236"/>
      <c r="AC35" s="1236"/>
      <c r="AD35" s="1236"/>
      <c r="AE35" s="1236"/>
      <c r="AF35" s="1236"/>
      <c r="AG35" s="1236"/>
      <c r="AH35" s="2658"/>
      <c r="AI35" s="2658"/>
      <c r="AJ35" s="2658"/>
      <c r="AK35" s="2658"/>
    </row>
    <row r="36" spans="1:37">
      <c r="A36" s="2069" t="s">
        <v>1575</v>
      </c>
      <c r="B36" s="1236"/>
      <c r="C36" s="1236"/>
      <c r="D36" s="1236"/>
      <c r="E36" s="1236"/>
      <c r="F36" s="1236"/>
      <c r="G36" s="1236"/>
      <c r="H36" s="1236"/>
      <c r="I36" s="1236"/>
      <c r="J36" s="1236"/>
      <c r="K36" s="1236"/>
      <c r="L36" s="1236"/>
      <c r="M36" s="1236"/>
      <c r="N36" s="1236"/>
      <c r="O36" s="1236"/>
      <c r="P36" s="1236"/>
      <c r="Q36" s="1236"/>
      <c r="R36" s="1236"/>
      <c r="S36" s="1236"/>
      <c r="T36" s="1236"/>
      <c r="U36" s="1236"/>
      <c r="V36" s="1236"/>
      <c r="W36" s="1236"/>
      <c r="X36" s="1236"/>
      <c r="Y36" s="1236"/>
      <c r="Z36" s="1236"/>
      <c r="AA36" s="1236"/>
      <c r="AB36" s="1236"/>
      <c r="AC36" s="1236"/>
      <c r="AD36" s="1236"/>
      <c r="AE36" s="1236"/>
      <c r="AF36" s="1236"/>
      <c r="AG36" s="1236"/>
      <c r="AH36" s="2658"/>
      <c r="AI36" s="2658"/>
      <c r="AJ36" s="2658"/>
      <c r="AK36" s="2658"/>
    </row>
    <row r="37" spans="1:37">
      <c r="A37" s="2069" t="s">
        <v>1576</v>
      </c>
      <c r="B37" s="1236"/>
      <c r="C37" s="1236"/>
      <c r="D37" s="1236"/>
      <c r="E37" s="1236"/>
      <c r="F37" s="1236"/>
      <c r="G37" s="1236"/>
      <c r="H37" s="1236"/>
      <c r="I37" s="1236"/>
      <c r="J37" s="1236"/>
      <c r="K37" s="1236"/>
      <c r="L37" s="1236"/>
      <c r="M37" s="1236"/>
      <c r="N37" s="1236"/>
      <c r="O37" s="1236"/>
      <c r="P37" s="1236"/>
      <c r="Q37" s="1236"/>
      <c r="R37" s="1236"/>
      <c r="S37" s="1236"/>
      <c r="T37" s="1236"/>
      <c r="U37" s="1236"/>
      <c r="V37" s="1236"/>
      <c r="W37" s="1236"/>
      <c r="X37" s="1236"/>
      <c r="Y37" s="1236"/>
      <c r="Z37" s="1236"/>
      <c r="AA37" s="1236"/>
      <c r="AB37" s="1236"/>
      <c r="AC37" s="1236"/>
      <c r="AD37" s="1236"/>
      <c r="AE37" s="1236"/>
      <c r="AF37" s="1236"/>
      <c r="AG37" s="1236"/>
      <c r="AH37" s="2658"/>
      <c r="AI37" s="2658"/>
      <c r="AJ37" s="2658"/>
      <c r="AK37" s="2658"/>
    </row>
    <row r="38" spans="1:37">
      <c r="A38" s="2069" t="s">
        <v>1577</v>
      </c>
      <c r="B38" s="1236"/>
      <c r="C38" s="1236"/>
      <c r="D38" s="1236"/>
      <c r="E38" s="1236"/>
      <c r="F38" s="1236"/>
      <c r="G38" s="1236"/>
      <c r="H38" s="1236"/>
      <c r="I38" s="1236"/>
      <c r="J38" s="1236"/>
      <c r="K38" s="1236"/>
      <c r="L38" s="1236"/>
      <c r="M38" s="1236"/>
      <c r="N38" s="1236"/>
      <c r="O38" s="1236"/>
      <c r="P38" s="1236"/>
      <c r="Q38" s="1236"/>
      <c r="R38" s="1236"/>
      <c r="S38" s="1236"/>
      <c r="T38" s="1236"/>
      <c r="U38" s="1236"/>
      <c r="V38" s="1236"/>
      <c r="W38" s="1236"/>
      <c r="X38" s="1236"/>
      <c r="Y38" s="1236"/>
      <c r="Z38" s="1236"/>
      <c r="AA38" s="1236"/>
      <c r="AB38" s="1236"/>
      <c r="AC38" s="1236"/>
      <c r="AD38" s="1236"/>
      <c r="AE38" s="1236"/>
      <c r="AF38" s="1236"/>
      <c r="AG38" s="1236"/>
      <c r="AH38" s="2658"/>
      <c r="AI38" s="2658"/>
      <c r="AJ38" s="2658"/>
      <c r="AK38" s="2658"/>
    </row>
    <row r="39" spans="1:37">
      <c r="A39" s="1250" t="s">
        <v>1578</v>
      </c>
      <c r="B39" s="1236"/>
      <c r="C39" s="1236"/>
      <c r="D39" s="1236"/>
      <c r="E39" s="1236"/>
      <c r="F39" s="1236"/>
      <c r="G39" s="1236"/>
      <c r="H39" s="1236"/>
      <c r="I39" s="1236"/>
      <c r="J39" s="1236"/>
      <c r="K39" s="1236"/>
      <c r="L39" s="1236"/>
      <c r="M39" s="1236"/>
      <c r="N39" s="1236"/>
      <c r="O39" s="1236"/>
      <c r="P39" s="1236"/>
      <c r="Q39" s="1236"/>
      <c r="R39" s="1236"/>
      <c r="S39" s="1236"/>
      <c r="T39" s="1236"/>
      <c r="U39" s="1236"/>
      <c r="V39" s="1236"/>
      <c r="W39" s="1236"/>
      <c r="X39" s="1236"/>
      <c r="Y39" s="1236"/>
      <c r="Z39" s="1236"/>
      <c r="AA39" s="1236"/>
      <c r="AB39" s="1236"/>
      <c r="AC39" s="1236"/>
      <c r="AD39" s="1236"/>
      <c r="AE39" s="1236"/>
      <c r="AF39" s="1236"/>
      <c r="AG39" s="1236"/>
      <c r="AH39" s="2658"/>
      <c r="AI39" s="2658"/>
      <c r="AJ39" s="2658"/>
      <c r="AK39" s="2658"/>
    </row>
    <row r="40" spans="1:37">
      <c r="A40" s="1250" t="s">
        <v>1579</v>
      </c>
      <c r="B40" s="1236"/>
      <c r="C40" s="1236"/>
      <c r="D40" s="1236"/>
      <c r="E40" s="1236"/>
      <c r="F40" s="1236"/>
      <c r="G40" s="1236"/>
      <c r="H40" s="1236"/>
      <c r="I40" s="1236"/>
      <c r="J40" s="1236"/>
      <c r="K40" s="1236"/>
      <c r="L40" s="1236"/>
      <c r="M40" s="1236"/>
      <c r="N40" s="1236"/>
      <c r="O40" s="1236"/>
      <c r="P40" s="1236"/>
      <c r="Q40" s="1236"/>
      <c r="R40" s="1236"/>
      <c r="S40" s="1236"/>
      <c r="T40" s="1236"/>
      <c r="U40" s="1236"/>
      <c r="V40" s="1236"/>
      <c r="W40" s="1236"/>
      <c r="X40" s="1236"/>
      <c r="Y40" s="1236"/>
      <c r="Z40" s="1236"/>
      <c r="AA40" s="1236"/>
      <c r="AB40" s="1236"/>
      <c r="AC40" s="1236"/>
      <c r="AD40" s="1236"/>
      <c r="AE40" s="1236"/>
      <c r="AF40" s="1236"/>
      <c r="AG40" s="1236"/>
      <c r="AH40" s="2658"/>
      <c r="AI40" s="2658"/>
      <c r="AJ40" s="2658"/>
      <c r="AK40" s="2658"/>
    </row>
    <row r="41" spans="1:37">
      <c r="A41" s="1250" t="s">
        <v>1580</v>
      </c>
      <c r="B41" s="1236">
        <v>0.36</v>
      </c>
      <c r="C41" s="1236">
        <v>1.17</v>
      </c>
      <c r="D41" s="1236"/>
      <c r="E41" s="1236">
        <v>3.58</v>
      </c>
      <c r="F41" s="1236"/>
      <c r="G41" s="1236"/>
      <c r="H41" s="1236"/>
      <c r="I41" s="1236"/>
      <c r="J41" s="1236"/>
      <c r="K41" s="1236"/>
      <c r="L41" s="1236"/>
      <c r="M41" s="1236"/>
      <c r="N41" s="1236"/>
      <c r="O41" s="1236"/>
      <c r="P41" s="1236"/>
      <c r="Q41" s="1236"/>
      <c r="R41" s="1236"/>
      <c r="S41" s="1236"/>
      <c r="T41" s="1236"/>
      <c r="U41" s="1236"/>
      <c r="V41" s="1236"/>
      <c r="W41" s="1236"/>
      <c r="X41" s="1236"/>
      <c r="Y41" s="1236"/>
      <c r="Z41" s="1236"/>
      <c r="AA41" s="1236"/>
      <c r="AB41" s="1236"/>
      <c r="AC41" s="1236"/>
      <c r="AD41" s="1236"/>
      <c r="AE41" s="1236"/>
      <c r="AF41" s="1236"/>
      <c r="AG41" s="1236"/>
      <c r="AH41" s="2658"/>
      <c r="AI41" s="2658"/>
      <c r="AJ41" s="2658"/>
      <c r="AK41" s="2658"/>
    </row>
    <row r="42" spans="1:37">
      <c r="A42" s="2070" t="s">
        <v>1581</v>
      </c>
      <c r="B42" s="1236"/>
      <c r="C42" s="1236"/>
      <c r="D42" s="1236"/>
      <c r="E42" s="1236"/>
      <c r="F42" s="1236"/>
      <c r="G42" s="1236"/>
      <c r="H42" s="1236"/>
      <c r="I42" s="1236"/>
      <c r="J42" s="1236"/>
      <c r="K42" s="1236"/>
      <c r="L42" s="1236"/>
      <c r="M42" s="1236"/>
      <c r="N42" s="1236"/>
      <c r="O42" s="1236"/>
      <c r="P42" s="1236"/>
      <c r="Q42" s="1236"/>
      <c r="R42" s="1236"/>
      <c r="S42" s="1236"/>
      <c r="T42" s="1236"/>
      <c r="U42" s="1236"/>
      <c r="V42" s="1236"/>
      <c r="W42" s="1236"/>
      <c r="X42" s="1236"/>
      <c r="Y42" s="1236"/>
      <c r="Z42" s="1236"/>
      <c r="AA42" s="1236"/>
      <c r="AB42" s="1236"/>
      <c r="AC42" s="1236"/>
      <c r="AD42" s="1236"/>
      <c r="AE42" s="1236"/>
      <c r="AF42" s="1236"/>
      <c r="AG42" s="1236"/>
      <c r="AH42" s="2658"/>
      <c r="AI42" s="2658"/>
      <c r="AJ42" s="2658"/>
      <c r="AK42" s="2658"/>
    </row>
    <row r="43" spans="1:37">
      <c r="A43" s="2070" t="s">
        <v>1582</v>
      </c>
      <c r="B43" s="1236"/>
      <c r="C43" s="1236"/>
      <c r="D43" s="1236"/>
      <c r="E43" s="1236"/>
      <c r="F43" s="1236"/>
      <c r="G43" s="1236"/>
      <c r="H43" s="1236"/>
      <c r="I43" s="1236"/>
      <c r="J43" s="1236"/>
      <c r="K43" s="1236"/>
      <c r="L43" s="1236"/>
      <c r="M43" s="1236"/>
      <c r="N43" s="1236"/>
      <c r="O43" s="1236"/>
      <c r="P43" s="1236"/>
      <c r="Q43" s="1236"/>
      <c r="R43" s="1236"/>
      <c r="S43" s="1236"/>
      <c r="T43" s="1236"/>
      <c r="U43" s="1236"/>
      <c r="V43" s="1236"/>
      <c r="W43" s="1236"/>
      <c r="X43" s="1236"/>
      <c r="Y43" s="1236"/>
      <c r="Z43" s="1236"/>
      <c r="AA43" s="1236"/>
      <c r="AB43" s="1236"/>
      <c r="AC43" s="1236"/>
      <c r="AD43" s="1236"/>
      <c r="AE43" s="1236"/>
      <c r="AF43" s="1236"/>
      <c r="AG43" s="1236"/>
      <c r="AH43" s="2658"/>
      <c r="AI43" s="2658"/>
      <c r="AJ43" s="2658"/>
      <c r="AK43" s="2658"/>
    </row>
    <row r="44" spans="1:37">
      <c r="A44" s="2070" t="s">
        <v>1583</v>
      </c>
      <c r="B44" s="1236"/>
      <c r="C44" s="1236"/>
      <c r="D44" s="1236"/>
      <c r="E44" s="1236"/>
      <c r="F44" s="1236"/>
      <c r="G44" s="1236"/>
      <c r="H44" s="1236"/>
      <c r="I44" s="1236"/>
      <c r="J44" s="1236"/>
      <c r="K44" s="1236"/>
      <c r="L44" s="1236"/>
      <c r="M44" s="1236"/>
      <c r="N44" s="1236"/>
      <c r="O44" s="1236"/>
      <c r="P44" s="1236"/>
      <c r="Q44" s="1236"/>
      <c r="R44" s="1236"/>
      <c r="S44" s="1236"/>
      <c r="T44" s="1236"/>
      <c r="U44" s="1236"/>
      <c r="V44" s="1236"/>
      <c r="W44" s="1236"/>
      <c r="X44" s="1236"/>
      <c r="Y44" s="1236"/>
      <c r="Z44" s="1236"/>
      <c r="AA44" s="1236"/>
      <c r="AB44" s="1236"/>
      <c r="AC44" s="1236"/>
      <c r="AD44" s="1236"/>
      <c r="AE44" s="1236"/>
      <c r="AF44" s="1236"/>
      <c r="AG44" s="1236"/>
      <c r="AH44" s="2658"/>
      <c r="AI44" s="2658"/>
      <c r="AJ44" s="2658"/>
      <c r="AK44" s="2658"/>
    </row>
    <row r="45" spans="1:37" hidden="1">
      <c r="A45" s="2070" t="s">
        <v>1584</v>
      </c>
      <c r="B45" s="1236"/>
      <c r="C45" s="1236"/>
      <c r="D45" s="1236"/>
      <c r="E45" s="1236"/>
      <c r="F45" s="1236"/>
      <c r="G45" s="1236"/>
      <c r="H45" s="1236"/>
      <c r="I45" s="1236"/>
      <c r="J45" s="1236"/>
      <c r="K45" s="1236"/>
      <c r="L45" s="1236"/>
      <c r="M45" s="1236"/>
      <c r="N45" s="1236"/>
      <c r="O45" s="1236"/>
      <c r="P45" s="1236"/>
      <c r="Q45" s="1236"/>
      <c r="R45" s="1236"/>
      <c r="S45" s="1236"/>
      <c r="T45" s="1236"/>
      <c r="U45" s="1236"/>
      <c r="V45" s="1236"/>
      <c r="W45" s="1236"/>
      <c r="X45" s="1236"/>
      <c r="Y45" s="1236"/>
      <c r="Z45" s="1236"/>
      <c r="AA45" s="1236"/>
      <c r="AB45" s="1236"/>
      <c r="AC45" s="1236"/>
      <c r="AD45" s="1236"/>
      <c r="AE45" s="1236"/>
      <c r="AF45" s="1236"/>
      <c r="AG45" s="1236"/>
      <c r="AH45" s="2658"/>
      <c r="AI45" s="2658"/>
      <c r="AJ45" s="2658"/>
      <c r="AK45" s="2658"/>
    </row>
    <row r="46" spans="1:37" hidden="1">
      <c r="A46" s="2070" t="s">
        <v>1585</v>
      </c>
      <c r="B46" s="1236"/>
      <c r="C46" s="1236"/>
      <c r="D46" s="1236"/>
      <c r="E46" s="1236"/>
      <c r="F46" s="1236"/>
      <c r="G46" s="1236"/>
      <c r="H46" s="1236"/>
      <c r="I46" s="1236"/>
      <c r="J46" s="1236"/>
      <c r="K46" s="1236"/>
      <c r="L46" s="1236"/>
      <c r="M46" s="1236"/>
      <c r="N46" s="1236"/>
      <c r="O46" s="1236"/>
      <c r="P46" s="1236"/>
      <c r="Q46" s="1236"/>
      <c r="R46" s="1236"/>
      <c r="S46" s="1236"/>
      <c r="T46" s="1236"/>
      <c r="U46" s="1236"/>
      <c r="V46" s="1236"/>
      <c r="W46" s="1236"/>
      <c r="X46" s="1236"/>
      <c r="Y46" s="1236"/>
      <c r="Z46" s="1236"/>
      <c r="AA46" s="1236"/>
      <c r="AB46" s="1236"/>
      <c r="AC46" s="1236"/>
      <c r="AD46" s="1236"/>
      <c r="AE46" s="1236"/>
      <c r="AF46" s="1236"/>
      <c r="AG46" s="1236"/>
      <c r="AH46" s="2658"/>
      <c r="AI46" s="2658"/>
      <c r="AJ46" s="2658"/>
      <c r="AK46" s="2658"/>
    </row>
    <row r="47" spans="1:37" hidden="1">
      <c r="A47" s="2070" t="s">
        <v>1586</v>
      </c>
      <c r="B47" s="1236"/>
      <c r="C47" s="1236"/>
      <c r="D47" s="1236"/>
      <c r="E47" s="1236"/>
      <c r="F47" s="1236"/>
      <c r="G47" s="1236"/>
      <c r="H47" s="1236"/>
      <c r="I47" s="1236"/>
      <c r="J47" s="1236"/>
      <c r="K47" s="1236"/>
      <c r="L47" s="1236"/>
      <c r="M47" s="1236"/>
      <c r="N47" s="1236"/>
      <c r="O47" s="1236"/>
      <c r="P47" s="1236"/>
      <c r="Q47" s="1236"/>
      <c r="R47" s="1236"/>
      <c r="S47" s="1236"/>
      <c r="T47" s="1236"/>
      <c r="U47" s="1236"/>
      <c r="V47" s="1236"/>
      <c r="W47" s="1236"/>
      <c r="X47" s="1236"/>
      <c r="Y47" s="1236"/>
      <c r="Z47" s="1236"/>
      <c r="AA47" s="1236"/>
      <c r="AB47" s="1236"/>
      <c r="AC47" s="1236"/>
      <c r="AD47" s="1236"/>
      <c r="AE47" s="1236"/>
      <c r="AF47" s="1236"/>
      <c r="AG47" s="1236"/>
      <c r="AH47" s="2658"/>
      <c r="AI47" s="2658"/>
      <c r="AJ47" s="2658"/>
      <c r="AK47" s="2658"/>
    </row>
    <row r="48" spans="1:37">
      <c r="A48" s="2070" t="s">
        <v>1587</v>
      </c>
      <c r="B48" s="1236"/>
      <c r="C48" s="1236"/>
      <c r="D48" s="1236"/>
      <c r="E48" s="1236"/>
      <c r="F48" s="1236"/>
      <c r="G48" s="1236"/>
      <c r="H48" s="1236"/>
      <c r="I48" s="1236"/>
      <c r="J48" s="1236"/>
      <c r="K48" s="1236"/>
      <c r="L48" s="1236"/>
      <c r="M48" s="1236"/>
      <c r="N48" s="1236"/>
      <c r="O48" s="1236"/>
      <c r="P48" s="1236"/>
      <c r="Q48" s="1236"/>
      <c r="R48" s="1236"/>
      <c r="S48" s="1236"/>
      <c r="T48" s="1236"/>
      <c r="U48" s="1236"/>
      <c r="V48" s="1236"/>
      <c r="W48" s="1236"/>
      <c r="X48" s="1236"/>
      <c r="Y48" s="1236"/>
      <c r="Z48" s="1236"/>
      <c r="AA48" s="1236"/>
      <c r="AB48" s="1236"/>
      <c r="AC48" s="1236"/>
      <c r="AD48" s="1236"/>
      <c r="AE48" s="1236"/>
      <c r="AF48" s="1236"/>
      <c r="AG48" s="1236"/>
      <c r="AH48" s="2658"/>
      <c r="AI48" s="2658"/>
      <c r="AJ48" s="2658"/>
      <c r="AK48" s="2658"/>
    </row>
    <row r="49" spans="1:37">
      <c r="A49" s="2070" t="s">
        <v>1588</v>
      </c>
      <c r="B49" s="1236"/>
      <c r="C49" s="1236"/>
      <c r="D49" s="1236"/>
      <c r="E49" s="1236"/>
      <c r="F49" s="1236"/>
      <c r="G49" s="1236"/>
      <c r="H49" s="1236"/>
      <c r="I49" s="1236"/>
      <c r="J49" s="1236"/>
      <c r="K49" s="1236"/>
      <c r="L49" s="1236"/>
      <c r="M49" s="1236"/>
      <c r="N49" s="1236"/>
      <c r="O49" s="1236"/>
      <c r="P49" s="1236"/>
      <c r="Q49" s="1236"/>
      <c r="R49" s="1236"/>
      <c r="S49" s="1236"/>
      <c r="T49" s="1236"/>
      <c r="U49" s="1236"/>
      <c r="V49" s="1236"/>
      <c r="W49" s="1236"/>
      <c r="X49" s="1236"/>
      <c r="Y49" s="1236"/>
      <c r="Z49" s="1236"/>
      <c r="AA49" s="1236"/>
      <c r="AB49" s="1236"/>
      <c r="AC49" s="1236"/>
      <c r="AD49" s="1236"/>
      <c r="AE49" s="1236"/>
      <c r="AF49" s="1236"/>
      <c r="AG49" s="1236"/>
      <c r="AH49" s="2658"/>
      <c r="AI49" s="2658"/>
      <c r="AJ49" s="2658"/>
      <c r="AK49" s="2658"/>
    </row>
    <row r="50" spans="1:37" hidden="1">
      <c r="A50" s="2070" t="s">
        <v>1589</v>
      </c>
      <c r="B50" s="1236"/>
      <c r="C50" s="1236"/>
      <c r="D50" s="1236"/>
      <c r="E50" s="1236"/>
      <c r="F50" s="1236"/>
      <c r="G50" s="1236"/>
      <c r="H50" s="1236"/>
      <c r="I50" s="1236"/>
      <c r="J50" s="1236"/>
      <c r="K50" s="1236"/>
      <c r="L50" s="1236"/>
      <c r="M50" s="1236"/>
      <c r="N50" s="1236"/>
      <c r="O50" s="1236"/>
      <c r="P50" s="1236"/>
      <c r="Q50" s="1236"/>
      <c r="R50" s="1236"/>
      <c r="S50" s="1236"/>
      <c r="T50" s="1236"/>
      <c r="U50" s="1236"/>
      <c r="V50" s="1236"/>
      <c r="W50" s="1236"/>
      <c r="X50" s="1236"/>
      <c r="Y50" s="1236"/>
      <c r="Z50" s="1236"/>
      <c r="AA50" s="1236"/>
      <c r="AB50" s="1236"/>
      <c r="AC50" s="1236"/>
      <c r="AD50" s="1236"/>
      <c r="AE50" s="1236"/>
      <c r="AF50" s="1236"/>
      <c r="AG50" s="1236"/>
      <c r="AH50" s="2658"/>
      <c r="AI50" s="2658"/>
      <c r="AJ50" s="2658"/>
      <c r="AK50" s="2658"/>
    </row>
    <row r="51" spans="1:37">
      <c r="A51" s="2070" t="s">
        <v>1590</v>
      </c>
      <c r="B51" s="1236"/>
      <c r="C51" s="1236"/>
      <c r="D51" s="1236"/>
      <c r="E51" s="1236"/>
      <c r="F51" s="1236"/>
      <c r="G51" s="1236"/>
      <c r="H51" s="1236"/>
      <c r="I51" s="1236"/>
      <c r="J51" s="1236"/>
      <c r="K51" s="1236"/>
      <c r="L51" s="1236"/>
      <c r="M51" s="1236"/>
      <c r="N51" s="1236"/>
      <c r="O51" s="1236"/>
      <c r="P51" s="1236"/>
      <c r="Q51" s="1236"/>
      <c r="R51" s="1236"/>
      <c r="S51" s="1236"/>
      <c r="T51" s="1236"/>
      <c r="U51" s="1236"/>
      <c r="V51" s="1236"/>
      <c r="W51" s="1236"/>
      <c r="X51" s="1236"/>
      <c r="Y51" s="1236"/>
      <c r="Z51" s="1236"/>
      <c r="AA51" s="1236"/>
      <c r="AB51" s="1236"/>
      <c r="AC51" s="1236"/>
      <c r="AD51" s="1236"/>
      <c r="AE51" s="1236"/>
      <c r="AF51" s="1236"/>
      <c r="AG51" s="1236"/>
      <c r="AH51" s="2658"/>
      <c r="AI51" s="2658"/>
      <c r="AJ51" s="2658"/>
      <c r="AK51" s="2658"/>
    </row>
    <row r="52" spans="1:37">
      <c r="A52" s="2070" t="s">
        <v>1591</v>
      </c>
      <c r="B52" s="1236"/>
      <c r="C52" s="1236"/>
      <c r="D52" s="1236"/>
      <c r="E52" s="1236"/>
      <c r="F52" s="1236"/>
      <c r="G52" s="1236"/>
      <c r="H52" s="1236"/>
      <c r="I52" s="1236"/>
      <c r="J52" s="1236"/>
      <c r="K52" s="1236"/>
      <c r="L52" s="1236"/>
      <c r="M52" s="1236"/>
      <c r="N52" s="1236"/>
      <c r="O52" s="1236"/>
      <c r="P52" s="1236"/>
      <c r="Q52" s="1236"/>
      <c r="R52" s="1236"/>
      <c r="S52" s="1236"/>
      <c r="T52" s="1236"/>
      <c r="U52" s="1236"/>
      <c r="V52" s="1236"/>
      <c r="W52" s="1236"/>
      <c r="X52" s="1236"/>
      <c r="Y52" s="1236"/>
      <c r="Z52" s="1236"/>
      <c r="AA52" s="1236"/>
      <c r="AB52" s="1236"/>
      <c r="AC52" s="1236"/>
      <c r="AD52" s="1236"/>
      <c r="AE52" s="1236"/>
      <c r="AF52" s="1236"/>
      <c r="AG52" s="1236"/>
      <c r="AH52" s="2658"/>
      <c r="AI52" s="2658"/>
      <c r="AJ52" s="2658"/>
      <c r="AK52" s="2658"/>
    </row>
    <row r="53" spans="1:37">
      <c r="A53" s="2070" t="s">
        <v>1592</v>
      </c>
      <c r="B53" s="1236"/>
      <c r="C53" s="1236"/>
      <c r="D53" s="1236"/>
      <c r="E53" s="1236"/>
      <c r="F53" s="1236"/>
      <c r="G53" s="1236"/>
      <c r="H53" s="1236"/>
      <c r="I53" s="1236"/>
      <c r="J53" s="1236"/>
      <c r="K53" s="1236"/>
      <c r="L53" s="1236"/>
      <c r="M53" s="1236"/>
      <c r="N53" s="1236"/>
      <c r="O53" s="1236"/>
      <c r="P53" s="1236"/>
      <c r="Q53" s="1236"/>
      <c r="R53" s="1236"/>
      <c r="S53" s="1236"/>
      <c r="T53" s="1236"/>
      <c r="U53" s="1236"/>
      <c r="V53" s="1236"/>
      <c r="W53" s="1236"/>
      <c r="X53" s="1236"/>
      <c r="Y53" s="1236"/>
      <c r="Z53" s="1236"/>
      <c r="AA53" s="1236"/>
      <c r="AB53" s="1236"/>
      <c r="AC53" s="1236"/>
      <c r="AD53" s="1236"/>
      <c r="AE53" s="1236"/>
      <c r="AF53" s="1236"/>
      <c r="AG53" s="1236"/>
      <c r="AH53" s="2658"/>
      <c r="AI53" s="2658"/>
      <c r="AJ53" s="2658"/>
      <c r="AK53" s="2658"/>
    </row>
    <row r="54" spans="1:37">
      <c r="A54" s="1250"/>
      <c r="B54" s="1236"/>
      <c r="C54" s="1236"/>
      <c r="D54" s="1236"/>
      <c r="E54" s="1236"/>
      <c r="F54" s="1236"/>
      <c r="G54" s="1236"/>
      <c r="H54" s="1236"/>
      <c r="I54" s="1236"/>
      <c r="J54" s="1236"/>
      <c r="K54" s="1236"/>
      <c r="L54" s="1236"/>
      <c r="M54" s="1236"/>
      <c r="N54" s="1236"/>
      <c r="O54" s="1236"/>
      <c r="P54" s="1236"/>
      <c r="Q54" s="1236"/>
      <c r="R54" s="1236"/>
      <c r="S54" s="1236"/>
      <c r="T54" s="1236"/>
      <c r="U54" s="1236"/>
      <c r="V54" s="1236"/>
      <c r="W54" s="1236"/>
      <c r="X54" s="1236"/>
      <c r="Y54" s="1236"/>
      <c r="Z54" s="1236"/>
      <c r="AA54" s="1236"/>
      <c r="AB54" s="1236"/>
      <c r="AC54" s="1236"/>
      <c r="AD54" s="1236"/>
      <c r="AE54" s="1236"/>
      <c r="AF54" s="1236"/>
      <c r="AG54" s="1236"/>
      <c r="AH54" s="2658"/>
      <c r="AI54" s="2658"/>
      <c r="AJ54" s="2658"/>
      <c r="AK54" s="2658"/>
    </row>
    <row r="55" spans="1:37">
      <c r="A55" s="1250"/>
      <c r="B55" s="1236"/>
      <c r="C55" s="1236"/>
      <c r="D55" s="1236"/>
      <c r="E55" s="1236"/>
      <c r="F55" s="1236"/>
      <c r="G55" s="1236"/>
      <c r="H55" s="1236"/>
      <c r="I55" s="1236"/>
      <c r="J55" s="1236"/>
      <c r="K55" s="1236"/>
      <c r="L55" s="1236"/>
      <c r="M55" s="1236"/>
      <c r="N55" s="1236"/>
      <c r="O55" s="1236"/>
      <c r="P55" s="1236"/>
      <c r="Q55" s="1236"/>
      <c r="R55" s="1236"/>
      <c r="S55" s="1236"/>
      <c r="T55" s="1236"/>
      <c r="U55" s="1236"/>
      <c r="V55" s="1236"/>
      <c r="W55" s="1236"/>
      <c r="X55" s="1236"/>
      <c r="Y55" s="1236"/>
      <c r="Z55" s="1236"/>
      <c r="AA55" s="1236"/>
      <c r="AB55" s="1236"/>
      <c r="AC55" s="1236"/>
      <c r="AD55" s="1236"/>
      <c r="AE55" s="1236"/>
      <c r="AF55" s="1236"/>
      <c r="AG55" s="1236"/>
      <c r="AH55" s="2658"/>
      <c r="AI55" s="2658"/>
      <c r="AJ55" s="2658"/>
      <c r="AK55" s="2658"/>
    </row>
    <row r="56" spans="1:37">
      <c r="A56" s="1507"/>
      <c r="B56" s="1236"/>
      <c r="C56" s="1236"/>
      <c r="D56" s="1236"/>
      <c r="E56" s="1236"/>
      <c r="F56" s="1236"/>
      <c r="G56" s="1236"/>
      <c r="H56" s="1236"/>
      <c r="I56" s="1236"/>
      <c r="J56" s="1236"/>
      <c r="K56" s="1236"/>
      <c r="L56" s="1236"/>
      <c r="M56" s="1236"/>
      <c r="N56" s="1236"/>
      <c r="O56" s="1236"/>
      <c r="P56" s="1236"/>
      <c r="Q56" s="1236"/>
      <c r="R56" s="1236"/>
      <c r="S56" s="1236"/>
      <c r="T56" s="1236"/>
      <c r="U56" s="1236"/>
      <c r="V56" s="1236"/>
      <c r="W56" s="1236"/>
      <c r="X56" s="1236"/>
      <c r="Y56" s="1236"/>
      <c r="Z56" s="1236"/>
      <c r="AA56" s="1236"/>
      <c r="AB56" s="1236"/>
      <c r="AC56" s="1236"/>
      <c r="AD56" s="1236"/>
      <c r="AE56" s="1236"/>
      <c r="AF56" s="1236"/>
      <c r="AG56" s="1236" t="str">
        <f t="shared" ref="AG56" si="1">IFERROR(AVERAGE(B56:AF56), "")</f>
        <v/>
      </c>
      <c r="AH56" s="2658"/>
      <c r="AI56" s="2658"/>
      <c r="AJ56" s="2658"/>
      <c r="AK56" s="2658"/>
    </row>
    <row r="57" spans="1:37">
      <c r="A57" s="498"/>
      <c r="B57" s="1236"/>
      <c r="C57" s="1236"/>
      <c r="D57" s="1236"/>
      <c r="E57" s="1236"/>
      <c r="F57" s="1236"/>
      <c r="G57" s="1236"/>
      <c r="H57" s="1236"/>
      <c r="I57" s="1236"/>
      <c r="J57" s="1236"/>
      <c r="K57" s="1236"/>
      <c r="L57" s="1236"/>
      <c r="M57" s="1236"/>
      <c r="N57" s="1236"/>
      <c r="O57" s="1236"/>
      <c r="P57" s="1236"/>
      <c r="Q57" s="1236"/>
      <c r="R57" s="1236"/>
      <c r="S57" s="1236"/>
      <c r="T57" s="1236"/>
      <c r="U57" s="1236"/>
      <c r="V57" s="1236"/>
      <c r="W57" s="1236"/>
      <c r="X57" s="1236"/>
      <c r="Y57" s="1236"/>
      <c r="Z57" s="1236"/>
      <c r="AA57" s="1236"/>
      <c r="AB57" s="1236"/>
      <c r="AC57" s="1236"/>
      <c r="AD57" s="1236"/>
      <c r="AE57" s="1236"/>
      <c r="AF57" s="1236"/>
      <c r="AG57" s="1236"/>
      <c r="AH57" s="2658"/>
      <c r="AI57" s="2658"/>
      <c r="AJ57" s="2658"/>
      <c r="AK57" s="2658"/>
    </row>
    <row r="58" spans="1:37">
      <c r="B58" s="1236"/>
      <c r="C58" s="1236"/>
      <c r="D58" s="1236"/>
      <c r="E58" s="1236"/>
      <c r="F58" s="1236"/>
      <c r="G58" s="1236"/>
      <c r="H58" s="1236"/>
      <c r="I58" s="1236"/>
      <c r="J58" s="1236"/>
      <c r="K58" s="1236"/>
      <c r="L58" s="1236"/>
      <c r="M58" s="1236"/>
      <c r="N58" s="1236"/>
      <c r="O58" s="1236"/>
      <c r="P58" s="1236"/>
      <c r="Q58" s="1236"/>
      <c r="R58" s="1236"/>
      <c r="S58" s="1236"/>
      <c r="T58" s="1236"/>
      <c r="U58" s="1236"/>
      <c r="V58" s="1236"/>
      <c r="W58" s="1236"/>
      <c r="X58" s="1236"/>
      <c r="Y58" s="1236"/>
      <c r="Z58" s="1236"/>
      <c r="AA58" s="1236"/>
      <c r="AB58" s="1236"/>
      <c r="AC58" s="1236"/>
      <c r="AD58" s="1236"/>
      <c r="AE58" s="1236"/>
      <c r="AF58" s="1236"/>
      <c r="AG58" s="1236"/>
      <c r="AH58" s="2658"/>
      <c r="AI58" s="2658"/>
      <c r="AJ58" s="2658"/>
      <c r="AK58" s="2658"/>
    </row>
    <row r="59" spans="1:37">
      <c r="B59" s="1236"/>
      <c r="C59" s="1236"/>
      <c r="D59" s="1236"/>
      <c r="E59" s="1236"/>
      <c r="F59" s="1236"/>
      <c r="G59" s="1236"/>
      <c r="H59" s="1236"/>
      <c r="I59" s="1236"/>
      <c r="J59" s="1236"/>
      <c r="K59" s="1236"/>
      <c r="L59" s="1236"/>
      <c r="M59" s="1236"/>
      <c r="N59" s="1236"/>
      <c r="O59" s="1236"/>
      <c r="P59" s="1236"/>
      <c r="Q59" s="1236"/>
      <c r="R59" s="1236"/>
      <c r="S59" s="1236"/>
      <c r="T59" s="1236"/>
      <c r="U59" s="1236"/>
      <c r="V59" s="1236"/>
      <c r="W59" s="1236"/>
      <c r="X59" s="1236"/>
      <c r="Y59" s="1236"/>
      <c r="Z59" s="1236"/>
      <c r="AA59" s="1236"/>
      <c r="AB59" s="1236"/>
      <c r="AC59" s="1236"/>
      <c r="AD59" s="1236"/>
      <c r="AE59" s="1236"/>
      <c r="AF59" s="1236"/>
      <c r="AG59" s="1236"/>
      <c r="AH59" s="2658"/>
      <c r="AI59" s="2658"/>
      <c r="AJ59" s="2658"/>
      <c r="AK59" s="2658"/>
    </row>
    <row r="60" spans="1:37">
      <c r="B60" s="1236"/>
      <c r="C60" s="1236"/>
      <c r="D60" s="1236"/>
      <c r="E60" s="1236"/>
      <c r="F60" s="1236"/>
      <c r="G60" s="1236"/>
      <c r="H60" s="1236"/>
      <c r="I60" s="1236"/>
      <c r="J60" s="1236"/>
      <c r="K60" s="1236"/>
      <c r="L60" s="1236"/>
      <c r="M60" s="1236"/>
      <c r="N60" s="1236"/>
      <c r="O60" s="1236"/>
      <c r="P60" s="1236"/>
      <c r="Q60" s="1236"/>
      <c r="R60" s="1236"/>
      <c r="S60" s="1236"/>
      <c r="T60" s="1236"/>
      <c r="U60" s="1236"/>
      <c r="V60" s="1236"/>
      <c r="W60" s="1236"/>
      <c r="X60" s="1236"/>
      <c r="Y60" s="1236"/>
      <c r="Z60" s="1236"/>
      <c r="AA60" s="1236"/>
      <c r="AB60" s="1236"/>
      <c r="AC60" s="1236"/>
      <c r="AD60" s="1236"/>
      <c r="AE60" s="1236"/>
      <c r="AF60" s="1236"/>
      <c r="AG60" s="1236"/>
      <c r="AH60" s="2658"/>
      <c r="AI60" s="2658"/>
      <c r="AJ60" s="2658"/>
      <c r="AK60" s="2658"/>
    </row>
    <row r="61" spans="1:37">
      <c r="B61" s="1236"/>
      <c r="C61" s="1236"/>
      <c r="D61" s="1236"/>
      <c r="E61" s="1236"/>
      <c r="F61" s="1236"/>
      <c r="G61" s="1236"/>
      <c r="H61" s="1236"/>
      <c r="I61" s="1236"/>
      <c r="J61" s="1236"/>
      <c r="K61" s="1236"/>
      <c r="L61" s="1236"/>
      <c r="M61" s="1236"/>
      <c r="N61" s="1236"/>
      <c r="O61" s="1236"/>
      <c r="P61" s="1236"/>
      <c r="Q61" s="1236"/>
      <c r="R61" s="1236"/>
      <c r="S61" s="1236"/>
      <c r="T61" s="1236"/>
      <c r="U61" s="1236"/>
      <c r="V61" s="1236"/>
      <c r="W61" s="1236"/>
      <c r="X61" s="1236"/>
      <c r="Y61" s="1236"/>
      <c r="Z61" s="1236"/>
      <c r="AA61" s="1236"/>
      <c r="AB61" s="1236"/>
      <c r="AC61" s="1236"/>
      <c r="AD61" s="1236"/>
      <c r="AE61" s="1236"/>
      <c r="AF61" s="1236"/>
      <c r="AG61" s="1236"/>
      <c r="AH61" s="2658"/>
      <c r="AI61" s="2658"/>
      <c r="AJ61" s="2658"/>
      <c r="AK61" s="2658"/>
    </row>
    <row r="62" spans="1:37">
      <c r="B62" s="1236"/>
      <c r="C62" s="1236"/>
      <c r="D62" s="1236"/>
      <c r="E62" s="1236"/>
      <c r="F62" s="1236"/>
      <c r="G62" s="1236"/>
      <c r="H62" s="1236"/>
      <c r="I62" s="1236"/>
      <c r="J62" s="1236"/>
      <c r="K62" s="1236"/>
      <c r="L62" s="1236"/>
      <c r="M62" s="1236"/>
      <c r="N62" s="1236"/>
      <c r="O62" s="1236"/>
      <c r="P62" s="1236"/>
      <c r="Q62" s="1236"/>
      <c r="R62" s="1236"/>
      <c r="S62" s="1236"/>
      <c r="T62" s="1236"/>
      <c r="U62" s="1236"/>
      <c r="V62" s="1236"/>
      <c r="W62" s="1236"/>
      <c r="X62" s="1236"/>
      <c r="Y62" s="1236"/>
      <c r="Z62" s="1236"/>
      <c r="AA62" s="1236"/>
      <c r="AB62" s="1236"/>
      <c r="AC62" s="1236"/>
      <c r="AD62" s="1236"/>
      <c r="AE62" s="1236"/>
      <c r="AF62" s="1236"/>
      <c r="AG62" s="1236"/>
      <c r="AH62" s="2658"/>
      <c r="AI62" s="2658"/>
      <c r="AJ62" s="2658"/>
      <c r="AK62" s="2658"/>
    </row>
    <row r="63" spans="1:37">
      <c r="B63" s="58"/>
      <c r="C63" s="58"/>
      <c r="D63" s="2658"/>
      <c r="E63" s="2658"/>
      <c r="F63" s="2658"/>
      <c r="G63" s="2658"/>
      <c r="H63" s="2658"/>
      <c r="I63" s="2658"/>
      <c r="J63" s="2658"/>
      <c r="K63" s="2658"/>
      <c r="L63" s="2658"/>
      <c r="M63" s="2658"/>
      <c r="N63" s="58"/>
      <c r="O63" s="58"/>
      <c r="P63" s="2658"/>
      <c r="Q63" s="2658"/>
      <c r="R63" s="2658"/>
      <c r="S63" s="2658"/>
      <c r="T63" s="2658"/>
      <c r="U63" s="58"/>
      <c r="V63" s="2658"/>
      <c r="W63" s="2658"/>
      <c r="X63" s="2658"/>
      <c r="Y63" s="2658"/>
      <c r="Z63" s="2658"/>
      <c r="AA63" s="2658"/>
      <c r="AB63" s="2658"/>
      <c r="AC63" s="2658"/>
      <c r="AD63" s="2658"/>
      <c r="AE63" s="2658"/>
      <c r="AF63" s="2658"/>
      <c r="AG63" s="2658"/>
      <c r="AH63" s="2658"/>
      <c r="AI63" s="2658"/>
      <c r="AJ63" s="2658"/>
      <c r="AK63" s="2658"/>
    </row>
    <row r="64" spans="1:37">
      <c r="B64" s="2658"/>
      <c r="C64" s="2658"/>
      <c r="D64" s="2658"/>
      <c r="E64" s="2658"/>
      <c r="F64" s="2658"/>
      <c r="G64" s="2658"/>
      <c r="H64" s="2658"/>
      <c r="I64" s="2658"/>
      <c r="J64" s="2658"/>
      <c r="K64" s="2658"/>
      <c r="L64" s="2658"/>
      <c r="M64" s="2658"/>
      <c r="N64" s="2658"/>
      <c r="O64" s="2658"/>
      <c r="P64" s="2658"/>
      <c r="Q64" s="2658"/>
      <c r="R64" s="2658"/>
      <c r="S64" s="2658"/>
      <c r="T64" s="2658"/>
      <c r="U64" s="2657"/>
      <c r="V64" s="2658"/>
      <c r="W64" s="2658"/>
      <c r="X64" s="2658"/>
      <c r="Y64" s="2658"/>
      <c r="Z64" s="2658"/>
      <c r="AA64" s="2658"/>
      <c r="AB64" s="2657"/>
      <c r="AC64" s="2658"/>
      <c r="AD64" s="2658"/>
      <c r="AE64" s="2658"/>
      <c r="AF64" s="2658"/>
      <c r="AG64" s="2658"/>
      <c r="AH64" s="2658"/>
      <c r="AI64" s="2658"/>
      <c r="AJ64" s="2658"/>
      <c r="AK64" s="2658"/>
    </row>
    <row r="65" spans="2:37">
      <c r="B65" s="2658"/>
      <c r="C65" s="2658"/>
      <c r="D65" s="2658"/>
      <c r="E65" s="2658"/>
      <c r="F65" s="2658"/>
      <c r="G65" s="2658"/>
      <c r="H65" s="2658"/>
      <c r="I65" s="2658"/>
      <c r="J65" s="2658"/>
      <c r="K65" s="2658"/>
      <c r="L65" s="2658"/>
      <c r="M65" s="2658"/>
      <c r="N65" s="2658"/>
      <c r="O65" s="2658"/>
      <c r="P65" s="2658"/>
      <c r="Q65" s="2658"/>
      <c r="R65" s="2658"/>
      <c r="S65" s="2658"/>
      <c r="T65" s="2658"/>
      <c r="U65" s="2657"/>
      <c r="V65" s="2658"/>
      <c r="W65" s="2658"/>
      <c r="X65" s="2658"/>
      <c r="Y65" s="2658"/>
      <c r="Z65" s="2658"/>
      <c r="AA65" s="2658"/>
      <c r="AB65" s="2657"/>
      <c r="AC65" s="2658"/>
      <c r="AD65" s="2658"/>
      <c r="AE65" s="2658"/>
      <c r="AF65" s="2658"/>
      <c r="AG65" s="2658"/>
      <c r="AH65" s="2658"/>
      <c r="AI65" s="2658"/>
      <c r="AJ65" s="2658"/>
      <c r="AK65" s="2658"/>
    </row>
  </sheetData>
  <autoFilter ref="A1:A57" xr:uid="{0AEBB94E-DBFA-41F9-B565-0E1AAF1B93FA}"/>
  <sortState xmlns:xlrd2="http://schemas.microsoft.com/office/spreadsheetml/2017/richdata2" ref="A3:AI62">
    <sortCondition ref="A3:A62"/>
  </sortState>
  <conditionalFormatting sqref="A1:A1048576">
    <cfRule type="duplicateValues" dxfId="111" priority="3"/>
    <cfRule type="duplicateValues" dxfId="110" priority="4"/>
  </conditionalFormatting>
  <conditionalFormatting sqref="B3:AG62">
    <cfRule type="cellIs" dxfId="109" priority="5" operator="between">
      <formula>1.5</formula>
      <formula>1.89</formula>
    </cfRule>
    <cfRule type="cellIs" dxfId="108" priority="6" operator="greaterThan">
      <formula>1.89</formula>
    </cfRule>
  </conditionalFormatting>
  <pageMargins left="0.7" right="0.7" top="0.75" bottom="0.75" header="0.3" footer="0.3"/>
  <pageSetup paperSize="9" orientation="landscape"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F9BF-A5AF-438D-ACE8-EA6714307ADF}">
  <sheetPr>
    <tabColor theme="1" tint="0.34998626667073579"/>
  </sheetPr>
  <dimension ref="A1"/>
  <sheetViews>
    <sheetView showGridLines="0" showRowColHeaders="0" view="pageBreakPreview" zoomScale="60" zoomScaleNormal="100" workbookViewId="0">
      <selection activeCell="AB51" sqref="AB51"/>
    </sheetView>
  </sheetViews>
  <sheetFormatPr defaultRowHeight="14.4"/>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B7DB8-E65D-4AFC-9B1B-76E72D342C5C}">
  <sheetPr>
    <tabColor theme="0" tint="-0.14999847407452621"/>
  </sheetPr>
  <dimension ref="A1:AH50"/>
  <sheetViews>
    <sheetView zoomScale="79" workbookViewId="0">
      <pane ySplit="1" topLeftCell="A2" activePane="bottomLeft" state="frozen"/>
      <selection pane="bottomLeft" activeCell="A33" sqref="A33"/>
    </sheetView>
  </sheetViews>
  <sheetFormatPr defaultRowHeight="14.4"/>
  <cols>
    <col min="1" max="1" width="22.33203125" bestFit="1" customWidth="1"/>
    <col min="2" max="10" width="8.21875" bestFit="1" customWidth="1"/>
    <col min="11" max="32" width="9.33203125" bestFit="1" customWidth="1"/>
    <col min="33" max="33" width="10.77734375" style="207" bestFit="1" customWidth="1"/>
  </cols>
  <sheetData>
    <row r="1" spans="1:34">
      <c r="A1" s="2287"/>
      <c r="B1" s="2288">
        <v>45870</v>
      </c>
      <c r="C1" s="2288">
        <v>45871</v>
      </c>
      <c r="D1" s="2288">
        <v>45872</v>
      </c>
      <c r="E1" s="2288">
        <v>45873</v>
      </c>
      <c r="F1" s="2288">
        <v>45874</v>
      </c>
      <c r="G1" s="2288">
        <v>45875</v>
      </c>
      <c r="H1" s="2288">
        <v>45876</v>
      </c>
      <c r="I1" s="2288">
        <v>45877</v>
      </c>
      <c r="J1" s="2288">
        <v>45878</v>
      </c>
      <c r="K1" s="2288">
        <v>45879</v>
      </c>
      <c r="L1" s="2288">
        <v>45880</v>
      </c>
      <c r="M1" s="2288">
        <v>45881</v>
      </c>
      <c r="N1" s="2288">
        <v>45882</v>
      </c>
      <c r="O1" s="2288">
        <v>45883</v>
      </c>
      <c r="P1" s="2288">
        <v>45884</v>
      </c>
      <c r="Q1" s="2288">
        <v>45885</v>
      </c>
      <c r="R1" s="2288">
        <v>45886</v>
      </c>
      <c r="S1" s="2288">
        <v>45887</v>
      </c>
      <c r="T1" s="2288">
        <v>45888</v>
      </c>
      <c r="U1" s="2288">
        <v>45889</v>
      </c>
      <c r="V1" s="2288">
        <v>45890</v>
      </c>
      <c r="W1" s="2288">
        <v>45891</v>
      </c>
      <c r="X1" s="2288">
        <v>45892</v>
      </c>
      <c r="Y1" s="2288">
        <v>45893</v>
      </c>
      <c r="Z1" s="2288">
        <v>45894</v>
      </c>
      <c r="AA1" s="2288">
        <v>45895</v>
      </c>
      <c r="AB1" s="2288">
        <v>45896</v>
      </c>
      <c r="AC1" s="2288">
        <v>45897</v>
      </c>
      <c r="AD1" s="2288">
        <v>45898</v>
      </c>
      <c r="AE1" s="2288">
        <v>45899</v>
      </c>
      <c r="AF1" s="2288">
        <v>45900</v>
      </c>
      <c r="AG1" s="2287" t="s">
        <v>279</v>
      </c>
      <c r="AH1" s="207"/>
    </row>
    <row r="2" spans="1:34">
      <c r="A2" t="s">
        <v>1593</v>
      </c>
      <c r="B2">
        <v>1.6</v>
      </c>
      <c r="C2">
        <v>1.6</v>
      </c>
      <c r="D2">
        <v>0</v>
      </c>
      <c r="E2">
        <v>1.6</v>
      </c>
      <c r="F2">
        <v>1.6</v>
      </c>
      <c r="G2">
        <v>1.6</v>
      </c>
      <c r="H2">
        <v>1.6</v>
      </c>
      <c r="I2">
        <v>1.6</v>
      </c>
      <c r="J2">
        <v>1.6</v>
      </c>
      <c r="K2">
        <v>0</v>
      </c>
      <c r="L2">
        <v>0</v>
      </c>
      <c r="M2">
        <v>0</v>
      </c>
      <c r="N2">
        <v>1.6</v>
      </c>
      <c r="O2">
        <v>1.6</v>
      </c>
      <c r="P2">
        <v>1.6</v>
      </c>
      <c r="Q2">
        <v>1.6</v>
      </c>
      <c r="R2">
        <v>0</v>
      </c>
      <c r="S2">
        <v>1.6</v>
      </c>
      <c r="T2">
        <v>1.6</v>
      </c>
      <c r="U2">
        <v>1.6</v>
      </c>
      <c r="V2">
        <v>1.6</v>
      </c>
      <c r="W2">
        <v>1.6</v>
      </c>
      <c r="X2">
        <v>1.6</v>
      </c>
      <c r="Y2">
        <v>0</v>
      </c>
      <c r="Z2">
        <v>1.6</v>
      </c>
      <c r="AA2">
        <v>1.6</v>
      </c>
      <c r="AB2">
        <v>1.6</v>
      </c>
      <c r="AC2">
        <v>1.6</v>
      </c>
      <c r="AD2">
        <v>1.6</v>
      </c>
      <c r="AE2">
        <v>1.6</v>
      </c>
      <c r="AF2">
        <v>0</v>
      </c>
      <c r="AG2" s="207">
        <f t="shared" ref="AG2:AG50" si="0">SUM(B2:AF2)</f>
        <v>38.400000000000013</v>
      </c>
    </row>
    <row r="3" spans="1:34">
      <c r="A3" s="2661" t="s">
        <v>1594</v>
      </c>
      <c r="K3">
        <v>0</v>
      </c>
      <c r="L3">
        <v>0</v>
      </c>
      <c r="M3">
        <v>0</v>
      </c>
      <c r="R3">
        <v>0</v>
      </c>
      <c r="U3">
        <v>1.6</v>
      </c>
      <c r="V3">
        <v>1.6</v>
      </c>
      <c r="W3">
        <v>1.6</v>
      </c>
      <c r="X3">
        <v>1.6</v>
      </c>
      <c r="Z3">
        <v>1.6</v>
      </c>
      <c r="AA3">
        <v>1.6</v>
      </c>
      <c r="AB3">
        <v>1.6</v>
      </c>
      <c r="AC3">
        <v>1.6</v>
      </c>
      <c r="AD3">
        <v>1.6</v>
      </c>
      <c r="AE3">
        <v>1.6</v>
      </c>
      <c r="AF3">
        <v>0</v>
      </c>
      <c r="AG3" s="207">
        <f t="shared" si="0"/>
        <v>15.999999999999998</v>
      </c>
    </row>
    <row r="4" spans="1:34">
      <c r="A4" t="s">
        <v>1595</v>
      </c>
      <c r="B4">
        <v>0.9</v>
      </c>
      <c r="C4">
        <v>0.9</v>
      </c>
      <c r="D4">
        <v>0</v>
      </c>
      <c r="E4">
        <v>0.9</v>
      </c>
      <c r="F4">
        <v>0.9</v>
      </c>
      <c r="G4">
        <v>0.9</v>
      </c>
      <c r="H4">
        <v>0.9</v>
      </c>
      <c r="I4">
        <v>0.9</v>
      </c>
      <c r="J4">
        <v>0.9</v>
      </c>
      <c r="K4">
        <v>0</v>
      </c>
      <c r="L4">
        <v>0</v>
      </c>
      <c r="M4">
        <v>0</v>
      </c>
      <c r="N4">
        <v>0.9</v>
      </c>
      <c r="O4">
        <v>0.9</v>
      </c>
      <c r="P4">
        <v>0.9</v>
      </c>
      <c r="Q4">
        <v>0.9</v>
      </c>
      <c r="R4">
        <v>0</v>
      </c>
      <c r="S4">
        <v>0.9</v>
      </c>
      <c r="T4">
        <v>0.9</v>
      </c>
      <c r="Y4">
        <v>0</v>
      </c>
      <c r="AF4">
        <v>0</v>
      </c>
      <c r="AG4" s="207">
        <f t="shared" si="0"/>
        <v>12.600000000000003</v>
      </c>
    </row>
    <row r="5" spans="1:34">
      <c r="A5" s="2661" t="s">
        <v>1596</v>
      </c>
      <c r="B5">
        <v>1.6</v>
      </c>
      <c r="C5">
        <v>1.6</v>
      </c>
      <c r="D5">
        <v>0</v>
      </c>
      <c r="E5">
        <v>1.6</v>
      </c>
      <c r="F5">
        <v>1.6</v>
      </c>
      <c r="G5">
        <v>1.6</v>
      </c>
      <c r="H5">
        <v>1.6</v>
      </c>
      <c r="I5">
        <v>1.6</v>
      </c>
      <c r="J5">
        <v>1.6</v>
      </c>
      <c r="K5">
        <v>0</v>
      </c>
      <c r="L5">
        <v>0</v>
      </c>
      <c r="M5">
        <v>0</v>
      </c>
      <c r="N5">
        <v>1.6</v>
      </c>
      <c r="O5">
        <v>1.6</v>
      </c>
      <c r="P5">
        <v>1.6</v>
      </c>
      <c r="Q5">
        <v>1.6</v>
      </c>
      <c r="R5">
        <v>0</v>
      </c>
      <c r="S5">
        <v>1.6</v>
      </c>
      <c r="T5">
        <v>1.6</v>
      </c>
      <c r="U5">
        <v>1.6</v>
      </c>
      <c r="V5">
        <v>1.6</v>
      </c>
      <c r="W5">
        <v>1.6</v>
      </c>
      <c r="X5">
        <v>1.6</v>
      </c>
      <c r="Y5">
        <v>0</v>
      </c>
      <c r="Z5">
        <v>1.6</v>
      </c>
      <c r="AA5">
        <v>1.6</v>
      </c>
      <c r="AB5">
        <v>1.6</v>
      </c>
      <c r="AC5">
        <v>1.6</v>
      </c>
      <c r="AD5">
        <v>1.6</v>
      </c>
      <c r="AE5">
        <v>1.6</v>
      </c>
      <c r="AF5">
        <v>0</v>
      </c>
      <c r="AG5" s="207">
        <f t="shared" si="0"/>
        <v>38.400000000000013</v>
      </c>
    </row>
    <row r="6" spans="1:34">
      <c r="A6" t="s">
        <v>1597</v>
      </c>
      <c r="B6">
        <v>1.3</v>
      </c>
      <c r="C6">
        <v>1.3</v>
      </c>
      <c r="D6">
        <v>0</v>
      </c>
      <c r="E6">
        <v>1.3</v>
      </c>
      <c r="F6">
        <v>1.3</v>
      </c>
      <c r="G6">
        <v>1.3</v>
      </c>
      <c r="H6">
        <v>1.3</v>
      </c>
      <c r="I6">
        <v>1.3</v>
      </c>
      <c r="J6">
        <v>1.3</v>
      </c>
      <c r="K6">
        <v>0</v>
      </c>
      <c r="L6">
        <v>0</v>
      </c>
      <c r="M6">
        <v>0</v>
      </c>
      <c r="N6">
        <v>1.3</v>
      </c>
      <c r="O6">
        <v>1.3</v>
      </c>
      <c r="P6">
        <v>1.3</v>
      </c>
      <c r="Q6">
        <v>1.3</v>
      </c>
      <c r="R6">
        <v>0</v>
      </c>
      <c r="S6">
        <v>1.3</v>
      </c>
      <c r="T6">
        <v>1.3</v>
      </c>
      <c r="U6">
        <v>1.3</v>
      </c>
      <c r="V6">
        <v>1.3</v>
      </c>
      <c r="W6">
        <v>1.3</v>
      </c>
      <c r="X6">
        <v>1.3</v>
      </c>
      <c r="Y6">
        <v>0</v>
      </c>
      <c r="Z6">
        <v>1.3</v>
      </c>
      <c r="AA6">
        <v>1.1299999999999999</v>
      </c>
      <c r="AB6">
        <v>1.3</v>
      </c>
      <c r="AC6">
        <v>1.3</v>
      </c>
      <c r="AD6">
        <v>1.3</v>
      </c>
      <c r="AE6">
        <v>1.3</v>
      </c>
      <c r="AF6">
        <v>0</v>
      </c>
      <c r="AG6" s="207">
        <f t="shared" si="0"/>
        <v>31.030000000000008</v>
      </c>
    </row>
    <row r="7" spans="1:34">
      <c r="AG7" s="207">
        <f t="shared" si="0"/>
        <v>0</v>
      </c>
    </row>
    <row r="8" spans="1:34">
      <c r="A8" s="2661" t="s">
        <v>1598</v>
      </c>
      <c r="B8">
        <v>1.6</v>
      </c>
      <c r="C8">
        <v>1.6</v>
      </c>
      <c r="E8">
        <v>1.6</v>
      </c>
      <c r="F8">
        <v>1.6</v>
      </c>
      <c r="G8">
        <v>1.6</v>
      </c>
      <c r="H8">
        <v>1.6</v>
      </c>
      <c r="I8">
        <v>1.6</v>
      </c>
      <c r="J8">
        <v>1.6</v>
      </c>
      <c r="K8">
        <v>0</v>
      </c>
      <c r="L8">
        <v>0</v>
      </c>
      <c r="M8">
        <v>0</v>
      </c>
      <c r="N8">
        <v>1.6</v>
      </c>
      <c r="O8">
        <v>1.6</v>
      </c>
      <c r="P8">
        <v>1.6</v>
      </c>
      <c r="Q8">
        <v>1.6</v>
      </c>
      <c r="AG8" s="207">
        <f t="shared" si="0"/>
        <v>19.2</v>
      </c>
    </row>
    <row r="9" spans="1:34">
      <c r="A9" s="2661" t="s">
        <v>1599</v>
      </c>
      <c r="B9">
        <v>1.3</v>
      </c>
      <c r="C9">
        <v>1.3</v>
      </c>
      <c r="D9">
        <v>0</v>
      </c>
      <c r="E9">
        <v>1.3</v>
      </c>
      <c r="F9">
        <v>1.3</v>
      </c>
      <c r="G9">
        <v>1.3</v>
      </c>
      <c r="H9">
        <v>1.3</v>
      </c>
      <c r="I9">
        <v>1.3</v>
      </c>
      <c r="J9">
        <v>1.3</v>
      </c>
      <c r="N9">
        <v>1.3</v>
      </c>
      <c r="O9">
        <v>1.3</v>
      </c>
      <c r="P9">
        <v>1.3</v>
      </c>
      <c r="Q9">
        <v>1.3</v>
      </c>
      <c r="S9">
        <v>1.3</v>
      </c>
      <c r="T9">
        <v>1.3</v>
      </c>
      <c r="AG9" s="207">
        <f t="shared" si="0"/>
        <v>18.200000000000003</v>
      </c>
    </row>
    <row r="10" spans="1:34">
      <c r="A10" t="s">
        <v>1600</v>
      </c>
      <c r="B10">
        <v>1.6</v>
      </c>
      <c r="C10">
        <v>1.6</v>
      </c>
      <c r="D10">
        <v>0</v>
      </c>
      <c r="E10">
        <v>1.6</v>
      </c>
      <c r="F10">
        <v>1.6</v>
      </c>
      <c r="G10">
        <v>1.6</v>
      </c>
      <c r="H10">
        <v>1.6</v>
      </c>
      <c r="I10">
        <v>1.6</v>
      </c>
      <c r="J10">
        <v>1.6</v>
      </c>
      <c r="K10">
        <v>0</v>
      </c>
      <c r="L10">
        <v>0</v>
      </c>
      <c r="M10">
        <v>0</v>
      </c>
      <c r="N10">
        <v>1.6</v>
      </c>
      <c r="O10">
        <v>1.6</v>
      </c>
      <c r="P10">
        <v>1.6</v>
      </c>
      <c r="Q10">
        <v>1.6</v>
      </c>
      <c r="R10">
        <v>0</v>
      </c>
      <c r="S10">
        <v>1.6</v>
      </c>
      <c r="T10">
        <v>1.6</v>
      </c>
      <c r="U10">
        <v>1.6</v>
      </c>
      <c r="V10">
        <v>1.6</v>
      </c>
      <c r="W10">
        <v>1.6</v>
      </c>
      <c r="X10">
        <v>1.6</v>
      </c>
      <c r="Z10">
        <v>1.6</v>
      </c>
      <c r="AA10">
        <v>1.6</v>
      </c>
      <c r="AB10">
        <v>1.6</v>
      </c>
      <c r="AC10">
        <v>1.6</v>
      </c>
      <c r="AD10">
        <v>1.6</v>
      </c>
      <c r="AE10">
        <v>1.6</v>
      </c>
      <c r="AG10" s="207">
        <f t="shared" si="0"/>
        <v>38.400000000000013</v>
      </c>
    </row>
    <row r="11" spans="1:34">
      <c r="A11" t="s">
        <v>1601</v>
      </c>
      <c r="B11">
        <v>1.6</v>
      </c>
      <c r="C11">
        <v>1.6</v>
      </c>
      <c r="E11">
        <v>1.6</v>
      </c>
      <c r="F11">
        <v>1.6</v>
      </c>
      <c r="G11">
        <v>1.6</v>
      </c>
      <c r="H11">
        <v>1.6</v>
      </c>
      <c r="I11">
        <v>1.6</v>
      </c>
      <c r="J11">
        <v>1.6</v>
      </c>
      <c r="K11">
        <v>0</v>
      </c>
      <c r="L11">
        <v>0</v>
      </c>
      <c r="M11">
        <v>0</v>
      </c>
      <c r="N11">
        <v>1.6</v>
      </c>
      <c r="O11">
        <v>1.6</v>
      </c>
      <c r="P11">
        <v>1.6</v>
      </c>
      <c r="Q11">
        <v>1.6</v>
      </c>
      <c r="R11">
        <v>0</v>
      </c>
      <c r="S11">
        <v>1.6</v>
      </c>
      <c r="T11">
        <v>1.6</v>
      </c>
      <c r="U11">
        <v>1.6</v>
      </c>
      <c r="V11">
        <v>1.6</v>
      </c>
      <c r="W11">
        <v>1.6</v>
      </c>
      <c r="X11">
        <v>1.6</v>
      </c>
      <c r="Y11">
        <v>0</v>
      </c>
      <c r="Z11">
        <v>1.6</v>
      </c>
      <c r="AA11">
        <v>1.6</v>
      </c>
      <c r="AB11">
        <v>1.6</v>
      </c>
      <c r="AC11">
        <v>1.6</v>
      </c>
      <c r="AD11">
        <v>1.6</v>
      </c>
      <c r="AE11">
        <v>1.6</v>
      </c>
      <c r="AG11" s="207">
        <f t="shared" si="0"/>
        <v>38.400000000000013</v>
      </c>
    </row>
    <row r="12" spans="1:34">
      <c r="A12" s="2661" t="s">
        <v>1602</v>
      </c>
      <c r="B12">
        <v>1.6</v>
      </c>
      <c r="C12">
        <v>1.6</v>
      </c>
      <c r="D12">
        <v>0</v>
      </c>
      <c r="E12">
        <v>1.6</v>
      </c>
      <c r="F12">
        <v>1.6</v>
      </c>
      <c r="G12">
        <v>1.6</v>
      </c>
      <c r="H12">
        <v>1.6</v>
      </c>
      <c r="I12">
        <v>1.6</v>
      </c>
      <c r="J12">
        <v>1.6</v>
      </c>
      <c r="K12">
        <v>0</v>
      </c>
      <c r="L12">
        <v>0</v>
      </c>
      <c r="M12">
        <v>0</v>
      </c>
      <c r="N12">
        <v>1.6</v>
      </c>
      <c r="O12">
        <v>1.6</v>
      </c>
      <c r="AG12" s="207">
        <f t="shared" si="0"/>
        <v>15.999999999999998</v>
      </c>
    </row>
    <row r="13" spans="1:34">
      <c r="A13" t="s">
        <v>1603</v>
      </c>
      <c r="P13">
        <v>1.6</v>
      </c>
      <c r="Q13">
        <v>1.6</v>
      </c>
      <c r="S13">
        <v>1.6</v>
      </c>
      <c r="T13">
        <v>1.6</v>
      </c>
      <c r="U13">
        <v>1.6</v>
      </c>
      <c r="V13">
        <v>1.6</v>
      </c>
      <c r="W13">
        <v>1.6</v>
      </c>
      <c r="X13">
        <v>1.6</v>
      </c>
      <c r="Z13">
        <v>1.6</v>
      </c>
      <c r="AA13">
        <v>1.6</v>
      </c>
      <c r="AB13">
        <v>1.6</v>
      </c>
      <c r="AC13">
        <v>1.6</v>
      </c>
      <c r="AD13">
        <v>1.6</v>
      </c>
      <c r="AE13">
        <v>1.6</v>
      </c>
      <c r="AG13" s="207">
        <f t="shared" si="0"/>
        <v>22.400000000000002</v>
      </c>
    </row>
    <row r="14" spans="1:34">
      <c r="A14" t="s">
        <v>1604</v>
      </c>
      <c r="S14">
        <v>1.3</v>
      </c>
      <c r="T14">
        <v>1.3</v>
      </c>
      <c r="U14">
        <v>1.3</v>
      </c>
      <c r="V14">
        <v>1.3</v>
      </c>
      <c r="W14">
        <v>1.3</v>
      </c>
      <c r="X14">
        <v>1.3</v>
      </c>
      <c r="Y14">
        <v>0</v>
      </c>
      <c r="Z14">
        <v>1.3</v>
      </c>
      <c r="AA14">
        <v>1.3</v>
      </c>
      <c r="AB14">
        <v>1.3</v>
      </c>
      <c r="AC14">
        <v>1.3</v>
      </c>
      <c r="AD14">
        <v>1.3</v>
      </c>
      <c r="AE14">
        <v>1.3</v>
      </c>
      <c r="AG14" s="207">
        <f t="shared" si="0"/>
        <v>15.600000000000003</v>
      </c>
    </row>
    <row r="15" spans="1:34">
      <c r="A15" t="s">
        <v>1605</v>
      </c>
      <c r="B15">
        <v>1.3</v>
      </c>
      <c r="C15">
        <v>1.3</v>
      </c>
      <c r="D15">
        <v>0</v>
      </c>
      <c r="E15">
        <v>1.3</v>
      </c>
      <c r="F15">
        <v>1.3</v>
      </c>
      <c r="G15">
        <v>1.3</v>
      </c>
      <c r="H15">
        <v>1.3</v>
      </c>
      <c r="I15">
        <v>1.3</v>
      </c>
      <c r="J15">
        <v>1.3</v>
      </c>
      <c r="K15">
        <v>0</v>
      </c>
      <c r="L15">
        <v>0</v>
      </c>
      <c r="M15">
        <v>0</v>
      </c>
      <c r="N15">
        <v>1.3</v>
      </c>
      <c r="O15">
        <v>1.3</v>
      </c>
      <c r="P15">
        <v>1.3</v>
      </c>
      <c r="Q15">
        <v>1.3</v>
      </c>
      <c r="S15">
        <v>1.3</v>
      </c>
      <c r="T15">
        <v>1.3</v>
      </c>
      <c r="U15">
        <v>1.3</v>
      </c>
      <c r="V15">
        <v>1.3</v>
      </c>
      <c r="W15">
        <v>1.3</v>
      </c>
      <c r="X15">
        <v>1.3</v>
      </c>
      <c r="Z15">
        <v>1.3</v>
      </c>
      <c r="AA15">
        <v>1.3</v>
      </c>
      <c r="AB15">
        <v>1.3</v>
      </c>
      <c r="AC15">
        <v>1.3</v>
      </c>
      <c r="AD15">
        <v>1.3</v>
      </c>
      <c r="AE15">
        <v>1.3</v>
      </c>
      <c r="AG15" s="207">
        <f t="shared" si="0"/>
        <v>31.20000000000001</v>
      </c>
    </row>
    <row r="16" spans="1:34">
      <c r="A16" t="s">
        <v>1606</v>
      </c>
      <c r="B16">
        <v>1.6</v>
      </c>
      <c r="C16">
        <v>1.6</v>
      </c>
      <c r="D16">
        <v>0</v>
      </c>
      <c r="E16">
        <v>1.6</v>
      </c>
      <c r="F16">
        <v>1.6</v>
      </c>
      <c r="G16">
        <v>1.6</v>
      </c>
      <c r="H16">
        <v>1.6</v>
      </c>
      <c r="I16">
        <v>1.6</v>
      </c>
      <c r="J16">
        <v>1.6</v>
      </c>
      <c r="N16">
        <v>1.6</v>
      </c>
      <c r="AG16" s="207">
        <f t="shared" si="0"/>
        <v>14.399999999999999</v>
      </c>
    </row>
    <row r="17" spans="1:33">
      <c r="A17" t="s">
        <v>1607</v>
      </c>
      <c r="K17">
        <v>0</v>
      </c>
      <c r="L17">
        <v>0</v>
      </c>
      <c r="M17">
        <v>0</v>
      </c>
      <c r="O17">
        <v>0.9</v>
      </c>
      <c r="P17">
        <v>0.9</v>
      </c>
      <c r="Q17">
        <v>0.9</v>
      </c>
      <c r="R17">
        <v>0</v>
      </c>
      <c r="S17">
        <v>0.9</v>
      </c>
      <c r="T17">
        <v>0.9</v>
      </c>
      <c r="U17">
        <v>0.9</v>
      </c>
      <c r="V17">
        <v>0.9</v>
      </c>
      <c r="W17">
        <v>0.9</v>
      </c>
      <c r="X17">
        <v>0.9</v>
      </c>
      <c r="Y17">
        <v>0</v>
      </c>
      <c r="Z17">
        <v>0.9</v>
      </c>
      <c r="AA17">
        <v>0.9</v>
      </c>
      <c r="AB17">
        <v>0.9</v>
      </c>
      <c r="AC17">
        <v>0.9</v>
      </c>
      <c r="AD17">
        <v>0.9</v>
      </c>
      <c r="AE17">
        <v>0.9</v>
      </c>
      <c r="AG17" s="207">
        <f t="shared" si="0"/>
        <v>13.500000000000004</v>
      </c>
    </row>
    <row r="18" spans="1:33">
      <c r="A18" t="s">
        <v>1608</v>
      </c>
      <c r="B18">
        <v>0.9</v>
      </c>
      <c r="C18">
        <v>0.9</v>
      </c>
      <c r="D18">
        <v>0</v>
      </c>
      <c r="E18">
        <v>0.9</v>
      </c>
      <c r="F18">
        <v>0.9</v>
      </c>
      <c r="G18">
        <v>0.9</v>
      </c>
      <c r="H18">
        <v>0.9</v>
      </c>
      <c r="I18">
        <v>0.9</v>
      </c>
      <c r="J18">
        <v>0.9</v>
      </c>
      <c r="K18">
        <v>9</v>
      </c>
      <c r="L18">
        <v>0</v>
      </c>
      <c r="M18">
        <v>0</v>
      </c>
      <c r="N18">
        <v>0.9</v>
      </c>
      <c r="Y18">
        <v>0</v>
      </c>
      <c r="AG18" s="207">
        <f t="shared" si="0"/>
        <v>17.100000000000001</v>
      </c>
    </row>
    <row r="19" spans="1:33">
      <c r="A19" t="s">
        <v>1609</v>
      </c>
      <c r="O19">
        <v>1.3</v>
      </c>
      <c r="P19">
        <v>1.3</v>
      </c>
      <c r="Q19">
        <v>1.3</v>
      </c>
      <c r="S19">
        <v>1.3</v>
      </c>
      <c r="T19">
        <v>1.3</v>
      </c>
      <c r="U19">
        <v>1.3</v>
      </c>
      <c r="V19">
        <v>1.3</v>
      </c>
      <c r="W19">
        <v>1.3</v>
      </c>
      <c r="X19">
        <v>1.3</v>
      </c>
      <c r="Z19">
        <v>1.3</v>
      </c>
      <c r="AA19">
        <v>1.3</v>
      </c>
      <c r="AB19">
        <v>1.3</v>
      </c>
      <c r="AC19">
        <v>1.3</v>
      </c>
      <c r="AD19">
        <v>1.3</v>
      </c>
      <c r="AE19">
        <v>1.3</v>
      </c>
      <c r="AF19">
        <v>0</v>
      </c>
      <c r="AG19" s="207">
        <f t="shared" si="0"/>
        <v>19.500000000000004</v>
      </c>
    </row>
    <row r="20" spans="1:33">
      <c r="AG20" s="207">
        <f t="shared" si="0"/>
        <v>0</v>
      </c>
    </row>
    <row r="21" spans="1:33">
      <c r="A21" t="s">
        <v>1610</v>
      </c>
      <c r="B21">
        <v>1.6</v>
      </c>
      <c r="C21">
        <v>1.6</v>
      </c>
      <c r="E21">
        <v>1.6</v>
      </c>
      <c r="F21">
        <v>1.6</v>
      </c>
      <c r="G21">
        <v>1.6</v>
      </c>
      <c r="H21">
        <v>1.6</v>
      </c>
      <c r="I21">
        <v>1.6</v>
      </c>
      <c r="J21">
        <v>1.6</v>
      </c>
      <c r="N21">
        <v>1.6</v>
      </c>
      <c r="O21">
        <v>1.6</v>
      </c>
      <c r="P21">
        <v>1.6</v>
      </c>
      <c r="Q21">
        <v>1.6</v>
      </c>
      <c r="S21">
        <v>1.6</v>
      </c>
      <c r="T21">
        <v>1.6</v>
      </c>
      <c r="U21">
        <v>1.6</v>
      </c>
      <c r="AG21" s="207">
        <f t="shared" si="0"/>
        <v>24.000000000000004</v>
      </c>
    </row>
    <row r="22" spans="1:33">
      <c r="A22" t="s">
        <v>1611</v>
      </c>
      <c r="V22">
        <v>1.6</v>
      </c>
      <c r="W22">
        <v>1.6</v>
      </c>
      <c r="X22">
        <v>1.6</v>
      </c>
      <c r="Z22">
        <v>1.6</v>
      </c>
      <c r="AA22">
        <v>1.6</v>
      </c>
      <c r="AB22">
        <v>1.6</v>
      </c>
      <c r="AC22">
        <v>1.6</v>
      </c>
      <c r="AD22">
        <v>1.6</v>
      </c>
      <c r="AE22">
        <v>1.6</v>
      </c>
      <c r="AG22" s="207">
        <f t="shared" si="0"/>
        <v>14.399999999999999</v>
      </c>
    </row>
    <row r="23" spans="1:33">
      <c r="A23" t="s">
        <v>1612</v>
      </c>
      <c r="B23">
        <v>0.9</v>
      </c>
      <c r="C23">
        <v>0.9</v>
      </c>
      <c r="D23">
        <v>0</v>
      </c>
      <c r="E23">
        <v>0.9</v>
      </c>
      <c r="F23">
        <v>0.9</v>
      </c>
      <c r="G23">
        <v>0.9</v>
      </c>
      <c r="H23">
        <v>0.9</v>
      </c>
      <c r="I23">
        <v>0.9</v>
      </c>
      <c r="J23">
        <v>0.9</v>
      </c>
      <c r="K23">
        <v>0</v>
      </c>
      <c r="L23">
        <v>0</v>
      </c>
      <c r="M23">
        <v>0</v>
      </c>
      <c r="N23">
        <v>0.9</v>
      </c>
      <c r="O23">
        <v>0.9</v>
      </c>
      <c r="P23">
        <v>0.9</v>
      </c>
      <c r="Q23">
        <v>0.9</v>
      </c>
      <c r="R23">
        <v>0</v>
      </c>
      <c r="S23">
        <v>0.9</v>
      </c>
      <c r="T23">
        <v>0.9</v>
      </c>
      <c r="U23">
        <v>0.9</v>
      </c>
      <c r="V23">
        <v>0.9</v>
      </c>
      <c r="W23">
        <v>0.9</v>
      </c>
      <c r="X23">
        <v>0.9</v>
      </c>
      <c r="Y23">
        <v>0</v>
      </c>
      <c r="Z23">
        <v>0.9</v>
      </c>
      <c r="AA23">
        <v>0.9</v>
      </c>
      <c r="AB23">
        <v>0.9</v>
      </c>
      <c r="AC23">
        <v>0.9</v>
      </c>
      <c r="AD23">
        <v>0.9</v>
      </c>
      <c r="AE23">
        <v>0.9</v>
      </c>
      <c r="AF23">
        <v>0</v>
      </c>
      <c r="AG23" s="207">
        <f t="shared" si="0"/>
        <v>21.599999999999994</v>
      </c>
    </row>
    <row r="24" spans="1:33">
      <c r="A24" t="s">
        <v>1613</v>
      </c>
      <c r="B24">
        <v>0.9</v>
      </c>
      <c r="C24">
        <v>0.9</v>
      </c>
      <c r="D24">
        <v>0</v>
      </c>
      <c r="E24">
        <v>0.9</v>
      </c>
      <c r="F24">
        <v>0.9</v>
      </c>
      <c r="G24">
        <v>0.9</v>
      </c>
      <c r="H24">
        <v>0.9</v>
      </c>
      <c r="I24">
        <v>0.9</v>
      </c>
      <c r="J24">
        <v>0.9</v>
      </c>
      <c r="K24">
        <v>0</v>
      </c>
      <c r="L24">
        <v>0</v>
      </c>
      <c r="M24">
        <v>0</v>
      </c>
      <c r="N24">
        <v>0.9</v>
      </c>
      <c r="O24">
        <v>0.9</v>
      </c>
      <c r="P24">
        <v>0.9</v>
      </c>
      <c r="Q24">
        <v>0.9</v>
      </c>
      <c r="R24">
        <v>0</v>
      </c>
      <c r="S24">
        <v>0.9</v>
      </c>
      <c r="T24">
        <v>0.9</v>
      </c>
      <c r="U24">
        <v>0.9</v>
      </c>
      <c r="V24">
        <v>0.9</v>
      </c>
      <c r="W24">
        <v>0.9</v>
      </c>
      <c r="X24">
        <v>0.9</v>
      </c>
      <c r="Y24">
        <v>0</v>
      </c>
      <c r="Z24">
        <v>0.9</v>
      </c>
      <c r="AA24">
        <v>0.9</v>
      </c>
      <c r="AB24">
        <v>0.9</v>
      </c>
      <c r="AC24">
        <v>0.9</v>
      </c>
      <c r="AD24">
        <v>0.9</v>
      </c>
      <c r="AE24">
        <v>0.9</v>
      </c>
      <c r="AG24" s="207">
        <f t="shared" si="0"/>
        <v>21.599999999999994</v>
      </c>
    </row>
    <row r="25" spans="1:33">
      <c r="A25" s="2661" t="s">
        <v>1614</v>
      </c>
      <c r="B25">
        <v>1.6</v>
      </c>
      <c r="C25">
        <v>1.6</v>
      </c>
      <c r="D25">
        <v>0</v>
      </c>
      <c r="E25">
        <v>1.6</v>
      </c>
      <c r="F25">
        <v>1.6</v>
      </c>
      <c r="G25">
        <v>1.6</v>
      </c>
      <c r="H25">
        <v>1.6</v>
      </c>
      <c r="I25">
        <v>1.6</v>
      </c>
      <c r="J25">
        <v>1.6</v>
      </c>
      <c r="K25">
        <v>0</v>
      </c>
      <c r="L25">
        <v>0</v>
      </c>
      <c r="M25">
        <v>0</v>
      </c>
      <c r="N25">
        <v>1.6</v>
      </c>
      <c r="O25">
        <v>1.6</v>
      </c>
      <c r="P25">
        <v>1.6</v>
      </c>
      <c r="Q25">
        <v>1.6</v>
      </c>
      <c r="R25">
        <v>0</v>
      </c>
      <c r="S25">
        <v>1.6</v>
      </c>
      <c r="T25">
        <v>1.6</v>
      </c>
      <c r="U25">
        <v>1.6</v>
      </c>
      <c r="V25">
        <v>1.6</v>
      </c>
      <c r="W25">
        <v>1.6</v>
      </c>
      <c r="X25">
        <v>1.6</v>
      </c>
      <c r="Y25">
        <v>0</v>
      </c>
      <c r="Z25">
        <v>1.6</v>
      </c>
      <c r="AA25">
        <v>1.6</v>
      </c>
      <c r="AB25">
        <v>1.6</v>
      </c>
      <c r="AC25">
        <v>1.6</v>
      </c>
      <c r="AD25">
        <v>1.6</v>
      </c>
      <c r="AE25">
        <v>1.6</v>
      </c>
      <c r="AG25" s="207">
        <f t="shared" si="0"/>
        <v>38.400000000000013</v>
      </c>
    </row>
    <row r="26" spans="1:33">
      <c r="A26" t="s">
        <v>1615</v>
      </c>
      <c r="B26">
        <v>1.6</v>
      </c>
      <c r="C26">
        <v>1.6</v>
      </c>
      <c r="D26">
        <v>0</v>
      </c>
      <c r="E26">
        <v>1.6</v>
      </c>
      <c r="F26">
        <v>1.6</v>
      </c>
      <c r="G26">
        <v>1.6</v>
      </c>
      <c r="H26">
        <v>1.6</v>
      </c>
      <c r="I26">
        <v>1.6</v>
      </c>
      <c r="J26">
        <v>1.6</v>
      </c>
      <c r="K26">
        <v>0</v>
      </c>
      <c r="L26">
        <v>0</v>
      </c>
      <c r="M26">
        <v>0</v>
      </c>
      <c r="N26">
        <v>1.6</v>
      </c>
      <c r="O26">
        <v>1.6</v>
      </c>
      <c r="P26">
        <v>1.6</v>
      </c>
      <c r="Q26">
        <v>1.6</v>
      </c>
      <c r="R26">
        <v>0</v>
      </c>
      <c r="S26">
        <v>1.6</v>
      </c>
      <c r="T26">
        <v>1.6</v>
      </c>
      <c r="U26">
        <v>1.6</v>
      </c>
      <c r="V26">
        <v>1.6</v>
      </c>
      <c r="W26">
        <v>1.6</v>
      </c>
      <c r="X26">
        <v>1.6</v>
      </c>
      <c r="Y26">
        <v>0</v>
      </c>
      <c r="Z26">
        <v>1.6</v>
      </c>
      <c r="AA26">
        <v>1.6</v>
      </c>
      <c r="AB26">
        <v>1.6</v>
      </c>
      <c r="AC26">
        <v>1.6</v>
      </c>
      <c r="AD26">
        <v>1.6</v>
      </c>
      <c r="AE26">
        <v>1.6</v>
      </c>
      <c r="AG26" s="207">
        <f t="shared" si="0"/>
        <v>38.400000000000013</v>
      </c>
    </row>
    <row r="27" spans="1:33">
      <c r="A27" t="s">
        <v>1616</v>
      </c>
      <c r="B27">
        <v>0.9</v>
      </c>
      <c r="C27">
        <v>0.9</v>
      </c>
      <c r="D27">
        <v>0</v>
      </c>
      <c r="E27">
        <v>0.9</v>
      </c>
      <c r="F27">
        <v>0.9</v>
      </c>
      <c r="G27">
        <v>0.9</v>
      </c>
      <c r="H27">
        <v>0.9</v>
      </c>
      <c r="I27">
        <v>0.9</v>
      </c>
      <c r="J27">
        <v>0.9</v>
      </c>
      <c r="K27">
        <v>0</v>
      </c>
      <c r="L27">
        <v>0</v>
      </c>
      <c r="M27">
        <v>0</v>
      </c>
      <c r="N27">
        <v>0.9</v>
      </c>
      <c r="O27">
        <v>0.9</v>
      </c>
      <c r="P27">
        <v>0.9</v>
      </c>
      <c r="Q27">
        <v>0.9</v>
      </c>
      <c r="R27">
        <v>0</v>
      </c>
      <c r="S27">
        <v>0.9</v>
      </c>
      <c r="T27">
        <v>0.9</v>
      </c>
      <c r="U27">
        <v>0.9</v>
      </c>
      <c r="V27">
        <v>0.9</v>
      </c>
      <c r="W27">
        <v>0.9</v>
      </c>
      <c r="X27">
        <v>0.9</v>
      </c>
      <c r="AG27" s="207">
        <f t="shared" si="0"/>
        <v>16.200000000000003</v>
      </c>
    </row>
    <row r="28" spans="1:33">
      <c r="A28" s="2661" t="s">
        <v>1617</v>
      </c>
      <c r="B28">
        <v>1.6</v>
      </c>
      <c r="C28">
        <v>1.6</v>
      </c>
      <c r="D28">
        <v>0</v>
      </c>
      <c r="E28">
        <v>1.6</v>
      </c>
      <c r="F28">
        <v>1.6</v>
      </c>
      <c r="G28">
        <v>1.6</v>
      </c>
      <c r="H28">
        <v>1.6</v>
      </c>
      <c r="I28">
        <v>1.6</v>
      </c>
      <c r="J28">
        <v>1.6</v>
      </c>
      <c r="K28">
        <v>0</v>
      </c>
      <c r="L28">
        <v>0</v>
      </c>
      <c r="M28">
        <v>0</v>
      </c>
      <c r="N28">
        <v>1.6</v>
      </c>
      <c r="O28">
        <v>1.6</v>
      </c>
      <c r="P28">
        <v>1.6</v>
      </c>
      <c r="Q28">
        <v>1.6</v>
      </c>
      <c r="R28">
        <v>0</v>
      </c>
      <c r="S28">
        <v>1.6</v>
      </c>
      <c r="T28">
        <v>1.6</v>
      </c>
      <c r="U28">
        <v>1.6</v>
      </c>
      <c r="V28">
        <v>1.6</v>
      </c>
      <c r="W28">
        <v>1.6</v>
      </c>
      <c r="X28">
        <v>1.6</v>
      </c>
      <c r="Y28">
        <v>0</v>
      </c>
      <c r="Z28">
        <v>1.6</v>
      </c>
      <c r="AA28">
        <v>1.6</v>
      </c>
      <c r="AB28">
        <v>1.6</v>
      </c>
      <c r="AC28">
        <v>1.6</v>
      </c>
      <c r="AD28">
        <v>1.6</v>
      </c>
      <c r="AE28">
        <v>1.6</v>
      </c>
      <c r="AF28">
        <v>0</v>
      </c>
      <c r="AG28" s="207">
        <f t="shared" si="0"/>
        <v>38.400000000000013</v>
      </c>
    </row>
    <row r="29" spans="1:33">
      <c r="A29" t="s">
        <v>1618</v>
      </c>
      <c r="B29">
        <v>0.9</v>
      </c>
      <c r="C29">
        <v>0.9</v>
      </c>
      <c r="E29">
        <v>0.9</v>
      </c>
      <c r="F29">
        <v>0.9</v>
      </c>
      <c r="G29">
        <v>0.9</v>
      </c>
      <c r="H29">
        <v>0.9</v>
      </c>
      <c r="I29">
        <v>0.9</v>
      </c>
      <c r="J29">
        <v>0.9</v>
      </c>
      <c r="K29">
        <v>0</v>
      </c>
      <c r="L29">
        <v>0</v>
      </c>
      <c r="M29">
        <v>0</v>
      </c>
      <c r="N29">
        <v>0.9</v>
      </c>
      <c r="O29">
        <v>0.9</v>
      </c>
      <c r="P29">
        <v>0.9</v>
      </c>
      <c r="Q29">
        <v>0.9</v>
      </c>
      <c r="R29">
        <v>0</v>
      </c>
      <c r="S29">
        <v>0.9</v>
      </c>
      <c r="T29">
        <v>0.9</v>
      </c>
      <c r="U29">
        <v>0.9</v>
      </c>
      <c r="V29">
        <v>0.9</v>
      </c>
      <c r="W29">
        <v>0.9</v>
      </c>
      <c r="X29">
        <v>0.9</v>
      </c>
      <c r="Y29">
        <v>0</v>
      </c>
      <c r="Z29">
        <v>0.9</v>
      </c>
      <c r="AA29">
        <v>0.9</v>
      </c>
      <c r="AB29">
        <v>0.9</v>
      </c>
      <c r="AC29">
        <v>0.9</v>
      </c>
      <c r="AD29">
        <v>0.9</v>
      </c>
      <c r="AE29">
        <v>0.9</v>
      </c>
      <c r="AF29">
        <v>0</v>
      </c>
      <c r="AG29" s="207">
        <f t="shared" si="0"/>
        <v>21.599999999999994</v>
      </c>
    </row>
    <row r="30" spans="1:33">
      <c r="A30" t="s">
        <v>1619</v>
      </c>
      <c r="R30">
        <v>0</v>
      </c>
      <c r="T30">
        <v>1.6</v>
      </c>
      <c r="U30">
        <v>1.6</v>
      </c>
      <c r="V30">
        <v>1.6</v>
      </c>
      <c r="W30">
        <v>1.6</v>
      </c>
      <c r="X30">
        <v>1.6</v>
      </c>
      <c r="Y30">
        <v>0</v>
      </c>
      <c r="Z30">
        <v>1.6</v>
      </c>
      <c r="AA30">
        <v>1.6</v>
      </c>
      <c r="AB30">
        <v>1.6</v>
      </c>
      <c r="AC30">
        <v>1.6</v>
      </c>
      <c r="AD30">
        <v>1.6</v>
      </c>
      <c r="AE30">
        <v>1.6</v>
      </c>
      <c r="AF30">
        <v>0</v>
      </c>
      <c r="AG30" s="207">
        <f t="shared" si="0"/>
        <v>17.599999999999998</v>
      </c>
    </row>
    <row r="31" spans="1:33">
      <c r="A31" t="s">
        <v>1620</v>
      </c>
      <c r="B31">
        <v>0.9</v>
      </c>
      <c r="C31">
        <v>0.9</v>
      </c>
      <c r="E31">
        <v>0.9</v>
      </c>
      <c r="F31">
        <v>0.9</v>
      </c>
      <c r="G31">
        <v>0.9</v>
      </c>
      <c r="H31">
        <v>0.9</v>
      </c>
      <c r="AG31" s="207">
        <f t="shared" si="0"/>
        <v>5.4</v>
      </c>
    </row>
    <row r="32" spans="1:33">
      <c r="A32" s="2661" t="s">
        <v>1621</v>
      </c>
      <c r="I32">
        <v>1.6</v>
      </c>
      <c r="J32">
        <v>1.6</v>
      </c>
      <c r="N32">
        <v>1.6</v>
      </c>
      <c r="O32">
        <v>1.6</v>
      </c>
      <c r="P32">
        <v>1.6</v>
      </c>
      <c r="Q32">
        <v>1.6</v>
      </c>
      <c r="S32">
        <v>1.6</v>
      </c>
      <c r="T32">
        <v>1.6</v>
      </c>
      <c r="U32">
        <v>1.6</v>
      </c>
      <c r="V32">
        <v>1.6</v>
      </c>
      <c r="W32">
        <v>1.6</v>
      </c>
      <c r="X32">
        <v>1.6</v>
      </c>
      <c r="Y32">
        <v>0</v>
      </c>
      <c r="Z32">
        <v>1.6</v>
      </c>
      <c r="AA32">
        <v>1.6</v>
      </c>
      <c r="AB32">
        <v>1.6</v>
      </c>
      <c r="AC32">
        <v>1.6</v>
      </c>
      <c r="AD32">
        <v>1.6</v>
      </c>
      <c r="AE32">
        <v>1.6</v>
      </c>
      <c r="AF32">
        <v>0</v>
      </c>
      <c r="AG32" s="207">
        <f t="shared" si="0"/>
        <v>28.800000000000008</v>
      </c>
    </row>
    <row r="33" spans="1:33">
      <c r="A33" t="s">
        <v>1622</v>
      </c>
      <c r="B33">
        <v>0.9</v>
      </c>
      <c r="C33">
        <v>0.9</v>
      </c>
      <c r="E33">
        <v>0.9</v>
      </c>
      <c r="F33">
        <v>0.9</v>
      </c>
      <c r="G33">
        <v>0.9</v>
      </c>
      <c r="H33">
        <v>0.9</v>
      </c>
      <c r="I33">
        <v>0.9</v>
      </c>
      <c r="J33">
        <v>0.9</v>
      </c>
      <c r="N33">
        <v>0.9</v>
      </c>
      <c r="O33">
        <v>0.9</v>
      </c>
      <c r="P33">
        <v>0.9</v>
      </c>
      <c r="Q33">
        <v>0.9</v>
      </c>
      <c r="S33">
        <v>0.9</v>
      </c>
      <c r="T33">
        <v>0.9</v>
      </c>
      <c r="U33">
        <v>0.9</v>
      </c>
      <c r="V33">
        <v>0.9</v>
      </c>
      <c r="W33">
        <v>0.9</v>
      </c>
      <c r="AG33" s="207">
        <f t="shared" si="0"/>
        <v>15.300000000000004</v>
      </c>
    </row>
    <row r="34" spans="1:33">
      <c r="A34" t="s">
        <v>1623</v>
      </c>
      <c r="Y34">
        <v>0</v>
      </c>
      <c r="AB34">
        <v>0.9</v>
      </c>
      <c r="AC34">
        <v>0.9</v>
      </c>
      <c r="AD34">
        <v>0.9</v>
      </c>
      <c r="AE34">
        <v>0.9</v>
      </c>
      <c r="AF34">
        <v>0</v>
      </c>
      <c r="AG34" s="207">
        <f t="shared" si="0"/>
        <v>3.6</v>
      </c>
    </row>
    <row r="35" spans="1:33">
      <c r="A35" t="s">
        <v>1624</v>
      </c>
      <c r="B35">
        <v>0.9</v>
      </c>
      <c r="C35">
        <v>0.9</v>
      </c>
      <c r="D35">
        <v>0</v>
      </c>
      <c r="E35">
        <v>0.9</v>
      </c>
      <c r="F35">
        <v>0.9</v>
      </c>
      <c r="G35">
        <v>0.9</v>
      </c>
      <c r="H35">
        <v>0.9</v>
      </c>
      <c r="I35">
        <v>0.9</v>
      </c>
      <c r="J35">
        <v>0.9</v>
      </c>
      <c r="N35">
        <v>0.9</v>
      </c>
      <c r="O35">
        <v>0.9</v>
      </c>
      <c r="P35">
        <v>0.9</v>
      </c>
      <c r="Q35">
        <v>0.9</v>
      </c>
      <c r="S35">
        <v>0.9</v>
      </c>
      <c r="T35">
        <v>0.9</v>
      </c>
      <c r="U35">
        <v>0.9</v>
      </c>
      <c r="V35">
        <v>0.9</v>
      </c>
      <c r="W35">
        <v>0.9</v>
      </c>
      <c r="X35">
        <v>0.9</v>
      </c>
      <c r="Z35">
        <v>0.9</v>
      </c>
      <c r="AA35">
        <v>0.9</v>
      </c>
      <c r="AB35">
        <v>0.9</v>
      </c>
      <c r="AC35">
        <v>0.9</v>
      </c>
      <c r="AD35">
        <v>0.9</v>
      </c>
      <c r="AE35">
        <v>0.9</v>
      </c>
      <c r="AG35" s="207">
        <f t="shared" si="0"/>
        <v>21.599999999999994</v>
      </c>
    </row>
    <row r="36" spans="1:33">
      <c r="A36" t="s">
        <v>1625</v>
      </c>
      <c r="B36">
        <v>1.6</v>
      </c>
      <c r="C36">
        <v>1.6</v>
      </c>
      <c r="E36">
        <v>1.6</v>
      </c>
      <c r="F36">
        <v>1.6</v>
      </c>
      <c r="G36">
        <v>1.6</v>
      </c>
      <c r="H36">
        <v>1.6</v>
      </c>
      <c r="I36">
        <v>1.6</v>
      </c>
      <c r="J36">
        <v>1.6</v>
      </c>
      <c r="K36">
        <v>0</v>
      </c>
      <c r="L36">
        <v>0</v>
      </c>
      <c r="M36">
        <v>0</v>
      </c>
      <c r="N36">
        <v>1.6</v>
      </c>
      <c r="O36">
        <v>1.6</v>
      </c>
      <c r="P36">
        <v>1.6</v>
      </c>
      <c r="Q36">
        <v>1.6</v>
      </c>
      <c r="R36">
        <v>0</v>
      </c>
      <c r="S36">
        <v>1.6</v>
      </c>
      <c r="T36">
        <v>1.6</v>
      </c>
      <c r="U36">
        <v>1.6</v>
      </c>
      <c r="V36">
        <v>1.6</v>
      </c>
      <c r="W36">
        <v>1.6</v>
      </c>
      <c r="X36">
        <v>1.6</v>
      </c>
      <c r="Y36">
        <v>0</v>
      </c>
      <c r="Z36">
        <v>1.6</v>
      </c>
      <c r="AA36">
        <v>1.6</v>
      </c>
      <c r="AB36">
        <v>1.6</v>
      </c>
      <c r="AC36">
        <v>1.6</v>
      </c>
      <c r="AD36">
        <v>1.6</v>
      </c>
      <c r="AE36">
        <v>1.6</v>
      </c>
      <c r="AG36" s="207">
        <f t="shared" si="0"/>
        <v>38.400000000000013</v>
      </c>
    </row>
    <row r="37" spans="1:33">
      <c r="A37" t="s">
        <v>1626</v>
      </c>
      <c r="B37">
        <v>0.9</v>
      </c>
      <c r="C37">
        <v>0.9</v>
      </c>
      <c r="D37">
        <v>0</v>
      </c>
      <c r="E37">
        <v>0.9</v>
      </c>
      <c r="F37">
        <v>0.9</v>
      </c>
      <c r="G37">
        <v>0.9</v>
      </c>
      <c r="H37">
        <v>0.9</v>
      </c>
      <c r="I37">
        <v>0.9</v>
      </c>
      <c r="J37">
        <v>0.9</v>
      </c>
      <c r="N37">
        <v>0.9</v>
      </c>
      <c r="O37">
        <v>0.9</v>
      </c>
      <c r="P37">
        <v>0.9</v>
      </c>
      <c r="Q37">
        <v>0.9</v>
      </c>
      <c r="S37">
        <v>0.9</v>
      </c>
      <c r="T37">
        <v>0.9</v>
      </c>
      <c r="U37">
        <v>0.9</v>
      </c>
      <c r="V37">
        <v>0.9</v>
      </c>
      <c r="W37">
        <v>0.9</v>
      </c>
      <c r="X37">
        <v>0.9</v>
      </c>
      <c r="Z37">
        <v>0.9</v>
      </c>
      <c r="AA37">
        <v>0.9</v>
      </c>
      <c r="AB37">
        <v>0.9</v>
      </c>
      <c r="AC37">
        <v>0.9</v>
      </c>
      <c r="AD37">
        <v>0.9</v>
      </c>
      <c r="AE37">
        <v>0.9</v>
      </c>
      <c r="AG37" s="207">
        <f t="shared" si="0"/>
        <v>21.599999999999994</v>
      </c>
    </row>
    <row r="38" spans="1:33">
      <c r="A38" t="s">
        <v>1627</v>
      </c>
      <c r="D38">
        <v>0</v>
      </c>
      <c r="E38">
        <v>0.9</v>
      </c>
      <c r="F38">
        <v>0.9</v>
      </c>
      <c r="G38">
        <v>0.9</v>
      </c>
      <c r="H38">
        <v>0.9</v>
      </c>
      <c r="I38">
        <v>0.9</v>
      </c>
      <c r="J38">
        <v>0.9</v>
      </c>
      <c r="K38">
        <v>0</v>
      </c>
      <c r="L38">
        <v>0</v>
      </c>
      <c r="M38">
        <v>0</v>
      </c>
      <c r="N38">
        <v>0.9</v>
      </c>
      <c r="O38">
        <v>0.9</v>
      </c>
      <c r="P38">
        <v>0.9</v>
      </c>
      <c r="Q38">
        <v>0.9</v>
      </c>
      <c r="R38">
        <v>0</v>
      </c>
      <c r="S38">
        <v>0.9</v>
      </c>
      <c r="T38">
        <v>0.9</v>
      </c>
      <c r="U38">
        <v>0.9</v>
      </c>
      <c r="V38">
        <v>0.9</v>
      </c>
      <c r="W38">
        <v>0.9</v>
      </c>
      <c r="X38">
        <v>0.9</v>
      </c>
      <c r="Y38">
        <v>0</v>
      </c>
      <c r="Z38">
        <v>0.9</v>
      </c>
      <c r="AA38">
        <v>0.9</v>
      </c>
      <c r="AB38">
        <v>0.9</v>
      </c>
      <c r="AC38">
        <v>0.9</v>
      </c>
      <c r="AD38">
        <v>0.9</v>
      </c>
      <c r="AE38">
        <v>0.9</v>
      </c>
      <c r="AF38">
        <v>0</v>
      </c>
      <c r="AG38" s="207">
        <f t="shared" si="0"/>
        <v>19.799999999999997</v>
      </c>
    </row>
    <row r="39" spans="1:33">
      <c r="A39" t="s">
        <v>1628</v>
      </c>
      <c r="F39">
        <v>0.9</v>
      </c>
      <c r="G39">
        <v>0.9</v>
      </c>
      <c r="H39">
        <v>0.9</v>
      </c>
      <c r="I39">
        <v>0.9</v>
      </c>
      <c r="J39">
        <v>0.9</v>
      </c>
      <c r="N39">
        <v>0.9</v>
      </c>
      <c r="O39">
        <v>0.9</v>
      </c>
      <c r="P39">
        <v>0.9</v>
      </c>
      <c r="Q39">
        <v>0.9</v>
      </c>
      <c r="AG39" s="207">
        <f t="shared" si="0"/>
        <v>8.1000000000000014</v>
      </c>
    </row>
    <row r="40" spans="1:33">
      <c r="A40" t="s">
        <v>1629</v>
      </c>
      <c r="S40">
        <v>1.6</v>
      </c>
      <c r="T40">
        <v>1.6</v>
      </c>
      <c r="U40">
        <v>1.6</v>
      </c>
      <c r="V40">
        <v>1.6</v>
      </c>
      <c r="W40">
        <v>1.6</v>
      </c>
      <c r="X40">
        <v>1.6</v>
      </c>
      <c r="Z40">
        <v>1.6</v>
      </c>
      <c r="AA40">
        <v>1.6</v>
      </c>
      <c r="AB40">
        <v>1.6</v>
      </c>
      <c r="AC40">
        <v>1.6</v>
      </c>
      <c r="AD40">
        <v>1.6</v>
      </c>
      <c r="AE40">
        <v>1.6</v>
      </c>
      <c r="AG40" s="207">
        <f t="shared" si="0"/>
        <v>19.2</v>
      </c>
    </row>
    <row r="41" spans="1:33">
      <c r="AG41" s="207">
        <f t="shared" si="0"/>
        <v>0</v>
      </c>
    </row>
    <row r="42" spans="1:33">
      <c r="A42" t="s">
        <v>1630</v>
      </c>
      <c r="H42">
        <v>0.9</v>
      </c>
      <c r="I42">
        <v>0.9</v>
      </c>
      <c r="J42">
        <v>0.9</v>
      </c>
      <c r="N42">
        <v>0.9</v>
      </c>
      <c r="P42">
        <v>0.9</v>
      </c>
      <c r="Q42">
        <v>0.9</v>
      </c>
      <c r="S42">
        <v>0.9</v>
      </c>
      <c r="T42">
        <v>0.9</v>
      </c>
      <c r="U42">
        <v>0.9</v>
      </c>
      <c r="V42">
        <v>0.9</v>
      </c>
      <c r="W42">
        <v>0.9</v>
      </c>
      <c r="X42">
        <v>0.9</v>
      </c>
      <c r="Z42">
        <v>0.9</v>
      </c>
      <c r="AA42">
        <v>0.9</v>
      </c>
      <c r="AB42">
        <v>0.9</v>
      </c>
      <c r="AC42">
        <v>0.9</v>
      </c>
      <c r="AD42">
        <v>0.9</v>
      </c>
      <c r="AE42">
        <v>0.9</v>
      </c>
      <c r="AG42" s="207">
        <f t="shared" si="0"/>
        <v>16.200000000000003</v>
      </c>
    </row>
    <row r="43" spans="1:33">
      <c r="A43" t="s">
        <v>1631</v>
      </c>
      <c r="H43">
        <v>0.9</v>
      </c>
      <c r="I43">
        <v>0.9</v>
      </c>
      <c r="J43">
        <v>0.9</v>
      </c>
      <c r="N43">
        <v>0.9</v>
      </c>
      <c r="P43">
        <v>0.9</v>
      </c>
      <c r="Q43">
        <v>0.9</v>
      </c>
      <c r="S43">
        <v>0.9</v>
      </c>
      <c r="T43">
        <v>0.9</v>
      </c>
      <c r="U43">
        <v>0.9</v>
      </c>
      <c r="V43">
        <v>0.9</v>
      </c>
      <c r="W43">
        <v>0.9</v>
      </c>
      <c r="X43">
        <v>0.9</v>
      </c>
      <c r="Z43">
        <v>0.9</v>
      </c>
      <c r="AA43">
        <v>0.9</v>
      </c>
      <c r="AB43">
        <v>0.9</v>
      </c>
      <c r="AC43">
        <v>0.9</v>
      </c>
      <c r="AD43">
        <v>0.9</v>
      </c>
      <c r="AE43">
        <v>0.9</v>
      </c>
      <c r="AG43" s="207">
        <f t="shared" si="0"/>
        <v>16.200000000000003</v>
      </c>
    </row>
    <row r="44" spans="1:33">
      <c r="A44" t="s">
        <v>1632</v>
      </c>
      <c r="B44">
        <v>0.9</v>
      </c>
      <c r="C44">
        <v>0.9</v>
      </c>
      <c r="D44">
        <v>0</v>
      </c>
      <c r="E44">
        <v>0.9</v>
      </c>
      <c r="F44">
        <v>0.9</v>
      </c>
      <c r="G44">
        <v>0.9</v>
      </c>
      <c r="H44">
        <v>0.9</v>
      </c>
      <c r="I44">
        <v>0.9</v>
      </c>
      <c r="J44">
        <v>0.9</v>
      </c>
      <c r="N44">
        <v>0.9</v>
      </c>
      <c r="P44">
        <v>0.9</v>
      </c>
      <c r="Q44">
        <v>0.9</v>
      </c>
      <c r="S44">
        <v>0.9</v>
      </c>
      <c r="T44">
        <v>0.9</v>
      </c>
      <c r="V44">
        <v>0.9</v>
      </c>
      <c r="W44">
        <v>0.9</v>
      </c>
      <c r="X44">
        <v>0.9</v>
      </c>
      <c r="Z44">
        <v>0.9</v>
      </c>
      <c r="AA44">
        <v>0.9</v>
      </c>
      <c r="AB44">
        <v>0.9</v>
      </c>
      <c r="AC44">
        <v>0.9</v>
      </c>
      <c r="AD44">
        <v>0.9</v>
      </c>
      <c r="AE44">
        <v>0.9</v>
      </c>
      <c r="AG44" s="207">
        <f t="shared" si="0"/>
        <v>19.799999999999997</v>
      </c>
    </row>
    <row r="45" spans="1:33">
      <c r="A45" t="s">
        <v>1633</v>
      </c>
      <c r="B45">
        <v>0.9</v>
      </c>
      <c r="C45">
        <v>0.9</v>
      </c>
      <c r="D45">
        <v>0</v>
      </c>
      <c r="E45">
        <v>0.9</v>
      </c>
      <c r="F45">
        <v>0.9</v>
      </c>
      <c r="G45">
        <v>0.9</v>
      </c>
      <c r="H45">
        <v>0.9</v>
      </c>
      <c r="I45">
        <v>0.9</v>
      </c>
      <c r="J45">
        <v>0.9</v>
      </c>
      <c r="N45">
        <v>0.9</v>
      </c>
      <c r="O45">
        <v>0.9</v>
      </c>
      <c r="P45">
        <v>0.9</v>
      </c>
      <c r="Q45">
        <v>0.9</v>
      </c>
      <c r="S45">
        <v>0.9</v>
      </c>
      <c r="U45">
        <v>0.9</v>
      </c>
      <c r="V45">
        <v>0.9</v>
      </c>
      <c r="W45">
        <v>0.9</v>
      </c>
      <c r="X45">
        <v>0.9</v>
      </c>
      <c r="Z45">
        <v>0.9</v>
      </c>
      <c r="AA45">
        <v>0.9</v>
      </c>
      <c r="AB45">
        <v>0.9</v>
      </c>
      <c r="AC45">
        <v>0.9</v>
      </c>
      <c r="AD45">
        <v>0.9</v>
      </c>
      <c r="AE45">
        <v>0.9</v>
      </c>
      <c r="AG45" s="207">
        <f t="shared" si="0"/>
        <v>20.699999999999996</v>
      </c>
    </row>
    <row r="46" spans="1:33">
      <c r="A46" t="s">
        <v>1634</v>
      </c>
      <c r="B46">
        <v>0.9</v>
      </c>
      <c r="C46">
        <v>0.9</v>
      </c>
      <c r="D46">
        <v>0</v>
      </c>
      <c r="E46">
        <v>0.9</v>
      </c>
      <c r="F46">
        <v>0.9</v>
      </c>
      <c r="H46">
        <v>0.9</v>
      </c>
      <c r="I46">
        <v>0.9</v>
      </c>
      <c r="J46">
        <v>0.9</v>
      </c>
      <c r="O46">
        <v>0.9</v>
      </c>
      <c r="P46">
        <v>0.9</v>
      </c>
      <c r="Q46">
        <v>0.9</v>
      </c>
      <c r="S46">
        <v>0.9</v>
      </c>
      <c r="T46">
        <v>0.9</v>
      </c>
      <c r="V46">
        <v>0.9</v>
      </c>
      <c r="W46">
        <v>0.9</v>
      </c>
      <c r="X46">
        <v>0.9</v>
      </c>
      <c r="AG46" s="207">
        <f t="shared" si="0"/>
        <v>13.500000000000004</v>
      </c>
    </row>
    <row r="47" spans="1:33">
      <c r="A47" t="s">
        <v>1635</v>
      </c>
      <c r="G47">
        <v>0.9</v>
      </c>
      <c r="H47">
        <v>0.9</v>
      </c>
      <c r="I47">
        <v>0.9</v>
      </c>
      <c r="J47">
        <v>0.9</v>
      </c>
      <c r="P47">
        <v>0.9</v>
      </c>
      <c r="Q47">
        <v>0.9</v>
      </c>
      <c r="S47">
        <v>0.9</v>
      </c>
      <c r="T47">
        <v>0.9</v>
      </c>
      <c r="U47">
        <v>0.9</v>
      </c>
      <c r="V47">
        <v>0.9</v>
      </c>
      <c r="W47">
        <v>0.9</v>
      </c>
      <c r="X47">
        <v>0.9</v>
      </c>
      <c r="AG47" s="207">
        <f t="shared" si="0"/>
        <v>10.800000000000002</v>
      </c>
    </row>
    <row r="48" spans="1:33">
      <c r="A48" t="s">
        <v>1636</v>
      </c>
      <c r="G48">
        <v>1.3</v>
      </c>
      <c r="I48">
        <v>1.3</v>
      </c>
      <c r="N48">
        <v>1.3</v>
      </c>
      <c r="O48">
        <v>1.3</v>
      </c>
      <c r="P48">
        <v>1.3</v>
      </c>
      <c r="S48">
        <v>1.3</v>
      </c>
      <c r="T48">
        <v>1.3</v>
      </c>
      <c r="U48">
        <v>1.3</v>
      </c>
      <c r="V48">
        <v>1.3</v>
      </c>
      <c r="W48">
        <v>1.3</v>
      </c>
      <c r="X48">
        <v>1.3</v>
      </c>
      <c r="Z48">
        <v>1.3</v>
      </c>
      <c r="AA48">
        <v>1.3</v>
      </c>
      <c r="AB48">
        <v>1.3</v>
      </c>
      <c r="AC48">
        <v>1.3</v>
      </c>
      <c r="AG48" s="207">
        <f t="shared" si="0"/>
        <v>19.500000000000004</v>
      </c>
    </row>
    <row r="49" spans="1:34">
      <c r="A49" t="s">
        <v>1637</v>
      </c>
      <c r="B49">
        <v>0.9</v>
      </c>
      <c r="C49">
        <v>0.9</v>
      </c>
      <c r="D49">
        <v>0.9</v>
      </c>
      <c r="E49">
        <v>0.9</v>
      </c>
      <c r="G49">
        <v>0.9</v>
      </c>
      <c r="H49">
        <v>0.9</v>
      </c>
      <c r="I49">
        <v>0.9</v>
      </c>
      <c r="J49">
        <v>0.9</v>
      </c>
      <c r="K49">
        <v>0.9</v>
      </c>
      <c r="N49">
        <v>0.9</v>
      </c>
      <c r="AG49" s="207">
        <f t="shared" si="0"/>
        <v>9.0000000000000018</v>
      </c>
    </row>
    <row r="50" spans="1:34">
      <c r="A50" s="2287" t="s">
        <v>279</v>
      </c>
      <c r="B50" s="2287">
        <f t="shared" ref="B50:AF50" si="1">SUM(B2:B49)</f>
        <v>35.699999999999989</v>
      </c>
      <c r="C50" s="2287">
        <f t="shared" si="1"/>
        <v>35.699999999999989</v>
      </c>
      <c r="D50" s="2287">
        <f t="shared" si="1"/>
        <v>0.9</v>
      </c>
      <c r="E50" s="2287">
        <f t="shared" si="1"/>
        <v>36.599999999999987</v>
      </c>
      <c r="F50" s="2287">
        <f t="shared" si="1"/>
        <v>36.599999999999987</v>
      </c>
      <c r="G50" s="2287">
        <f t="shared" si="1"/>
        <v>38.799999999999983</v>
      </c>
      <c r="H50" s="2287">
        <f t="shared" si="1"/>
        <v>40.199999999999982</v>
      </c>
      <c r="I50" s="2287">
        <f t="shared" si="1"/>
        <v>42.199999999999982</v>
      </c>
      <c r="J50" s="2287">
        <f t="shared" si="1"/>
        <v>40.899999999999984</v>
      </c>
      <c r="K50" s="2287">
        <f t="shared" si="1"/>
        <v>9.9</v>
      </c>
      <c r="L50" s="2287">
        <f t="shared" si="1"/>
        <v>0</v>
      </c>
      <c r="M50" s="2287">
        <f t="shared" si="1"/>
        <v>0</v>
      </c>
      <c r="N50" s="2287">
        <f t="shared" si="1"/>
        <v>40.399999999999984</v>
      </c>
      <c r="O50" s="2287">
        <f t="shared" si="1"/>
        <v>37.399999999999991</v>
      </c>
      <c r="P50" s="2287">
        <f t="shared" si="1"/>
        <v>40.999999999999986</v>
      </c>
      <c r="Q50" s="2287">
        <f t="shared" si="1"/>
        <v>39.699999999999989</v>
      </c>
      <c r="R50" s="2287">
        <f t="shared" si="1"/>
        <v>0</v>
      </c>
      <c r="S50" s="2287">
        <f t="shared" si="1"/>
        <v>41.399999999999991</v>
      </c>
      <c r="T50" s="2287">
        <f t="shared" si="1"/>
        <v>42.099999999999987</v>
      </c>
      <c r="U50" s="2287">
        <f t="shared" si="1"/>
        <v>40.599999999999994</v>
      </c>
      <c r="V50" s="2287">
        <f t="shared" si="1"/>
        <v>42.399999999999991</v>
      </c>
      <c r="W50" s="2287">
        <f t="shared" si="1"/>
        <v>42.399999999999991</v>
      </c>
      <c r="X50" s="2287">
        <f t="shared" si="1"/>
        <v>41.499999999999993</v>
      </c>
      <c r="Y50" s="2287">
        <f t="shared" si="1"/>
        <v>0</v>
      </c>
      <c r="Z50" s="2287">
        <f t="shared" si="1"/>
        <v>38.799999999999997</v>
      </c>
      <c r="AA50" s="2287">
        <f t="shared" si="1"/>
        <v>38.629999999999995</v>
      </c>
      <c r="AB50" s="2287">
        <f t="shared" si="1"/>
        <v>39.699999999999996</v>
      </c>
      <c r="AC50" s="2287">
        <f t="shared" si="1"/>
        <v>39.699999999999996</v>
      </c>
      <c r="AD50" s="2287">
        <f t="shared" si="1"/>
        <v>38.4</v>
      </c>
      <c r="AE50" s="2287">
        <f t="shared" si="1"/>
        <v>38.4</v>
      </c>
      <c r="AF50" s="2287">
        <f t="shared" si="1"/>
        <v>0</v>
      </c>
      <c r="AG50" s="2287">
        <f t="shared" si="0"/>
        <v>960.02999999999986</v>
      </c>
      <c r="AH50" s="207">
        <f>SUM(AG2:AG49)</f>
        <v>960.03000000000009</v>
      </c>
    </row>
  </sheetData>
  <sheetProtection algorithmName="SHA-512" hashValue="jFjyQXL/jb9HtTkHFzwjRP2yLtIsoKwS9kg1A3Up9UukKc0bmDl0OAKwXaWFaW2T4Jo0pBuu/GmuQUFMe8XeQg==" saltValue="y9pOvPCupAh9O9NE0LXQCw==" spinCount="100000" sheet="1" objects="1" scenarios="1"/>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7C003-FC02-4790-902C-6E22B6CABD5A}">
  <sheetPr>
    <tabColor theme="0" tint="-0.14999847407452621"/>
  </sheetPr>
  <dimension ref="A1:AH187"/>
  <sheetViews>
    <sheetView workbookViewId="0">
      <pane xSplit="3" ySplit="1" topLeftCell="D2" activePane="bottomRight" state="frozen"/>
      <selection pane="topRight"/>
      <selection pane="bottomLeft"/>
      <selection pane="bottomRight" activeCell="L17" sqref="L17"/>
    </sheetView>
  </sheetViews>
  <sheetFormatPr defaultColWidth="9.21875" defaultRowHeight="14.4" outlineLevelRow="1"/>
  <cols>
    <col min="1" max="1" width="25.88671875" style="19" customWidth="1"/>
    <col min="2" max="2" width="21.33203125" style="19" bestFit="1" customWidth="1"/>
    <col min="3" max="3" width="15.33203125" style="961" bestFit="1" customWidth="1"/>
    <col min="4" max="5" width="12.77734375" style="22" bestFit="1" customWidth="1"/>
    <col min="6" max="12" width="12.77734375" style="19" bestFit="1" customWidth="1"/>
    <col min="13" max="22" width="13.77734375" style="19" bestFit="1" customWidth="1"/>
    <col min="23" max="24" width="13.77734375" style="962" bestFit="1" customWidth="1"/>
    <col min="25" max="26" width="13.77734375" style="262" bestFit="1" customWidth="1"/>
    <col min="27" max="28" width="13.77734375" style="19" bestFit="1" customWidth="1"/>
    <col min="29" max="29" width="9.77734375" style="19" bestFit="1" customWidth="1"/>
    <col min="30" max="32" width="13.77734375" style="19" bestFit="1" customWidth="1"/>
    <col min="33" max="33" width="13.77734375" style="19" customWidth="1"/>
    <col min="34" max="34" width="13.77734375" style="564" customWidth="1"/>
    <col min="35" max="16384" width="9.21875" style="19"/>
  </cols>
  <sheetData>
    <row r="1" spans="1:34" s="2" customFormat="1">
      <c r="A1" s="1" t="s">
        <v>1638</v>
      </c>
      <c r="C1" s="548" t="s">
        <v>63</v>
      </c>
      <c r="D1" s="3">
        <v>45870</v>
      </c>
      <c r="E1" s="3">
        <v>45871</v>
      </c>
      <c r="F1" s="3">
        <v>45872</v>
      </c>
      <c r="G1" s="3">
        <v>45873</v>
      </c>
      <c r="H1" s="3">
        <v>45874</v>
      </c>
      <c r="I1" s="3">
        <v>45875</v>
      </c>
      <c r="J1" s="3">
        <v>45876</v>
      </c>
      <c r="K1" s="3">
        <v>45877</v>
      </c>
      <c r="L1" s="3">
        <v>45878</v>
      </c>
      <c r="M1" s="3">
        <v>45879</v>
      </c>
      <c r="N1" s="2289">
        <v>45880</v>
      </c>
      <c r="O1" s="2289">
        <v>45881</v>
      </c>
      <c r="P1" s="3">
        <v>45882</v>
      </c>
      <c r="Q1" s="3">
        <v>45883</v>
      </c>
      <c r="R1" s="3">
        <v>45884</v>
      </c>
      <c r="S1" s="3">
        <v>45885</v>
      </c>
      <c r="T1" s="3">
        <v>45886</v>
      </c>
      <c r="U1" s="3">
        <v>45887</v>
      </c>
      <c r="V1" s="3">
        <v>45888</v>
      </c>
      <c r="W1" s="3">
        <v>45889</v>
      </c>
      <c r="X1" s="3">
        <v>45890</v>
      </c>
      <c r="Y1" s="3">
        <v>45891</v>
      </c>
      <c r="Z1" s="3">
        <v>45892</v>
      </c>
      <c r="AA1" s="3">
        <v>45893</v>
      </c>
      <c r="AB1" s="3">
        <v>45894</v>
      </c>
      <c r="AC1" s="3">
        <v>45895</v>
      </c>
      <c r="AD1" s="3">
        <v>45896</v>
      </c>
      <c r="AE1" s="3">
        <v>45897</v>
      </c>
      <c r="AF1" s="3">
        <v>45898</v>
      </c>
      <c r="AG1" s="3">
        <v>45899</v>
      </c>
      <c r="AH1" s="3">
        <v>45900</v>
      </c>
    </row>
    <row r="2" spans="1:34" s="248" customFormat="1">
      <c r="A2" s="3153" t="s">
        <v>1639</v>
      </c>
      <c r="B2" s="245" t="s">
        <v>1640</v>
      </c>
      <c r="C2" s="937">
        <f>SUM(D2:AH2)</f>
        <v>27195</v>
      </c>
      <c r="D2" s="247">
        <f>+D85+D169</f>
        <v>910</v>
      </c>
      <c r="E2" s="247">
        <f t="shared" ref="E2:AF2" si="0">+E85+E169</f>
        <v>910</v>
      </c>
      <c r="F2" s="246">
        <f t="shared" si="0"/>
        <v>910</v>
      </c>
      <c r="G2" s="246">
        <f t="shared" si="0"/>
        <v>910</v>
      </c>
      <c r="H2" s="246">
        <f t="shared" si="0"/>
        <v>910</v>
      </c>
      <c r="I2" s="246">
        <f t="shared" si="0"/>
        <v>910</v>
      </c>
      <c r="J2" s="246">
        <f t="shared" si="0"/>
        <v>910</v>
      </c>
      <c r="K2" s="246">
        <f t="shared" si="0"/>
        <v>910</v>
      </c>
      <c r="L2" s="246">
        <f t="shared" si="0"/>
        <v>910</v>
      </c>
      <c r="M2" s="246">
        <f t="shared" si="0"/>
        <v>910</v>
      </c>
      <c r="N2" s="2290">
        <f t="shared" si="0"/>
        <v>0</v>
      </c>
      <c r="O2" s="2290">
        <f t="shared" si="0"/>
        <v>0</v>
      </c>
      <c r="P2" s="246">
        <f t="shared" si="0"/>
        <v>910</v>
      </c>
      <c r="Q2" s="246">
        <f t="shared" si="0"/>
        <v>910</v>
      </c>
      <c r="R2" s="246">
        <f t="shared" si="0"/>
        <v>875</v>
      </c>
      <c r="S2" s="246">
        <f t="shared" si="0"/>
        <v>875</v>
      </c>
      <c r="T2" s="246">
        <f t="shared" si="0"/>
        <v>875</v>
      </c>
      <c r="U2" s="246">
        <f t="shared" si="0"/>
        <v>875</v>
      </c>
      <c r="V2" s="246">
        <f t="shared" si="0"/>
        <v>875</v>
      </c>
      <c r="W2" s="246">
        <f t="shared" si="0"/>
        <v>875</v>
      </c>
      <c r="X2" s="246">
        <f t="shared" si="0"/>
        <v>875</v>
      </c>
      <c r="Y2" s="246">
        <f t="shared" si="0"/>
        <v>1015</v>
      </c>
      <c r="Z2" s="246">
        <f t="shared" si="0"/>
        <v>1015</v>
      </c>
      <c r="AA2" s="246">
        <f t="shared" si="0"/>
        <v>1015</v>
      </c>
      <c r="AB2" s="246">
        <f>+AB85+AB169</f>
        <v>1015</v>
      </c>
      <c r="AC2" s="246">
        <f t="shared" si="0"/>
        <v>1015</v>
      </c>
      <c r="AD2" s="246">
        <f t="shared" si="0"/>
        <v>1015</v>
      </c>
      <c r="AE2" s="246">
        <f t="shared" si="0"/>
        <v>1015</v>
      </c>
      <c r="AF2" s="246">
        <f t="shared" si="0"/>
        <v>1015</v>
      </c>
      <c r="AG2" s="246">
        <f>+AG85+AG169</f>
        <v>1015</v>
      </c>
      <c r="AH2" s="246">
        <f>+AH85+AH169</f>
        <v>1015</v>
      </c>
    </row>
    <row r="3" spans="1:34" s="248" customFormat="1" ht="15" thickBot="1">
      <c r="A3" s="3154"/>
      <c r="B3" s="249" t="s">
        <v>1641</v>
      </c>
      <c r="C3" s="938">
        <f>IFERROR(SUMPRODUCT(D2:AH2,D3:AH3)/C2,0)</f>
        <v>2.2483762133294838</v>
      </c>
      <c r="D3" s="251">
        <f t="shared" ref="D3:AH3" si="1">+IF(D2,(D85*D86+D169*D170)/D2,0)</f>
        <v>2.2563803019410491</v>
      </c>
      <c r="E3" s="251">
        <f t="shared" si="1"/>
        <v>2.2563803019410491</v>
      </c>
      <c r="F3" s="250">
        <f t="shared" si="1"/>
        <v>2.2563803019410491</v>
      </c>
      <c r="G3" s="250">
        <f t="shared" si="1"/>
        <v>2.2563803019410491</v>
      </c>
      <c r="H3" s="250">
        <f t="shared" si="1"/>
        <v>2.2563803019410491</v>
      </c>
      <c r="I3" s="250">
        <f t="shared" si="1"/>
        <v>2.2563803019410491</v>
      </c>
      <c r="J3" s="250">
        <f t="shared" si="1"/>
        <v>2.2563803019410491</v>
      </c>
      <c r="K3" s="250">
        <f t="shared" si="1"/>
        <v>2.2563803019410491</v>
      </c>
      <c r="L3" s="250">
        <f t="shared" si="1"/>
        <v>2.2563803019410491</v>
      </c>
      <c r="M3" s="250">
        <f t="shared" si="1"/>
        <v>2.2563803019410491</v>
      </c>
      <c r="N3" s="2291">
        <f t="shared" si="1"/>
        <v>0</v>
      </c>
      <c r="O3" s="2291">
        <f t="shared" si="1"/>
        <v>0</v>
      </c>
      <c r="P3" s="250">
        <f t="shared" si="1"/>
        <v>2.2563803019410491</v>
      </c>
      <c r="Q3" s="250">
        <f t="shared" si="1"/>
        <v>2.2563803019410491</v>
      </c>
      <c r="R3" s="250">
        <f t="shared" si="1"/>
        <v>2.2671962616822428</v>
      </c>
      <c r="S3" s="250">
        <f t="shared" si="1"/>
        <v>2.2671962616822428</v>
      </c>
      <c r="T3" s="250">
        <f t="shared" si="1"/>
        <v>2.2671962616822428</v>
      </c>
      <c r="U3" s="250">
        <f t="shared" si="1"/>
        <v>2.2671962616822428</v>
      </c>
      <c r="V3" s="250">
        <f t="shared" si="1"/>
        <v>2.2671962616822428</v>
      </c>
      <c r="W3" s="250">
        <f t="shared" si="1"/>
        <v>2.2671962616822428</v>
      </c>
      <c r="X3" s="250">
        <f t="shared" si="1"/>
        <v>2.2671962616822428</v>
      </c>
      <c r="Y3" s="250">
        <f t="shared" si="1"/>
        <v>2.2284079922655491</v>
      </c>
      <c r="Z3" s="250">
        <f t="shared" si="1"/>
        <v>2.2284079922655491</v>
      </c>
      <c r="AA3" s="250">
        <f t="shared" si="1"/>
        <v>2.2284079922655491</v>
      </c>
      <c r="AB3" s="250">
        <f t="shared" si="1"/>
        <v>2.2284079922655491</v>
      </c>
      <c r="AC3" s="250">
        <f t="shared" si="1"/>
        <v>2.2284079922655491</v>
      </c>
      <c r="AD3" s="250">
        <f t="shared" si="1"/>
        <v>2.2284079922655491</v>
      </c>
      <c r="AE3" s="250">
        <f t="shared" si="1"/>
        <v>2.2284079922655491</v>
      </c>
      <c r="AF3" s="250">
        <f t="shared" si="1"/>
        <v>2.2284079922655491</v>
      </c>
      <c r="AG3" s="250">
        <f t="shared" si="1"/>
        <v>2.2284079922655491</v>
      </c>
      <c r="AH3" s="250">
        <f t="shared" si="1"/>
        <v>2.2284079922655491</v>
      </c>
    </row>
    <row r="4" spans="1:34" s="2" customFormat="1" ht="15" thickTop="1">
      <c r="A4" s="8"/>
      <c r="B4" s="9"/>
      <c r="C4" s="549"/>
      <c r="D4" s="11"/>
      <c r="E4" s="11"/>
      <c r="F4" s="10"/>
      <c r="G4" s="10"/>
      <c r="H4" s="10"/>
      <c r="I4" s="10"/>
      <c r="J4" s="10"/>
      <c r="K4" s="1380"/>
      <c r="L4" s="10"/>
      <c r="M4" s="10"/>
      <c r="N4" s="2292"/>
      <c r="O4" s="2292"/>
      <c r="P4" s="10"/>
      <c r="Q4" s="10"/>
      <c r="R4" s="10"/>
      <c r="S4" s="10"/>
      <c r="T4" s="10"/>
      <c r="U4" s="10"/>
      <c r="V4" s="10"/>
      <c r="W4" s="10"/>
      <c r="X4" s="10"/>
      <c r="Y4" s="10"/>
      <c r="Z4" s="10"/>
      <c r="AA4" s="10"/>
      <c r="AB4" s="10"/>
      <c r="AC4" s="1380"/>
      <c r="AD4" s="10"/>
      <c r="AE4" s="10"/>
      <c r="AF4" s="10"/>
      <c r="AG4" s="10"/>
      <c r="AH4" s="10"/>
    </row>
    <row r="5" spans="1:34" s="2" customFormat="1">
      <c r="A5" s="8"/>
      <c r="B5" s="12"/>
      <c r="C5" s="939"/>
      <c r="D5" s="14"/>
      <c r="E5" s="14"/>
      <c r="F5" s="13"/>
      <c r="G5" s="13"/>
      <c r="H5" s="13"/>
      <c r="I5" s="13"/>
      <c r="J5" s="13"/>
      <c r="K5" s="1381"/>
      <c r="L5" s="13"/>
      <c r="M5" s="13"/>
      <c r="N5" s="2293"/>
      <c r="O5" s="2293"/>
      <c r="P5" s="13"/>
      <c r="Q5" s="13"/>
      <c r="R5" s="13"/>
      <c r="S5" s="13"/>
      <c r="T5" s="13"/>
      <c r="U5" s="13"/>
      <c r="V5" s="13"/>
      <c r="W5" s="13"/>
      <c r="X5" s="13"/>
      <c r="Y5" s="13"/>
      <c r="Z5" s="13"/>
      <c r="AA5" s="13"/>
      <c r="AB5" s="13"/>
      <c r="AC5" s="1381"/>
      <c r="AD5" s="13"/>
      <c r="AE5" s="13"/>
      <c r="AF5" s="13"/>
      <c r="AG5" s="13"/>
      <c r="AH5" s="13"/>
    </row>
    <row r="6" spans="1:34" s="248" customFormat="1">
      <c r="A6" s="3153" t="s">
        <v>1642</v>
      </c>
      <c r="B6" s="245" t="s">
        <v>1640</v>
      </c>
      <c r="C6" s="937">
        <f>SUM(D6:AH6)</f>
        <v>10955</v>
      </c>
      <c r="D6" s="246">
        <f t="shared" ref="D6:AH6" si="2">D11+D23+D49+D59</f>
        <v>350</v>
      </c>
      <c r="E6" s="246">
        <f t="shared" si="2"/>
        <v>350</v>
      </c>
      <c r="F6" s="246">
        <f t="shared" si="2"/>
        <v>350</v>
      </c>
      <c r="G6" s="246">
        <f t="shared" si="2"/>
        <v>350</v>
      </c>
      <c r="H6" s="246">
        <f t="shared" si="2"/>
        <v>350</v>
      </c>
      <c r="I6" s="246">
        <f t="shared" si="2"/>
        <v>350</v>
      </c>
      <c r="J6" s="246">
        <f t="shared" si="2"/>
        <v>350</v>
      </c>
      <c r="K6" s="246">
        <f t="shared" si="2"/>
        <v>350</v>
      </c>
      <c r="L6" s="246">
        <f t="shared" si="2"/>
        <v>350</v>
      </c>
      <c r="M6" s="246">
        <f t="shared" si="2"/>
        <v>350</v>
      </c>
      <c r="N6" s="2290">
        <f t="shared" si="2"/>
        <v>0</v>
      </c>
      <c r="O6" s="2290">
        <f t="shared" si="2"/>
        <v>0</v>
      </c>
      <c r="P6" s="246">
        <f t="shared" si="2"/>
        <v>350</v>
      </c>
      <c r="Q6" s="246">
        <f t="shared" si="2"/>
        <v>350</v>
      </c>
      <c r="R6" s="246">
        <f t="shared" si="2"/>
        <v>315</v>
      </c>
      <c r="S6" s="246">
        <f t="shared" si="2"/>
        <v>315</v>
      </c>
      <c r="T6" s="246">
        <f t="shared" si="2"/>
        <v>315</v>
      </c>
      <c r="U6" s="246">
        <f t="shared" si="2"/>
        <v>315</v>
      </c>
      <c r="V6" s="246">
        <f t="shared" si="2"/>
        <v>315</v>
      </c>
      <c r="W6" s="246">
        <f t="shared" si="2"/>
        <v>315</v>
      </c>
      <c r="X6" s="246">
        <f t="shared" si="2"/>
        <v>315</v>
      </c>
      <c r="Y6" s="246">
        <f t="shared" si="2"/>
        <v>455</v>
      </c>
      <c r="Z6" s="246">
        <f t="shared" si="2"/>
        <v>455</v>
      </c>
      <c r="AA6" s="246">
        <f t="shared" si="2"/>
        <v>455</v>
      </c>
      <c r="AB6" s="246">
        <f t="shared" si="2"/>
        <v>455</v>
      </c>
      <c r="AC6" s="246">
        <f t="shared" si="2"/>
        <v>455</v>
      </c>
      <c r="AD6" s="246">
        <f t="shared" si="2"/>
        <v>455</v>
      </c>
      <c r="AE6" s="246">
        <f t="shared" si="2"/>
        <v>455</v>
      </c>
      <c r="AF6" s="246">
        <f t="shared" si="2"/>
        <v>455</v>
      </c>
      <c r="AG6" s="246">
        <f t="shared" si="2"/>
        <v>455</v>
      </c>
      <c r="AH6" s="246">
        <f t="shared" si="2"/>
        <v>455</v>
      </c>
    </row>
    <row r="7" spans="1:34" s="248" customFormat="1" ht="15" thickBot="1">
      <c r="A7" s="3154"/>
      <c r="B7" s="249" t="s">
        <v>1641</v>
      </c>
      <c r="C7" s="938">
        <f>IFERROR(SUMPRODUCT(D6:AH6,D7:AH7)/C6,0)</f>
        <v>1.8902988862679522</v>
      </c>
      <c r="D7" s="250">
        <f t="shared" ref="D7:AG7" si="3">+IF(D6,(D11*D12+D23*D24+D49*D50+D59*D60)/D6,0)</f>
        <v>1.8827102803738314</v>
      </c>
      <c r="E7" s="250">
        <f t="shared" si="3"/>
        <v>1.8827102803738314</v>
      </c>
      <c r="F7" s="250">
        <f t="shared" si="3"/>
        <v>1.8827102803738314</v>
      </c>
      <c r="G7" s="250">
        <f t="shared" si="3"/>
        <v>1.8827102803738314</v>
      </c>
      <c r="H7" s="250">
        <f t="shared" si="3"/>
        <v>1.8827102803738314</v>
      </c>
      <c r="I7" s="250">
        <f t="shared" si="3"/>
        <v>1.8827102803738314</v>
      </c>
      <c r="J7" s="250">
        <f t="shared" si="3"/>
        <v>1.8827102803738314</v>
      </c>
      <c r="K7" s="250">
        <f t="shared" si="3"/>
        <v>1.8827102803738314</v>
      </c>
      <c r="L7" s="250">
        <f t="shared" si="3"/>
        <v>1.8827102803738314</v>
      </c>
      <c r="M7" s="250">
        <f t="shared" si="3"/>
        <v>1.8827102803738314</v>
      </c>
      <c r="N7" s="2291">
        <f t="shared" si="3"/>
        <v>0</v>
      </c>
      <c r="O7" s="2291">
        <f t="shared" si="3"/>
        <v>0</v>
      </c>
      <c r="P7" s="250">
        <f t="shared" si="3"/>
        <v>1.8827102803738314</v>
      </c>
      <c r="Q7" s="250">
        <f t="shared" si="3"/>
        <v>1.8827102803738314</v>
      </c>
      <c r="R7" s="250">
        <f t="shared" si="3"/>
        <v>1.8712357217030113</v>
      </c>
      <c r="S7" s="250">
        <f t="shared" si="3"/>
        <v>1.8712357217030113</v>
      </c>
      <c r="T7" s="250">
        <f t="shared" si="3"/>
        <v>1.8712357217030113</v>
      </c>
      <c r="U7" s="250">
        <f t="shared" si="3"/>
        <v>1.8712357217030113</v>
      </c>
      <c r="V7" s="250">
        <f t="shared" si="3"/>
        <v>1.8712357217030113</v>
      </c>
      <c r="W7" s="250">
        <f t="shared" si="3"/>
        <v>1.8712357217030113</v>
      </c>
      <c r="X7" s="250">
        <f t="shared" si="3"/>
        <v>1.8712357217030113</v>
      </c>
      <c r="Y7" s="250">
        <f t="shared" si="3"/>
        <v>1.9065420560747663</v>
      </c>
      <c r="Z7" s="250">
        <f t="shared" si="3"/>
        <v>1.9065420560747663</v>
      </c>
      <c r="AA7" s="250">
        <f t="shared" si="3"/>
        <v>1.9065420560747663</v>
      </c>
      <c r="AB7" s="250">
        <f t="shared" si="3"/>
        <v>1.9065420560747663</v>
      </c>
      <c r="AC7" s="250">
        <f t="shared" si="3"/>
        <v>1.9065420560747663</v>
      </c>
      <c r="AD7" s="250">
        <f t="shared" si="3"/>
        <v>1.9065420560747663</v>
      </c>
      <c r="AE7" s="250">
        <f t="shared" si="3"/>
        <v>1.9065420560747663</v>
      </c>
      <c r="AF7" s="250">
        <f t="shared" si="3"/>
        <v>1.9065420560747663</v>
      </c>
      <c r="AG7" s="250">
        <f t="shared" si="3"/>
        <v>1.9065420560747663</v>
      </c>
      <c r="AH7" s="250">
        <f>+IF(AH6,(AH11*AH12+AH23*AH24+AH49*AH50+AH59*AH60)/AH6,0)</f>
        <v>1.9065420560747663</v>
      </c>
    </row>
    <row r="8" spans="1:34" s="554" customFormat="1" ht="15" hidden="1" thickTop="1">
      <c r="A8" s="550"/>
      <c r="B8" s="551"/>
      <c r="C8" s="940">
        <f>C124*C12</f>
        <v>0</v>
      </c>
      <c r="D8" s="553"/>
      <c r="E8" s="553"/>
      <c r="F8" s="552"/>
      <c r="G8" s="552"/>
      <c r="H8" s="552"/>
      <c r="I8" s="552"/>
      <c r="J8" s="552"/>
      <c r="K8" s="1382"/>
      <c r="L8" s="552"/>
      <c r="M8" s="552"/>
      <c r="N8" s="2294"/>
      <c r="O8" s="2294"/>
      <c r="P8" s="552"/>
      <c r="Q8" s="552"/>
      <c r="R8" s="552"/>
      <c r="S8" s="552"/>
      <c r="T8" s="552"/>
      <c r="U8" s="552"/>
      <c r="V8" s="552"/>
      <c r="W8" s="552"/>
      <c r="X8" s="552"/>
      <c r="Y8" s="552"/>
      <c r="Z8" s="552"/>
      <c r="AA8" s="552"/>
      <c r="AB8" s="552"/>
      <c r="AC8" s="1382"/>
      <c r="AD8" s="552"/>
      <c r="AE8" s="552"/>
      <c r="AF8" s="552"/>
      <c r="AG8" s="552"/>
      <c r="AH8" s="552"/>
    </row>
    <row r="9" spans="1:34" ht="15" hidden="1" outlineLevel="1" thickTop="1">
      <c r="A9" s="3120" t="s">
        <v>1643</v>
      </c>
      <c r="B9" s="16" t="s">
        <v>1644</v>
      </c>
      <c r="C9" s="941">
        <f>SUM(D9:AH9)</f>
        <v>0</v>
      </c>
      <c r="D9" s="17">
        <f>'[3]    Stope Perfomance'!$E$11*35</f>
        <v>0</v>
      </c>
      <c r="E9" s="17">
        <f>'[3]    Stope Perfomance'!$E$11*35</f>
        <v>0</v>
      </c>
      <c r="F9" s="17">
        <f>'[3]    Stope Perfomance'!$E$11*35</f>
        <v>0</v>
      </c>
      <c r="G9" s="17">
        <f>'[3]    Stope Perfomance'!$E$11*35</f>
        <v>0</v>
      </c>
      <c r="H9" s="17">
        <f>'[3]    Stope Perfomance'!$E$11*35</f>
        <v>0</v>
      </c>
      <c r="I9" s="17">
        <f>'[3]    Stope Perfomance'!$E$11*35</f>
        <v>0</v>
      </c>
      <c r="J9" s="17">
        <f>'[3]    Stope Perfomance'!$E$11*35</f>
        <v>0</v>
      </c>
      <c r="K9" s="17">
        <f>'[3]    Stope Perfomance'!$E$11*35</f>
        <v>0</v>
      </c>
      <c r="L9" s="17">
        <f>'[3]    Stope Perfomance'!$E$11*35</f>
        <v>0</v>
      </c>
      <c r="M9" s="17">
        <f>'[3]    Stope Perfomance'!$E$11*35</f>
        <v>0</v>
      </c>
      <c r="N9" s="2295"/>
      <c r="O9" s="2295"/>
      <c r="P9" s="17">
        <f>'[3]    Stope Perfomance'!$E$11*35</f>
        <v>0</v>
      </c>
      <c r="Q9" s="17">
        <f>'[3]    Stope Perfomance'!$E$11*35</f>
        <v>0</v>
      </c>
      <c r="R9" s="17">
        <f>'[3]    Stope Perfomance'!$E$11*35</f>
        <v>0</v>
      </c>
      <c r="S9" s="17">
        <f>'[3]    Stope Perfomance'!$E$11*35</f>
        <v>0</v>
      </c>
      <c r="T9" s="17">
        <f>'[3]    Stope Perfomance'!$E$11*35</f>
        <v>0</v>
      </c>
      <c r="U9" s="17">
        <f>'[3]    Stope Perfomance'!$E$11*35</f>
        <v>0</v>
      </c>
      <c r="V9" s="17">
        <f>'[3]    Stope Perfomance'!$E$11*35</f>
        <v>0</v>
      </c>
      <c r="W9" s="17">
        <f>'[3]    Stope Perfomance'!$E$11*35</f>
        <v>0</v>
      </c>
      <c r="X9" s="17">
        <f>'[3]    Stope Perfomance'!$E$11*35</f>
        <v>0</v>
      </c>
      <c r="Y9" s="17">
        <f>'[3]    Stope Perfomance'!$E$11*35</f>
        <v>0</v>
      </c>
      <c r="Z9" s="17">
        <f>'[3]    Stope Perfomance'!$E$11*35</f>
        <v>0</v>
      </c>
      <c r="AA9" s="17">
        <f>'[3]    Stope Perfomance'!$E$11*35</f>
        <v>0</v>
      </c>
      <c r="AB9" s="17">
        <f>'[3]    Stope Perfomance'!$E$11*35</f>
        <v>0</v>
      </c>
      <c r="AC9" s="17">
        <f>'[3]    Stope Perfomance'!$E$11*35</f>
        <v>0</v>
      </c>
      <c r="AD9" s="17">
        <f>'[3]    Stope Perfomance'!$E$11*35</f>
        <v>0</v>
      </c>
      <c r="AE9" s="17">
        <f>'[3]    Stope Perfomance'!$E$11*35</f>
        <v>0</v>
      </c>
      <c r="AF9" s="17">
        <f>'[3]    Stope Perfomance'!$E$11*35</f>
        <v>0</v>
      </c>
      <c r="AG9" s="17">
        <f>'[3]    Stope Perfomance'!$E$11*35</f>
        <v>0</v>
      </c>
      <c r="AH9" s="17">
        <f>'[3]    Stope Perfomance'!$E$11*35</f>
        <v>0</v>
      </c>
    </row>
    <row r="10" spans="1:34" ht="15" hidden="1" outlineLevel="1" thickTop="1">
      <c r="A10" s="3120"/>
      <c r="B10" s="20" t="s">
        <v>1641</v>
      </c>
      <c r="C10" s="942">
        <f>IF(C9,SUMPRODUCT(D9:AH9,D10:AH10)/C9,0)</f>
        <v>0</v>
      </c>
      <c r="D10" s="555">
        <f>'[3]    Stope Perfomance'!$D$11</f>
        <v>0</v>
      </c>
      <c r="E10" s="555">
        <f>'[3]    Stope Perfomance'!$D$11</f>
        <v>0</v>
      </c>
      <c r="F10" s="555">
        <f>'[3]    Stope Perfomance'!$D$11</f>
        <v>0</v>
      </c>
      <c r="G10" s="555">
        <f>'[3]    Stope Perfomance'!$D$11</f>
        <v>0</v>
      </c>
      <c r="H10" s="555">
        <f>'[3]    Stope Perfomance'!$D$11</f>
        <v>0</v>
      </c>
      <c r="I10" s="555">
        <f>'[3]    Stope Perfomance'!$D$11</f>
        <v>0</v>
      </c>
      <c r="J10" s="555">
        <f>'[3]    Stope Perfomance'!$D$11</f>
        <v>0</v>
      </c>
      <c r="K10" s="1383">
        <f>'[3]    Stope Perfomance'!$D$11</f>
        <v>0</v>
      </c>
      <c r="L10" s="555">
        <f>'[3]    Stope Perfomance'!$D$11</f>
        <v>0</v>
      </c>
      <c r="M10" s="555">
        <f>'[3]    Stope Perfomance'!$D$11</f>
        <v>0</v>
      </c>
      <c r="N10" s="2296"/>
      <c r="O10" s="2296"/>
      <c r="P10" s="555">
        <f>'[3]    Stope Perfomance'!$D$11</f>
        <v>0</v>
      </c>
      <c r="Q10" s="555">
        <f>'[3]    Stope Perfomance'!$D$11</f>
        <v>0</v>
      </c>
      <c r="R10" s="555">
        <f>'[3]    Stope Perfomance'!$D$11</f>
        <v>0</v>
      </c>
      <c r="S10" s="555">
        <f>'[3]    Stope Perfomance'!$D$11</f>
        <v>0</v>
      </c>
      <c r="T10" s="555">
        <f>'[3]    Stope Perfomance'!$D$11</f>
        <v>0</v>
      </c>
      <c r="U10" s="555">
        <f>'[3]    Stope Perfomance'!$D$11</f>
        <v>0</v>
      </c>
      <c r="V10" s="555">
        <f>'[3]    Stope Perfomance'!$D$11</f>
        <v>0</v>
      </c>
      <c r="W10" s="555">
        <f>'[3]    Stope Perfomance'!$D$11</f>
        <v>0</v>
      </c>
      <c r="X10" s="555">
        <f>'[3]    Stope Perfomance'!$D$11</f>
        <v>0</v>
      </c>
      <c r="Y10" s="555">
        <f>'[3]    Stope Perfomance'!$D$11</f>
        <v>0</v>
      </c>
      <c r="Z10" s="555">
        <f>'[3]    Stope Perfomance'!$D$11</f>
        <v>0</v>
      </c>
      <c r="AA10" s="555">
        <f>'[3]    Stope Perfomance'!$D$11</f>
        <v>0</v>
      </c>
      <c r="AB10" s="555">
        <f>'[3]    Stope Perfomance'!$D$11</f>
        <v>0</v>
      </c>
      <c r="AC10" s="1383">
        <f>'[3]    Stope Perfomance'!$D$11</f>
        <v>0</v>
      </c>
      <c r="AD10" s="555">
        <f>'[3]    Stope Perfomance'!$D$11</f>
        <v>0</v>
      </c>
      <c r="AE10" s="555">
        <f>'[3]    Stope Perfomance'!$D$11</f>
        <v>0</v>
      </c>
      <c r="AF10" s="555">
        <f>'[3]    Stope Perfomance'!$D$11</f>
        <v>0</v>
      </c>
      <c r="AG10" s="555">
        <f>'[3]    Stope Perfomance'!$D$11</f>
        <v>0</v>
      </c>
      <c r="AH10" s="555">
        <f>'[3]    Stope Perfomance'!$D$11</f>
        <v>0</v>
      </c>
    </row>
    <row r="11" spans="1:34" s="258" customFormat="1" ht="15" collapsed="1" thickTop="1">
      <c r="A11" s="3146" t="s">
        <v>1645</v>
      </c>
      <c r="B11" s="256" t="s">
        <v>1646</v>
      </c>
      <c r="C11" s="943">
        <f>SUM(D11:AH11)</f>
        <v>0</v>
      </c>
      <c r="D11" s="257">
        <f>D9</f>
        <v>0</v>
      </c>
      <c r="E11" s="257">
        <f t="shared" ref="E11:AH11" si="4">E9</f>
        <v>0</v>
      </c>
      <c r="F11" s="257">
        <f t="shared" si="4"/>
        <v>0</v>
      </c>
      <c r="G11" s="257">
        <f t="shared" si="4"/>
        <v>0</v>
      </c>
      <c r="H11" s="257">
        <f t="shared" si="4"/>
        <v>0</v>
      </c>
      <c r="I11" s="257">
        <f t="shared" si="4"/>
        <v>0</v>
      </c>
      <c r="J11" s="257">
        <f t="shared" si="4"/>
        <v>0</v>
      </c>
      <c r="K11" s="257">
        <f t="shared" si="4"/>
        <v>0</v>
      </c>
      <c r="L11" s="257">
        <f t="shared" si="4"/>
        <v>0</v>
      </c>
      <c r="M11" s="257">
        <f t="shared" si="4"/>
        <v>0</v>
      </c>
      <c r="N11" s="2297">
        <f t="shared" si="4"/>
        <v>0</v>
      </c>
      <c r="O11" s="2297">
        <f t="shared" si="4"/>
        <v>0</v>
      </c>
      <c r="P11" s="257">
        <f t="shared" si="4"/>
        <v>0</v>
      </c>
      <c r="Q11" s="257">
        <f t="shared" si="4"/>
        <v>0</v>
      </c>
      <c r="R11" s="257">
        <f t="shared" si="4"/>
        <v>0</v>
      </c>
      <c r="S11" s="257">
        <f t="shared" si="4"/>
        <v>0</v>
      </c>
      <c r="T11" s="257">
        <f t="shared" si="4"/>
        <v>0</v>
      </c>
      <c r="U11" s="257">
        <f t="shared" si="4"/>
        <v>0</v>
      </c>
      <c r="V11" s="257">
        <f t="shared" si="4"/>
        <v>0</v>
      </c>
      <c r="W11" s="257">
        <f t="shared" si="4"/>
        <v>0</v>
      </c>
      <c r="X11" s="257">
        <f t="shared" si="4"/>
        <v>0</v>
      </c>
      <c r="Y11" s="257">
        <f t="shared" si="4"/>
        <v>0</v>
      </c>
      <c r="Z11" s="257">
        <f t="shared" si="4"/>
        <v>0</v>
      </c>
      <c r="AA11" s="257">
        <f t="shared" si="4"/>
        <v>0</v>
      </c>
      <c r="AB11" s="257">
        <f t="shared" si="4"/>
        <v>0</v>
      </c>
      <c r="AC11" s="257">
        <f t="shared" si="4"/>
        <v>0</v>
      </c>
      <c r="AD11" s="257">
        <f t="shared" si="4"/>
        <v>0</v>
      </c>
      <c r="AE11" s="257">
        <f t="shared" si="4"/>
        <v>0</v>
      </c>
      <c r="AF11" s="257">
        <f t="shared" si="4"/>
        <v>0</v>
      </c>
      <c r="AG11" s="257">
        <f t="shared" si="4"/>
        <v>0</v>
      </c>
      <c r="AH11" s="257">
        <f t="shared" si="4"/>
        <v>0</v>
      </c>
    </row>
    <row r="12" spans="1:34" s="258" customFormat="1">
      <c r="A12" s="3146" t="s">
        <v>1647</v>
      </c>
      <c r="B12" s="256" t="s">
        <v>1641</v>
      </c>
      <c r="C12" s="944">
        <f>IF(C11,SUMPRODUCT(D11:AH11,D12:AH12)/C11,0)</f>
        <v>0</v>
      </c>
      <c r="D12" s="259">
        <f>+IF(D11,(D9*D10)/D11,0)</f>
        <v>0</v>
      </c>
      <c r="E12" s="259">
        <f t="shared" ref="E12:AH12" si="5">+IF(E11,(E9*E10)/E11,0)</f>
        <v>0</v>
      </c>
      <c r="F12" s="259">
        <f t="shared" si="5"/>
        <v>0</v>
      </c>
      <c r="G12" s="259">
        <f t="shared" si="5"/>
        <v>0</v>
      </c>
      <c r="H12" s="259">
        <f t="shared" si="5"/>
        <v>0</v>
      </c>
      <c r="I12" s="259">
        <f t="shared" si="5"/>
        <v>0</v>
      </c>
      <c r="J12" s="259">
        <f t="shared" si="5"/>
        <v>0</v>
      </c>
      <c r="K12" s="259">
        <f t="shared" si="5"/>
        <v>0</v>
      </c>
      <c r="L12" s="259">
        <f t="shared" si="5"/>
        <v>0</v>
      </c>
      <c r="M12" s="259">
        <f t="shared" si="5"/>
        <v>0</v>
      </c>
      <c r="N12" s="2298">
        <f t="shared" si="5"/>
        <v>0</v>
      </c>
      <c r="O12" s="2298">
        <f t="shared" si="5"/>
        <v>0</v>
      </c>
      <c r="P12" s="259">
        <f t="shared" si="5"/>
        <v>0</v>
      </c>
      <c r="Q12" s="259">
        <f t="shared" si="5"/>
        <v>0</v>
      </c>
      <c r="R12" s="259">
        <f t="shared" si="5"/>
        <v>0</v>
      </c>
      <c r="S12" s="259">
        <f t="shared" si="5"/>
        <v>0</v>
      </c>
      <c r="T12" s="259">
        <f t="shared" si="5"/>
        <v>0</v>
      </c>
      <c r="U12" s="259">
        <f t="shared" si="5"/>
        <v>0</v>
      </c>
      <c r="V12" s="259">
        <f t="shared" si="5"/>
        <v>0</v>
      </c>
      <c r="W12" s="259">
        <f t="shared" si="5"/>
        <v>0</v>
      </c>
      <c r="X12" s="259">
        <f t="shared" si="5"/>
        <v>0</v>
      </c>
      <c r="Y12" s="259">
        <f t="shared" si="5"/>
        <v>0</v>
      </c>
      <c r="Z12" s="259">
        <f t="shared" si="5"/>
        <v>0</v>
      </c>
      <c r="AA12" s="259">
        <f t="shared" si="5"/>
        <v>0</v>
      </c>
      <c r="AB12" s="259">
        <f t="shared" si="5"/>
        <v>0</v>
      </c>
      <c r="AC12" s="259">
        <f t="shared" si="5"/>
        <v>0</v>
      </c>
      <c r="AD12" s="259">
        <f t="shared" si="5"/>
        <v>0</v>
      </c>
      <c r="AE12" s="259">
        <f t="shared" si="5"/>
        <v>0</v>
      </c>
      <c r="AF12" s="259">
        <f t="shared" si="5"/>
        <v>0</v>
      </c>
      <c r="AG12" s="259">
        <f t="shared" si="5"/>
        <v>0</v>
      </c>
      <c r="AH12" s="259">
        <f t="shared" si="5"/>
        <v>0</v>
      </c>
    </row>
    <row r="13" spans="1:34" outlineLevel="1">
      <c r="A13" s="3120" t="s">
        <v>1648</v>
      </c>
      <c r="B13" s="20" t="s">
        <v>1644</v>
      </c>
      <c r="C13" s="941">
        <f>SUM(D13:AH13)</f>
        <v>1820</v>
      </c>
      <c r="D13" s="21">
        <v>35</v>
      </c>
      <c r="E13" s="21">
        <v>35</v>
      </c>
      <c r="F13" s="21">
        <v>35</v>
      </c>
      <c r="G13" s="21">
        <v>35</v>
      </c>
      <c r="H13" s="21">
        <v>35</v>
      </c>
      <c r="I13" s="21">
        <v>35</v>
      </c>
      <c r="J13" s="21">
        <v>35</v>
      </c>
      <c r="K13" s="21">
        <v>35</v>
      </c>
      <c r="L13" s="21">
        <v>35</v>
      </c>
      <c r="M13" s="21">
        <v>35</v>
      </c>
      <c r="N13" s="2299"/>
      <c r="O13" s="2299"/>
      <c r="P13" s="21">
        <v>35</v>
      </c>
      <c r="Q13" s="21">
        <v>35</v>
      </c>
      <c r="R13" s="21">
        <v>0</v>
      </c>
      <c r="S13" s="21">
        <v>0</v>
      </c>
      <c r="T13" s="21">
        <v>0</v>
      </c>
      <c r="U13" s="21">
        <v>0</v>
      </c>
      <c r="V13" s="21">
        <v>0</v>
      </c>
      <c r="W13" s="21">
        <v>0</v>
      </c>
      <c r="X13" s="21">
        <v>0</v>
      </c>
      <c r="Y13" s="21">
        <v>140</v>
      </c>
      <c r="Z13" s="21">
        <v>140</v>
      </c>
      <c r="AA13" s="21">
        <v>140</v>
      </c>
      <c r="AB13" s="21">
        <v>140</v>
      </c>
      <c r="AC13" s="21">
        <v>140</v>
      </c>
      <c r="AD13" s="21">
        <v>140</v>
      </c>
      <c r="AE13" s="21">
        <v>140</v>
      </c>
      <c r="AF13" s="21">
        <v>140</v>
      </c>
      <c r="AG13" s="21">
        <v>140</v>
      </c>
      <c r="AH13" s="21">
        <v>140</v>
      </c>
    </row>
    <row r="14" spans="1:34" outlineLevel="1">
      <c r="A14" s="3120"/>
      <c r="B14" s="20" t="s">
        <v>1641</v>
      </c>
      <c r="C14" s="946">
        <f>IF(C13,SUMPRODUCT(D13:AH13,D14:AH14)/C13,0)</f>
        <v>1.9859813084112148</v>
      </c>
      <c r="D14" s="29">
        <f>'[3]    Stope Perfomance'!$D$12</f>
        <v>1.9859813084112148</v>
      </c>
      <c r="E14" s="29">
        <f>'[3]    Stope Perfomance'!$D$12</f>
        <v>1.9859813084112148</v>
      </c>
      <c r="F14" s="29">
        <f>'[3]    Stope Perfomance'!$D$12</f>
        <v>1.9859813084112148</v>
      </c>
      <c r="G14" s="29">
        <f>'[3]    Stope Perfomance'!$D$12</f>
        <v>1.9859813084112148</v>
      </c>
      <c r="H14" s="29">
        <f>'[3]    Stope Perfomance'!$D$12</f>
        <v>1.9859813084112148</v>
      </c>
      <c r="I14" s="29">
        <f>'[3]    Stope Perfomance'!$D$12</f>
        <v>1.9859813084112148</v>
      </c>
      <c r="J14" s="29">
        <f>'[3]    Stope Perfomance'!$D$12</f>
        <v>1.9859813084112148</v>
      </c>
      <c r="K14" s="29">
        <f>'[3]    Stope Perfomance'!$D$12</f>
        <v>1.9859813084112148</v>
      </c>
      <c r="L14" s="29">
        <f>'[3]    Stope Perfomance'!$D$12</f>
        <v>1.9859813084112148</v>
      </c>
      <c r="M14" s="29">
        <f>'[3]    Stope Perfomance'!$D$12</f>
        <v>1.9859813084112148</v>
      </c>
      <c r="N14" s="2300"/>
      <c r="O14" s="2300"/>
      <c r="P14" s="29">
        <f>'[3]    Stope Perfomance'!$D$12</f>
        <v>1.9859813084112148</v>
      </c>
      <c r="Q14" s="29">
        <f>'[3]    Stope Perfomance'!$D$12</f>
        <v>1.9859813084112148</v>
      </c>
      <c r="R14" s="29">
        <f>'[3]    Stope Perfomance'!$D$12</f>
        <v>1.9859813084112148</v>
      </c>
      <c r="S14" s="29">
        <f>'[3]    Stope Perfomance'!$D$12</f>
        <v>1.9859813084112148</v>
      </c>
      <c r="T14" s="29">
        <f>'[3]    Stope Perfomance'!$D$12</f>
        <v>1.9859813084112148</v>
      </c>
      <c r="U14" s="29">
        <f>'[3]    Stope Perfomance'!$D$12</f>
        <v>1.9859813084112148</v>
      </c>
      <c r="V14" s="29">
        <f>'[3]    Stope Perfomance'!$D$12</f>
        <v>1.9859813084112148</v>
      </c>
      <c r="W14" s="29">
        <f>'[3]    Stope Perfomance'!$D$12</f>
        <v>1.9859813084112148</v>
      </c>
      <c r="X14" s="29">
        <f>'[3]    Stope Perfomance'!$D$12</f>
        <v>1.9859813084112148</v>
      </c>
      <c r="Y14" s="29">
        <f>'[3]    Stope Perfomance'!$D$12</f>
        <v>1.9859813084112148</v>
      </c>
      <c r="Z14" s="29">
        <f>'[3]    Stope Perfomance'!$D$12</f>
        <v>1.9859813084112148</v>
      </c>
      <c r="AA14" s="29">
        <f>'[3]    Stope Perfomance'!$D$12</f>
        <v>1.9859813084112148</v>
      </c>
      <c r="AB14" s="29">
        <f>'[3]    Stope Perfomance'!$D$12</f>
        <v>1.9859813084112148</v>
      </c>
      <c r="AC14" s="29">
        <f>'[3]    Stope Perfomance'!$D$12</f>
        <v>1.9859813084112148</v>
      </c>
      <c r="AD14" s="29">
        <f>'[3]    Stope Perfomance'!$D$12</f>
        <v>1.9859813084112148</v>
      </c>
      <c r="AE14" s="29">
        <f>'[3]    Stope Perfomance'!$D$12</f>
        <v>1.9859813084112148</v>
      </c>
      <c r="AF14" s="29">
        <f>'[3]    Stope Perfomance'!$D$12</f>
        <v>1.9859813084112148</v>
      </c>
      <c r="AG14" s="29">
        <f>'[3]    Stope Perfomance'!$D$12</f>
        <v>1.9859813084112148</v>
      </c>
      <c r="AH14" s="29">
        <f>'[3]    Stope Perfomance'!$D$12</f>
        <v>1.9859813084112148</v>
      </c>
    </row>
    <row r="15" spans="1:34" outlineLevel="1">
      <c r="A15" s="3120" t="s">
        <v>1649</v>
      </c>
      <c r="B15" s="16" t="s">
        <v>1644</v>
      </c>
      <c r="C15" s="941">
        <f>SUM(D15:AH15)</f>
        <v>2030</v>
      </c>
      <c r="D15" s="18">
        <f>'[3]    Stope Perfomance'!$E$13*35</f>
        <v>70</v>
      </c>
      <c r="E15" s="18">
        <f>'[3]    Stope Perfomance'!$E$13*35</f>
        <v>70</v>
      </c>
      <c r="F15" s="18">
        <f>'[3]    Stope Perfomance'!$E$13*35</f>
        <v>70</v>
      </c>
      <c r="G15" s="18">
        <f>'[3]    Stope Perfomance'!$E$13*35</f>
        <v>70</v>
      </c>
      <c r="H15" s="18">
        <f>'[3]    Stope Perfomance'!$E$13*35</f>
        <v>70</v>
      </c>
      <c r="I15" s="18">
        <f>'[3]    Stope Perfomance'!$E$13*35</f>
        <v>70</v>
      </c>
      <c r="J15" s="18">
        <f>'[3]    Stope Perfomance'!$E$13*35</f>
        <v>70</v>
      </c>
      <c r="K15" s="18">
        <f>'[3]    Stope Perfomance'!$E$13*35</f>
        <v>70</v>
      </c>
      <c r="L15" s="18">
        <f>'[3]    Stope Perfomance'!$E$13*35</f>
        <v>70</v>
      </c>
      <c r="M15" s="18">
        <f>'[3]    Stope Perfomance'!$E$13*35</f>
        <v>70</v>
      </c>
      <c r="N15" s="2301"/>
      <c r="O15" s="2301"/>
      <c r="P15" s="18">
        <f>'[3]    Stope Perfomance'!$E$13*35</f>
        <v>70</v>
      </c>
      <c r="Q15" s="18">
        <f>'[3]    Stope Perfomance'!$E$13*35</f>
        <v>70</v>
      </c>
      <c r="R15" s="18">
        <f>'[3]    Stope Perfomance'!$E$13*35</f>
        <v>70</v>
      </c>
      <c r="S15" s="18">
        <f>'[3]    Stope Perfomance'!$E$13*35</f>
        <v>70</v>
      </c>
      <c r="T15" s="18">
        <f>'[3]    Stope Perfomance'!$E$13*35</f>
        <v>70</v>
      </c>
      <c r="U15" s="18">
        <f>'[3]    Stope Perfomance'!$E$13*35</f>
        <v>70</v>
      </c>
      <c r="V15" s="18">
        <f>'[3]    Stope Perfomance'!$E$13*35</f>
        <v>70</v>
      </c>
      <c r="W15" s="18">
        <f>'[3]    Stope Perfomance'!$E$13*35</f>
        <v>70</v>
      </c>
      <c r="X15" s="18">
        <f>'[3]    Stope Perfomance'!$E$13*35</f>
        <v>70</v>
      </c>
      <c r="Y15" s="18">
        <f>'[3]    Stope Perfomance'!$E$13*35</f>
        <v>70</v>
      </c>
      <c r="Z15" s="18">
        <f>'[3]    Stope Perfomance'!$E$13*35</f>
        <v>70</v>
      </c>
      <c r="AA15" s="18">
        <f>'[3]    Stope Perfomance'!$E$13*35</f>
        <v>70</v>
      </c>
      <c r="AB15" s="18">
        <f>'[3]    Stope Perfomance'!$E$13*35</f>
        <v>70</v>
      </c>
      <c r="AC15" s="18">
        <f>'[3]    Stope Perfomance'!$E$13*35</f>
        <v>70</v>
      </c>
      <c r="AD15" s="18">
        <f>'[3]    Stope Perfomance'!$E$13*35</f>
        <v>70</v>
      </c>
      <c r="AE15" s="18">
        <f>'[3]    Stope Perfomance'!$E$13*35</f>
        <v>70</v>
      </c>
      <c r="AF15" s="18">
        <f>'[3]    Stope Perfomance'!$E$13*35</f>
        <v>70</v>
      </c>
      <c r="AG15" s="18">
        <f>'[3]    Stope Perfomance'!$E$13*35</f>
        <v>70</v>
      </c>
      <c r="AH15" s="18">
        <f>'[3]    Stope Perfomance'!$E$13*35</f>
        <v>70</v>
      </c>
    </row>
    <row r="16" spans="1:34" outlineLevel="1">
      <c r="A16" s="3120"/>
      <c r="B16" s="20" t="s">
        <v>1641</v>
      </c>
      <c r="C16" s="942">
        <f>IF(C15,SUMPRODUCT(D15:AH15,D16:AH16)/C15,0)</f>
        <v>1.9859813084112161</v>
      </c>
      <c r="D16" s="29">
        <f>'[3]    Stope Perfomance'!$D$13</f>
        <v>1.9859813084112148</v>
      </c>
      <c r="E16" s="29">
        <f>'[3]    Stope Perfomance'!$D$13</f>
        <v>1.9859813084112148</v>
      </c>
      <c r="F16" s="29">
        <f>'[3]    Stope Perfomance'!$D$13</f>
        <v>1.9859813084112148</v>
      </c>
      <c r="G16" s="29">
        <f>'[3]    Stope Perfomance'!$D$13</f>
        <v>1.9859813084112148</v>
      </c>
      <c r="H16" s="29">
        <f>'[3]    Stope Perfomance'!$D$13</f>
        <v>1.9859813084112148</v>
      </c>
      <c r="I16" s="29">
        <f>'[3]    Stope Perfomance'!$D$13</f>
        <v>1.9859813084112148</v>
      </c>
      <c r="J16" s="29">
        <f>'[3]    Stope Perfomance'!$D$13</f>
        <v>1.9859813084112148</v>
      </c>
      <c r="K16" s="29">
        <f>'[3]    Stope Perfomance'!$D$13</f>
        <v>1.9859813084112148</v>
      </c>
      <c r="L16" s="29">
        <f>'[3]    Stope Perfomance'!$D$13</f>
        <v>1.9859813084112148</v>
      </c>
      <c r="M16" s="29">
        <f>'[3]    Stope Perfomance'!$D$13</f>
        <v>1.9859813084112148</v>
      </c>
      <c r="N16" s="2300"/>
      <c r="O16" s="2300"/>
      <c r="P16" s="29">
        <f>'[3]    Stope Perfomance'!$D$13</f>
        <v>1.9859813084112148</v>
      </c>
      <c r="Q16" s="29">
        <f>'[3]    Stope Perfomance'!$D$13</f>
        <v>1.9859813084112148</v>
      </c>
      <c r="R16" s="29">
        <f>'[3]    Stope Perfomance'!$D$13</f>
        <v>1.9859813084112148</v>
      </c>
      <c r="S16" s="29">
        <f>'[3]    Stope Perfomance'!$D$13</f>
        <v>1.9859813084112148</v>
      </c>
      <c r="T16" s="29">
        <f>'[3]    Stope Perfomance'!$D$13</f>
        <v>1.9859813084112148</v>
      </c>
      <c r="U16" s="29">
        <f>'[3]    Stope Perfomance'!$D$13</f>
        <v>1.9859813084112148</v>
      </c>
      <c r="V16" s="29">
        <f>'[3]    Stope Perfomance'!$D$13</f>
        <v>1.9859813084112148</v>
      </c>
      <c r="W16" s="29">
        <f>'[3]    Stope Perfomance'!$D$13</f>
        <v>1.9859813084112148</v>
      </c>
      <c r="X16" s="29">
        <f>'[3]    Stope Perfomance'!$D$13</f>
        <v>1.9859813084112148</v>
      </c>
      <c r="Y16" s="29">
        <f>'[3]    Stope Perfomance'!$D$13</f>
        <v>1.9859813084112148</v>
      </c>
      <c r="Z16" s="29">
        <f>'[3]    Stope Perfomance'!$D$13</f>
        <v>1.9859813084112148</v>
      </c>
      <c r="AA16" s="29">
        <f>'[3]    Stope Perfomance'!$D$13</f>
        <v>1.9859813084112148</v>
      </c>
      <c r="AB16" s="29">
        <f>'[3]    Stope Perfomance'!$D$13</f>
        <v>1.9859813084112148</v>
      </c>
      <c r="AC16" s="29">
        <f>'[3]    Stope Perfomance'!$D$13</f>
        <v>1.9859813084112148</v>
      </c>
      <c r="AD16" s="29">
        <f>'[3]    Stope Perfomance'!$D$13</f>
        <v>1.9859813084112148</v>
      </c>
      <c r="AE16" s="29">
        <f>'[3]    Stope Perfomance'!$D$13</f>
        <v>1.9859813084112148</v>
      </c>
      <c r="AF16" s="29">
        <f>'[3]    Stope Perfomance'!$D$13</f>
        <v>1.9859813084112148</v>
      </c>
      <c r="AG16" s="29">
        <f>'[3]    Stope Perfomance'!$D$13</f>
        <v>1.9859813084112148</v>
      </c>
      <c r="AH16" s="29">
        <f>'[3]    Stope Perfomance'!$D$13</f>
        <v>1.9859813084112148</v>
      </c>
    </row>
    <row r="17" spans="1:34" outlineLevel="1">
      <c r="A17" s="3120" t="s">
        <v>1650</v>
      </c>
      <c r="B17" s="20" t="s">
        <v>1644</v>
      </c>
      <c r="C17" s="941">
        <f>SUM(D17:AH17)</f>
        <v>0</v>
      </c>
      <c r="D17" s="21">
        <f>'[3]    Stope Perfomance'!$E$14*35</f>
        <v>0</v>
      </c>
      <c r="E17" s="21">
        <f>'[3]    Stope Perfomance'!$E$14*35</f>
        <v>0</v>
      </c>
      <c r="F17" s="21">
        <f>'[3]    Stope Perfomance'!$E$14*35</f>
        <v>0</v>
      </c>
      <c r="G17" s="21">
        <f>'[3]    Stope Perfomance'!$E$14*35</f>
        <v>0</v>
      </c>
      <c r="H17" s="21">
        <f>'[3]    Stope Perfomance'!$E$14*35</f>
        <v>0</v>
      </c>
      <c r="I17" s="21">
        <f>'[3]    Stope Perfomance'!$E$14*35</f>
        <v>0</v>
      </c>
      <c r="J17" s="21">
        <f>'[3]    Stope Perfomance'!$E$14*35</f>
        <v>0</v>
      </c>
      <c r="K17" s="21">
        <f>'[3]    Stope Perfomance'!$E$14*35</f>
        <v>0</v>
      </c>
      <c r="L17" s="21">
        <f>'[3]    Stope Perfomance'!$E$14*35</f>
        <v>0</v>
      </c>
      <c r="M17" s="21">
        <f>'[3]    Stope Perfomance'!$E$14*35</f>
        <v>0</v>
      </c>
      <c r="N17" s="2299"/>
      <c r="O17" s="2299"/>
      <c r="P17" s="21">
        <f>'[3]    Stope Perfomance'!$E$14*35</f>
        <v>0</v>
      </c>
      <c r="Q17" s="21">
        <f>'[3]    Stope Perfomance'!$E$14*35</f>
        <v>0</v>
      </c>
      <c r="R17" s="21">
        <f>'[3]    Stope Perfomance'!$E$14*35</f>
        <v>0</v>
      </c>
      <c r="S17" s="21">
        <f>'[3]    Stope Perfomance'!$E$14*35</f>
        <v>0</v>
      </c>
      <c r="T17" s="21">
        <f>'[3]    Stope Perfomance'!$E$14*35</f>
        <v>0</v>
      </c>
      <c r="U17" s="21">
        <f>'[3]    Stope Perfomance'!$E$14*35</f>
        <v>0</v>
      </c>
      <c r="V17" s="21">
        <f>'[3]    Stope Perfomance'!$E$14*35</f>
        <v>0</v>
      </c>
      <c r="W17" s="21">
        <f>'[3]    Stope Perfomance'!$E$14*35</f>
        <v>0</v>
      </c>
      <c r="X17" s="21">
        <f>'[3]    Stope Perfomance'!$E$14*35</f>
        <v>0</v>
      </c>
      <c r="Y17" s="21">
        <f>'[3]    Stope Perfomance'!$E$14*35</f>
        <v>0</v>
      </c>
      <c r="Z17" s="21">
        <f>'[3]    Stope Perfomance'!$E$14*35</f>
        <v>0</v>
      </c>
      <c r="AA17" s="21">
        <f>'[3]    Stope Perfomance'!$E$14*35</f>
        <v>0</v>
      </c>
      <c r="AB17" s="21">
        <f>'[3]    Stope Perfomance'!$E$14*35</f>
        <v>0</v>
      </c>
      <c r="AC17" s="21">
        <f>'[3]    Stope Perfomance'!$E$14*35</f>
        <v>0</v>
      </c>
      <c r="AD17" s="21">
        <f>'[3]    Stope Perfomance'!$E$14*35</f>
        <v>0</v>
      </c>
      <c r="AE17" s="21">
        <f>'[3]    Stope Perfomance'!$E$14*35</f>
        <v>0</v>
      </c>
      <c r="AF17" s="21">
        <f>'[3]    Stope Perfomance'!$E$14*35</f>
        <v>0</v>
      </c>
      <c r="AG17" s="21">
        <f>'[3]    Stope Perfomance'!$E$14*35</f>
        <v>0</v>
      </c>
      <c r="AH17" s="21">
        <f>'[3]    Stope Perfomance'!$E$14*35</f>
        <v>0</v>
      </c>
    </row>
    <row r="18" spans="1:34" outlineLevel="1">
      <c r="A18" s="3120"/>
      <c r="B18" s="20" t="s">
        <v>1641</v>
      </c>
      <c r="C18" s="946">
        <f>IF(C17,SUMPRODUCT(D17:AH17,D18:AH18)/C17,0)</f>
        <v>0</v>
      </c>
      <c r="D18" s="555">
        <f>'[3]    Stope Perfomance'!$D$14</f>
        <v>0</v>
      </c>
      <c r="E18" s="555">
        <f>'[3]    Stope Perfomance'!$D$14</f>
        <v>0</v>
      </c>
      <c r="F18" s="555">
        <f>'[3]    Stope Perfomance'!$D$14</f>
        <v>0</v>
      </c>
      <c r="G18" s="555">
        <f>'[3]    Stope Perfomance'!$D$14</f>
        <v>0</v>
      </c>
      <c r="H18" s="555">
        <f>'[3]    Stope Perfomance'!$D$14</f>
        <v>0</v>
      </c>
      <c r="I18" s="555">
        <f>'[3]    Stope Perfomance'!$D$14</f>
        <v>0</v>
      </c>
      <c r="J18" s="555">
        <f>'[3]    Stope Perfomance'!$D$14</f>
        <v>0</v>
      </c>
      <c r="K18" s="555">
        <f>'[3]    Stope Perfomance'!$D$14</f>
        <v>0</v>
      </c>
      <c r="L18" s="555">
        <f>'[3]    Stope Perfomance'!$D$14</f>
        <v>0</v>
      </c>
      <c r="M18" s="555">
        <f>'[3]    Stope Perfomance'!$D$14</f>
        <v>0</v>
      </c>
      <c r="N18" s="2296"/>
      <c r="O18" s="2296"/>
      <c r="P18" s="555">
        <f>'[3]    Stope Perfomance'!$D$14</f>
        <v>0</v>
      </c>
      <c r="Q18" s="555">
        <f>'[3]    Stope Perfomance'!$D$14</f>
        <v>0</v>
      </c>
      <c r="R18" s="555">
        <f>'[3]    Stope Perfomance'!$D$14</f>
        <v>0</v>
      </c>
      <c r="S18" s="555">
        <f>'[3]    Stope Perfomance'!$D$14</f>
        <v>0</v>
      </c>
      <c r="T18" s="555">
        <f>'[3]    Stope Perfomance'!$D$14</f>
        <v>0</v>
      </c>
      <c r="U18" s="555">
        <f>'[3]    Stope Perfomance'!$D$14</f>
        <v>0</v>
      </c>
      <c r="V18" s="555">
        <f>'[3]    Stope Perfomance'!$D$14</f>
        <v>0</v>
      </c>
      <c r="W18" s="555">
        <f>'[3]    Stope Perfomance'!$D$14</f>
        <v>0</v>
      </c>
      <c r="X18" s="555">
        <f>'[3]    Stope Perfomance'!$D$14</f>
        <v>0</v>
      </c>
      <c r="Y18" s="555">
        <f>'[3]    Stope Perfomance'!$D$14</f>
        <v>0</v>
      </c>
      <c r="Z18" s="555">
        <f>'[3]    Stope Perfomance'!$D$14</f>
        <v>0</v>
      </c>
      <c r="AA18" s="555">
        <f>'[3]    Stope Perfomance'!$D$14</f>
        <v>0</v>
      </c>
      <c r="AB18" s="555">
        <f>'[3]    Stope Perfomance'!$D$14</f>
        <v>0</v>
      </c>
      <c r="AC18" s="1383">
        <f>'[3]    Stope Perfomance'!$D$14</f>
        <v>0</v>
      </c>
      <c r="AD18" s="555">
        <f>'[3]    Stope Perfomance'!$D$14</f>
        <v>0</v>
      </c>
      <c r="AE18" s="555">
        <f>'[3]    Stope Perfomance'!$D$14</f>
        <v>0</v>
      </c>
      <c r="AF18" s="555">
        <f>'[3]    Stope Perfomance'!$D$14</f>
        <v>0</v>
      </c>
      <c r="AG18" s="555">
        <f>'[3]    Stope Perfomance'!$D$14</f>
        <v>0</v>
      </c>
      <c r="AH18" s="555">
        <f>'[3]    Stope Perfomance'!$D$14</f>
        <v>0</v>
      </c>
    </row>
    <row r="19" spans="1:34" hidden="1" outlineLevel="1">
      <c r="A19" s="3120"/>
      <c r="B19" s="20" t="s">
        <v>1644</v>
      </c>
      <c r="C19" s="945">
        <f>SUM(D19:AH19)</f>
        <v>0</v>
      </c>
      <c r="D19" s="21"/>
      <c r="E19" s="21"/>
      <c r="F19" s="21"/>
      <c r="G19" s="21"/>
      <c r="H19" s="21"/>
      <c r="I19" s="21"/>
      <c r="J19" s="21"/>
      <c r="K19" s="21"/>
      <c r="L19" s="21"/>
      <c r="M19" s="21"/>
      <c r="N19" s="2299"/>
      <c r="O19" s="2299"/>
      <c r="P19" s="21"/>
      <c r="Q19" s="21"/>
      <c r="R19" s="21"/>
      <c r="S19" s="21"/>
      <c r="T19" s="21"/>
      <c r="U19" s="21"/>
      <c r="V19" s="21"/>
      <c r="W19" s="21"/>
      <c r="X19" s="21"/>
      <c r="Y19" s="253"/>
      <c r="Z19" s="253"/>
      <c r="AA19" s="21"/>
      <c r="AB19" s="21"/>
      <c r="AC19" s="21"/>
      <c r="AD19" s="21"/>
      <c r="AE19" s="21"/>
      <c r="AF19" s="21"/>
      <c r="AG19" s="21"/>
      <c r="AH19" s="21"/>
    </row>
    <row r="20" spans="1:34" s="22" customFormat="1" hidden="1" outlineLevel="1">
      <c r="A20" s="3120"/>
      <c r="B20" s="15" t="s">
        <v>1641</v>
      </c>
      <c r="C20" s="946">
        <f>IF(C19,SUMPRODUCT(D19:AH19,D20:AH20)/C19,0)</f>
        <v>0</v>
      </c>
      <c r="D20" s="557"/>
      <c r="E20" s="557"/>
      <c r="F20" s="557"/>
      <c r="G20" s="557"/>
      <c r="H20" s="557"/>
      <c r="I20" s="557"/>
      <c r="J20" s="557"/>
      <c r="K20" s="1384"/>
      <c r="L20" s="557"/>
      <c r="M20" s="557"/>
      <c r="N20" s="2302"/>
      <c r="O20" s="2302"/>
      <c r="P20" s="557"/>
      <c r="Q20" s="557"/>
      <c r="R20" s="557"/>
      <c r="S20" s="557"/>
      <c r="T20" s="557"/>
      <c r="U20" s="557"/>
      <c r="V20" s="557"/>
      <c r="W20" s="557"/>
      <c r="X20" s="557"/>
      <c r="Y20" s="558"/>
      <c r="Z20" s="558"/>
      <c r="AA20" s="557"/>
      <c r="AB20" s="557"/>
      <c r="AC20" s="1384"/>
      <c r="AD20" s="557"/>
      <c r="AE20" s="557"/>
      <c r="AF20" s="557"/>
      <c r="AG20" s="557"/>
      <c r="AH20" s="557"/>
    </row>
    <row r="21" spans="1:34" hidden="1" outlineLevel="1">
      <c r="A21" s="3151"/>
      <c r="B21" s="20" t="s">
        <v>1644</v>
      </c>
      <c r="C21" s="945">
        <f>SUM(D21:AH21)</f>
        <v>0</v>
      </c>
      <c r="D21" s="21"/>
      <c r="E21" s="21"/>
      <c r="F21" s="21"/>
      <c r="G21" s="21"/>
      <c r="H21" s="21"/>
      <c r="I21" s="21"/>
      <c r="J21" s="21"/>
      <c r="K21" s="21"/>
      <c r="L21" s="21"/>
      <c r="M21" s="21"/>
      <c r="N21" s="2299"/>
      <c r="O21" s="2299"/>
      <c r="P21" s="21"/>
      <c r="Q21" s="21"/>
      <c r="R21" s="21"/>
      <c r="S21" s="21"/>
      <c r="T21" s="21"/>
      <c r="U21" s="21"/>
      <c r="V21" s="21"/>
      <c r="W21" s="21"/>
      <c r="X21" s="21"/>
      <c r="Y21" s="253"/>
      <c r="Z21" s="253"/>
      <c r="AA21" s="21"/>
      <c r="AB21" s="21"/>
      <c r="AC21" s="21"/>
      <c r="AD21" s="21"/>
      <c r="AE21" s="21"/>
      <c r="AF21" s="21"/>
      <c r="AG21" s="21"/>
      <c r="AH21" s="21"/>
    </row>
    <row r="22" spans="1:34" hidden="1" outlineLevel="1">
      <c r="A22" s="3143"/>
      <c r="B22" s="20" t="s">
        <v>1641</v>
      </c>
      <c r="C22" s="946">
        <f>IF(C21,SUMPRODUCT(D21:AH21,D22:AH22)/C21,0)</f>
        <v>0</v>
      </c>
      <c r="D22" s="29"/>
      <c r="E22" s="29"/>
      <c r="F22" s="29"/>
      <c r="G22" s="29"/>
      <c r="H22" s="29"/>
      <c r="I22" s="29"/>
      <c r="J22" s="29"/>
      <c r="K22" s="29"/>
      <c r="L22" s="29"/>
      <c r="M22" s="29"/>
      <c r="N22" s="2300"/>
      <c r="O22" s="2300"/>
      <c r="P22" s="29"/>
      <c r="Q22" s="29"/>
      <c r="R22" s="29"/>
      <c r="S22" s="29"/>
      <c r="T22" s="29"/>
      <c r="U22" s="29"/>
      <c r="V22" s="29"/>
      <c r="W22" s="29"/>
      <c r="X22" s="29"/>
      <c r="Y22" s="254"/>
      <c r="Z22" s="254"/>
      <c r="AA22" s="29"/>
      <c r="AB22" s="29"/>
      <c r="AC22" s="29"/>
      <c r="AD22" s="29"/>
      <c r="AE22" s="29"/>
      <c r="AF22" s="29"/>
      <c r="AG22" s="29"/>
      <c r="AH22" s="29"/>
    </row>
    <row r="23" spans="1:34" s="258" customFormat="1">
      <c r="A23" s="3146" t="s">
        <v>1651</v>
      </c>
      <c r="B23" s="256" t="s">
        <v>1646</v>
      </c>
      <c r="C23" s="943">
        <f>SUM(D23:AH23)</f>
        <v>3850</v>
      </c>
      <c r="D23" s="255">
        <f>+D15+D19+D17+D21+D13</f>
        <v>105</v>
      </c>
      <c r="E23" s="255">
        <f t="shared" ref="E23:AH23" si="6">+E15+E19+E17+E21+E13</f>
        <v>105</v>
      </c>
      <c r="F23" s="256">
        <f t="shared" si="6"/>
        <v>105</v>
      </c>
      <c r="G23" s="256">
        <f t="shared" si="6"/>
        <v>105</v>
      </c>
      <c r="H23" s="256">
        <f t="shared" si="6"/>
        <v>105</v>
      </c>
      <c r="I23" s="256">
        <f t="shared" si="6"/>
        <v>105</v>
      </c>
      <c r="J23" s="256">
        <f t="shared" si="6"/>
        <v>105</v>
      </c>
      <c r="K23" s="256">
        <f t="shared" si="6"/>
        <v>105</v>
      </c>
      <c r="L23" s="256">
        <f t="shared" si="6"/>
        <v>105</v>
      </c>
      <c r="M23" s="256">
        <f t="shared" si="6"/>
        <v>105</v>
      </c>
      <c r="N23" s="2303">
        <f t="shared" si="6"/>
        <v>0</v>
      </c>
      <c r="O23" s="2303">
        <f t="shared" si="6"/>
        <v>0</v>
      </c>
      <c r="P23" s="256">
        <f t="shared" si="6"/>
        <v>105</v>
      </c>
      <c r="Q23" s="256">
        <f t="shared" si="6"/>
        <v>105</v>
      </c>
      <c r="R23" s="256">
        <f t="shared" si="6"/>
        <v>70</v>
      </c>
      <c r="S23" s="256">
        <f t="shared" si="6"/>
        <v>70</v>
      </c>
      <c r="T23" s="256">
        <f t="shared" si="6"/>
        <v>70</v>
      </c>
      <c r="U23" s="256">
        <f t="shared" si="6"/>
        <v>70</v>
      </c>
      <c r="V23" s="256">
        <f t="shared" si="6"/>
        <v>70</v>
      </c>
      <c r="W23" s="256">
        <f t="shared" si="6"/>
        <v>70</v>
      </c>
      <c r="X23" s="256">
        <f t="shared" si="6"/>
        <v>70</v>
      </c>
      <c r="Y23" s="256">
        <f t="shared" si="6"/>
        <v>210</v>
      </c>
      <c r="Z23" s="256">
        <f t="shared" si="6"/>
        <v>210</v>
      </c>
      <c r="AA23" s="256">
        <f t="shared" si="6"/>
        <v>210</v>
      </c>
      <c r="AB23" s="256">
        <f t="shared" si="6"/>
        <v>210</v>
      </c>
      <c r="AC23" s="256">
        <f t="shared" si="6"/>
        <v>210</v>
      </c>
      <c r="AD23" s="256">
        <f t="shared" si="6"/>
        <v>210</v>
      </c>
      <c r="AE23" s="256">
        <f t="shared" si="6"/>
        <v>210</v>
      </c>
      <c r="AF23" s="256">
        <f t="shared" si="6"/>
        <v>210</v>
      </c>
      <c r="AG23" s="256">
        <f t="shared" si="6"/>
        <v>210</v>
      </c>
      <c r="AH23" s="257">
        <f t="shared" si="6"/>
        <v>210</v>
      </c>
    </row>
    <row r="24" spans="1:34" s="258" customFormat="1">
      <c r="A24" s="3146" t="s">
        <v>1647</v>
      </c>
      <c r="B24" s="256" t="s">
        <v>1641</v>
      </c>
      <c r="C24" s="944">
        <f>IF(C23,SUMPRODUCT(D23:AH23,D24:AH24)/C23,0)</f>
        <v>1.9859813084112141</v>
      </c>
      <c r="D24" s="260">
        <f>+IF(D23,(D15*D16+D19*D20+D17*D18+D21*D22+D13*D14)/D23,0)</f>
        <v>1.9859813084112148</v>
      </c>
      <c r="E24" s="260">
        <f t="shared" ref="E24:AH24" si="7">+IF(E23,(E15*E16+E19*E20+E17*E18+E21*E22+E13*E14)/E23,0)</f>
        <v>1.9859813084112148</v>
      </c>
      <c r="F24" s="259">
        <f t="shared" si="7"/>
        <v>1.9859813084112148</v>
      </c>
      <c r="G24" s="259">
        <f t="shared" si="7"/>
        <v>1.9859813084112148</v>
      </c>
      <c r="H24" s="259">
        <f t="shared" si="7"/>
        <v>1.9859813084112148</v>
      </c>
      <c r="I24" s="259">
        <f t="shared" si="7"/>
        <v>1.9859813084112148</v>
      </c>
      <c r="J24" s="259">
        <f t="shared" si="7"/>
        <v>1.9859813084112148</v>
      </c>
      <c r="K24" s="259">
        <f t="shared" si="7"/>
        <v>1.9859813084112148</v>
      </c>
      <c r="L24" s="259">
        <f t="shared" si="7"/>
        <v>1.9859813084112148</v>
      </c>
      <c r="M24" s="259">
        <f t="shared" si="7"/>
        <v>1.9859813084112148</v>
      </c>
      <c r="N24" s="2298">
        <f t="shared" si="7"/>
        <v>0</v>
      </c>
      <c r="O24" s="2298">
        <f t="shared" si="7"/>
        <v>0</v>
      </c>
      <c r="P24" s="259">
        <f t="shared" si="7"/>
        <v>1.9859813084112148</v>
      </c>
      <c r="Q24" s="259">
        <f t="shared" si="7"/>
        <v>1.9859813084112148</v>
      </c>
      <c r="R24" s="259">
        <f t="shared" si="7"/>
        <v>1.9859813084112148</v>
      </c>
      <c r="S24" s="259">
        <f t="shared" si="7"/>
        <v>1.9859813084112148</v>
      </c>
      <c r="T24" s="259">
        <f t="shared" si="7"/>
        <v>1.9859813084112148</v>
      </c>
      <c r="U24" s="259">
        <f t="shared" si="7"/>
        <v>1.9859813084112148</v>
      </c>
      <c r="V24" s="259">
        <f t="shared" si="7"/>
        <v>1.9859813084112148</v>
      </c>
      <c r="W24" s="259">
        <f t="shared" si="7"/>
        <v>1.9859813084112148</v>
      </c>
      <c r="X24" s="259">
        <f t="shared" si="7"/>
        <v>1.9859813084112148</v>
      </c>
      <c r="Y24" s="259">
        <f t="shared" si="7"/>
        <v>1.9859813084112148</v>
      </c>
      <c r="Z24" s="259">
        <f t="shared" si="7"/>
        <v>1.9859813084112148</v>
      </c>
      <c r="AA24" s="259">
        <f t="shared" si="7"/>
        <v>1.9859813084112148</v>
      </c>
      <c r="AB24" s="259">
        <f t="shared" si="7"/>
        <v>1.9859813084112148</v>
      </c>
      <c r="AC24" s="259">
        <f t="shared" si="7"/>
        <v>1.9859813084112148</v>
      </c>
      <c r="AD24" s="259">
        <f t="shared" si="7"/>
        <v>1.9859813084112148</v>
      </c>
      <c r="AE24" s="259">
        <f t="shared" si="7"/>
        <v>1.9859813084112148</v>
      </c>
      <c r="AF24" s="259">
        <f t="shared" si="7"/>
        <v>1.9859813084112148</v>
      </c>
      <c r="AG24" s="259">
        <f t="shared" si="7"/>
        <v>1.9859813084112148</v>
      </c>
      <c r="AH24" s="259">
        <f t="shared" si="7"/>
        <v>1.9859813084112148</v>
      </c>
    </row>
    <row r="25" spans="1:34" s="62" customFormat="1" hidden="1" outlineLevel="1">
      <c r="A25" s="3152" t="s">
        <v>1652</v>
      </c>
      <c r="B25" s="59" t="s">
        <v>1644</v>
      </c>
      <c r="C25" s="947">
        <f>SUM(D25:AH25)</f>
        <v>0</v>
      </c>
      <c r="D25" s="60"/>
      <c r="E25" s="60"/>
      <c r="F25" s="60"/>
      <c r="G25" s="60"/>
      <c r="H25" s="60"/>
      <c r="I25" s="60"/>
      <c r="J25" s="60"/>
      <c r="K25" s="1385"/>
      <c r="L25" s="60"/>
      <c r="M25" s="60"/>
      <c r="N25" s="2304"/>
      <c r="O25" s="2304"/>
      <c r="P25" s="60"/>
      <c r="Q25" s="60"/>
      <c r="R25" s="60"/>
      <c r="S25" s="60"/>
      <c r="T25" s="60"/>
      <c r="U25" s="60"/>
      <c r="V25" s="60"/>
      <c r="W25" s="60"/>
      <c r="X25" s="60"/>
      <c r="Y25" s="60"/>
      <c r="Z25" s="60"/>
      <c r="AA25" s="60"/>
      <c r="AB25" s="60"/>
      <c r="AC25" s="1385"/>
      <c r="AD25" s="60"/>
      <c r="AE25" s="60"/>
      <c r="AF25" s="60"/>
      <c r="AG25" s="60"/>
      <c r="AH25" s="61"/>
    </row>
    <row r="26" spans="1:34" s="62" customFormat="1" hidden="1" outlineLevel="1">
      <c r="A26" s="3152" t="s">
        <v>1653</v>
      </c>
      <c r="B26" s="59" t="s">
        <v>1641</v>
      </c>
      <c r="C26" s="948">
        <f>IF(C25,SUMPRODUCT(D25:AH25,D26:AH26)/C25,0)</f>
        <v>0</v>
      </c>
      <c r="D26" s="63"/>
      <c r="E26" s="63"/>
      <c r="F26" s="63"/>
      <c r="G26" s="63"/>
      <c r="H26" s="63"/>
      <c r="I26" s="63"/>
      <c r="J26" s="63"/>
      <c r="K26" s="1386"/>
      <c r="L26" s="63"/>
      <c r="M26" s="63"/>
      <c r="N26" s="2305"/>
      <c r="O26" s="2305"/>
      <c r="P26" s="63"/>
      <c r="Q26" s="63"/>
      <c r="R26" s="63"/>
      <c r="S26" s="63"/>
      <c r="T26" s="63"/>
      <c r="U26" s="63"/>
      <c r="V26" s="63"/>
      <c r="W26" s="63"/>
      <c r="X26" s="63"/>
      <c r="Y26" s="63"/>
      <c r="Z26" s="63"/>
      <c r="AA26" s="63"/>
      <c r="AB26" s="63"/>
      <c r="AC26" s="1386"/>
      <c r="AD26" s="63"/>
      <c r="AE26" s="63"/>
      <c r="AF26" s="63"/>
      <c r="AG26" s="63"/>
      <c r="AH26" s="63"/>
    </row>
    <row r="27" spans="1:34" s="28" customFormat="1" hidden="1" outlineLevel="1">
      <c r="A27" s="3144" t="s">
        <v>1654</v>
      </c>
      <c r="B27" s="26" t="s">
        <v>1644</v>
      </c>
      <c r="C27" s="945">
        <f>SUM(D27:AH27)</f>
        <v>0</v>
      </c>
      <c r="D27" s="27"/>
      <c r="E27" s="27"/>
      <c r="F27" s="27"/>
      <c r="G27" s="27"/>
      <c r="H27" s="27"/>
      <c r="I27" s="27"/>
      <c r="J27" s="27"/>
      <c r="K27" s="27"/>
      <c r="L27" s="27"/>
      <c r="M27" s="27"/>
      <c r="N27" s="2306"/>
      <c r="O27" s="2306"/>
      <c r="P27" s="27"/>
      <c r="Q27" s="27"/>
      <c r="R27" s="27"/>
      <c r="S27" s="27"/>
      <c r="T27" s="27"/>
      <c r="U27" s="27"/>
      <c r="V27" s="27"/>
      <c r="W27" s="27"/>
      <c r="X27" s="27"/>
      <c r="Y27" s="27"/>
      <c r="Z27" s="27"/>
      <c r="AA27" s="27"/>
      <c r="AB27" s="27"/>
      <c r="AC27" s="27"/>
      <c r="AD27" s="27"/>
      <c r="AE27" s="27"/>
      <c r="AF27" s="27"/>
      <c r="AG27" s="27"/>
      <c r="AH27" s="27"/>
    </row>
    <row r="28" spans="1:34" hidden="1" outlineLevel="1">
      <c r="A28" s="3145" t="s">
        <v>1653</v>
      </c>
      <c r="B28" s="20" t="s">
        <v>1641</v>
      </c>
      <c r="C28" s="946">
        <f>IF(C27,SUMPRODUCT(D27:AH27,D28:AH28)/C27,0)</f>
        <v>0</v>
      </c>
      <c r="D28" s="29"/>
      <c r="E28" s="29"/>
      <c r="F28" s="29"/>
      <c r="G28" s="29"/>
      <c r="H28" s="29"/>
      <c r="I28" s="29"/>
      <c r="J28" s="29"/>
      <c r="K28" s="29"/>
      <c r="L28" s="29"/>
      <c r="M28" s="29"/>
      <c r="N28" s="2300"/>
      <c r="O28" s="2300"/>
      <c r="P28" s="29"/>
      <c r="Q28" s="29"/>
      <c r="R28" s="29"/>
      <c r="S28" s="29"/>
      <c r="T28" s="29"/>
      <c r="U28" s="29"/>
      <c r="V28" s="29"/>
      <c r="W28" s="29"/>
      <c r="X28" s="29"/>
      <c r="Y28" s="29"/>
      <c r="Z28" s="29"/>
      <c r="AA28" s="29"/>
      <c r="AB28" s="29"/>
      <c r="AC28" s="29"/>
      <c r="AD28" s="29"/>
      <c r="AE28" s="29"/>
      <c r="AF28" s="29"/>
      <c r="AG28" s="29"/>
      <c r="AH28" s="29"/>
    </row>
    <row r="29" spans="1:34" hidden="1" outlineLevel="1">
      <c r="A29" s="3143" t="s">
        <v>1655</v>
      </c>
      <c r="B29" s="20" t="s">
        <v>1644</v>
      </c>
      <c r="C29" s="945">
        <f>SUM(D29:AH29)</f>
        <v>0</v>
      </c>
      <c r="D29" s="21"/>
      <c r="E29" s="21"/>
      <c r="F29" s="21"/>
      <c r="G29" s="21"/>
      <c r="H29" s="21"/>
      <c r="I29" s="21"/>
      <c r="J29" s="21"/>
      <c r="K29" s="21"/>
      <c r="L29" s="21"/>
      <c r="M29" s="21"/>
      <c r="N29" s="2299"/>
      <c r="O29" s="2299"/>
      <c r="P29" s="21"/>
      <c r="Q29" s="21"/>
      <c r="R29" s="21"/>
      <c r="S29" s="21"/>
      <c r="T29" s="21"/>
      <c r="U29" s="21"/>
      <c r="V29" s="21"/>
      <c r="W29" s="21"/>
      <c r="X29" s="21"/>
      <c r="Y29" s="253"/>
      <c r="Z29" s="253"/>
      <c r="AA29" s="21"/>
      <c r="AB29" s="21"/>
      <c r="AC29" s="21"/>
      <c r="AD29" s="21"/>
      <c r="AE29" s="21"/>
      <c r="AF29" s="21"/>
      <c r="AG29" s="21"/>
      <c r="AH29" s="29"/>
    </row>
    <row r="30" spans="1:34" hidden="1" outlineLevel="1">
      <c r="A30" s="3143" t="s">
        <v>1656</v>
      </c>
      <c r="B30" s="20" t="s">
        <v>1641</v>
      </c>
      <c r="C30" s="946">
        <f>IF(C29,SUMPRODUCT(D29:AH29,D30:AH30)/C29,0)</f>
        <v>0</v>
      </c>
      <c r="D30" s="29"/>
      <c r="E30" s="29"/>
      <c r="F30" s="29"/>
      <c r="G30" s="29"/>
      <c r="H30" s="29"/>
      <c r="I30" s="29"/>
      <c r="J30" s="29"/>
      <c r="K30" s="29"/>
      <c r="L30" s="29"/>
      <c r="M30" s="29"/>
      <c r="N30" s="2300"/>
      <c r="O30" s="2300"/>
      <c r="P30" s="29"/>
      <c r="Q30" s="29"/>
      <c r="R30" s="29"/>
      <c r="S30" s="29"/>
      <c r="T30" s="29"/>
      <c r="U30" s="29"/>
      <c r="V30" s="29"/>
      <c r="W30" s="29"/>
      <c r="X30" s="29"/>
      <c r="Y30" s="254"/>
      <c r="Z30" s="254"/>
      <c r="AA30" s="29"/>
      <c r="AB30" s="29"/>
      <c r="AC30" s="29"/>
      <c r="AD30" s="29"/>
      <c r="AE30" s="29"/>
      <c r="AF30" s="29"/>
      <c r="AG30" s="29"/>
      <c r="AH30" s="29"/>
    </row>
    <row r="31" spans="1:34" hidden="1" outlineLevel="1">
      <c r="A31" s="3121" t="s">
        <v>1657</v>
      </c>
      <c r="B31" s="20" t="s">
        <v>1644</v>
      </c>
      <c r="C31" s="945">
        <f>SUM(D31:AH31)</f>
        <v>0</v>
      </c>
      <c r="D31" s="27"/>
      <c r="E31" s="27"/>
      <c r="F31" s="27"/>
      <c r="G31" s="27"/>
      <c r="H31" s="27"/>
      <c r="I31" s="27"/>
      <c r="J31" s="27"/>
      <c r="K31" s="27"/>
      <c r="L31" s="27"/>
      <c r="M31" s="27"/>
      <c r="N31" s="2306"/>
      <c r="O31" s="2306"/>
      <c r="P31" s="27"/>
      <c r="Q31" s="27"/>
      <c r="R31" s="27"/>
      <c r="S31" s="27"/>
      <c r="T31" s="27"/>
      <c r="U31" s="27"/>
      <c r="V31" s="27"/>
      <c r="W31" s="27"/>
      <c r="X31" s="27"/>
      <c r="Y31" s="27"/>
      <c r="Z31" s="27"/>
      <c r="AA31" s="27"/>
      <c r="AB31" s="27"/>
      <c r="AC31" s="27"/>
      <c r="AD31" s="27"/>
      <c r="AE31" s="27"/>
      <c r="AF31" s="27"/>
      <c r="AG31" s="27"/>
      <c r="AH31" s="27"/>
    </row>
    <row r="32" spans="1:34" hidden="1" outlineLevel="1">
      <c r="A32" s="3137"/>
      <c r="B32" s="20" t="s">
        <v>1641</v>
      </c>
      <c r="C32" s="946">
        <f>IF(C31,SUMPRODUCT(D31:AH31,D32:AH32)/C31,0)</f>
        <v>0</v>
      </c>
      <c r="D32" s="29"/>
      <c r="E32" s="29"/>
      <c r="F32" s="29"/>
      <c r="G32" s="29"/>
      <c r="H32" s="29"/>
      <c r="I32" s="29"/>
      <c r="J32" s="29"/>
      <c r="K32" s="29"/>
      <c r="L32" s="29"/>
      <c r="M32" s="29"/>
      <c r="N32" s="2300"/>
      <c r="O32" s="2300"/>
      <c r="P32" s="29"/>
      <c r="Q32" s="29"/>
      <c r="R32" s="29"/>
      <c r="S32" s="29"/>
      <c r="T32" s="29"/>
      <c r="U32" s="29"/>
      <c r="V32" s="29"/>
      <c r="W32" s="29"/>
      <c r="X32" s="29"/>
      <c r="Y32" s="29"/>
      <c r="Z32" s="29"/>
      <c r="AA32" s="29"/>
      <c r="AB32" s="29"/>
      <c r="AC32" s="29"/>
      <c r="AD32" s="29"/>
      <c r="AE32" s="29"/>
      <c r="AF32" s="29"/>
      <c r="AG32" s="29"/>
      <c r="AH32" s="29"/>
    </row>
    <row r="33" spans="1:34" hidden="1" outlineLevel="1">
      <c r="A33" s="3120" t="s">
        <v>1658</v>
      </c>
      <c r="B33" s="20" t="s">
        <v>1644</v>
      </c>
      <c r="C33" s="945">
        <f>SUM(D33:AH33)</f>
        <v>0</v>
      </c>
      <c r="D33" s="27"/>
      <c r="E33" s="27"/>
      <c r="F33" s="27"/>
      <c r="G33" s="27"/>
      <c r="H33" s="27"/>
      <c r="I33" s="27"/>
      <c r="J33" s="27"/>
      <c r="K33" s="27"/>
      <c r="L33" s="27"/>
      <c r="M33" s="27"/>
      <c r="N33" s="2306"/>
      <c r="O33" s="2306"/>
      <c r="P33" s="27"/>
      <c r="Q33" s="27"/>
      <c r="R33" s="27"/>
      <c r="S33" s="27"/>
      <c r="T33" s="27"/>
      <c r="U33" s="27"/>
      <c r="V33" s="27"/>
      <c r="W33" s="27"/>
      <c r="X33" s="27"/>
      <c r="Y33" s="27"/>
      <c r="Z33" s="27"/>
      <c r="AA33" s="27"/>
      <c r="AB33" s="27"/>
      <c r="AC33" s="27"/>
      <c r="AD33" s="27"/>
      <c r="AE33" s="27"/>
      <c r="AF33" s="27"/>
      <c r="AG33" s="27"/>
      <c r="AH33" s="27"/>
    </row>
    <row r="34" spans="1:34" hidden="1" outlineLevel="1">
      <c r="A34" s="3120" t="s">
        <v>1659</v>
      </c>
      <c r="B34" s="20" t="s">
        <v>1641</v>
      </c>
      <c r="C34" s="946">
        <f>IF(C33,SUMPRODUCT(D33:AH33,D34:AH34)/C33,0)</f>
        <v>0</v>
      </c>
      <c r="D34" s="29"/>
      <c r="E34" s="29"/>
      <c r="F34" s="29"/>
      <c r="G34" s="29"/>
      <c r="H34" s="29"/>
      <c r="I34" s="29"/>
      <c r="J34" s="29"/>
      <c r="K34" s="29"/>
      <c r="L34" s="29"/>
      <c r="M34" s="29"/>
      <c r="N34" s="2300"/>
      <c r="O34" s="2300"/>
      <c r="P34" s="29"/>
      <c r="Q34" s="29"/>
      <c r="R34" s="29"/>
      <c r="S34" s="29"/>
      <c r="T34" s="29"/>
      <c r="U34" s="29"/>
      <c r="V34" s="29"/>
      <c r="W34" s="29"/>
      <c r="X34" s="29"/>
      <c r="Y34" s="29"/>
      <c r="Z34" s="29"/>
      <c r="AA34" s="29"/>
      <c r="AB34" s="29"/>
      <c r="AC34" s="29"/>
      <c r="AD34" s="29"/>
      <c r="AE34" s="29"/>
      <c r="AF34" s="29"/>
      <c r="AG34" s="29"/>
      <c r="AH34" s="29"/>
    </row>
    <row r="35" spans="1:34" s="262" customFormat="1" hidden="1" outlineLevel="1">
      <c r="A35" s="3143" t="s">
        <v>1660</v>
      </c>
      <c r="B35" s="38" t="s">
        <v>1644</v>
      </c>
      <c r="C35" s="947">
        <f>SUM(D35:AH35)</f>
        <v>0</v>
      </c>
      <c r="D35" s="253"/>
      <c r="E35" s="253"/>
      <c r="F35" s="253"/>
      <c r="G35" s="253"/>
      <c r="H35" s="253"/>
      <c r="I35" s="253"/>
      <c r="J35" s="253"/>
      <c r="K35" s="21"/>
      <c r="L35" s="253"/>
      <c r="M35" s="253"/>
      <c r="N35" s="2299"/>
      <c r="O35" s="2299"/>
      <c r="P35" s="253"/>
      <c r="Q35" s="253"/>
      <c r="R35" s="253"/>
      <c r="S35" s="253"/>
      <c r="T35" s="253"/>
      <c r="U35" s="253"/>
      <c r="V35" s="253"/>
      <c r="W35" s="253"/>
      <c r="X35" s="253"/>
      <c r="Y35" s="253"/>
      <c r="Z35" s="253"/>
      <c r="AA35" s="253"/>
      <c r="AB35" s="253"/>
      <c r="AC35" s="21"/>
      <c r="AD35" s="253"/>
      <c r="AE35" s="253"/>
      <c r="AF35" s="253"/>
      <c r="AG35" s="253"/>
      <c r="AH35" s="253"/>
    </row>
    <row r="36" spans="1:34" s="262" customFormat="1" hidden="1" outlineLevel="1">
      <c r="A36" s="3143" t="s">
        <v>1661</v>
      </c>
      <c r="B36" s="38" t="s">
        <v>1641</v>
      </c>
      <c r="C36" s="948">
        <f>IF(C35,SUMPRODUCT(D35:AH35,D36:AH36)/C35,0)</f>
        <v>0</v>
      </c>
      <c r="D36" s="254"/>
      <c r="E36" s="254"/>
      <c r="F36" s="254"/>
      <c r="G36" s="254"/>
      <c r="H36" s="254"/>
      <c r="I36" s="254"/>
      <c r="J36" s="254"/>
      <c r="K36" s="29"/>
      <c r="L36" s="254"/>
      <c r="M36" s="254"/>
      <c r="N36" s="2300"/>
      <c r="O36" s="2300"/>
      <c r="P36" s="254"/>
      <c r="Q36" s="254"/>
      <c r="R36" s="254"/>
      <c r="S36" s="254"/>
      <c r="T36" s="254"/>
      <c r="U36" s="254"/>
      <c r="V36" s="254"/>
      <c r="W36" s="254"/>
      <c r="X36" s="254"/>
      <c r="Y36" s="254"/>
      <c r="Z36" s="254"/>
      <c r="AA36" s="254"/>
      <c r="AB36" s="254"/>
      <c r="AC36" s="29"/>
      <c r="AD36" s="254"/>
      <c r="AE36" s="254"/>
      <c r="AF36" s="254"/>
      <c r="AG36" s="254"/>
      <c r="AH36" s="254"/>
    </row>
    <row r="37" spans="1:34" hidden="1" outlineLevel="1">
      <c r="A37" s="3121" t="s">
        <v>1662</v>
      </c>
      <c r="B37" s="20" t="s">
        <v>1644</v>
      </c>
      <c r="C37" s="945">
        <f>SUM(D37:AH37)</f>
        <v>0</v>
      </c>
      <c r="D37" s="21"/>
      <c r="E37" s="21"/>
      <c r="F37" s="21"/>
      <c r="G37" s="21"/>
      <c r="H37" s="21"/>
      <c r="I37" s="21"/>
      <c r="J37" s="21"/>
      <c r="K37" s="21"/>
      <c r="L37" s="21"/>
      <c r="M37" s="21"/>
      <c r="N37" s="2299"/>
      <c r="O37" s="2299"/>
      <c r="P37" s="21"/>
      <c r="Q37" s="21"/>
      <c r="R37" s="21"/>
      <c r="S37" s="21"/>
      <c r="T37" s="21"/>
      <c r="U37" s="21"/>
      <c r="V37" s="21"/>
      <c r="W37" s="21"/>
      <c r="X37" s="21"/>
      <c r="Y37" s="21"/>
      <c r="Z37" s="21"/>
      <c r="AA37" s="21"/>
      <c r="AB37" s="21"/>
      <c r="AC37" s="21"/>
      <c r="AD37" s="21"/>
      <c r="AE37" s="21"/>
      <c r="AF37" s="21"/>
      <c r="AG37" s="21"/>
      <c r="AH37" s="21"/>
    </row>
    <row r="38" spans="1:34" hidden="1" outlineLevel="1">
      <c r="A38" s="3137"/>
      <c r="B38" s="20" t="s">
        <v>1641</v>
      </c>
      <c r="C38" s="946">
        <f>IF(C37,SUMPRODUCT(D37:AH37,D38:AH38)/C37,0)</f>
        <v>0</v>
      </c>
      <c r="D38" s="29"/>
      <c r="E38" s="29"/>
      <c r="F38" s="29"/>
      <c r="G38" s="29"/>
      <c r="H38" s="29"/>
      <c r="I38" s="29"/>
      <c r="J38" s="29"/>
      <c r="K38" s="29"/>
      <c r="L38" s="29"/>
      <c r="M38" s="29"/>
      <c r="N38" s="2300"/>
      <c r="O38" s="2300"/>
      <c r="P38" s="29"/>
      <c r="Q38" s="29"/>
      <c r="R38" s="29"/>
      <c r="S38" s="29"/>
      <c r="T38" s="29"/>
      <c r="U38" s="29"/>
      <c r="V38" s="29"/>
      <c r="W38" s="29"/>
      <c r="X38" s="29"/>
      <c r="Y38" s="29"/>
      <c r="Z38" s="29"/>
      <c r="AA38" s="29"/>
      <c r="AB38" s="29"/>
      <c r="AC38" s="29"/>
      <c r="AD38" s="29"/>
      <c r="AE38" s="29"/>
      <c r="AF38" s="29"/>
      <c r="AG38" s="29"/>
      <c r="AH38" s="29"/>
    </row>
    <row r="39" spans="1:34" hidden="1" outlineLevel="1">
      <c r="A39" s="3144" t="s">
        <v>1663</v>
      </c>
      <c r="B39" s="20" t="s">
        <v>1644</v>
      </c>
      <c r="C39" s="945">
        <f>SUM(D39:AH39)</f>
        <v>0</v>
      </c>
      <c r="D39" s="21"/>
      <c r="E39" s="21"/>
      <c r="F39" s="21"/>
      <c r="G39" s="21"/>
      <c r="H39" s="21"/>
      <c r="I39" s="21"/>
      <c r="J39" s="21"/>
      <c r="K39" s="21"/>
      <c r="L39" s="21"/>
      <c r="M39" s="21"/>
      <c r="N39" s="2299"/>
      <c r="O39" s="2299"/>
      <c r="P39" s="21"/>
      <c r="Q39" s="21"/>
      <c r="R39" s="21"/>
      <c r="S39" s="21"/>
      <c r="T39" s="21"/>
      <c r="U39" s="21"/>
      <c r="V39" s="21"/>
      <c r="W39" s="21"/>
      <c r="X39" s="21"/>
      <c r="Y39" s="21"/>
      <c r="Z39" s="21"/>
      <c r="AA39" s="21"/>
      <c r="AB39" s="21"/>
      <c r="AC39" s="21"/>
      <c r="AD39" s="21"/>
      <c r="AE39" s="21"/>
      <c r="AF39" s="21"/>
      <c r="AG39" s="21"/>
      <c r="AH39" s="21"/>
    </row>
    <row r="40" spans="1:34" ht="16.2" hidden="1" customHeight="1" outlineLevel="1">
      <c r="A40" s="3145"/>
      <c r="B40" s="20" t="s">
        <v>1641</v>
      </c>
      <c r="C40" s="946">
        <f>IF(C39,SUMPRODUCT(D39:AH39,D40:AH40)/C39,0)</f>
        <v>0</v>
      </c>
      <c r="D40" s="29"/>
      <c r="E40" s="29"/>
      <c r="F40" s="29"/>
      <c r="G40" s="29"/>
      <c r="H40" s="29"/>
      <c r="I40" s="29"/>
      <c r="J40" s="29"/>
      <c r="K40" s="29"/>
      <c r="L40" s="29"/>
      <c r="M40" s="29"/>
      <c r="N40" s="2300"/>
      <c r="O40" s="2300"/>
      <c r="P40" s="29"/>
      <c r="Q40" s="29"/>
      <c r="R40" s="29"/>
      <c r="S40" s="29"/>
      <c r="T40" s="29"/>
      <c r="U40" s="29"/>
      <c r="V40" s="29"/>
      <c r="W40" s="29"/>
      <c r="X40" s="29"/>
      <c r="Y40" s="29"/>
      <c r="Z40" s="29"/>
      <c r="AA40" s="29"/>
      <c r="AB40" s="29"/>
      <c r="AC40" s="29"/>
      <c r="AD40" s="29"/>
      <c r="AE40" s="29"/>
      <c r="AF40" s="29"/>
      <c r="AG40" s="29"/>
      <c r="AH40" s="29"/>
    </row>
    <row r="41" spans="1:34" hidden="1" outlineLevel="1">
      <c r="A41" s="3144" t="s">
        <v>1664</v>
      </c>
      <c r="B41" s="20" t="s">
        <v>1644</v>
      </c>
      <c r="C41" s="945">
        <f>SUM(D41:AH41)</f>
        <v>0</v>
      </c>
      <c r="D41" s="21"/>
      <c r="E41" s="21"/>
      <c r="F41" s="21"/>
      <c r="G41" s="21"/>
      <c r="H41" s="21"/>
      <c r="I41" s="21"/>
      <c r="J41" s="21"/>
      <c r="K41" s="21"/>
      <c r="L41" s="21"/>
      <c r="M41" s="21"/>
      <c r="N41" s="2299"/>
      <c r="O41" s="2299"/>
      <c r="P41" s="21"/>
      <c r="Q41" s="21"/>
      <c r="R41" s="21"/>
      <c r="S41" s="21"/>
      <c r="T41" s="21"/>
      <c r="U41" s="21"/>
      <c r="V41" s="21"/>
      <c r="W41" s="21"/>
      <c r="X41" s="21"/>
      <c r="Y41" s="21"/>
      <c r="Z41" s="21"/>
      <c r="AA41" s="21"/>
      <c r="AB41" s="21"/>
      <c r="AC41" s="21"/>
      <c r="AD41" s="21"/>
      <c r="AE41" s="21"/>
      <c r="AF41" s="21"/>
      <c r="AG41" s="21"/>
      <c r="AH41" s="21"/>
    </row>
    <row r="42" spans="1:34" hidden="1" outlineLevel="1">
      <c r="A42" s="3145"/>
      <c r="B42" s="20" t="s">
        <v>1641</v>
      </c>
      <c r="C42" s="946">
        <f>IF(C41,SUMPRODUCT(D41:AH41,D42:AH42)/C41,0)</f>
        <v>0</v>
      </c>
      <c r="D42" s="29"/>
      <c r="E42" s="29"/>
      <c r="F42" s="29"/>
      <c r="G42" s="29"/>
      <c r="H42" s="29"/>
      <c r="I42" s="29"/>
      <c r="J42" s="29"/>
      <c r="K42" s="29"/>
      <c r="L42" s="29"/>
      <c r="M42" s="29"/>
      <c r="N42" s="2300"/>
      <c r="O42" s="2300"/>
      <c r="P42" s="29"/>
      <c r="Q42" s="29"/>
      <c r="R42" s="29"/>
      <c r="S42" s="29"/>
      <c r="T42" s="29"/>
      <c r="U42" s="29"/>
      <c r="V42" s="29"/>
      <c r="W42" s="29"/>
      <c r="X42" s="29"/>
      <c r="Y42" s="29"/>
      <c r="Z42" s="29"/>
      <c r="AA42" s="29"/>
      <c r="AB42" s="29"/>
      <c r="AC42" s="29"/>
      <c r="AD42" s="29"/>
      <c r="AE42" s="29"/>
      <c r="AF42" s="29"/>
      <c r="AG42" s="29"/>
      <c r="AH42" s="29"/>
    </row>
    <row r="43" spans="1:34" hidden="1" outlineLevel="1">
      <c r="A43" s="3144" t="s">
        <v>1665</v>
      </c>
      <c r="B43" s="20" t="s">
        <v>1644</v>
      </c>
      <c r="C43" s="949">
        <f>SUM(D43:AH43)</f>
        <v>0</v>
      </c>
      <c r="D43" s="27"/>
      <c r="E43" s="27"/>
      <c r="F43" s="27"/>
      <c r="G43" s="27"/>
      <c r="H43" s="27"/>
      <c r="I43" s="27"/>
      <c r="J43" s="27"/>
      <c r="K43" s="27"/>
      <c r="L43" s="27"/>
      <c r="M43" s="27"/>
      <c r="N43" s="2306"/>
      <c r="O43" s="2306"/>
      <c r="P43" s="27"/>
      <c r="Q43" s="27"/>
      <c r="R43" s="27"/>
      <c r="S43" s="27"/>
      <c r="T43" s="27"/>
      <c r="U43" s="27"/>
      <c r="V43" s="27"/>
      <c r="W43" s="27"/>
      <c r="X43" s="27"/>
      <c r="Y43" s="27"/>
      <c r="Z43" s="27"/>
      <c r="AA43" s="27"/>
      <c r="AB43" s="27"/>
      <c r="AC43" s="27"/>
      <c r="AD43" s="27"/>
      <c r="AE43" s="27"/>
      <c r="AF43" s="27"/>
      <c r="AG43" s="27"/>
      <c r="AH43" s="27"/>
    </row>
    <row r="44" spans="1:34" hidden="1" outlineLevel="1">
      <c r="A44" s="3145"/>
      <c r="B44" s="20" t="s">
        <v>1641</v>
      </c>
      <c r="C44" s="950">
        <f>IF(C43,SUMPRODUCT(D43:AH43,D44:AH44)/C43,0)</f>
        <v>0</v>
      </c>
      <c r="D44" s="29"/>
      <c r="E44" s="29"/>
      <c r="F44" s="29"/>
      <c r="G44" s="29"/>
      <c r="H44" s="29"/>
      <c r="I44" s="29"/>
      <c r="J44" s="29"/>
      <c r="K44" s="29"/>
      <c r="L44" s="29"/>
      <c r="M44" s="29"/>
      <c r="N44" s="2300"/>
      <c r="O44" s="2300"/>
      <c r="P44" s="29"/>
      <c r="Q44" s="29"/>
      <c r="R44" s="29"/>
      <c r="S44" s="29"/>
      <c r="T44" s="29"/>
      <c r="U44" s="29"/>
      <c r="V44" s="29"/>
      <c r="W44" s="29"/>
      <c r="X44" s="29"/>
      <c r="Y44" s="29"/>
      <c r="Z44" s="29"/>
      <c r="AA44" s="29"/>
      <c r="AB44" s="29"/>
      <c r="AC44" s="29"/>
      <c r="AD44" s="29"/>
      <c r="AE44" s="29"/>
      <c r="AF44" s="29"/>
      <c r="AG44" s="29"/>
      <c r="AH44" s="29"/>
    </row>
    <row r="45" spans="1:34" s="28" customFormat="1" hidden="1" outlineLevel="1">
      <c r="A45" s="3143" t="s">
        <v>1666</v>
      </c>
      <c r="B45" s="26" t="s">
        <v>1644</v>
      </c>
      <c r="C45" s="951">
        <f>SUM(D45:AH45)</f>
        <v>0</v>
      </c>
      <c r="D45" s="27">
        <f>'[3]    Stope Perfomance'!$E$16*35</f>
        <v>0</v>
      </c>
      <c r="E45" s="27">
        <f>'[3]    Stope Perfomance'!$E$16*35</f>
        <v>0</v>
      </c>
      <c r="F45" s="27">
        <f>'[3]    Stope Perfomance'!$E$16*35</f>
        <v>0</v>
      </c>
      <c r="G45" s="27">
        <f>'[3]    Stope Perfomance'!$E$16*35</f>
        <v>0</v>
      </c>
      <c r="H45" s="27">
        <f>'[3]    Stope Perfomance'!$E$16*35</f>
        <v>0</v>
      </c>
      <c r="I45" s="27">
        <f>'[3]    Stope Perfomance'!$E$16*35</f>
        <v>0</v>
      </c>
      <c r="J45" s="27">
        <f>'[3]    Stope Perfomance'!$E$16*35</f>
        <v>0</v>
      </c>
      <c r="K45" s="27">
        <f>'[3]    Stope Perfomance'!$E$16*35</f>
        <v>0</v>
      </c>
      <c r="L45" s="27">
        <f>'[3]    Stope Perfomance'!$E$16*35</f>
        <v>0</v>
      </c>
      <c r="M45" s="27">
        <f>'[3]    Stope Perfomance'!$E$16*35</f>
        <v>0</v>
      </c>
      <c r="N45" s="2306">
        <f>'[3]    Stope Perfomance'!$E$16*35</f>
        <v>0</v>
      </c>
      <c r="O45" s="2306">
        <f>'[3]    Stope Perfomance'!$E$16*35</f>
        <v>0</v>
      </c>
      <c r="P45" s="27">
        <f>'[3]    Stope Perfomance'!$E$16*35</f>
        <v>0</v>
      </c>
      <c r="Q45" s="27">
        <f>'[3]    Stope Perfomance'!$E$16*35</f>
        <v>0</v>
      </c>
      <c r="R45" s="27">
        <f>'[3]    Stope Perfomance'!$E$16*35</f>
        <v>0</v>
      </c>
      <c r="S45" s="27">
        <f>'[3]    Stope Perfomance'!$E$16*35</f>
        <v>0</v>
      </c>
      <c r="T45" s="27">
        <f>'[3]    Stope Perfomance'!$E$16*35</f>
        <v>0</v>
      </c>
      <c r="U45" s="27">
        <f>'[3]    Stope Perfomance'!$E$16*35</f>
        <v>0</v>
      </c>
      <c r="V45" s="27">
        <f>'[3]    Stope Perfomance'!$E$16*35</f>
        <v>0</v>
      </c>
      <c r="W45" s="27">
        <f>'[3]    Stope Perfomance'!$E$16*35</f>
        <v>0</v>
      </c>
      <c r="X45" s="27">
        <f>'[3]    Stope Perfomance'!$E$16*35</f>
        <v>0</v>
      </c>
      <c r="Y45" s="27">
        <f>'[3]    Stope Perfomance'!$E$16*35</f>
        <v>0</v>
      </c>
      <c r="Z45" s="27">
        <f>'[3]    Stope Perfomance'!$E$16*35</f>
        <v>0</v>
      </c>
      <c r="AA45" s="27">
        <f>'[3]    Stope Perfomance'!$E$16*35</f>
        <v>0</v>
      </c>
      <c r="AB45" s="27">
        <f>'[3]    Stope Perfomance'!$E$16*35</f>
        <v>0</v>
      </c>
      <c r="AC45" s="27">
        <f>'[3]    Stope Perfomance'!$E$16*35</f>
        <v>0</v>
      </c>
      <c r="AD45" s="27">
        <f>'[3]    Stope Perfomance'!$E$16*35</f>
        <v>0</v>
      </c>
      <c r="AE45" s="27">
        <f>'[3]    Stope Perfomance'!$E$16*35</f>
        <v>0</v>
      </c>
      <c r="AF45" s="27">
        <f>'[3]    Stope Perfomance'!$E$16*35</f>
        <v>0</v>
      </c>
      <c r="AG45" s="27">
        <f>'[3]    Stope Perfomance'!$E$16*35</f>
        <v>0</v>
      </c>
      <c r="AH45" s="27">
        <f>'[3]    Stope Perfomance'!$E$16*35</f>
        <v>0</v>
      </c>
    </row>
    <row r="46" spans="1:34" hidden="1" outlineLevel="1">
      <c r="A46" s="3143" t="s">
        <v>1667</v>
      </c>
      <c r="B46" s="20" t="s">
        <v>1641</v>
      </c>
      <c r="C46" s="946">
        <f>IF(C45,SUMPRODUCT(D45:AH45,D46:AH46)/C45,0)</f>
        <v>0</v>
      </c>
      <c r="D46" s="29">
        <f>'[3]    Stope Perfomance'!$D$16</f>
        <v>0</v>
      </c>
      <c r="E46" s="29">
        <f>'[3]    Stope Perfomance'!$D$16</f>
        <v>0</v>
      </c>
      <c r="F46" s="29">
        <f>'[3]    Stope Perfomance'!$D$16</f>
        <v>0</v>
      </c>
      <c r="G46" s="29">
        <f>'[3]    Stope Perfomance'!$D$16</f>
        <v>0</v>
      </c>
      <c r="H46" s="29">
        <f>'[3]    Stope Perfomance'!$D$16</f>
        <v>0</v>
      </c>
      <c r="I46" s="29">
        <f>'[3]    Stope Perfomance'!$D$16</f>
        <v>0</v>
      </c>
      <c r="J46" s="29">
        <f>'[3]    Stope Perfomance'!$D$16</f>
        <v>0</v>
      </c>
      <c r="K46" s="29">
        <f>'[3]    Stope Perfomance'!$D$16</f>
        <v>0</v>
      </c>
      <c r="L46" s="29">
        <f>'[3]    Stope Perfomance'!$D$16</f>
        <v>0</v>
      </c>
      <c r="M46" s="29">
        <f>'[3]    Stope Perfomance'!$D$16</f>
        <v>0</v>
      </c>
      <c r="N46" s="2300">
        <f>'[3]    Stope Perfomance'!$D$16</f>
        <v>0</v>
      </c>
      <c r="O46" s="2300">
        <f>'[3]    Stope Perfomance'!$D$16</f>
        <v>0</v>
      </c>
      <c r="P46" s="29">
        <f>'[3]    Stope Perfomance'!$D$16</f>
        <v>0</v>
      </c>
      <c r="Q46" s="29">
        <f>'[3]    Stope Perfomance'!$D$16</f>
        <v>0</v>
      </c>
      <c r="R46" s="29">
        <f>'[3]    Stope Perfomance'!$D$16</f>
        <v>0</v>
      </c>
      <c r="S46" s="29">
        <f>'[3]    Stope Perfomance'!$D$16</f>
        <v>0</v>
      </c>
      <c r="T46" s="29">
        <f>'[3]    Stope Perfomance'!$D$16</f>
        <v>0</v>
      </c>
      <c r="U46" s="29">
        <f>'[3]    Stope Perfomance'!$D$16</f>
        <v>0</v>
      </c>
      <c r="V46" s="29">
        <f>'[3]    Stope Perfomance'!$D$16</f>
        <v>0</v>
      </c>
      <c r="W46" s="29">
        <f>'[3]    Stope Perfomance'!$D$16</f>
        <v>0</v>
      </c>
      <c r="X46" s="29">
        <f>'[3]    Stope Perfomance'!$D$16</f>
        <v>0</v>
      </c>
      <c r="Y46" s="29">
        <f>'[3]    Stope Perfomance'!$D$16</f>
        <v>0</v>
      </c>
      <c r="Z46" s="29">
        <f>'[3]    Stope Perfomance'!$D$16</f>
        <v>0</v>
      </c>
      <c r="AA46" s="29">
        <f>'[3]    Stope Perfomance'!$D$16</f>
        <v>0</v>
      </c>
      <c r="AB46" s="29">
        <f>'[3]    Stope Perfomance'!$D$16</f>
        <v>0</v>
      </c>
      <c r="AC46" s="29">
        <f>'[3]    Stope Perfomance'!$D$16</f>
        <v>0</v>
      </c>
      <c r="AD46" s="29">
        <f>'[3]    Stope Perfomance'!$D$16</f>
        <v>0</v>
      </c>
      <c r="AE46" s="29">
        <f>'[3]    Stope Perfomance'!$D$16</f>
        <v>0</v>
      </c>
      <c r="AF46" s="29">
        <f>'[3]    Stope Perfomance'!$D$16</f>
        <v>0</v>
      </c>
      <c r="AG46" s="29">
        <f>'[3]    Stope Perfomance'!$D$16</f>
        <v>0</v>
      </c>
      <c r="AH46" s="29">
        <f>'[3]    Stope Perfomance'!$D$16</f>
        <v>0</v>
      </c>
    </row>
    <row r="47" spans="1:34" s="28" customFormat="1" hidden="1" outlineLevel="1">
      <c r="A47" s="3143" t="s">
        <v>1668</v>
      </c>
      <c r="B47" s="26" t="s">
        <v>1644</v>
      </c>
      <c r="C47" s="1703">
        <f>SUM(D47:AH47)</f>
        <v>2030</v>
      </c>
      <c r="D47" s="27">
        <f>'[3]    Stope Perfomance'!$E$18*35</f>
        <v>70</v>
      </c>
      <c r="E47" s="27">
        <f>'[3]    Stope Perfomance'!$E$18*35</f>
        <v>70</v>
      </c>
      <c r="F47" s="27">
        <f>'[3]    Stope Perfomance'!$E$18*35</f>
        <v>70</v>
      </c>
      <c r="G47" s="27">
        <f>'[3]    Stope Perfomance'!$E$18*35</f>
        <v>70</v>
      </c>
      <c r="H47" s="27">
        <f>'[3]    Stope Perfomance'!$E$18*35</f>
        <v>70</v>
      </c>
      <c r="I47" s="27">
        <f>'[3]    Stope Perfomance'!$E$18*35</f>
        <v>70</v>
      </c>
      <c r="J47" s="27">
        <f>'[3]    Stope Perfomance'!$E$18*35</f>
        <v>70</v>
      </c>
      <c r="K47" s="27">
        <f>'[3]    Stope Perfomance'!$E$18*35</f>
        <v>70</v>
      </c>
      <c r="L47" s="27">
        <f>'[3]    Stope Perfomance'!$E$18*35</f>
        <v>70</v>
      </c>
      <c r="M47" s="27">
        <f>'[3]    Stope Perfomance'!$E$18*35</f>
        <v>70</v>
      </c>
      <c r="N47" s="2306"/>
      <c r="O47" s="2306"/>
      <c r="P47" s="27">
        <f>'[3]    Stope Perfomance'!$E$18*35</f>
        <v>70</v>
      </c>
      <c r="Q47" s="27">
        <f>'[3]    Stope Perfomance'!$E$18*35</f>
        <v>70</v>
      </c>
      <c r="R47" s="27">
        <f>'[3]    Stope Perfomance'!$E$18*35</f>
        <v>70</v>
      </c>
      <c r="S47" s="27">
        <f>'[3]    Stope Perfomance'!$E$18*35</f>
        <v>70</v>
      </c>
      <c r="T47" s="27">
        <f>'[3]    Stope Perfomance'!$E$18*35</f>
        <v>70</v>
      </c>
      <c r="U47" s="27">
        <f>'[3]    Stope Perfomance'!$E$18*35</f>
        <v>70</v>
      </c>
      <c r="V47" s="27">
        <f>'[3]    Stope Perfomance'!$E$18*35</f>
        <v>70</v>
      </c>
      <c r="W47" s="27">
        <f>'[3]    Stope Perfomance'!$E$18*35</f>
        <v>70</v>
      </c>
      <c r="X47" s="27">
        <f>'[3]    Stope Perfomance'!$E$18*35</f>
        <v>70</v>
      </c>
      <c r="Y47" s="27">
        <f>'[3]    Stope Perfomance'!$E$18*35</f>
        <v>70</v>
      </c>
      <c r="Z47" s="27">
        <f>'[3]    Stope Perfomance'!$E$18*35</f>
        <v>70</v>
      </c>
      <c r="AA47" s="27">
        <f>'[3]    Stope Perfomance'!$E$18*35</f>
        <v>70</v>
      </c>
      <c r="AB47" s="27">
        <f>'[3]    Stope Perfomance'!$E$18*35</f>
        <v>70</v>
      </c>
      <c r="AC47" s="27">
        <f>'[3]    Stope Perfomance'!$E$18*35</f>
        <v>70</v>
      </c>
      <c r="AD47" s="27">
        <f>'[3]    Stope Perfomance'!$E$18*35</f>
        <v>70</v>
      </c>
      <c r="AE47" s="27">
        <f>'[3]    Stope Perfomance'!$E$18*35</f>
        <v>70</v>
      </c>
      <c r="AF47" s="27">
        <f>'[3]    Stope Perfomance'!$E$18*35</f>
        <v>70</v>
      </c>
      <c r="AG47" s="27">
        <f>'[3]    Stope Perfomance'!$E$18*35</f>
        <v>70</v>
      </c>
      <c r="AH47" s="27">
        <f>'[3]    Stope Perfomance'!$E$18*35</f>
        <v>70</v>
      </c>
    </row>
    <row r="48" spans="1:34" hidden="1" outlineLevel="1">
      <c r="A48" s="3143"/>
      <c r="B48" s="38" t="s">
        <v>1641</v>
      </c>
      <c r="C48" s="946">
        <f>IF(C47,SUMPRODUCT(D47:AH47,D48:AH48)/C47,0)</f>
        <v>1.946261682242989</v>
      </c>
      <c r="D48" s="29">
        <f>'[3]    Stope Perfomance'!$D$18</f>
        <v>1.9462616822429906</v>
      </c>
      <c r="E48" s="29">
        <f>'[3]    Stope Perfomance'!$D$18</f>
        <v>1.9462616822429906</v>
      </c>
      <c r="F48" s="29">
        <f>'[3]    Stope Perfomance'!$D$18</f>
        <v>1.9462616822429906</v>
      </c>
      <c r="G48" s="29">
        <f>'[3]    Stope Perfomance'!$D$18</f>
        <v>1.9462616822429906</v>
      </c>
      <c r="H48" s="29">
        <f>'[3]    Stope Perfomance'!$D$18</f>
        <v>1.9462616822429906</v>
      </c>
      <c r="I48" s="29">
        <f>'[3]    Stope Perfomance'!$D$18</f>
        <v>1.9462616822429906</v>
      </c>
      <c r="J48" s="29">
        <f>'[3]    Stope Perfomance'!$D$18</f>
        <v>1.9462616822429906</v>
      </c>
      <c r="K48" s="29">
        <f>'[3]    Stope Perfomance'!$D$18</f>
        <v>1.9462616822429906</v>
      </c>
      <c r="L48" s="29">
        <f>'[3]    Stope Perfomance'!$D$18</f>
        <v>1.9462616822429906</v>
      </c>
      <c r="M48" s="29">
        <f>'[3]    Stope Perfomance'!$D$18</f>
        <v>1.9462616822429906</v>
      </c>
      <c r="N48" s="2300"/>
      <c r="O48" s="2300"/>
      <c r="P48" s="29">
        <f>'[3]    Stope Perfomance'!$D$18</f>
        <v>1.9462616822429906</v>
      </c>
      <c r="Q48" s="29">
        <f>'[3]    Stope Perfomance'!$D$18</f>
        <v>1.9462616822429906</v>
      </c>
      <c r="R48" s="29">
        <f>'[3]    Stope Perfomance'!$D$18</f>
        <v>1.9462616822429906</v>
      </c>
      <c r="S48" s="29">
        <f>'[3]    Stope Perfomance'!$D$18</f>
        <v>1.9462616822429906</v>
      </c>
      <c r="T48" s="29">
        <f>'[3]    Stope Perfomance'!$D$18</f>
        <v>1.9462616822429906</v>
      </c>
      <c r="U48" s="29">
        <f>'[3]    Stope Perfomance'!$D$18</f>
        <v>1.9462616822429906</v>
      </c>
      <c r="V48" s="29">
        <f>'[3]    Stope Perfomance'!$D$18</f>
        <v>1.9462616822429906</v>
      </c>
      <c r="W48" s="29">
        <f>'[3]    Stope Perfomance'!$D$18</f>
        <v>1.9462616822429906</v>
      </c>
      <c r="X48" s="29">
        <f>'[3]    Stope Perfomance'!$D$18</f>
        <v>1.9462616822429906</v>
      </c>
      <c r="Y48" s="29">
        <f>'[3]    Stope Perfomance'!$D$18</f>
        <v>1.9462616822429906</v>
      </c>
      <c r="Z48" s="29">
        <f>'[3]    Stope Perfomance'!$D$18</f>
        <v>1.9462616822429906</v>
      </c>
      <c r="AA48" s="29">
        <f>'[3]    Stope Perfomance'!$D$18</f>
        <v>1.9462616822429906</v>
      </c>
      <c r="AB48" s="29">
        <f>'[3]    Stope Perfomance'!$D$18</f>
        <v>1.9462616822429906</v>
      </c>
      <c r="AC48" s="29">
        <f>'[3]    Stope Perfomance'!$D$18</f>
        <v>1.9462616822429906</v>
      </c>
      <c r="AD48" s="29">
        <f>'[3]    Stope Perfomance'!$D$18</f>
        <v>1.9462616822429906</v>
      </c>
      <c r="AE48" s="29">
        <f>'[3]    Stope Perfomance'!$D$18</f>
        <v>1.9462616822429906</v>
      </c>
      <c r="AF48" s="29">
        <f>'[3]    Stope Perfomance'!$D$18</f>
        <v>1.9462616822429906</v>
      </c>
      <c r="AG48" s="29">
        <f>'[3]    Stope Perfomance'!$D$18</f>
        <v>1.9462616822429906</v>
      </c>
      <c r="AH48" s="29">
        <f>'[3]    Stope Perfomance'!$D$18</f>
        <v>1.9462616822429906</v>
      </c>
    </row>
    <row r="49" spans="1:34" s="258" customFormat="1" collapsed="1">
      <c r="A49" s="3146" t="s">
        <v>1669</v>
      </c>
      <c r="B49" s="256" t="s">
        <v>1646</v>
      </c>
      <c r="C49" s="943">
        <f>SUM(D49:AH49)</f>
        <v>2030</v>
      </c>
      <c r="D49" s="257">
        <f>D25+D29+D33+D35+D45+D47+D31+D37+D39+D41+D27+D43</f>
        <v>70</v>
      </c>
      <c r="E49" s="257">
        <f t="shared" ref="E49:AH49" si="8">E25+E29+E33+E35+E45+E47+E31+E37+E39+E41+E27+E43</f>
        <v>70</v>
      </c>
      <c r="F49" s="257">
        <f t="shared" si="8"/>
        <v>70</v>
      </c>
      <c r="G49" s="257">
        <f t="shared" si="8"/>
        <v>70</v>
      </c>
      <c r="H49" s="257">
        <f t="shared" si="8"/>
        <v>70</v>
      </c>
      <c r="I49" s="257">
        <f t="shared" si="8"/>
        <v>70</v>
      </c>
      <c r="J49" s="257">
        <f t="shared" si="8"/>
        <v>70</v>
      </c>
      <c r="K49" s="257">
        <f t="shared" si="8"/>
        <v>70</v>
      </c>
      <c r="L49" s="257">
        <f t="shared" si="8"/>
        <v>70</v>
      </c>
      <c r="M49" s="257">
        <f t="shared" si="8"/>
        <v>70</v>
      </c>
      <c r="N49" s="2297">
        <f t="shared" si="8"/>
        <v>0</v>
      </c>
      <c r="O49" s="2297">
        <f t="shared" si="8"/>
        <v>0</v>
      </c>
      <c r="P49" s="257">
        <f t="shared" si="8"/>
        <v>70</v>
      </c>
      <c r="Q49" s="257">
        <f t="shared" si="8"/>
        <v>70</v>
      </c>
      <c r="R49" s="257">
        <f t="shared" si="8"/>
        <v>70</v>
      </c>
      <c r="S49" s="257">
        <f t="shared" si="8"/>
        <v>70</v>
      </c>
      <c r="T49" s="257">
        <f t="shared" si="8"/>
        <v>70</v>
      </c>
      <c r="U49" s="257">
        <f t="shared" si="8"/>
        <v>70</v>
      </c>
      <c r="V49" s="257">
        <f t="shared" si="8"/>
        <v>70</v>
      </c>
      <c r="W49" s="257">
        <f t="shared" si="8"/>
        <v>70</v>
      </c>
      <c r="X49" s="257">
        <f t="shared" si="8"/>
        <v>70</v>
      </c>
      <c r="Y49" s="257">
        <f t="shared" si="8"/>
        <v>70</v>
      </c>
      <c r="Z49" s="257">
        <f t="shared" si="8"/>
        <v>70</v>
      </c>
      <c r="AA49" s="257">
        <f t="shared" si="8"/>
        <v>70</v>
      </c>
      <c r="AB49" s="257">
        <f t="shared" si="8"/>
        <v>70</v>
      </c>
      <c r="AC49" s="257">
        <f t="shared" si="8"/>
        <v>70</v>
      </c>
      <c r="AD49" s="257">
        <f t="shared" si="8"/>
        <v>70</v>
      </c>
      <c r="AE49" s="257">
        <f t="shared" si="8"/>
        <v>70</v>
      </c>
      <c r="AF49" s="257">
        <f t="shared" si="8"/>
        <v>70</v>
      </c>
      <c r="AG49" s="257">
        <f t="shared" si="8"/>
        <v>70</v>
      </c>
      <c r="AH49" s="257">
        <f t="shared" si="8"/>
        <v>70</v>
      </c>
    </row>
    <row r="50" spans="1:34" s="258" customFormat="1">
      <c r="A50" s="3146" t="s">
        <v>1667</v>
      </c>
      <c r="B50" s="256" t="s">
        <v>1641</v>
      </c>
      <c r="C50" s="952">
        <f>IF(C49,SUMPRODUCT(D49:AH49,D50:AH50)/C49,0)</f>
        <v>1.946261682242989</v>
      </c>
      <c r="D50" s="259">
        <f>+IF(D49,(D25*D26+D29*D30+D33*D34+D35*D36+D45*D46+D47*D48+D31*D32+D37*D38+D39*D40+D41*D42+D27*D28+D43*D44)/D49,0)</f>
        <v>1.9462616822429903</v>
      </c>
      <c r="E50" s="259">
        <f t="shared" ref="E50:AH50" si="9">+IF(E49,(E25*E26+E29*E30+E33*E34+E35*E36+E45*E46+E47*E48+E31*E32+E37*E38+E39*E40+E41*E42+E27*E28+E43*E44)/E49,0)</f>
        <v>1.9462616822429903</v>
      </c>
      <c r="F50" s="259">
        <f t="shared" si="9"/>
        <v>1.9462616822429903</v>
      </c>
      <c r="G50" s="259">
        <f t="shared" si="9"/>
        <v>1.9462616822429903</v>
      </c>
      <c r="H50" s="259">
        <f t="shared" si="9"/>
        <v>1.9462616822429903</v>
      </c>
      <c r="I50" s="259">
        <f t="shared" si="9"/>
        <v>1.9462616822429903</v>
      </c>
      <c r="J50" s="259">
        <f t="shared" si="9"/>
        <v>1.9462616822429903</v>
      </c>
      <c r="K50" s="259">
        <f t="shared" si="9"/>
        <v>1.9462616822429903</v>
      </c>
      <c r="L50" s="259">
        <f t="shared" si="9"/>
        <v>1.9462616822429903</v>
      </c>
      <c r="M50" s="259">
        <f t="shared" si="9"/>
        <v>1.9462616822429903</v>
      </c>
      <c r="N50" s="2298">
        <f t="shared" si="9"/>
        <v>0</v>
      </c>
      <c r="O50" s="2298">
        <f t="shared" si="9"/>
        <v>0</v>
      </c>
      <c r="P50" s="259">
        <f t="shared" si="9"/>
        <v>1.9462616822429903</v>
      </c>
      <c r="Q50" s="259">
        <f t="shared" si="9"/>
        <v>1.9462616822429903</v>
      </c>
      <c r="R50" s="259">
        <f t="shared" si="9"/>
        <v>1.9462616822429903</v>
      </c>
      <c r="S50" s="259">
        <f t="shared" si="9"/>
        <v>1.9462616822429903</v>
      </c>
      <c r="T50" s="259">
        <f t="shared" si="9"/>
        <v>1.9462616822429903</v>
      </c>
      <c r="U50" s="259">
        <f t="shared" si="9"/>
        <v>1.9462616822429903</v>
      </c>
      <c r="V50" s="259">
        <f t="shared" si="9"/>
        <v>1.9462616822429903</v>
      </c>
      <c r="W50" s="259">
        <f t="shared" si="9"/>
        <v>1.9462616822429903</v>
      </c>
      <c r="X50" s="259">
        <f t="shared" si="9"/>
        <v>1.9462616822429903</v>
      </c>
      <c r="Y50" s="259">
        <f t="shared" si="9"/>
        <v>1.9462616822429903</v>
      </c>
      <c r="Z50" s="259">
        <f t="shared" si="9"/>
        <v>1.9462616822429903</v>
      </c>
      <c r="AA50" s="259">
        <f t="shared" si="9"/>
        <v>1.9462616822429903</v>
      </c>
      <c r="AB50" s="259">
        <f t="shared" si="9"/>
        <v>1.9462616822429903</v>
      </c>
      <c r="AC50" s="259">
        <f t="shared" si="9"/>
        <v>1.9462616822429903</v>
      </c>
      <c r="AD50" s="259">
        <f t="shared" si="9"/>
        <v>1.9462616822429903</v>
      </c>
      <c r="AE50" s="259">
        <f t="shared" si="9"/>
        <v>1.9462616822429903</v>
      </c>
      <c r="AF50" s="259">
        <f t="shared" si="9"/>
        <v>1.9462616822429903</v>
      </c>
      <c r="AG50" s="259">
        <f t="shared" si="9"/>
        <v>1.9462616822429903</v>
      </c>
      <c r="AH50" s="259">
        <f t="shared" si="9"/>
        <v>1.9462616822429903</v>
      </c>
    </row>
    <row r="51" spans="1:34" s="262" customFormat="1" hidden="1" outlineLevel="1">
      <c r="A51" s="3144" t="s">
        <v>1670</v>
      </c>
      <c r="B51" s="38" t="s">
        <v>1644</v>
      </c>
      <c r="C51" s="947">
        <f>SUM(D51:AH51)</f>
        <v>0</v>
      </c>
      <c r="D51" s="253">
        <f>'[3]    Stope Perfomance'!$E$20*35</f>
        <v>0</v>
      </c>
      <c r="E51" s="253">
        <f>'[3]    Stope Perfomance'!$E$20*35</f>
        <v>0</v>
      </c>
      <c r="F51" s="253">
        <f>'[3]    Stope Perfomance'!$E$20*35</f>
        <v>0</v>
      </c>
      <c r="G51" s="253">
        <f>'[3]    Stope Perfomance'!$E$20*35</f>
        <v>0</v>
      </c>
      <c r="H51" s="253">
        <f>'[3]    Stope Perfomance'!$E$20*35</f>
        <v>0</v>
      </c>
      <c r="I51" s="253">
        <f>'[3]    Stope Perfomance'!$E$20*35</f>
        <v>0</v>
      </c>
      <c r="J51" s="253">
        <f>'[3]    Stope Perfomance'!$E$20*35</f>
        <v>0</v>
      </c>
      <c r="K51" s="21">
        <f>'[3]    Stope Perfomance'!$E$20*35</f>
        <v>0</v>
      </c>
      <c r="L51" s="253">
        <f>'[3]    Stope Perfomance'!$E$20*35</f>
        <v>0</v>
      </c>
      <c r="M51" s="253">
        <f>'[3]    Stope Perfomance'!$E$20*35</f>
        <v>0</v>
      </c>
      <c r="N51" s="2299">
        <f>'[3]    Stope Perfomance'!$E$20*35</f>
        <v>0</v>
      </c>
      <c r="O51" s="2299">
        <f>'[3]    Stope Perfomance'!$E$20*35</f>
        <v>0</v>
      </c>
      <c r="P51" s="253">
        <f>'[3]    Stope Perfomance'!$E$20*35</f>
        <v>0</v>
      </c>
      <c r="Q51" s="253">
        <f>'[3]    Stope Perfomance'!$E$20*35</f>
        <v>0</v>
      </c>
      <c r="R51" s="253">
        <f>'[3]    Stope Perfomance'!$E$20*35</f>
        <v>0</v>
      </c>
      <c r="S51" s="253">
        <f>'[3]    Stope Perfomance'!$E$20*35</f>
        <v>0</v>
      </c>
      <c r="T51" s="253">
        <f>'[3]    Stope Perfomance'!$E$20*35</f>
        <v>0</v>
      </c>
      <c r="U51" s="253">
        <f>'[3]    Stope Perfomance'!$E$20*35</f>
        <v>0</v>
      </c>
      <c r="V51" s="253">
        <f>'[3]    Stope Perfomance'!$E$20*35</f>
        <v>0</v>
      </c>
      <c r="W51" s="253">
        <f>'[3]    Stope Perfomance'!$E$20*35</f>
        <v>0</v>
      </c>
      <c r="X51" s="253">
        <f>'[3]    Stope Perfomance'!$E$20*35</f>
        <v>0</v>
      </c>
      <c r="Y51" s="253">
        <f>'[3]    Stope Perfomance'!$E$20*35</f>
        <v>0</v>
      </c>
      <c r="Z51" s="253">
        <f>'[3]    Stope Perfomance'!$E$20*35</f>
        <v>0</v>
      </c>
      <c r="AA51" s="253">
        <f>'[3]    Stope Perfomance'!$E$20*35</f>
        <v>0</v>
      </c>
      <c r="AB51" s="253">
        <f>'[3]    Stope Perfomance'!$E$20*35</f>
        <v>0</v>
      </c>
      <c r="AC51" s="21">
        <f>'[3]    Stope Perfomance'!$E$20*35</f>
        <v>0</v>
      </c>
      <c r="AD51" s="253">
        <f>'[3]    Stope Perfomance'!$E$20*35</f>
        <v>0</v>
      </c>
      <c r="AE51" s="253">
        <f>'[3]    Stope Perfomance'!$E$20*35</f>
        <v>0</v>
      </c>
      <c r="AF51" s="253">
        <f>'[3]    Stope Perfomance'!$E$20*35</f>
        <v>0</v>
      </c>
      <c r="AG51" s="253">
        <f>'[3]    Stope Perfomance'!$E$20*35</f>
        <v>0</v>
      </c>
      <c r="AH51" s="253">
        <f>'[3]    Stope Perfomance'!$E$20*35</f>
        <v>0</v>
      </c>
    </row>
    <row r="52" spans="1:34" s="262" customFormat="1" hidden="1" outlineLevel="1">
      <c r="A52" s="3145"/>
      <c r="B52" s="263" t="s">
        <v>1641</v>
      </c>
      <c r="C52" s="953">
        <f>IF(C51,SUMPRODUCT(D51:AH51,D52:AH52)/C51,0)</f>
        <v>0</v>
      </c>
      <c r="D52" s="254">
        <f>'[3]    Stope Perfomance'!$C$20</f>
        <v>0</v>
      </c>
      <c r="E52" s="254">
        <f>'[3]    Stope Perfomance'!$C$20</f>
        <v>0</v>
      </c>
      <c r="F52" s="254">
        <f>'[3]    Stope Perfomance'!$C$20</f>
        <v>0</v>
      </c>
      <c r="G52" s="254">
        <f>'[3]    Stope Perfomance'!$C$20</f>
        <v>0</v>
      </c>
      <c r="H52" s="254">
        <f>'[3]    Stope Perfomance'!$C$20</f>
        <v>0</v>
      </c>
      <c r="I52" s="254">
        <f>'[3]    Stope Perfomance'!$C$20</f>
        <v>0</v>
      </c>
      <c r="J52" s="254">
        <f>'[3]    Stope Perfomance'!$C$20</f>
        <v>0</v>
      </c>
      <c r="K52" s="29">
        <f>'[3]    Stope Perfomance'!$C$20</f>
        <v>0</v>
      </c>
      <c r="L52" s="254">
        <f>'[3]    Stope Perfomance'!$C$20</f>
        <v>0</v>
      </c>
      <c r="M52" s="254">
        <f>'[3]    Stope Perfomance'!$C$20</f>
        <v>0</v>
      </c>
      <c r="N52" s="2300">
        <f>'[3]    Stope Perfomance'!$C$20</f>
        <v>0</v>
      </c>
      <c r="O52" s="2300">
        <f>'[3]    Stope Perfomance'!$C$20</f>
        <v>0</v>
      </c>
      <c r="P52" s="254">
        <f>'[3]    Stope Perfomance'!$C$20</f>
        <v>0</v>
      </c>
      <c r="Q52" s="254">
        <f>'[3]    Stope Perfomance'!$C$20</f>
        <v>0</v>
      </c>
      <c r="R52" s="254">
        <f>'[3]    Stope Perfomance'!$C$20</f>
        <v>0</v>
      </c>
      <c r="S52" s="254">
        <f>'[3]    Stope Perfomance'!$C$20</f>
        <v>0</v>
      </c>
      <c r="T52" s="254">
        <f>'[3]    Stope Perfomance'!$C$20</f>
        <v>0</v>
      </c>
      <c r="U52" s="254">
        <f>'[3]    Stope Perfomance'!$C$20</f>
        <v>0</v>
      </c>
      <c r="V52" s="254">
        <f>'[3]    Stope Perfomance'!$C$20</f>
        <v>0</v>
      </c>
      <c r="W52" s="254">
        <f>'[3]    Stope Perfomance'!$C$20</f>
        <v>0</v>
      </c>
      <c r="X52" s="254">
        <f>'[3]    Stope Perfomance'!$C$20</f>
        <v>0</v>
      </c>
      <c r="Y52" s="254">
        <f>'[3]    Stope Perfomance'!$C$20</f>
        <v>0</v>
      </c>
      <c r="Z52" s="254">
        <f>'[3]    Stope Perfomance'!$C$20</f>
        <v>0</v>
      </c>
      <c r="AA52" s="254">
        <f>'[3]    Stope Perfomance'!$C$20</f>
        <v>0</v>
      </c>
      <c r="AB52" s="254">
        <f>'[3]    Stope Perfomance'!$C$20</f>
        <v>0</v>
      </c>
      <c r="AC52" s="29">
        <f>'[3]    Stope Perfomance'!$C$20</f>
        <v>0</v>
      </c>
      <c r="AD52" s="254">
        <f>'[3]    Stope Perfomance'!$C$20</f>
        <v>0</v>
      </c>
      <c r="AE52" s="254">
        <f>'[3]    Stope Perfomance'!$C$20</f>
        <v>0</v>
      </c>
      <c r="AF52" s="254">
        <f>'[3]    Stope Perfomance'!$C$20</f>
        <v>0</v>
      </c>
      <c r="AG52" s="254">
        <f>'[3]    Stope Perfomance'!$C$20</f>
        <v>0</v>
      </c>
      <c r="AH52" s="254">
        <f>'[3]    Stope Perfomance'!$C$20</f>
        <v>0</v>
      </c>
    </row>
    <row r="53" spans="1:34" s="559" customFormat="1" outlineLevel="1">
      <c r="A53" s="3144" t="s">
        <v>1671</v>
      </c>
      <c r="B53" s="252" t="s">
        <v>1644</v>
      </c>
      <c r="C53" s="954">
        <f>SUM(D53:AH53)</f>
        <v>3045</v>
      </c>
      <c r="D53" s="261">
        <f>'[3]    Stope Perfomance'!$E$22*35</f>
        <v>105</v>
      </c>
      <c r="E53" s="261">
        <f>'[3]    Stope Perfomance'!$E$22*35</f>
        <v>105</v>
      </c>
      <c r="F53" s="261">
        <f>'[3]    Stope Perfomance'!$E$22*35</f>
        <v>105</v>
      </c>
      <c r="G53" s="261">
        <f>'[3]    Stope Perfomance'!$E$22*35</f>
        <v>105</v>
      </c>
      <c r="H53" s="261">
        <f>'[3]    Stope Perfomance'!$E$22*35</f>
        <v>105</v>
      </c>
      <c r="I53" s="261">
        <f>'[3]    Stope Perfomance'!$E$22*35</f>
        <v>105</v>
      </c>
      <c r="J53" s="261">
        <f>'[3]    Stope Perfomance'!$E$22*35</f>
        <v>105</v>
      </c>
      <c r="K53" s="261">
        <f>'[3]    Stope Perfomance'!$E$22*35</f>
        <v>105</v>
      </c>
      <c r="L53" s="261">
        <f>'[3]    Stope Perfomance'!$E$22*35</f>
        <v>105</v>
      </c>
      <c r="M53" s="261">
        <f>'[3]    Stope Perfomance'!$E$22*35</f>
        <v>105</v>
      </c>
      <c r="N53" s="2306"/>
      <c r="O53" s="2306"/>
      <c r="P53" s="261">
        <f>'[3]    Stope Perfomance'!$E$22*35</f>
        <v>105</v>
      </c>
      <c r="Q53" s="261">
        <f>'[3]    Stope Perfomance'!$E$22*35</f>
        <v>105</v>
      </c>
      <c r="R53" s="261">
        <f>'[3]    Stope Perfomance'!$E$22*35</f>
        <v>105</v>
      </c>
      <c r="S53" s="261">
        <f>'[3]    Stope Perfomance'!$E$22*35</f>
        <v>105</v>
      </c>
      <c r="T53" s="261">
        <f>'[3]    Stope Perfomance'!$E$22*35</f>
        <v>105</v>
      </c>
      <c r="U53" s="261">
        <f>'[3]    Stope Perfomance'!$E$22*35</f>
        <v>105</v>
      </c>
      <c r="V53" s="261">
        <f>'[3]    Stope Perfomance'!$E$22*35</f>
        <v>105</v>
      </c>
      <c r="W53" s="261">
        <f>'[3]    Stope Perfomance'!$E$22*35</f>
        <v>105</v>
      </c>
      <c r="X53" s="261">
        <f>'[3]    Stope Perfomance'!$E$22*35</f>
        <v>105</v>
      </c>
      <c r="Y53" s="261">
        <f>'[3]    Stope Perfomance'!$E$22*35</f>
        <v>105</v>
      </c>
      <c r="Z53" s="261">
        <f>'[3]    Stope Perfomance'!$E$22*35</f>
        <v>105</v>
      </c>
      <c r="AA53" s="261">
        <f>'[3]    Stope Perfomance'!$E$22*35</f>
        <v>105</v>
      </c>
      <c r="AB53" s="261">
        <f>'[3]    Stope Perfomance'!$E$22*35</f>
        <v>105</v>
      </c>
      <c r="AC53" s="27">
        <f>'[3]    Stope Perfomance'!$E$22*35</f>
        <v>105</v>
      </c>
      <c r="AD53" s="261">
        <f>'[3]    Stope Perfomance'!$E$22*35</f>
        <v>105</v>
      </c>
      <c r="AE53" s="261">
        <f>'[3]    Stope Perfomance'!$E$22*35</f>
        <v>105</v>
      </c>
      <c r="AF53" s="261">
        <f>'[3]    Stope Perfomance'!$E$22*35</f>
        <v>105</v>
      </c>
      <c r="AG53" s="261">
        <f>'[3]    Stope Perfomance'!$E$22*35</f>
        <v>105</v>
      </c>
      <c r="AH53" s="261">
        <f>'[3]    Stope Perfomance'!$E$22*35</f>
        <v>105</v>
      </c>
    </row>
    <row r="54" spans="1:34" s="262" customFormat="1" outlineLevel="1">
      <c r="A54" s="3145"/>
      <c r="B54" s="263" t="s">
        <v>1641</v>
      </c>
      <c r="C54" s="953">
        <f>IF(C53,SUMPRODUCT(D53:AH53,D54:AH54)/C53,0)</f>
        <v>1.8271028037383168</v>
      </c>
      <c r="D54" s="254">
        <f>'[3]    Stope Perfomance'!$D$22</f>
        <v>1.8271028037383175</v>
      </c>
      <c r="E54" s="254">
        <f>'[3]    Stope Perfomance'!$D$22</f>
        <v>1.8271028037383175</v>
      </c>
      <c r="F54" s="254">
        <f>'[3]    Stope Perfomance'!$D$22</f>
        <v>1.8271028037383175</v>
      </c>
      <c r="G54" s="254">
        <f>'[3]    Stope Perfomance'!$D$22</f>
        <v>1.8271028037383175</v>
      </c>
      <c r="H54" s="254">
        <f>'[3]    Stope Perfomance'!$D$22</f>
        <v>1.8271028037383175</v>
      </c>
      <c r="I54" s="254">
        <f>'[3]    Stope Perfomance'!$D$22</f>
        <v>1.8271028037383175</v>
      </c>
      <c r="J54" s="254">
        <f>'[3]    Stope Perfomance'!$D$22</f>
        <v>1.8271028037383175</v>
      </c>
      <c r="K54" s="254">
        <f>'[3]    Stope Perfomance'!$D$22</f>
        <v>1.8271028037383175</v>
      </c>
      <c r="L54" s="254">
        <f>'[3]    Stope Perfomance'!$D$22</f>
        <v>1.8271028037383175</v>
      </c>
      <c r="M54" s="254">
        <f>'[3]    Stope Perfomance'!$D$22</f>
        <v>1.8271028037383175</v>
      </c>
      <c r="N54" s="2300"/>
      <c r="O54" s="2300"/>
      <c r="P54" s="254">
        <f>'[3]    Stope Perfomance'!$D$22</f>
        <v>1.8271028037383175</v>
      </c>
      <c r="Q54" s="254">
        <f>'[3]    Stope Perfomance'!$D$22</f>
        <v>1.8271028037383175</v>
      </c>
      <c r="R54" s="254">
        <f>'[3]    Stope Perfomance'!$D$22</f>
        <v>1.8271028037383175</v>
      </c>
      <c r="S54" s="254">
        <f>'[3]    Stope Perfomance'!$D$22</f>
        <v>1.8271028037383175</v>
      </c>
      <c r="T54" s="254">
        <f>'[3]    Stope Perfomance'!$D$22</f>
        <v>1.8271028037383175</v>
      </c>
      <c r="U54" s="254">
        <f>'[3]    Stope Perfomance'!$D$22</f>
        <v>1.8271028037383175</v>
      </c>
      <c r="V54" s="254">
        <f>'[3]    Stope Perfomance'!$D$22</f>
        <v>1.8271028037383175</v>
      </c>
      <c r="W54" s="254">
        <f>'[3]    Stope Perfomance'!$D$22</f>
        <v>1.8271028037383175</v>
      </c>
      <c r="X54" s="254">
        <f>'[3]    Stope Perfomance'!$D$22</f>
        <v>1.8271028037383175</v>
      </c>
      <c r="Y54" s="254">
        <f>'[3]    Stope Perfomance'!$D$22</f>
        <v>1.8271028037383175</v>
      </c>
      <c r="Z54" s="254">
        <f>'[3]    Stope Perfomance'!$D$22</f>
        <v>1.8271028037383175</v>
      </c>
      <c r="AA54" s="254">
        <f>'[3]    Stope Perfomance'!$D$22</f>
        <v>1.8271028037383175</v>
      </c>
      <c r="AB54" s="254">
        <f>'[3]    Stope Perfomance'!$D$22</f>
        <v>1.8271028037383175</v>
      </c>
      <c r="AC54" s="29">
        <f>'[3]    Stope Perfomance'!$D$22</f>
        <v>1.8271028037383175</v>
      </c>
      <c r="AD54" s="254">
        <f>'[3]    Stope Perfomance'!$D$22</f>
        <v>1.8271028037383175</v>
      </c>
      <c r="AE54" s="254">
        <f>'[3]    Stope Perfomance'!$D$22</f>
        <v>1.8271028037383175</v>
      </c>
      <c r="AF54" s="254">
        <f>'[3]    Stope Perfomance'!$D$22</f>
        <v>1.8271028037383175</v>
      </c>
      <c r="AG54" s="254">
        <f>'[3]    Stope Perfomance'!$D$22</f>
        <v>1.8271028037383175</v>
      </c>
      <c r="AH54" s="254">
        <f>'[3]    Stope Perfomance'!$D$22</f>
        <v>1.8271028037383175</v>
      </c>
    </row>
    <row r="55" spans="1:34" outlineLevel="1">
      <c r="A55" s="3120" t="s">
        <v>1672</v>
      </c>
      <c r="B55" s="20" t="s">
        <v>1644</v>
      </c>
      <c r="C55" s="954">
        <f>SUM(D55:AH55)</f>
        <v>2030</v>
      </c>
      <c r="D55" s="27">
        <f>'[3]    Stope Perfomance'!$E$23*35</f>
        <v>70</v>
      </c>
      <c r="E55" s="27">
        <f>'[3]    Stope Perfomance'!$E$23*35</f>
        <v>70</v>
      </c>
      <c r="F55" s="27">
        <f>'[3]    Stope Perfomance'!$E$23*35</f>
        <v>70</v>
      </c>
      <c r="G55" s="27">
        <f>'[3]    Stope Perfomance'!$E$23*35</f>
        <v>70</v>
      </c>
      <c r="H55" s="27">
        <f>'[3]    Stope Perfomance'!$E$23*35</f>
        <v>70</v>
      </c>
      <c r="I55" s="27">
        <f>'[3]    Stope Perfomance'!$E$23*35</f>
        <v>70</v>
      </c>
      <c r="J55" s="27">
        <f>'[3]    Stope Perfomance'!$E$23*35</f>
        <v>70</v>
      </c>
      <c r="K55" s="27">
        <f>'[3]    Stope Perfomance'!$E$23*35</f>
        <v>70</v>
      </c>
      <c r="L55" s="27">
        <f>'[3]    Stope Perfomance'!$E$23*35</f>
        <v>70</v>
      </c>
      <c r="M55" s="27">
        <f>'[3]    Stope Perfomance'!$E$23*35</f>
        <v>70</v>
      </c>
      <c r="N55" s="2306"/>
      <c r="O55" s="2306"/>
      <c r="P55" s="27">
        <f>'[3]    Stope Perfomance'!$E$23*35</f>
        <v>70</v>
      </c>
      <c r="Q55" s="27">
        <f>'[3]    Stope Perfomance'!$E$23*35</f>
        <v>70</v>
      </c>
      <c r="R55" s="27">
        <f>'[3]    Stope Perfomance'!$E$23*35</f>
        <v>70</v>
      </c>
      <c r="S55" s="27">
        <f>'[3]    Stope Perfomance'!$E$23*35</f>
        <v>70</v>
      </c>
      <c r="T55" s="27">
        <f>'[3]    Stope Perfomance'!$E$23*35</f>
        <v>70</v>
      </c>
      <c r="U55" s="27">
        <f>'[3]    Stope Perfomance'!$E$23*35</f>
        <v>70</v>
      </c>
      <c r="V55" s="27">
        <f>'[3]    Stope Perfomance'!$E$23*35</f>
        <v>70</v>
      </c>
      <c r="W55" s="27">
        <f>'[3]    Stope Perfomance'!$E$23*35</f>
        <v>70</v>
      </c>
      <c r="X55" s="27">
        <f>'[3]    Stope Perfomance'!$E$23*35</f>
        <v>70</v>
      </c>
      <c r="Y55" s="27">
        <f>'[3]    Stope Perfomance'!$E$23*35</f>
        <v>70</v>
      </c>
      <c r="Z55" s="27">
        <f>'[3]    Stope Perfomance'!$E$23*35</f>
        <v>70</v>
      </c>
      <c r="AA55" s="27">
        <f>'[3]    Stope Perfomance'!$E$23*35</f>
        <v>70</v>
      </c>
      <c r="AB55" s="27">
        <f>'[3]    Stope Perfomance'!$E$23*35</f>
        <v>70</v>
      </c>
      <c r="AC55" s="27">
        <f>'[3]    Stope Perfomance'!$E$23*35</f>
        <v>70</v>
      </c>
      <c r="AD55" s="27">
        <f>'[3]    Stope Perfomance'!$E$23*35</f>
        <v>70</v>
      </c>
      <c r="AE55" s="27">
        <f>'[3]    Stope Perfomance'!$E$23*35</f>
        <v>70</v>
      </c>
      <c r="AF55" s="27">
        <f>'[3]    Stope Perfomance'!$E$23*35</f>
        <v>70</v>
      </c>
      <c r="AG55" s="27">
        <f>'[3]    Stope Perfomance'!$E$23*35</f>
        <v>70</v>
      </c>
      <c r="AH55" s="27">
        <f>'[3]    Stope Perfomance'!$E$23*35</f>
        <v>70</v>
      </c>
    </row>
    <row r="56" spans="1:34" outlineLevel="1">
      <c r="A56" s="3120"/>
      <c r="B56" s="20" t="s">
        <v>1641</v>
      </c>
      <c r="C56" s="953">
        <f>IF(C55,SUMPRODUCT(D55:AH55,D56:AH56)/C55,0)</f>
        <v>1.7476635514018701</v>
      </c>
      <c r="D56" s="29">
        <f>'[3]    Stope Perfomance'!$D$23</f>
        <v>1.7476635514018692</v>
      </c>
      <c r="E56" s="29">
        <f>'[3]    Stope Perfomance'!$D$23</f>
        <v>1.7476635514018692</v>
      </c>
      <c r="F56" s="29">
        <f>'[3]    Stope Perfomance'!$D$23</f>
        <v>1.7476635514018692</v>
      </c>
      <c r="G56" s="29">
        <f>'[3]    Stope Perfomance'!$D$23</f>
        <v>1.7476635514018692</v>
      </c>
      <c r="H56" s="29">
        <f>'[3]    Stope Perfomance'!$D$23</f>
        <v>1.7476635514018692</v>
      </c>
      <c r="I56" s="29">
        <f>'[3]    Stope Perfomance'!$D$23</f>
        <v>1.7476635514018692</v>
      </c>
      <c r="J56" s="29">
        <f>'[3]    Stope Perfomance'!$D$23</f>
        <v>1.7476635514018692</v>
      </c>
      <c r="K56" s="29">
        <f>'[3]    Stope Perfomance'!$D$23</f>
        <v>1.7476635514018692</v>
      </c>
      <c r="L56" s="29">
        <f>'[3]    Stope Perfomance'!$D$23</f>
        <v>1.7476635514018692</v>
      </c>
      <c r="M56" s="29">
        <f>'[3]    Stope Perfomance'!$D$23</f>
        <v>1.7476635514018692</v>
      </c>
      <c r="N56" s="2300"/>
      <c r="O56" s="2300"/>
      <c r="P56" s="29">
        <f>'[3]    Stope Perfomance'!$D$23</f>
        <v>1.7476635514018692</v>
      </c>
      <c r="Q56" s="29">
        <f>'[3]    Stope Perfomance'!$D$23</f>
        <v>1.7476635514018692</v>
      </c>
      <c r="R56" s="29">
        <f>'[3]    Stope Perfomance'!$D$23</f>
        <v>1.7476635514018692</v>
      </c>
      <c r="S56" s="29">
        <f>'[3]    Stope Perfomance'!$D$23</f>
        <v>1.7476635514018692</v>
      </c>
      <c r="T56" s="29">
        <f>'[3]    Stope Perfomance'!$D$23</f>
        <v>1.7476635514018692</v>
      </c>
      <c r="U56" s="29">
        <f>'[3]    Stope Perfomance'!$D$23</f>
        <v>1.7476635514018692</v>
      </c>
      <c r="V56" s="29">
        <f>'[3]    Stope Perfomance'!$D$23</f>
        <v>1.7476635514018692</v>
      </c>
      <c r="W56" s="29">
        <f>'[3]    Stope Perfomance'!$D$23</f>
        <v>1.7476635514018692</v>
      </c>
      <c r="X56" s="29">
        <f>'[3]    Stope Perfomance'!$D$23</f>
        <v>1.7476635514018692</v>
      </c>
      <c r="Y56" s="29">
        <f>'[3]    Stope Perfomance'!$D$23</f>
        <v>1.7476635514018692</v>
      </c>
      <c r="Z56" s="29">
        <f>'[3]    Stope Perfomance'!$D$23</f>
        <v>1.7476635514018692</v>
      </c>
      <c r="AA56" s="29">
        <f>'[3]    Stope Perfomance'!$D$23</f>
        <v>1.7476635514018692</v>
      </c>
      <c r="AB56" s="29">
        <f>'[3]    Stope Perfomance'!$D$23</f>
        <v>1.7476635514018692</v>
      </c>
      <c r="AC56" s="29">
        <f>'[3]    Stope Perfomance'!$D$23</f>
        <v>1.7476635514018692</v>
      </c>
      <c r="AD56" s="29">
        <f>'[3]    Stope Perfomance'!$D$23</f>
        <v>1.7476635514018692</v>
      </c>
      <c r="AE56" s="29">
        <f>'[3]    Stope Perfomance'!$D$23</f>
        <v>1.7476635514018692</v>
      </c>
      <c r="AF56" s="29">
        <f>'[3]    Stope Perfomance'!$D$23</f>
        <v>1.7476635514018692</v>
      </c>
      <c r="AG56" s="29">
        <f>'[3]    Stope Perfomance'!$D$23</f>
        <v>1.7476635514018692</v>
      </c>
      <c r="AH56" s="29">
        <f>'[3]    Stope Perfomance'!$D$23</f>
        <v>1.7476635514018692</v>
      </c>
    </row>
    <row r="57" spans="1:34" s="262" customFormat="1" hidden="1" outlineLevel="1">
      <c r="A57" s="264"/>
      <c r="B57" s="263"/>
      <c r="C57" s="954">
        <f t="shared" ref="C57" si="10">SUM(D57:AH57)</f>
        <v>0</v>
      </c>
      <c r="D57" s="254"/>
      <c r="E57" s="254"/>
      <c r="F57" s="254"/>
      <c r="G57" s="254"/>
      <c r="H57" s="254"/>
      <c r="I57" s="254"/>
      <c r="J57" s="254"/>
      <c r="K57" s="29"/>
      <c r="L57" s="254"/>
      <c r="M57" s="254"/>
      <c r="N57" s="2300"/>
      <c r="O57" s="2300"/>
      <c r="P57" s="254"/>
      <c r="Q57" s="254"/>
      <c r="R57" s="254"/>
      <c r="S57" s="254"/>
      <c r="T57" s="254"/>
      <c r="U57" s="254"/>
      <c r="V57" s="254"/>
      <c r="W57" s="254"/>
      <c r="X57" s="254"/>
      <c r="Y57" s="254"/>
      <c r="Z57" s="254"/>
      <c r="AA57" s="254"/>
      <c r="AB57" s="254"/>
      <c r="AC57" s="29"/>
      <c r="AD57" s="254"/>
      <c r="AE57" s="254"/>
      <c r="AF57" s="254"/>
      <c r="AG57" s="254"/>
      <c r="AH57" s="254"/>
    </row>
    <row r="58" spans="1:34" s="262" customFormat="1" hidden="1" outlineLevel="1">
      <c r="A58" s="264"/>
      <c r="B58" s="263"/>
      <c r="C58" s="953"/>
      <c r="D58" s="254"/>
      <c r="E58" s="254"/>
      <c r="F58" s="254"/>
      <c r="G58" s="254"/>
      <c r="H58" s="254"/>
      <c r="I58" s="254"/>
      <c r="J58" s="254"/>
      <c r="K58" s="29"/>
      <c r="L58" s="254"/>
      <c r="M58" s="254"/>
      <c r="N58" s="2300"/>
      <c r="O58" s="2300"/>
      <c r="P58" s="254"/>
      <c r="Q58" s="254"/>
      <c r="R58" s="254"/>
      <c r="S58" s="254"/>
      <c r="T58" s="254"/>
      <c r="U58" s="254"/>
      <c r="V58" s="254"/>
      <c r="W58" s="254"/>
      <c r="X58" s="254"/>
      <c r="Y58" s="254"/>
      <c r="Z58" s="254"/>
      <c r="AA58" s="254"/>
      <c r="AB58" s="254"/>
      <c r="AC58" s="29"/>
      <c r="AD58" s="254"/>
      <c r="AE58" s="254"/>
      <c r="AF58" s="254"/>
      <c r="AG58" s="254"/>
      <c r="AH58" s="254"/>
    </row>
    <row r="59" spans="1:34" s="560" customFormat="1">
      <c r="A59" s="3147" t="s">
        <v>1673</v>
      </c>
      <c r="B59" s="257" t="s">
        <v>1646</v>
      </c>
      <c r="C59" s="1704">
        <f>SUM(D59:AH59)</f>
        <v>5075</v>
      </c>
      <c r="D59" s="257">
        <f>+D55+D51+D53</f>
        <v>175</v>
      </c>
      <c r="E59" s="257">
        <f t="shared" ref="E59:AH59" si="11">+E55+E51+E53</f>
        <v>175</v>
      </c>
      <c r="F59" s="257">
        <f t="shared" si="11"/>
        <v>175</v>
      </c>
      <c r="G59" s="257">
        <f t="shared" si="11"/>
        <v>175</v>
      </c>
      <c r="H59" s="257">
        <f t="shared" si="11"/>
        <v>175</v>
      </c>
      <c r="I59" s="257">
        <f t="shared" si="11"/>
        <v>175</v>
      </c>
      <c r="J59" s="257">
        <f t="shared" si="11"/>
        <v>175</v>
      </c>
      <c r="K59" s="257">
        <f t="shared" si="11"/>
        <v>175</v>
      </c>
      <c r="L59" s="257">
        <f t="shared" si="11"/>
        <v>175</v>
      </c>
      <c r="M59" s="257">
        <f t="shared" si="11"/>
        <v>175</v>
      </c>
      <c r="N59" s="2297">
        <f t="shared" si="11"/>
        <v>0</v>
      </c>
      <c r="O59" s="2297">
        <f t="shared" si="11"/>
        <v>0</v>
      </c>
      <c r="P59" s="257">
        <f t="shared" si="11"/>
        <v>175</v>
      </c>
      <c r="Q59" s="257">
        <f t="shared" si="11"/>
        <v>175</v>
      </c>
      <c r="R59" s="257">
        <f t="shared" si="11"/>
        <v>175</v>
      </c>
      <c r="S59" s="257">
        <f t="shared" si="11"/>
        <v>175</v>
      </c>
      <c r="T59" s="257">
        <f t="shared" si="11"/>
        <v>175</v>
      </c>
      <c r="U59" s="257">
        <f t="shared" si="11"/>
        <v>175</v>
      </c>
      <c r="V59" s="257">
        <f t="shared" si="11"/>
        <v>175</v>
      </c>
      <c r="W59" s="257">
        <f t="shared" si="11"/>
        <v>175</v>
      </c>
      <c r="X59" s="257">
        <f t="shared" si="11"/>
        <v>175</v>
      </c>
      <c r="Y59" s="257">
        <f t="shared" si="11"/>
        <v>175</v>
      </c>
      <c r="Z59" s="257">
        <f t="shared" si="11"/>
        <v>175</v>
      </c>
      <c r="AA59" s="257">
        <f t="shared" si="11"/>
        <v>175</v>
      </c>
      <c r="AB59" s="257">
        <f t="shared" si="11"/>
        <v>175</v>
      </c>
      <c r="AC59" s="257">
        <f t="shared" si="11"/>
        <v>175</v>
      </c>
      <c r="AD59" s="257">
        <f t="shared" si="11"/>
        <v>175</v>
      </c>
      <c r="AE59" s="257">
        <f t="shared" si="11"/>
        <v>175</v>
      </c>
      <c r="AF59" s="257">
        <f t="shared" si="11"/>
        <v>175</v>
      </c>
      <c r="AG59" s="257">
        <f t="shared" si="11"/>
        <v>175</v>
      </c>
      <c r="AH59" s="257">
        <f t="shared" si="11"/>
        <v>175</v>
      </c>
    </row>
    <row r="60" spans="1:34" s="561" customFormat="1">
      <c r="A60" s="3148"/>
      <c r="B60" s="259" t="s">
        <v>1641</v>
      </c>
      <c r="C60" s="955">
        <f>IF(C59,SUMPRODUCT(D59:AH59,D60:AH60)/C59,0)</f>
        <v>1.7953271028037379</v>
      </c>
      <c r="D60" s="259">
        <f>+IF(D59,(D55*D56+D51*D52+D53*D54)/D59,0)</f>
        <v>1.7953271028037381</v>
      </c>
      <c r="E60" s="259">
        <f t="shared" ref="E60:AH60" si="12">+IF(E59,(E55*E56+E51*E52+E53*E54)/E59,0)</f>
        <v>1.7953271028037381</v>
      </c>
      <c r="F60" s="259">
        <f t="shared" si="12"/>
        <v>1.7953271028037381</v>
      </c>
      <c r="G60" s="259">
        <f t="shared" si="12"/>
        <v>1.7953271028037381</v>
      </c>
      <c r="H60" s="259">
        <f t="shared" si="12"/>
        <v>1.7953271028037381</v>
      </c>
      <c r="I60" s="259">
        <f t="shared" si="12"/>
        <v>1.7953271028037381</v>
      </c>
      <c r="J60" s="259">
        <f t="shared" si="12"/>
        <v>1.7953271028037381</v>
      </c>
      <c r="K60" s="259">
        <f t="shared" si="12"/>
        <v>1.7953271028037381</v>
      </c>
      <c r="L60" s="259">
        <f t="shared" si="12"/>
        <v>1.7953271028037381</v>
      </c>
      <c r="M60" s="259">
        <f t="shared" si="12"/>
        <v>1.7953271028037381</v>
      </c>
      <c r="N60" s="2298">
        <f t="shared" si="12"/>
        <v>0</v>
      </c>
      <c r="O60" s="2298">
        <f t="shared" si="12"/>
        <v>0</v>
      </c>
      <c r="P60" s="259">
        <f t="shared" si="12"/>
        <v>1.7953271028037381</v>
      </c>
      <c r="Q60" s="259">
        <f t="shared" si="12"/>
        <v>1.7953271028037381</v>
      </c>
      <c r="R60" s="259">
        <f t="shared" si="12"/>
        <v>1.7953271028037381</v>
      </c>
      <c r="S60" s="259">
        <f t="shared" si="12"/>
        <v>1.7953271028037381</v>
      </c>
      <c r="T60" s="259">
        <f t="shared" si="12"/>
        <v>1.7953271028037381</v>
      </c>
      <c r="U60" s="259">
        <f t="shared" si="12"/>
        <v>1.7953271028037381</v>
      </c>
      <c r="V60" s="259">
        <f t="shared" si="12"/>
        <v>1.7953271028037381</v>
      </c>
      <c r="W60" s="259">
        <f t="shared" si="12"/>
        <v>1.7953271028037381</v>
      </c>
      <c r="X60" s="259">
        <f t="shared" si="12"/>
        <v>1.7953271028037381</v>
      </c>
      <c r="Y60" s="259">
        <f t="shared" si="12"/>
        <v>1.7953271028037381</v>
      </c>
      <c r="Z60" s="259">
        <f t="shared" si="12"/>
        <v>1.7953271028037381</v>
      </c>
      <c r="AA60" s="259">
        <f t="shared" si="12"/>
        <v>1.7953271028037381</v>
      </c>
      <c r="AB60" s="259">
        <f t="shared" si="12"/>
        <v>1.7953271028037381</v>
      </c>
      <c r="AC60" s="259">
        <f t="shared" si="12"/>
        <v>1.7953271028037381</v>
      </c>
      <c r="AD60" s="259">
        <f t="shared" si="12"/>
        <v>1.7953271028037381</v>
      </c>
      <c r="AE60" s="259">
        <f t="shared" si="12"/>
        <v>1.7953271028037381</v>
      </c>
      <c r="AF60" s="259">
        <f t="shared" si="12"/>
        <v>1.7953271028037381</v>
      </c>
      <c r="AG60" s="259">
        <f t="shared" si="12"/>
        <v>1.7953271028037381</v>
      </c>
      <c r="AH60" s="259">
        <f t="shared" si="12"/>
        <v>1.7953271028037381</v>
      </c>
    </row>
    <row r="61" spans="1:34" hidden="1" outlineLevel="1">
      <c r="A61" s="3149" t="s">
        <v>1674</v>
      </c>
      <c r="B61" s="21" t="s">
        <v>1644</v>
      </c>
      <c r="C61" s="956">
        <f>SUM(D61:AH61)</f>
        <v>0</v>
      </c>
      <c r="D61" s="21">
        <f>'[3]    Stope Perfomance'!$BA$63*35</f>
        <v>0</v>
      </c>
      <c r="E61" s="21">
        <f>'[3]    Stope Perfomance'!$BA$63*35</f>
        <v>0</v>
      </c>
      <c r="F61" s="21">
        <f>'[3]    Stope Perfomance'!$BA$63*35</f>
        <v>0</v>
      </c>
      <c r="G61" s="21">
        <f>'[3]    Stope Perfomance'!$BA$63*35</f>
        <v>0</v>
      </c>
      <c r="H61" s="21">
        <f>'[3]    Stope Perfomance'!$BA$63*35</f>
        <v>0</v>
      </c>
      <c r="I61" s="21">
        <f>'[3]    Stope Perfomance'!$BA$63*35</f>
        <v>0</v>
      </c>
      <c r="J61" s="21">
        <f>'[3]    Stope Perfomance'!$BA$63*35</f>
        <v>0</v>
      </c>
      <c r="K61" s="21">
        <f>'[3]    Stope Perfomance'!$BA$63*35</f>
        <v>0</v>
      </c>
      <c r="L61" s="21">
        <f>'[3]    Stope Perfomance'!$BA$63*35</f>
        <v>0</v>
      </c>
      <c r="M61" s="21">
        <f>'[3]    Stope Perfomance'!$BA$63*35</f>
        <v>0</v>
      </c>
      <c r="N61" s="2299">
        <f>'[3]    Stope Perfomance'!$BA$63*35</f>
        <v>0</v>
      </c>
      <c r="O61" s="2299">
        <f>'[3]    Stope Perfomance'!$BA$63*35</f>
        <v>0</v>
      </c>
      <c r="P61" s="21">
        <f>'[3]    Stope Perfomance'!$BA$63*35</f>
        <v>0</v>
      </c>
      <c r="Q61" s="21">
        <f>'[3]    Stope Perfomance'!$BA$63*35</f>
        <v>0</v>
      </c>
      <c r="R61" s="21">
        <f>'[3]    Stope Perfomance'!$BA$63*35</f>
        <v>0</v>
      </c>
      <c r="S61" s="21">
        <f>'[3]    Stope Perfomance'!$BA$63*35</f>
        <v>0</v>
      </c>
      <c r="T61" s="21">
        <f>'[3]    Stope Perfomance'!$BA$63*35</f>
        <v>0</v>
      </c>
      <c r="U61" s="21">
        <f>'[3]    Stope Perfomance'!$BA$63*35</f>
        <v>0</v>
      </c>
      <c r="V61" s="253">
        <f>'[3]    Stope Perfomance'!$BA$63*35</f>
        <v>0</v>
      </c>
      <c r="W61" s="253">
        <f>'[3]    Stope Perfomance'!$BA$63*35</f>
        <v>0</v>
      </c>
      <c r="X61" s="253">
        <f>'[3]    Stope Perfomance'!$BA$63*35</f>
        <v>0</v>
      </c>
      <c r="Y61" s="253">
        <f>'[3]    Stope Perfomance'!$BA$63*35</f>
        <v>0</v>
      </c>
      <c r="Z61" s="253">
        <f>'[3]    Stope Perfomance'!$BA$63*35</f>
        <v>0</v>
      </c>
      <c r="AA61" s="21">
        <f>'[3]    Stope Perfomance'!$BA$63*35</f>
        <v>0</v>
      </c>
      <c r="AB61" s="21">
        <f>'[3]    Stope Perfomance'!$BA$63*35</f>
        <v>0</v>
      </c>
      <c r="AC61" s="21">
        <f>'[3]    Stope Perfomance'!$BA$63*35</f>
        <v>0</v>
      </c>
      <c r="AD61" s="21">
        <f>'[3]    Stope Perfomance'!$BA$63*35</f>
        <v>0</v>
      </c>
      <c r="AE61" s="21">
        <f>'[3]    Stope Perfomance'!$BA$63*35</f>
        <v>0</v>
      </c>
      <c r="AF61" s="21">
        <f>'[3]    Stope Perfomance'!$BA$63*35</f>
        <v>0</v>
      </c>
      <c r="AG61" s="21">
        <f>'[3]    Stope Perfomance'!$BA$63*35</f>
        <v>0</v>
      </c>
      <c r="AH61" s="21">
        <f>'[3]    Stope Perfomance'!$BA$63*35</f>
        <v>0</v>
      </c>
    </row>
    <row r="62" spans="1:34" hidden="1" outlineLevel="1">
      <c r="A62" s="3150"/>
      <c r="B62" s="21" t="s">
        <v>1641</v>
      </c>
      <c r="C62" s="957">
        <f>IF(C61,SUMPRODUCT(D61:AH61,D62:AH62)/C61,0)</f>
        <v>0</v>
      </c>
      <c r="D62" s="21">
        <f>'[3]    Stope Perfomance'!$BB$59</f>
        <v>0</v>
      </c>
      <c r="E62" s="21">
        <f>'[3]    Stope Perfomance'!$BB$59</f>
        <v>0</v>
      </c>
      <c r="F62" s="21">
        <f>'[3]    Stope Perfomance'!$BB$59</f>
        <v>0</v>
      </c>
      <c r="G62" s="21">
        <f>'[3]    Stope Perfomance'!$BB$59</f>
        <v>0</v>
      </c>
      <c r="H62" s="21">
        <f>'[3]    Stope Perfomance'!$BB$59</f>
        <v>0</v>
      </c>
      <c r="I62" s="21">
        <f>'[3]    Stope Perfomance'!$BB$59</f>
        <v>0</v>
      </c>
      <c r="J62" s="21">
        <f>'[3]    Stope Perfomance'!$BB$59</f>
        <v>0</v>
      </c>
      <c r="K62" s="21">
        <f>'[3]    Stope Perfomance'!$BB$59</f>
        <v>0</v>
      </c>
      <c r="L62" s="21">
        <f>'[3]    Stope Perfomance'!$BB$59</f>
        <v>0</v>
      </c>
      <c r="M62" s="21">
        <f>'[3]    Stope Perfomance'!$BB$59</f>
        <v>0</v>
      </c>
      <c r="N62" s="2299">
        <f>'[3]    Stope Perfomance'!$BB$59</f>
        <v>0</v>
      </c>
      <c r="O62" s="2299">
        <f>'[3]    Stope Perfomance'!$BB$59</f>
        <v>0</v>
      </c>
      <c r="P62" s="21">
        <f>'[3]    Stope Perfomance'!$BB$59</f>
        <v>0</v>
      </c>
      <c r="Q62" s="21">
        <f>'[3]    Stope Perfomance'!$BB$59</f>
        <v>0</v>
      </c>
      <c r="R62" s="21">
        <f>'[3]    Stope Perfomance'!$BB$59</f>
        <v>0</v>
      </c>
      <c r="S62" s="21">
        <f>'[3]    Stope Perfomance'!$BB$59</f>
        <v>0</v>
      </c>
      <c r="T62" s="21">
        <f>'[3]    Stope Perfomance'!$BB$59</f>
        <v>0</v>
      </c>
      <c r="U62" s="21">
        <f>'[3]    Stope Perfomance'!$BB$59</f>
        <v>0</v>
      </c>
      <c r="V62" s="253">
        <f>'[3]    Stope Perfomance'!$BB$59</f>
        <v>0</v>
      </c>
      <c r="W62" s="253">
        <f>'[3]    Stope Perfomance'!$BB$59</f>
        <v>0</v>
      </c>
      <c r="X62" s="253">
        <f>'[3]    Stope Perfomance'!$BB$59</f>
        <v>0</v>
      </c>
      <c r="Y62" s="253">
        <f>'[3]    Stope Perfomance'!$BB$59</f>
        <v>0</v>
      </c>
      <c r="Z62" s="253">
        <f>'[3]    Stope Perfomance'!$BB$59</f>
        <v>0</v>
      </c>
      <c r="AA62" s="21">
        <f>'[3]    Stope Perfomance'!$BB$59</f>
        <v>0</v>
      </c>
      <c r="AB62" s="21">
        <f>'[3]    Stope Perfomance'!$BB$59</f>
        <v>0</v>
      </c>
      <c r="AC62" s="21">
        <f>'[3]    Stope Perfomance'!$BB$59</f>
        <v>0</v>
      </c>
      <c r="AD62" s="21">
        <f>'[3]    Stope Perfomance'!$BB$59</f>
        <v>0</v>
      </c>
      <c r="AE62" s="21">
        <f>'[3]    Stope Perfomance'!$BB$59</f>
        <v>0</v>
      </c>
      <c r="AF62" s="21">
        <f>'[3]    Stope Perfomance'!$BB$59</f>
        <v>0</v>
      </c>
      <c r="AG62" s="21">
        <f>'[3]    Stope Perfomance'!$BB$59</f>
        <v>0</v>
      </c>
      <c r="AH62" s="21">
        <f>'[3]    Stope Perfomance'!$BB$59</f>
        <v>0</v>
      </c>
    </row>
    <row r="63" spans="1:34" outlineLevel="1">
      <c r="A63" s="3149" t="s">
        <v>1675</v>
      </c>
      <c r="B63" s="20" t="s">
        <v>1644</v>
      </c>
      <c r="C63" s="958">
        <f>SUM(D63:AH63)</f>
        <v>1015</v>
      </c>
      <c r="D63" s="21">
        <f>'[3]    Stope Perfomance'!$E$26*35</f>
        <v>35</v>
      </c>
      <c r="E63" s="21">
        <f>'[3]    Stope Perfomance'!$E$26*35</f>
        <v>35</v>
      </c>
      <c r="F63" s="21">
        <f>'[3]    Stope Perfomance'!$E$26*35</f>
        <v>35</v>
      </c>
      <c r="G63" s="21">
        <f>'[3]    Stope Perfomance'!$E$26*35</f>
        <v>35</v>
      </c>
      <c r="H63" s="21">
        <f>'[3]    Stope Perfomance'!$E$26*35</f>
        <v>35</v>
      </c>
      <c r="I63" s="21">
        <f>'[3]    Stope Perfomance'!$E$26*35</f>
        <v>35</v>
      </c>
      <c r="J63" s="21">
        <f>'[3]    Stope Perfomance'!$E$26*35</f>
        <v>35</v>
      </c>
      <c r="K63" s="21">
        <f>'[3]    Stope Perfomance'!$E$26*35</f>
        <v>35</v>
      </c>
      <c r="L63" s="21">
        <f>'[3]    Stope Perfomance'!$E$26*35</f>
        <v>35</v>
      </c>
      <c r="M63" s="21">
        <f>'[3]    Stope Perfomance'!$E$26*35</f>
        <v>35</v>
      </c>
      <c r="N63" s="2299"/>
      <c r="O63" s="2299"/>
      <c r="P63" s="21">
        <f>'[3]    Stope Perfomance'!$E$26*35</f>
        <v>35</v>
      </c>
      <c r="Q63" s="21">
        <f>'[3]    Stope Perfomance'!$E$26*35</f>
        <v>35</v>
      </c>
      <c r="R63" s="21">
        <f>'[3]    Stope Perfomance'!$E$26*35</f>
        <v>35</v>
      </c>
      <c r="S63" s="21">
        <f>'[3]    Stope Perfomance'!$E$26*35</f>
        <v>35</v>
      </c>
      <c r="T63" s="21">
        <f>'[3]    Stope Perfomance'!$E$26*35</f>
        <v>35</v>
      </c>
      <c r="U63" s="21">
        <f>'[3]    Stope Perfomance'!$E$26*35</f>
        <v>35</v>
      </c>
      <c r="V63" s="253">
        <f>'[3]    Stope Perfomance'!$E$26*35</f>
        <v>35</v>
      </c>
      <c r="W63" s="253">
        <f>'[3]    Stope Perfomance'!$E$26*35</f>
        <v>35</v>
      </c>
      <c r="X63" s="253">
        <f>'[3]    Stope Perfomance'!$E$26*35</f>
        <v>35</v>
      </c>
      <c r="Y63" s="253">
        <f>'[3]    Stope Perfomance'!$E$26*35</f>
        <v>35</v>
      </c>
      <c r="Z63" s="253">
        <f>'[3]    Stope Perfomance'!$E$26*35</f>
        <v>35</v>
      </c>
      <c r="AA63" s="21">
        <f>'[3]    Stope Perfomance'!$E$26*35</f>
        <v>35</v>
      </c>
      <c r="AB63" s="21">
        <f>'[3]    Stope Perfomance'!$E$26*35</f>
        <v>35</v>
      </c>
      <c r="AC63" s="21">
        <f>'[3]    Stope Perfomance'!$E$26*35</f>
        <v>35</v>
      </c>
      <c r="AD63" s="21">
        <f>'[3]    Stope Perfomance'!$E$26*35</f>
        <v>35</v>
      </c>
      <c r="AE63" s="21">
        <f>'[3]    Stope Perfomance'!$E$26*35</f>
        <v>35</v>
      </c>
      <c r="AF63" s="21">
        <f>'[3]    Stope Perfomance'!$E$26*35</f>
        <v>35</v>
      </c>
      <c r="AG63" s="21">
        <f>'[3]    Stope Perfomance'!$E$26*35</f>
        <v>35</v>
      </c>
      <c r="AH63" s="21">
        <f>'[3]    Stope Perfomance'!$E$26*35</f>
        <v>35</v>
      </c>
    </row>
    <row r="64" spans="1:34" outlineLevel="1">
      <c r="A64" s="3150"/>
      <c r="B64" s="20" t="s">
        <v>1641</v>
      </c>
      <c r="C64" s="957">
        <f>IF(C63,SUMPRODUCT(D63:AH63,D64:AH64)/C63,0)</f>
        <v>3.1378504672897183</v>
      </c>
      <c r="D64" s="29">
        <f>'[3]    Stope Perfomance'!$D$26</f>
        <v>3.1378504672897192</v>
      </c>
      <c r="E64" s="29">
        <f>'[3]    Stope Perfomance'!$D$26</f>
        <v>3.1378504672897192</v>
      </c>
      <c r="F64" s="29">
        <f>'[3]    Stope Perfomance'!$D$26</f>
        <v>3.1378504672897192</v>
      </c>
      <c r="G64" s="29">
        <f>'[3]    Stope Perfomance'!$D$26</f>
        <v>3.1378504672897192</v>
      </c>
      <c r="H64" s="29">
        <f>'[3]    Stope Perfomance'!$D$26</f>
        <v>3.1378504672897192</v>
      </c>
      <c r="I64" s="29">
        <f>'[3]    Stope Perfomance'!$D$26</f>
        <v>3.1378504672897192</v>
      </c>
      <c r="J64" s="29">
        <f>'[3]    Stope Perfomance'!$D$26</f>
        <v>3.1378504672897192</v>
      </c>
      <c r="K64" s="29">
        <f>'[3]    Stope Perfomance'!$D$26</f>
        <v>3.1378504672897192</v>
      </c>
      <c r="L64" s="29">
        <f>'[3]    Stope Perfomance'!$D$26</f>
        <v>3.1378504672897192</v>
      </c>
      <c r="M64" s="29">
        <f>'[3]    Stope Perfomance'!$D$26</f>
        <v>3.1378504672897192</v>
      </c>
      <c r="N64" s="2300"/>
      <c r="O64" s="2300"/>
      <c r="P64" s="29">
        <f>'[3]    Stope Perfomance'!$D$26</f>
        <v>3.1378504672897192</v>
      </c>
      <c r="Q64" s="29">
        <f>'[3]    Stope Perfomance'!$D$26</f>
        <v>3.1378504672897192</v>
      </c>
      <c r="R64" s="29">
        <f>'[3]    Stope Perfomance'!$D$26</f>
        <v>3.1378504672897192</v>
      </c>
      <c r="S64" s="29">
        <f>'[3]    Stope Perfomance'!$D$26</f>
        <v>3.1378504672897192</v>
      </c>
      <c r="T64" s="29">
        <f>'[3]    Stope Perfomance'!$D$26</f>
        <v>3.1378504672897192</v>
      </c>
      <c r="U64" s="29">
        <f>'[3]    Stope Perfomance'!$D$26</f>
        <v>3.1378504672897192</v>
      </c>
      <c r="V64" s="254">
        <f>'[3]    Stope Perfomance'!$D$26</f>
        <v>3.1378504672897192</v>
      </c>
      <c r="W64" s="254">
        <f>'[3]    Stope Perfomance'!$D$26</f>
        <v>3.1378504672897192</v>
      </c>
      <c r="X64" s="254">
        <f>'[3]    Stope Perfomance'!$D$26</f>
        <v>3.1378504672897192</v>
      </c>
      <c r="Y64" s="29">
        <f>'[3]    Stope Perfomance'!$D$26</f>
        <v>3.1378504672897192</v>
      </c>
      <c r="Z64" s="29">
        <f>'[3]    Stope Perfomance'!$D$26</f>
        <v>3.1378504672897192</v>
      </c>
      <c r="AA64" s="29">
        <f>'[3]    Stope Perfomance'!$D$26</f>
        <v>3.1378504672897192</v>
      </c>
      <c r="AB64" s="29">
        <f>'[3]    Stope Perfomance'!$D$26</f>
        <v>3.1378504672897192</v>
      </c>
      <c r="AC64" s="29">
        <f>'[3]    Stope Perfomance'!$D$26</f>
        <v>3.1378504672897192</v>
      </c>
      <c r="AD64" s="29">
        <f>'[3]    Stope Perfomance'!$D$26</f>
        <v>3.1378504672897192</v>
      </c>
      <c r="AE64" s="29">
        <f>'[3]    Stope Perfomance'!$D$26</f>
        <v>3.1378504672897192</v>
      </c>
      <c r="AF64" s="29">
        <f>'[3]    Stope Perfomance'!$D$26</f>
        <v>3.1378504672897192</v>
      </c>
      <c r="AG64" s="29">
        <f>'[3]    Stope Perfomance'!$D$26</f>
        <v>3.1378504672897192</v>
      </c>
      <c r="AH64" s="29">
        <f>'[3]    Stope Perfomance'!$D$26</f>
        <v>3.1378504672897192</v>
      </c>
    </row>
    <row r="65" spans="1:34" hidden="1" outlineLevel="1">
      <c r="A65" s="3149" t="s">
        <v>1676</v>
      </c>
      <c r="B65" s="20" t="s">
        <v>1644</v>
      </c>
      <c r="C65" s="958">
        <f>SUM(D65:AH65)</f>
        <v>0</v>
      </c>
      <c r="D65" s="21">
        <f>'[3]    Stope Perfomance'!$E$27*35</f>
        <v>0</v>
      </c>
      <c r="E65" s="21">
        <f>'[3]    Stope Perfomance'!$E$27*35</f>
        <v>0</v>
      </c>
      <c r="F65" s="21">
        <f>'[3]    Stope Perfomance'!$E$27*35</f>
        <v>0</v>
      </c>
      <c r="G65" s="21">
        <f>'[3]    Stope Perfomance'!$E$27*35</f>
        <v>0</v>
      </c>
      <c r="H65" s="21">
        <f>'[3]    Stope Perfomance'!$E$27*35</f>
        <v>0</v>
      </c>
      <c r="I65" s="21">
        <f>'[3]    Stope Perfomance'!$E$27*35</f>
        <v>0</v>
      </c>
      <c r="J65" s="21">
        <f>'[3]    Stope Perfomance'!$E$27*35</f>
        <v>0</v>
      </c>
      <c r="K65" s="21">
        <f>'[3]    Stope Perfomance'!$E$27*35</f>
        <v>0</v>
      </c>
      <c r="L65" s="21">
        <f>'[3]    Stope Perfomance'!$E$27*35</f>
        <v>0</v>
      </c>
      <c r="M65" s="21">
        <f>'[3]    Stope Perfomance'!$E$27*35</f>
        <v>0</v>
      </c>
      <c r="N65" s="2299"/>
      <c r="O65" s="2299"/>
      <c r="P65" s="21">
        <f>'[3]    Stope Perfomance'!$E$27*35</f>
        <v>0</v>
      </c>
      <c r="Q65" s="21">
        <f>'[3]    Stope Perfomance'!$E$27*35</f>
        <v>0</v>
      </c>
      <c r="R65" s="21">
        <f>'[3]    Stope Perfomance'!$E$27*35</f>
        <v>0</v>
      </c>
      <c r="S65" s="21">
        <f>'[3]    Stope Perfomance'!$E$27*35</f>
        <v>0</v>
      </c>
      <c r="T65" s="21">
        <f>'[3]    Stope Perfomance'!$E$27*35</f>
        <v>0</v>
      </c>
      <c r="U65" s="21">
        <f>'[3]    Stope Perfomance'!$E$27*35</f>
        <v>0</v>
      </c>
      <c r="V65" s="253">
        <f>'[3]    Stope Perfomance'!$E$27*35</f>
        <v>0</v>
      </c>
      <c r="W65" s="253">
        <f>'[3]    Stope Perfomance'!$E$27*35</f>
        <v>0</v>
      </c>
      <c r="X65" s="253">
        <f>'[3]    Stope Perfomance'!$E$27*35</f>
        <v>0</v>
      </c>
      <c r="Y65" s="21">
        <f>'[3]    Stope Perfomance'!$E$27*35</f>
        <v>0</v>
      </c>
      <c r="Z65" s="21">
        <f>'[3]    Stope Perfomance'!$E$27*35</f>
        <v>0</v>
      </c>
      <c r="AA65" s="21">
        <f>'[3]    Stope Perfomance'!$E$27*35</f>
        <v>0</v>
      </c>
      <c r="AB65" s="21">
        <f>'[3]    Stope Perfomance'!$E$27*35</f>
        <v>0</v>
      </c>
      <c r="AC65" s="21">
        <f>'[3]    Stope Perfomance'!$E$27*35</f>
        <v>0</v>
      </c>
      <c r="AD65" s="21">
        <f>'[3]    Stope Perfomance'!$E$27*35</f>
        <v>0</v>
      </c>
      <c r="AE65" s="21">
        <f>'[3]    Stope Perfomance'!$E$27*35</f>
        <v>0</v>
      </c>
      <c r="AF65" s="21">
        <f>'[3]    Stope Perfomance'!$E$27*35</f>
        <v>0</v>
      </c>
      <c r="AG65" s="21">
        <f>'[3]    Stope Perfomance'!$E$27*35</f>
        <v>0</v>
      </c>
      <c r="AH65" s="21">
        <f>'[3]    Stope Perfomance'!$E$27*35</f>
        <v>0</v>
      </c>
    </row>
    <row r="66" spans="1:34" hidden="1" outlineLevel="1">
      <c r="A66" s="3150"/>
      <c r="B66" s="20" t="s">
        <v>1641</v>
      </c>
      <c r="C66" s="957">
        <f>IF(C65,SUMPRODUCT(D65:AH65,D66:AH66)/C65,0)</f>
        <v>0</v>
      </c>
      <c r="D66" s="29">
        <f>'[3]    Stope Perfomance'!$D$27</f>
        <v>0</v>
      </c>
      <c r="E66" s="29">
        <f>'[3]    Stope Perfomance'!$D$27</f>
        <v>0</v>
      </c>
      <c r="F66" s="29">
        <f>'[3]    Stope Perfomance'!$D$27</f>
        <v>0</v>
      </c>
      <c r="G66" s="29">
        <f>'[3]    Stope Perfomance'!$D$27</f>
        <v>0</v>
      </c>
      <c r="H66" s="29">
        <f>'[3]    Stope Perfomance'!$D$27</f>
        <v>0</v>
      </c>
      <c r="I66" s="29">
        <f>'[3]    Stope Perfomance'!$D$27</f>
        <v>0</v>
      </c>
      <c r="J66" s="29">
        <f>'[3]    Stope Perfomance'!$D$27</f>
        <v>0</v>
      </c>
      <c r="K66" s="29">
        <f>'[3]    Stope Perfomance'!$D$27</f>
        <v>0</v>
      </c>
      <c r="L66" s="29">
        <f>'[3]    Stope Perfomance'!$D$27</f>
        <v>0</v>
      </c>
      <c r="M66" s="29">
        <f>'[3]    Stope Perfomance'!$D$27</f>
        <v>0</v>
      </c>
      <c r="N66" s="2300"/>
      <c r="O66" s="2300"/>
      <c r="P66" s="29">
        <f>'[3]    Stope Perfomance'!$D$27</f>
        <v>0</v>
      </c>
      <c r="Q66" s="29">
        <f>'[3]    Stope Perfomance'!$D$27</f>
        <v>0</v>
      </c>
      <c r="R66" s="29">
        <f>'[3]    Stope Perfomance'!$D$27</f>
        <v>0</v>
      </c>
      <c r="S66" s="29">
        <f>'[3]    Stope Perfomance'!$D$27</f>
        <v>0</v>
      </c>
      <c r="T66" s="29">
        <f>'[3]    Stope Perfomance'!$D$27</f>
        <v>0</v>
      </c>
      <c r="U66" s="29">
        <f>'[3]    Stope Perfomance'!$D$27</f>
        <v>0</v>
      </c>
      <c r="V66" s="254">
        <f>'[3]    Stope Perfomance'!$D$27</f>
        <v>0</v>
      </c>
      <c r="W66" s="254">
        <f>'[3]    Stope Perfomance'!$D$27</f>
        <v>0</v>
      </c>
      <c r="X66" s="254">
        <f>'[3]    Stope Perfomance'!$D$27</f>
        <v>0</v>
      </c>
      <c r="Y66" s="29">
        <f>'[3]    Stope Perfomance'!$D$27</f>
        <v>0</v>
      </c>
      <c r="Z66" s="29">
        <f>'[3]    Stope Perfomance'!$D$27</f>
        <v>0</v>
      </c>
      <c r="AA66" s="29">
        <f>'[3]    Stope Perfomance'!$D$27</f>
        <v>0</v>
      </c>
      <c r="AB66" s="29">
        <f>'[3]    Stope Perfomance'!$D$27</f>
        <v>0</v>
      </c>
      <c r="AC66" s="29">
        <f>'[3]    Stope Perfomance'!$D$27</f>
        <v>0</v>
      </c>
      <c r="AD66" s="29">
        <f>'[3]    Stope Perfomance'!$D$27</f>
        <v>0</v>
      </c>
      <c r="AE66" s="29">
        <f>'[3]    Stope Perfomance'!$D$27</f>
        <v>0</v>
      </c>
      <c r="AF66" s="29">
        <f>'[3]    Stope Perfomance'!$D$27</f>
        <v>0</v>
      </c>
      <c r="AG66" s="29">
        <f>'[3]    Stope Perfomance'!$D$27</f>
        <v>0</v>
      </c>
      <c r="AH66" s="29">
        <f>'[3]    Stope Perfomance'!$D$27</f>
        <v>0</v>
      </c>
    </row>
    <row r="67" spans="1:34" s="262" customFormat="1" outlineLevel="1">
      <c r="A67" s="3149" t="s">
        <v>1677</v>
      </c>
      <c r="B67" s="38" t="s">
        <v>1644</v>
      </c>
      <c r="C67" s="1705">
        <f>SUM(D67:AH67)</f>
        <v>4060</v>
      </c>
      <c r="D67" s="253">
        <f>'[3]    Stope Perfomance'!$E$28*35</f>
        <v>140</v>
      </c>
      <c r="E67" s="253">
        <f>'[3]    Stope Perfomance'!$E$28*35</f>
        <v>140</v>
      </c>
      <c r="F67" s="253">
        <f>'[3]    Stope Perfomance'!$E$28*35</f>
        <v>140</v>
      </c>
      <c r="G67" s="253">
        <f>'[3]    Stope Perfomance'!$E$28*35</f>
        <v>140</v>
      </c>
      <c r="H67" s="253">
        <f>'[3]    Stope Perfomance'!$E$28*35</f>
        <v>140</v>
      </c>
      <c r="I67" s="253">
        <f>'[3]    Stope Perfomance'!$E$28*35</f>
        <v>140</v>
      </c>
      <c r="J67" s="253">
        <f>'[3]    Stope Perfomance'!$E$28*35</f>
        <v>140</v>
      </c>
      <c r="K67" s="253">
        <f>'[3]    Stope Perfomance'!$E$28*35</f>
        <v>140</v>
      </c>
      <c r="L67" s="253">
        <f>'[3]    Stope Perfomance'!$E$28*35</f>
        <v>140</v>
      </c>
      <c r="M67" s="253">
        <f>'[3]    Stope Perfomance'!$E$28*35</f>
        <v>140</v>
      </c>
      <c r="N67" s="2299"/>
      <c r="O67" s="2299"/>
      <c r="P67" s="253">
        <f>'[3]    Stope Perfomance'!$E$28*35</f>
        <v>140</v>
      </c>
      <c r="Q67" s="253">
        <f>'[3]    Stope Perfomance'!$E$28*35</f>
        <v>140</v>
      </c>
      <c r="R67" s="253">
        <f>'[3]    Stope Perfomance'!$E$28*35</f>
        <v>140</v>
      </c>
      <c r="S67" s="253">
        <f>'[3]    Stope Perfomance'!$E$28*35</f>
        <v>140</v>
      </c>
      <c r="T67" s="253">
        <f>'[3]    Stope Perfomance'!$E$28*35</f>
        <v>140</v>
      </c>
      <c r="U67" s="253">
        <f>'[3]    Stope Perfomance'!$E$28*35</f>
        <v>140</v>
      </c>
      <c r="V67" s="253">
        <f>'[3]    Stope Perfomance'!$E$28*35</f>
        <v>140</v>
      </c>
      <c r="W67" s="253">
        <f>'[3]    Stope Perfomance'!$E$28*35</f>
        <v>140</v>
      </c>
      <c r="X67" s="253">
        <f>'[3]    Stope Perfomance'!$E$28*35</f>
        <v>140</v>
      </c>
      <c r="Y67" s="253">
        <f>'[3]    Stope Perfomance'!$E$28*35</f>
        <v>140</v>
      </c>
      <c r="Z67" s="253">
        <f>'[3]    Stope Perfomance'!$E$28*35</f>
        <v>140</v>
      </c>
      <c r="AA67" s="253">
        <f>'[3]    Stope Perfomance'!$E$28*35</f>
        <v>140</v>
      </c>
      <c r="AB67" s="253">
        <f>'[3]    Stope Perfomance'!$E$28*35</f>
        <v>140</v>
      </c>
      <c r="AC67" s="253">
        <f>'[3]    Stope Perfomance'!$E$28*35</f>
        <v>140</v>
      </c>
      <c r="AD67" s="253">
        <f>'[3]    Stope Perfomance'!$E$28*35</f>
        <v>140</v>
      </c>
      <c r="AE67" s="253">
        <f>'[3]    Stope Perfomance'!$E$28*35</f>
        <v>140</v>
      </c>
      <c r="AF67" s="253">
        <f>'[3]    Stope Perfomance'!$E$28*35</f>
        <v>140</v>
      </c>
      <c r="AG67" s="253">
        <f>'[3]    Stope Perfomance'!$E$28*35</f>
        <v>140</v>
      </c>
      <c r="AH67" s="253">
        <f>'[3]    Stope Perfomance'!$E$28*35</f>
        <v>140</v>
      </c>
    </row>
    <row r="68" spans="1:34" outlineLevel="1">
      <c r="A68" s="3150"/>
      <c r="B68" s="20" t="s">
        <v>1641</v>
      </c>
      <c r="C68" s="957">
        <f>IF(C67,SUMPRODUCT(D67:AH67,D68:AH68)/C67,0)</f>
        <v>2.542056074766355</v>
      </c>
      <c r="D68" s="29">
        <f>'[3]    Stope Perfomance'!$D$28</f>
        <v>2.542056074766355</v>
      </c>
      <c r="E68" s="29">
        <f>'[3]    Stope Perfomance'!$D$28</f>
        <v>2.542056074766355</v>
      </c>
      <c r="F68" s="29">
        <f>'[3]    Stope Perfomance'!$D$28</f>
        <v>2.542056074766355</v>
      </c>
      <c r="G68" s="29">
        <f>'[3]    Stope Perfomance'!$D$28</f>
        <v>2.542056074766355</v>
      </c>
      <c r="H68" s="29">
        <f>'[3]    Stope Perfomance'!$D$28</f>
        <v>2.542056074766355</v>
      </c>
      <c r="I68" s="29">
        <f>'[3]    Stope Perfomance'!$D$28</f>
        <v>2.542056074766355</v>
      </c>
      <c r="J68" s="29">
        <f>'[3]    Stope Perfomance'!$D$28</f>
        <v>2.542056074766355</v>
      </c>
      <c r="K68" s="29">
        <f>'[3]    Stope Perfomance'!$D$28</f>
        <v>2.542056074766355</v>
      </c>
      <c r="L68" s="29">
        <f>'[3]    Stope Perfomance'!$D$28</f>
        <v>2.542056074766355</v>
      </c>
      <c r="M68" s="29">
        <f>'[3]    Stope Perfomance'!$D$28</f>
        <v>2.542056074766355</v>
      </c>
      <c r="N68" s="2300"/>
      <c r="O68" s="2300"/>
      <c r="P68" s="29">
        <f>'[3]    Stope Perfomance'!$D$28</f>
        <v>2.542056074766355</v>
      </c>
      <c r="Q68" s="29">
        <f>'[3]    Stope Perfomance'!$D$28</f>
        <v>2.542056074766355</v>
      </c>
      <c r="R68" s="29">
        <f>'[3]    Stope Perfomance'!$D$28</f>
        <v>2.542056074766355</v>
      </c>
      <c r="S68" s="29">
        <f>'[3]    Stope Perfomance'!$D$28</f>
        <v>2.542056074766355</v>
      </c>
      <c r="T68" s="29">
        <f>'[3]    Stope Perfomance'!$D$28</f>
        <v>2.542056074766355</v>
      </c>
      <c r="U68" s="29">
        <f>'[3]    Stope Perfomance'!$D$28</f>
        <v>2.542056074766355</v>
      </c>
      <c r="V68" s="254">
        <f>'[3]    Stope Perfomance'!$D$28</f>
        <v>2.542056074766355</v>
      </c>
      <c r="W68" s="254">
        <f>'[3]    Stope Perfomance'!$D$28</f>
        <v>2.542056074766355</v>
      </c>
      <c r="X68" s="254">
        <f>'[3]    Stope Perfomance'!$D$28</f>
        <v>2.542056074766355</v>
      </c>
      <c r="Y68" s="29">
        <f>'[3]    Stope Perfomance'!$D$28</f>
        <v>2.542056074766355</v>
      </c>
      <c r="Z68" s="29">
        <f>'[3]    Stope Perfomance'!$D$28</f>
        <v>2.542056074766355</v>
      </c>
      <c r="AA68" s="29">
        <f>'[3]    Stope Perfomance'!$D$28</f>
        <v>2.542056074766355</v>
      </c>
      <c r="AB68" s="29">
        <f>'[3]    Stope Perfomance'!$D$28</f>
        <v>2.542056074766355</v>
      </c>
      <c r="AC68" s="29">
        <f>'[3]    Stope Perfomance'!$D$28</f>
        <v>2.542056074766355</v>
      </c>
      <c r="AD68" s="29">
        <f>'[3]    Stope Perfomance'!$D$28</f>
        <v>2.542056074766355</v>
      </c>
      <c r="AE68" s="29">
        <f>'[3]    Stope Perfomance'!$D$28</f>
        <v>2.542056074766355</v>
      </c>
      <c r="AF68" s="29">
        <f>'[3]    Stope Perfomance'!$D$28</f>
        <v>2.542056074766355</v>
      </c>
      <c r="AG68" s="29">
        <f>'[3]    Stope Perfomance'!$D$28</f>
        <v>2.542056074766355</v>
      </c>
      <c r="AH68" s="29">
        <f>'[3]    Stope Perfomance'!$D$28</f>
        <v>2.542056074766355</v>
      </c>
    </row>
    <row r="69" spans="1:34" outlineLevel="1">
      <c r="A69" s="3149" t="s">
        <v>1678</v>
      </c>
      <c r="B69" s="20" t="s">
        <v>1644</v>
      </c>
      <c r="C69" s="958">
        <f>SUM(D69:AH69)</f>
        <v>3045</v>
      </c>
      <c r="D69" s="261">
        <f>'[3]    Stope Perfomance'!$E$29*35</f>
        <v>105</v>
      </c>
      <c r="E69" s="261">
        <f>'[3]    Stope Perfomance'!$E$29*35</f>
        <v>105</v>
      </c>
      <c r="F69" s="261">
        <f>'[3]    Stope Perfomance'!$E$29*35</f>
        <v>105</v>
      </c>
      <c r="G69" s="261">
        <f>'[3]    Stope Perfomance'!$E$29*35</f>
        <v>105</v>
      </c>
      <c r="H69" s="261">
        <f>'[3]    Stope Perfomance'!$E$29*35</f>
        <v>105</v>
      </c>
      <c r="I69" s="261">
        <f>'[3]    Stope Perfomance'!$E$29*35</f>
        <v>105</v>
      </c>
      <c r="J69" s="261">
        <f>'[3]    Stope Perfomance'!$E$29*35</f>
        <v>105</v>
      </c>
      <c r="K69" s="27">
        <f>'[3]    Stope Perfomance'!$E$29*35</f>
        <v>105</v>
      </c>
      <c r="L69" s="261">
        <f>'[3]    Stope Perfomance'!$E$29*35</f>
        <v>105</v>
      </c>
      <c r="M69" s="261">
        <f>'[3]    Stope Perfomance'!$E$29*35</f>
        <v>105</v>
      </c>
      <c r="N69" s="2306"/>
      <c r="O69" s="2306"/>
      <c r="P69" s="261">
        <f>'[3]    Stope Perfomance'!$E$29*35</f>
        <v>105</v>
      </c>
      <c r="Q69" s="261">
        <f>'[3]    Stope Perfomance'!$E$29*35</f>
        <v>105</v>
      </c>
      <c r="R69" s="261">
        <f>'[3]    Stope Perfomance'!$E$29*35</f>
        <v>105</v>
      </c>
      <c r="S69" s="261">
        <f>'[3]    Stope Perfomance'!$E$29*35</f>
        <v>105</v>
      </c>
      <c r="T69" s="261">
        <f>'[3]    Stope Perfomance'!$E$29*35</f>
        <v>105</v>
      </c>
      <c r="U69" s="261">
        <f>'[3]    Stope Perfomance'!$E$29*35</f>
        <v>105</v>
      </c>
      <c r="V69" s="261">
        <f>'[3]    Stope Perfomance'!$E$29*35</f>
        <v>105</v>
      </c>
      <c r="W69" s="261">
        <f>'[3]    Stope Perfomance'!$E$29*35</f>
        <v>105</v>
      </c>
      <c r="X69" s="261">
        <f>'[3]    Stope Perfomance'!$E$29*35</f>
        <v>105</v>
      </c>
      <c r="Y69" s="261">
        <f>'[3]    Stope Perfomance'!$E$29*35</f>
        <v>105</v>
      </c>
      <c r="Z69" s="261">
        <f>'[3]    Stope Perfomance'!$E$29*35</f>
        <v>105</v>
      </c>
      <c r="AA69" s="261">
        <f>'[3]    Stope Perfomance'!$E$29*35</f>
        <v>105</v>
      </c>
      <c r="AB69" s="261">
        <f>'[3]    Stope Perfomance'!$E$29*35</f>
        <v>105</v>
      </c>
      <c r="AC69" s="27">
        <f>'[3]    Stope Perfomance'!$E$29*35</f>
        <v>105</v>
      </c>
      <c r="AD69" s="261">
        <f>'[3]    Stope Perfomance'!$E$29*35</f>
        <v>105</v>
      </c>
      <c r="AE69" s="261">
        <f>'[3]    Stope Perfomance'!$E$29*35</f>
        <v>105</v>
      </c>
      <c r="AF69" s="261">
        <f>'[3]    Stope Perfomance'!$E$29*35</f>
        <v>105</v>
      </c>
      <c r="AG69" s="261">
        <f>'[3]    Stope Perfomance'!$E$29*35</f>
        <v>105</v>
      </c>
      <c r="AH69" s="261">
        <f>'[3]    Stope Perfomance'!$E$29*35</f>
        <v>105</v>
      </c>
    </row>
    <row r="70" spans="1:34" outlineLevel="1">
      <c r="A70" s="3150"/>
      <c r="B70" s="20" t="s">
        <v>1641</v>
      </c>
      <c r="C70" s="957">
        <f>IF(C69,SUMPRODUCT(D69:AH69,D70:AH70)/C69,0)</f>
        <v>2.383177570093459</v>
      </c>
      <c r="D70" s="254">
        <f>'[3]    Stope Perfomance'!$D$29</f>
        <v>2.3831775700934577</v>
      </c>
      <c r="E70" s="254">
        <f>'[3]    Stope Perfomance'!$D$29</f>
        <v>2.3831775700934577</v>
      </c>
      <c r="F70" s="254">
        <f>'[3]    Stope Perfomance'!$D$29</f>
        <v>2.3831775700934577</v>
      </c>
      <c r="G70" s="254">
        <f>'[3]    Stope Perfomance'!$D$29</f>
        <v>2.3831775700934577</v>
      </c>
      <c r="H70" s="254">
        <f>'[3]    Stope Perfomance'!$D$29</f>
        <v>2.3831775700934577</v>
      </c>
      <c r="I70" s="254">
        <f>'[3]    Stope Perfomance'!$D$29</f>
        <v>2.3831775700934577</v>
      </c>
      <c r="J70" s="254">
        <f>'[3]    Stope Perfomance'!$D$29</f>
        <v>2.3831775700934577</v>
      </c>
      <c r="K70" s="254">
        <f>'[3]    Stope Perfomance'!$D$29</f>
        <v>2.3831775700934577</v>
      </c>
      <c r="L70" s="254">
        <f>'[3]    Stope Perfomance'!$D$29</f>
        <v>2.3831775700934577</v>
      </c>
      <c r="M70" s="254">
        <f>'[3]    Stope Perfomance'!$D$29</f>
        <v>2.3831775700934577</v>
      </c>
      <c r="N70" s="2300"/>
      <c r="O70" s="2300"/>
      <c r="P70" s="254">
        <f>'[3]    Stope Perfomance'!$D$29</f>
        <v>2.3831775700934577</v>
      </c>
      <c r="Q70" s="254">
        <f>'[3]    Stope Perfomance'!$D$29</f>
        <v>2.3831775700934577</v>
      </c>
      <c r="R70" s="254">
        <f>'[3]    Stope Perfomance'!$D$29</f>
        <v>2.3831775700934577</v>
      </c>
      <c r="S70" s="254">
        <f>'[3]    Stope Perfomance'!$D$29</f>
        <v>2.3831775700934577</v>
      </c>
      <c r="T70" s="254">
        <f>'[3]    Stope Perfomance'!$D$29</f>
        <v>2.3831775700934577</v>
      </c>
      <c r="U70" s="254">
        <f>'[3]    Stope Perfomance'!$D$29</f>
        <v>2.3831775700934577</v>
      </c>
      <c r="V70" s="254">
        <f>'[3]    Stope Perfomance'!$D$29</f>
        <v>2.3831775700934577</v>
      </c>
      <c r="W70" s="254">
        <f>'[3]    Stope Perfomance'!$D$29</f>
        <v>2.3831775700934577</v>
      </c>
      <c r="X70" s="254">
        <f>'[3]    Stope Perfomance'!$D$29</f>
        <v>2.3831775700934577</v>
      </c>
      <c r="Y70" s="254">
        <f>'[3]    Stope Perfomance'!$D$29</f>
        <v>2.3831775700934577</v>
      </c>
      <c r="Z70" s="254">
        <f>'[3]    Stope Perfomance'!$D$29</f>
        <v>2.3831775700934577</v>
      </c>
      <c r="AA70" s="254">
        <f>'[3]    Stope Perfomance'!$D$29</f>
        <v>2.3831775700934577</v>
      </c>
      <c r="AB70" s="254">
        <f>'[3]    Stope Perfomance'!$D$29</f>
        <v>2.3831775700934577</v>
      </c>
      <c r="AC70" s="254">
        <f>'[3]    Stope Perfomance'!$D$29</f>
        <v>2.3831775700934577</v>
      </c>
      <c r="AD70" s="254">
        <f>'[3]    Stope Perfomance'!$D$29</f>
        <v>2.3831775700934577</v>
      </c>
      <c r="AE70" s="254">
        <f>'[3]    Stope Perfomance'!$D$29</f>
        <v>2.3831775700934577</v>
      </c>
      <c r="AF70" s="254">
        <f>'[3]    Stope Perfomance'!$D$29</f>
        <v>2.3831775700934577</v>
      </c>
      <c r="AG70" s="254">
        <f>'[3]    Stope Perfomance'!$D$29</f>
        <v>2.3831775700934577</v>
      </c>
      <c r="AH70" s="254">
        <f>'[3]    Stope Perfomance'!$D$29</f>
        <v>2.3831775700934577</v>
      </c>
    </row>
    <row r="71" spans="1:34" s="2310" customFormat="1" outlineLevel="1">
      <c r="A71" s="3155" t="s">
        <v>1679</v>
      </c>
      <c r="B71" s="2307" t="s">
        <v>1644</v>
      </c>
      <c r="C71" s="2308">
        <f>SUM(D71:AH71)</f>
        <v>0</v>
      </c>
      <c r="D71" s="2309">
        <f>'[3]    Stope Perfomance'!$E$30*35</f>
        <v>0</v>
      </c>
      <c r="E71" s="2309">
        <f>'[3]    Stope Perfomance'!$E$30*35</f>
        <v>0</v>
      </c>
      <c r="F71" s="2309">
        <f>'[3]    Stope Perfomance'!$E$30*35</f>
        <v>0</v>
      </c>
      <c r="G71" s="2309">
        <f>'[3]    Stope Perfomance'!$E$30*35</f>
        <v>0</v>
      </c>
      <c r="H71" s="2309">
        <f>'[3]    Stope Perfomance'!$E$30*35</f>
        <v>0</v>
      </c>
      <c r="I71" s="2309">
        <f>'[3]    Stope Perfomance'!$E$30*35</f>
        <v>0</v>
      </c>
      <c r="J71" s="2309">
        <f>'[3]    Stope Perfomance'!$E$30*35</f>
        <v>0</v>
      </c>
      <c r="K71" s="2309">
        <f>'[3]    Stope Perfomance'!$E$30*35</f>
        <v>0</v>
      </c>
      <c r="L71" s="2309">
        <f>'[3]    Stope Perfomance'!$E$30*35</f>
        <v>0</v>
      </c>
      <c r="M71" s="2309">
        <f>'[3]    Stope Perfomance'!$E$30*35</f>
        <v>0</v>
      </c>
      <c r="N71" s="2309"/>
      <c r="O71" s="2309"/>
      <c r="P71" s="2309">
        <f>'[3]    Stope Perfomance'!$E$30*35</f>
        <v>0</v>
      </c>
      <c r="Q71" s="2309">
        <f>'[3]    Stope Perfomance'!$E$30*35</f>
        <v>0</v>
      </c>
      <c r="R71" s="2309">
        <f>'[3]    Stope Perfomance'!$E$30*35</f>
        <v>0</v>
      </c>
      <c r="S71" s="2309">
        <f>'[3]    Stope Perfomance'!$E$30*35</f>
        <v>0</v>
      </c>
      <c r="T71" s="2309">
        <f>'[3]    Stope Perfomance'!$E$30*35</f>
        <v>0</v>
      </c>
      <c r="U71" s="2309">
        <f>'[3]    Stope Perfomance'!$E$30*35</f>
        <v>0</v>
      </c>
      <c r="V71" s="2309">
        <f>'[3]    Stope Perfomance'!$E$30*35</f>
        <v>0</v>
      </c>
      <c r="W71" s="2309">
        <f>'[3]    Stope Perfomance'!$E$30*35</f>
        <v>0</v>
      </c>
      <c r="X71" s="2309">
        <f>'[3]    Stope Perfomance'!$E$30*35</f>
        <v>0</v>
      </c>
      <c r="Y71" s="2309">
        <f>'[3]    Stope Perfomance'!$E$30*35</f>
        <v>0</v>
      </c>
      <c r="Z71" s="2309">
        <f>'[3]    Stope Perfomance'!$E$30*35</f>
        <v>0</v>
      </c>
      <c r="AA71" s="2309">
        <f>'[3]    Stope Perfomance'!$E$30*35</f>
        <v>0</v>
      </c>
      <c r="AB71" s="2309">
        <f>'[3]    Stope Perfomance'!$E$30*35</f>
        <v>0</v>
      </c>
      <c r="AC71" s="2309">
        <f>'[3]    Stope Perfomance'!$E$30*35</f>
        <v>0</v>
      </c>
      <c r="AD71" s="2309">
        <f>'[3]    Stope Perfomance'!$E$30*35</f>
        <v>0</v>
      </c>
      <c r="AE71" s="2309">
        <f>'[3]    Stope Perfomance'!$E$30*35</f>
        <v>0</v>
      </c>
      <c r="AF71" s="2309">
        <f>'[3]    Stope Perfomance'!$E$30*35</f>
        <v>0</v>
      </c>
      <c r="AG71" s="2309">
        <f>'[3]    Stope Perfomance'!$E$30*35</f>
        <v>0</v>
      </c>
      <c r="AH71" s="2309">
        <f>'[3]    Stope Perfomance'!$E$30*35</f>
        <v>0</v>
      </c>
    </row>
    <row r="72" spans="1:34" s="2310" customFormat="1" outlineLevel="1">
      <c r="A72" s="3156"/>
      <c r="B72" s="2307" t="s">
        <v>1641</v>
      </c>
      <c r="C72" s="2311">
        <f>IF(C71,SUMPRODUCT(D71:AH71,D72:AH72)/C71,0)</f>
        <v>0</v>
      </c>
      <c r="D72" s="2312">
        <f>'[3]    Stope Perfomance'!$D$30</f>
        <v>0</v>
      </c>
      <c r="E72" s="2312">
        <f>'[3]    Stope Perfomance'!$D$30</f>
        <v>0</v>
      </c>
      <c r="F72" s="2312">
        <f>'[3]    Stope Perfomance'!$D$30</f>
        <v>0</v>
      </c>
      <c r="G72" s="2312">
        <f>'[3]    Stope Perfomance'!$D$30</f>
        <v>0</v>
      </c>
      <c r="H72" s="2312">
        <f>'[3]    Stope Perfomance'!$D$30</f>
        <v>0</v>
      </c>
      <c r="I72" s="2312">
        <f>'[3]    Stope Perfomance'!$D$30</f>
        <v>0</v>
      </c>
      <c r="J72" s="2312">
        <f>'[3]    Stope Perfomance'!$D$30</f>
        <v>0</v>
      </c>
      <c r="K72" s="2312">
        <f>'[3]    Stope Perfomance'!$D$30</f>
        <v>0</v>
      </c>
      <c r="L72" s="2312">
        <f>'[3]    Stope Perfomance'!$D$30</f>
        <v>0</v>
      </c>
      <c r="M72" s="2312">
        <f>'[3]    Stope Perfomance'!$D$30</f>
        <v>0</v>
      </c>
      <c r="N72" s="2312"/>
      <c r="O72" s="2312"/>
      <c r="P72" s="2312">
        <f>'[3]    Stope Perfomance'!$D$30</f>
        <v>0</v>
      </c>
      <c r="Q72" s="2312">
        <f>'[3]    Stope Perfomance'!$D$30</f>
        <v>0</v>
      </c>
      <c r="R72" s="2312">
        <f>'[3]    Stope Perfomance'!$D$30</f>
        <v>0</v>
      </c>
      <c r="S72" s="2312">
        <f>'[3]    Stope Perfomance'!$D$30</f>
        <v>0</v>
      </c>
      <c r="T72" s="2312">
        <f>'[3]    Stope Perfomance'!$D$30</f>
        <v>0</v>
      </c>
      <c r="U72" s="2312">
        <f>'[3]    Stope Perfomance'!$D$30</f>
        <v>0</v>
      </c>
      <c r="V72" s="2312">
        <f>'[3]    Stope Perfomance'!$D$30</f>
        <v>0</v>
      </c>
      <c r="W72" s="2312">
        <f>'[3]    Stope Perfomance'!$D$30</f>
        <v>0</v>
      </c>
      <c r="X72" s="2312">
        <f>'[3]    Stope Perfomance'!$D$30</f>
        <v>0</v>
      </c>
      <c r="Y72" s="2312">
        <f>'[3]    Stope Perfomance'!$D$30</f>
        <v>0</v>
      </c>
      <c r="Z72" s="2312">
        <f>'[3]    Stope Perfomance'!$D$30</f>
        <v>0</v>
      </c>
      <c r="AA72" s="2312">
        <f>'[3]    Stope Perfomance'!$D$30</f>
        <v>0</v>
      </c>
      <c r="AB72" s="2312">
        <f>'[3]    Stope Perfomance'!$D$30</f>
        <v>0</v>
      </c>
      <c r="AC72" s="2312">
        <f>'[3]    Stope Perfomance'!$D$30</f>
        <v>0</v>
      </c>
      <c r="AD72" s="2312">
        <f>'[3]    Stope Perfomance'!$D$30</f>
        <v>0</v>
      </c>
      <c r="AE72" s="2312">
        <f>'[3]    Stope Perfomance'!$D$30</f>
        <v>0</v>
      </c>
      <c r="AF72" s="2312">
        <f>'[3]    Stope Perfomance'!$D$30</f>
        <v>0</v>
      </c>
      <c r="AG72" s="2312">
        <f>'[3]    Stope Perfomance'!$D$30</f>
        <v>0</v>
      </c>
      <c r="AH72" s="2312">
        <f>'[3]    Stope Perfomance'!$D$30</f>
        <v>0</v>
      </c>
    </row>
    <row r="73" spans="1:34" outlineLevel="1">
      <c r="A73" s="3149" t="s">
        <v>1680</v>
      </c>
      <c r="B73" s="20" t="s">
        <v>1644</v>
      </c>
      <c r="C73" s="958">
        <f>SUM(D73:AH73)</f>
        <v>3045</v>
      </c>
      <c r="D73" s="21">
        <f>'[3]    Stope Perfomance'!$E$31*35</f>
        <v>105</v>
      </c>
      <c r="E73" s="21">
        <f>'[3]    Stope Perfomance'!$E$31*35</f>
        <v>105</v>
      </c>
      <c r="F73" s="21">
        <f>'[3]    Stope Perfomance'!$E$31*35</f>
        <v>105</v>
      </c>
      <c r="G73" s="21">
        <f>'[3]    Stope Perfomance'!$E$31*35</f>
        <v>105</v>
      </c>
      <c r="H73" s="21">
        <f>'[3]    Stope Perfomance'!$E$31*35</f>
        <v>105</v>
      </c>
      <c r="I73" s="21">
        <f>'[3]    Stope Perfomance'!$E$31*35</f>
        <v>105</v>
      </c>
      <c r="J73" s="21">
        <f>'[3]    Stope Perfomance'!$E$31*35</f>
        <v>105</v>
      </c>
      <c r="K73" s="21">
        <f>'[3]    Stope Perfomance'!$E$31*35</f>
        <v>105</v>
      </c>
      <c r="L73" s="21">
        <f>'[3]    Stope Perfomance'!$E$31*35</f>
        <v>105</v>
      </c>
      <c r="M73" s="21">
        <f>'[3]    Stope Perfomance'!$E$31*35</f>
        <v>105</v>
      </c>
      <c r="N73" s="2299"/>
      <c r="O73" s="2299"/>
      <c r="P73" s="21">
        <f>'[3]    Stope Perfomance'!$E$31*35</f>
        <v>105</v>
      </c>
      <c r="Q73" s="21">
        <f>'[3]    Stope Perfomance'!$E$31*35</f>
        <v>105</v>
      </c>
      <c r="R73" s="21">
        <f>'[3]    Stope Perfomance'!$E$31*35</f>
        <v>105</v>
      </c>
      <c r="S73" s="21">
        <f>'[3]    Stope Perfomance'!$E$31*35</f>
        <v>105</v>
      </c>
      <c r="T73" s="21">
        <f>'[3]    Stope Perfomance'!$E$31*35</f>
        <v>105</v>
      </c>
      <c r="U73" s="21">
        <f>'[3]    Stope Perfomance'!$E$31*35</f>
        <v>105</v>
      </c>
      <c r="V73" s="253">
        <f>'[3]    Stope Perfomance'!$E$31*35</f>
        <v>105</v>
      </c>
      <c r="W73" s="253">
        <f>'[3]    Stope Perfomance'!$E$31*35</f>
        <v>105</v>
      </c>
      <c r="X73" s="253">
        <f>'[3]    Stope Perfomance'!$E$31*35</f>
        <v>105</v>
      </c>
      <c r="Y73" s="253">
        <f>'[3]    Stope Perfomance'!$E$31*35</f>
        <v>105</v>
      </c>
      <c r="Z73" s="253">
        <f>'[3]    Stope Perfomance'!$E$31*35</f>
        <v>105</v>
      </c>
      <c r="AA73" s="21">
        <f>'[3]    Stope Perfomance'!$E$31*35</f>
        <v>105</v>
      </c>
      <c r="AB73" s="21">
        <f>'[3]    Stope Perfomance'!$E$31*35</f>
        <v>105</v>
      </c>
      <c r="AC73" s="21">
        <f>'[3]    Stope Perfomance'!$E$31*35</f>
        <v>105</v>
      </c>
      <c r="AD73" s="21">
        <f>'[3]    Stope Perfomance'!$E$31*35</f>
        <v>105</v>
      </c>
      <c r="AE73" s="21">
        <f>'[3]    Stope Perfomance'!$E$31*35</f>
        <v>105</v>
      </c>
      <c r="AF73" s="21">
        <f>'[3]    Stope Perfomance'!$E$31*35</f>
        <v>105</v>
      </c>
      <c r="AG73" s="21">
        <f>'[3]    Stope Perfomance'!$E$31*35</f>
        <v>105</v>
      </c>
      <c r="AH73" s="21">
        <f>'[3]    Stope Perfomance'!$E$31*35</f>
        <v>105</v>
      </c>
    </row>
    <row r="74" spans="1:34" outlineLevel="1">
      <c r="A74" s="3150"/>
      <c r="B74" s="20" t="s">
        <v>1641</v>
      </c>
      <c r="C74" s="957">
        <f>IF(C73,SUMPRODUCT(D73:AH73,D74:AH74)/C73,0)</f>
        <v>2.7803738317757007</v>
      </c>
      <c r="D74" s="29">
        <f>'[3]    Stope Perfomance'!$D$31</f>
        <v>2.7803738317757007</v>
      </c>
      <c r="E74" s="29">
        <f>'[3]    Stope Perfomance'!$D$31</f>
        <v>2.7803738317757007</v>
      </c>
      <c r="F74" s="29">
        <f>'[3]    Stope Perfomance'!$D$31</f>
        <v>2.7803738317757007</v>
      </c>
      <c r="G74" s="29">
        <f>'[3]    Stope Perfomance'!$D$31</f>
        <v>2.7803738317757007</v>
      </c>
      <c r="H74" s="29">
        <f>'[3]    Stope Perfomance'!$D$31</f>
        <v>2.7803738317757007</v>
      </c>
      <c r="I74" s="29">
        <f>'[3]    Stope Perfomance'!$D$31</f>
        <v>2.7803738317757007</v>
      </c>
      <c r="J74" s="29">
        <f>'[3]    Stope Perfomance'!$D$31</f>
        <v>2.7803738317757007</v>
      </c>
      <c r="K74" s="29">
        <f>'[3]    Stope Perfomance'!$D$31</f>
        <v>2.7803738317757007</v>
      </c>
      <c r="L74" s="29">
        <f>'[3]    Stope Perfomance'!$D$31</f>
        <v>2.7803738317757007</v>
      </c>
      <c r="M74" s="29">
        <f>'[3]    Stope Perfomance'!$D$31</f>
        <v>2.7803738317757007</v>
      </c>
      <c r="N74" s="2300"/>
      <c r="O74" s="2300"/>
      <c r="P74" s="29">
        <f>'[3]    Stope Perfomance'!$D$31</f>
        <v>2.7803738317757007</v>
      </c>
      <c r="Q74" s="29">
        <f>'[3]    Stope Perfomance'!$D$31</f>
        <v>2.7803738317757007</v>
      </c>
      <c r="R74" s="29">
        <f>'[3]    Stope Perfomance'!$D$31</f>
        <v>2.7803738317757007</v>
      </c>
      <c r="S74" s="29">
        <f>'[3]    Stope Perfomance'!$D$31</f>
        <v>2.7803738317757007</v>
      </c>
      <c r="T74" s="29">
        <f>'[3]    Stope Perfomance'!$D$31</f>
        <v>2.7803738317757007</v>
      </c>
      <c r="U74" s="29">
        <f>'[3]    Stope Perfomance'!$D$31</f>
        <v>2.7803738317757007</v>
      </c>
      <c r="V74" s="254">
        <f>'[3]    Stope Perfomance'!$D$31</f>
        <v>2.7803738317757007</v>
      </c>
      <c r="W74" s="254">
        <f>'[3]    Stope Perfomance'!$D$31</f>
        <v>2.7803738317757007</v>
      </c>
      <c r="X74" s="254">
        <f>'[3]    Stope Perfomance'!$D$31</f>
        <v>2.7803738317757007</v>
      </c>
      <c r="Y74" s="29">
        <f>'[3]    Stope Perfomance'!$D$31</f>
        <v>2.7803738317757007</v>
      </c>
      <c r="Z74" s="29">
        <f>'[3]    Stope Perfomance'!$D$31</f>
        <v>2.7803738317757007</v>
      </c>
      <c r="AA74" s="29">
        <f>'[3]    Stope Perfomance'!$D$31</f>
        <v>2.7803738317757007</v>
      </c>
      <c r="AB74" s="29">
        <f>'[3]    Stope Perfomance'!$D$31</f>
        <v>2.7803738317757007</v>
      </c>
      <c r="AC74" s="29">
        <f>'[3]    Stope Perfomance'!$D$31</f>
        <v>2.7803738317757007</v>
      </c>
      <c r="AD74" s="29">
        <f>'[3]    Stope Perfomance'!$D$31</f>
        <v>2.7803738317757007</v>
      </c>
      <c r="AE74" s="29">
        <f>'[3]    Stope Perfomance'!$D$31</f>
        <v>2.7803738317757007</v>
      </c>
      <c r="AF74" s="29">
        <f>'[3]    Stope Perfomance'!$D$31</f>
        <v>2.7803738317757007</v>
      </c>
      <c r="AG74" s="29">
        <f>'[3]    Stope Perfomance'!$D$31</f>
        <v>2.7803738317757007</v>
      </c>
      <c r="AH74" s="29">
        <f>'[3]    Stope Perfomance'!$D$31</f>
        <v>2.7803738317757007</v>
      </c>
    </row>
    <row r="75" spans="1:34" outlineLevel="1">
      <c r="A75" s="3149" t="s">
        <v>1681</v>
      </c>
      <c r="B75" s="20" t="s">
        <v>1644</v>
      </c>
      <c r="C75" s="958">
        <f>SUM(D75:AH75)</f>
        <v>1015</v>
      </c>
      <c r="D75" s="27">
        <f>'[3]    Stope Perfomance'!$E$33*35</f>
        <v>35</v>
      </c>
      <c r="E75" s="27">
        <f>'[3]    Stope Perfomance'!$E$33*35</f>
        <v>35</v>
      </c>
      <c r="F75" s="27">
        <f>'[3]    Stope Perfomance'!$E$33*35</f>
        <v>35</v>
      </c>
      <c r="G75" s="27">
        <f>'[3]    Stope Perfomance'!$E$33*35</f>
        <v>35</v>
      </c>
      <c r="H75" s="27">
        <f>'[3]    Stope Perfomance'!$E$33*35</f>
        <v>35</v>
      </c>
      <c r="I75" s="27">
        <f>'[3]    Stope Perfomance'!$E$33*35</f>
        <v>35</v>
      </c>
      <c r="J75" s="27">
        <f>'[3]    Stope Perfomance'!$E$33*35</f>
        <v>35</v>
      </c>
      <c r="K75" s="27">
        <f>'[3]    Stope Perfomance'!$E$33*35</f>
        <v>35</v>
      </c>
      <c r="L75" s="27">
        <f>'[3]    Stope Perfomance'!$E$33*35</f>
        <v>35</v>
      </c>
      <c r="M75" s="27">
        <f>'[3]    Stope Perfomance'!$E$33*35</f>
        <v>35</v>
      </c>
      <c r="N75" s="2300"/>
      <c r="O75" s="2300"/>
      <c r="P75" s="27">
        <f>'[3]    Stope Perfomance'!$E$33*35</f>
        <v>35</v>
      </c>
      <c r="Q75" s="27">
        <f>'[3]    Stope Perfomance'!$E$33*35</f>
        <v>35</v>
      </c>
      <c r="R75" s="27">
        <f>'[3]    Stope Perfomance'!$E$33*35</f>
        <v>35</v>
      </c>
      <c r="S75" s="27">
        <f>'[3]    Stope Perfomance'!$E$33*35</f>
        <v>35</v>
      </c>
      <c r="T75" s="27">
        <f>'[3]    Stope Perfomance'!$E$33*35</f>
        <v>35</v>
      </c>
      <c r="U75" s="27">
        <f>'[3]    Stope Perfomance'!$E$33*35</f>
        <v>35</v>
      </c>
      <c r="V75" s="27">
        <f>'[3]    Stope Perfomance'!$E$33*35</f>
        <v>35</v>
      </c>
      <c r="W75" s="27">
        <f>'[3]    Stope Perfomance'!$E$33*35</f>
        <v>35</v>
      </c>
      <c r="X75" s="27">
        <f>'[3]    Stope Perfomance'!$E$33*35</f>
        <v>35</v>
      </c>
      <c r="Y75" s="27">
        <f>'[3]    Stope Perfomance'!$E$33*35</f>
        <v>35</v>
      </c>
      <c r="Z75" s="27">
        <f>'[3]    Stope Perfomance'!$E$33*35</f>
        <v>35</v>
      </c>
      <c r="AA75" s="27">
        <f>'[3]    Stope Perfomance'!$E$33*35</f>
        <v>35</v>
      </c>
      <c r="AB75" s="27">
        <f>'[3]    Stope Perfomance'!$E$33*35</f>
        <v>35</v>
      </c>
      <c r="AC75" s="27">
        <f>'[3]    Stope Perfomance'!$E$33*35</f>
        <v>35</v>
      </c>
      <c r="AD75" s="27">
        <f>'[3]    Stope Perfomance'!$E$33*35</f>
        <v>35</v>
      </c>
      <c r="AE75" s="27">
        <f>'[3]    Stope Perfomance'!$E$33*35</f>
        <v>35</v>
      </c>
      <c r="AF75" s="27">
        <f>'[3]    Stope Perfomance'!$E$33*35</f>
        <v>35</v>
      </c>
      <c r="AG75" s="27">
        <f>'[3]    Stope Perfomance'!$E$33*35</f>
        <v>35</v>
      </c>
      <c r="AH75" s="27">
        <f>'[3]    Stope Perfomance'!$E$33*35</f>
        <v>35</v>
      </c>
    </row>
    <row r="76" spans="1:34" outlineLevel="1">
      <c r="A76" s="3150"/>
      <c r="B76" s="20" t="s">
        <v>1641</v>
      </c>
      <c r="C76" s="957">
        <f>IF(C75,SUMPRODUCT(D75:AH75,D76:AH76)/C75,0)</f>
        <v>1.9859813084112161</v>
      </c>
      <c r="D76" s="29">
        <f>'[3]    Stope Perfomance'!$D$33</f>
        <v>1.9859813084112148</v>
      </c>
      <c r="E76" s="29">
        <f>'[3]    Stope Perfomance'!$D$33</f>
        <v>1.9859813084112148</v>
      </c>
      <c r="F76" s="29">
        <f>'[3]    Stope Perfomance'!$D$33</f>
        <v>1.9859813084112148</v>
      </c>
      <c r="G76" s="29">
        <f>'[3]    Stope Perfomance'!$D$33</f>
        <v>1.9859813084112148</v>
      </c>
      <c r="H76" s="29">
        <f>'[3]    Stope Perfomance'!$D$33</f>
        <v>1.9859813084112148</v>
      </c>
      <c r="I76" s="29">
        <f>'[3]    Stope Perfomance'!$D$33</f>
        <v>1.9859813084112148</v>
      </c>
      <c r="J76" s="29">
        <f>'[3]    Stope Perfomance'!$D$33</f>
        <v>1.9859813084112148</v>
      </c>
      <c r="K76" s="29">
        <f>'[3]    Stope Perfomance'!$D$33</f>
        <v>1.9859813084112148</v>
      </c>
      <c r="L76" s="29">
        <f>'[3]    Stope Perfomance'!$D$33</f>
        <v>1.9859813084112148</v>
      </c>
      <c r="M76" s="29">
        <f>'[3]    Stope Perfomance'!$D$33</f>
        <v>1.9859813084112148</v>
      </c>
      <c r="N76" s="2300"/>
      <c r="O76" s="2300"/>
      <c r="P76" s="29">
        <f>'[3]    Stope Perfomance'!$D$33</f>
        <v>1.9859813084112148</v>
      </c>
      <c r="Q76" s="29">
        <f>'[3]    Stope Perfomance'!$D$33</f>
        <v>1.9859813084112148</v>
      </c>
      <c r="R76" s="29">
        <f>'[3]    Stope Perfomance'!$D$33</f>
        <v>1.9859813084112148</v>
      </c>
      <c r="S76" s="29">
        <f>'[3]    Stope Perfomance'!$D$33</f>
        <v>1.9859813084112148</v>
      </c>
      <c r="T76" s="29">
        <f>'[3]    Stope Perfomance'!$D$33</f>
        <v>1.9859813084112148</v>
      </c>
      <c r="U76" s="29">
        <f>'[3]    Stope Perfomance'!$D$33</f>
        <v>1.9859813084112148</v>
      </c>
      <c r="V76" s="29">
        <f>'[3]    Stope Perfomance'!$D$33</f>
        <v>1.9859813084112148</v>
      </c>
      <c r="W76" s="29">
        <f>'[3]    Stope Perfomance'!$D$33</f>
        <v>1.9859813084112148</v>
      </c>
      <c r="X76" s="29">
        <f>'[3]    Stope Perfomance'!$D$33</f>
        <v>1.9859813084112148</v>
      </c>
      <c r="Y76" s="29">
        <f>'[3]    Stope Perfomance'!$D$33</f>
        <v>1.9859813084112148</v>
      </c>
      <c r="Z76" s="29">
        <f>'[3]    Stope Perfomance'!$D$33</f>
        <v>1.9859813084112148</v>
      </c>
      <c r="AA76" s="29">
        <f>'[3]    Stope Perfomance'!$D$33</f>
        <v>1.9859813084112148</v>
      </c>
      <c r="AB76" s="29">
        <f>'[3]    Stope Perfomance'!$D$33</f>
        <v>1.9859813084112148</v>
      </c>
      <c r="AC76" s="29">
        <f>'[3]    Stope Perfomance'!$D$33</f>
        <v>1.9859813084112148</v>
      </c>
      <c r="AD76" s="29">
        <f>'[3]    Stope Perfomance'!$D$33</f>
        <v>1.9859813084112148</v>
      </c>
      <c r="AE76" s="29">
        <f>'[3]    Stope Perfomance'!$D$33</f>
        <v>1.9859813084112148</v>
      </c>
      <c r="AF76" s="29">
        <f>'[3]    Stope Perfomance'!$D$33</f>
        <v>1.9859813084112148</v>
      </c>
      <c r="AG76" s="29">
        <f>'[3]    Stope Perfomance'!$D$33</f>
        <v>1.9859813084112148</v>
      </c>
      <c r="AH76" s="29">
        <f>'[3]    Stope Perfomance'!$D$33</f>
        <v>1.9859813084112148</v>
      </c>
    </row>
    <row r="77" spans="1:34" outlineLevel="1">
      <c r="A77" s="3149" t="s">
        <v>1682</v>
      </c>
      <c r="B77" s="20" t="s">
        <v>1644</v>
      </c>
      <c r="C77" s="958">
        <f>SUM(D77:AH77)</f>
        <v>0</v>
      </c>
      <c r="D77" s="21">
        <f>'[3]    Stope Perfomance'!$J$66*35</f>
        <v>0</v>
      </c>
      <c r="E77" s="21">
        <f>'[3]    Stope Perfomance'!$J$66*35</f>
        <v>0</v>
      </c>
      <c r="F77" s="21">
        <f>'[3]    Stope Perfomance'!$J$66*35</f>
        <v>0</v>
      </c>
      <c r="G77" s="21">
        <f>'[3]    Stope Perfomance'!$J$66*35</f>
        <v>0</v>
      </c>
      <c r="H77" s="21">
        <f>'[3]    Stope Perfomance'!$J$66*35</f>
        <v>0</v>
      </c>
      <c r="I77" s="21">
        <f>'[3]    Stope Perfomance'!$J$66*35</f>
        <v>0</v>
      </c>
      <c r="J77" s="21">
        <f>'[3]    Stope Perfomance'!$J$66*35</f>
        <v>0</v>
      </c>
      <c r="K77" s="21">
        <f>'[3]    Stope Perfomance'!$J$66*35</f>
        <v>0</v>
      </c>
      <c r="L77" s="21">
        <f>'[3]    Stope Perfomance'!$J$66*35</f>
        <v>0</v>
      </c>
      <c r="M77" s="21">
        <f>'[3]    Stope Perfomance'!$J$66*35</f>
        <v>0</v>
      </c>
      <c r="N77" s="2299"/>
      <c r="O77" s="2299"/>
      <c r="P77" s="21">
        <f>'[3]    Stope Perfomance'!$J$66*35</f>
        <v>0</v>
      </c>
      <c r="Q77" s="21">
        <f>'[3]    Stope Perfomance'!$J$66*35</f>
        <v>0</v>
      </c>
      <c r="R77" s="21">
        <f>'[3]    Stope Perfomance'!$J$66*35</f>
        <v>0</v>
      </c>
      <c r="S77" s="21">
        <f>'[3]    Stope Perfomance'!$J$66*35</f>
        <v>0</v>
      </c>
      <c r="T77" s="21">
        <f>'[3]    Stope Perfomance'!$J$66*35</f>
        <v>0</v>
      </c>
      <c r="U77" s="21">
        <f>'[3]    Stope Perfomance'!$J$66*35</f>
        <v>0</v>
      </c>
      <c r="V77" s="253">
        <f>'[3]    Stope Perfomance'!$J$66*35</f>
        <v>0</v>
      </c>
      <c r="W77" s="253">
        <f>'[3]    Stope Perfomance'!$J$66*35</f>
        <v>0</v>
      </c>
      <c r="X77" s="253">
        <f>'[3]    Stope Perfomance'!$J$66*35</f>
        <v>0</v>
      </c>
      <c r="Y77" s="253">
        <f>'[3]    Stope Perfomance'!$J$66*35</f>
        <v>0</v>
      </c>
      <c r="Z77" s="253">
        <f>'[3]    Stope Perfomance'!$J$66*35</f>
        <v>0</v>
      </c>
      <c r="AA77" s="21">
        <f>'[3]    Stope Perfomance'!$J$66*35</f>
        <v>0</v>
      </c>
      <c r="AB77" s="21">
        <f>'[3]    Stope Perfomance'!$J$66*35</f>
        <v>0</v>
      </c>
      <c r="AC77" s="21">
        <f>'[3]    Stope Perfomance'!$J$66*35</f>
        <v>0</v>
      </c>
      <c r="AD77" s="21">
        <f>'[3]    Stope Perfomance'!$J$66*35</f>
        <v>0</v>
      </c>
      <c r="AE77" s="21">
        <f>'[3]    Stope Perfomance'!$J$66*35</f>
        <v>0</v>
      </c>
      <c r="AF77" s="21">
        <f>'[3]    Stope Perfomance'!$J$66*35</f>
        <v>0</v>
      </c>
      <c r="AG77" s="21">
        <f>'[3]    Stope Perfomance'!$J$66*35</f>
        <v>0</v>
      </c>
      <c r="AH77" s="21">
        <f>'[3]    Stope Perfomance'!$J$66*35</f>
        <v>0</v>
      </c>
    </row>
    <row r="78" spans="1:34" outlineLevel="1">
      <c r="A78" s="3150"/>
      <c r="B78" s="20" t="s">
        <v>1641</v>
      </c>
      <c r="C78" s="957">
        <f>IF(C77,SUMPRODUCT(D77:AH77,D78:AH78)/C77,0)</f>
        <v>0</v>
      </c>
      <c r="D78" s="29">
        <f>'[3]    Stope Perfomance'!$D$34</f>
        <v>0</v>
      </c>
      <c r="E78" s="29">
        <f>'[3]    Stope Perfomance'!$D$34</f>
        <v>0</v>
      </c>
      <c r="F78" s="29">
        <f>'[3]    Stope Perfomance'!$D$34</f>
        <v>0</v>
      </c>
      <c r="G78" s="29">
        <f>'[3]    Stope Perfomance'!$D$34</f>
        <v>0</v>
      </c>
      <c r="H78" s="29">
        <f>'[3]    Stope Perfomance'!$D$34</f>
        <v>0</v>
      </c>
      <c r="I78" s="29">
        <f>'[3]    Stope Perfomance'!$D$34</f>
        <v>0</v>
      </c>
      <c r="J78" s="29">
        <f>'[3]    Stope Perfomance'!$D$34</f>
        <v>0</v>
      </c>
      <c r="K78" s="29">
        <f>'[3]    Stope Perfomance'!$D$34</f>
        <v>0</v>
      </c>
      <c r="L78" s="29">
        <f>'[3]    Stope Perfomance'!$D$34</f>
        <v>0</v>
      </c>
      <c r="M78" s="29">
        <f>'[3]    Stope Perfomance'!$D$34</f>
        <v>0</v>
      </c>
      <c r="N78" s="2300"/>
      <c r="O78" s="2300"/>
      <c r="P78" s="29">
        <f>'[3]    Stope Perfomance'!$D$34</f>
        <v>0</v>
      </c>
      <c r="Q78" s="29">
        <f>'[3]    Stope Perfomance'!$D$34</f>
        <v>0</v>
      </c>
      <c r="R78" s="29">
        <f>'[3]    Stope Perfomance'!$D$34</f>
        <v>0</v>
      </c>
      <c r="S78" s="29">
        <f>'[3]    Stope Perfomance'!$D$34</f>
        <v>0</v>
      </c>
      <c r="T78" s="29">
        <f>'[3]    Stope Perfomance'!$D$34</f>
        <v>0</v>
      </c>
      <c r="U78" s="29">
        <f>'[3]    Stope Perfomance'!$D$34</f>
        <v>0</v>
      </c>
      <c r="V78" s="254">
        <f>'[3]    Stope Perfomance'!$D$34</f>
        <v>0</v>
      </c>
      <c r="W78" s="254">
        <f>'[3]    Stope Perfomance'!$D$34</f>
        <v>0</v>
      </c>
      <c r="X78" s="254">
        <f>'[3]    Stope Perfomance'!$D$34</f>
        <v>0</v>
      </c>
      <c r="Y78" s="29">
        <f>'[3]    Stope Perfomance'!$D$34</f>
        <v>0</v>
      </c>
      <c r="Z78" s="29">
        <f>'[3]    Stope Perfomance'!$D$34</f>
        <v>0</v>
      </c>
      <c r="AA78" s="29">
        <f>'[3]    Stope Perfomance'!$D$34</f>
        <v>0</v>
      </c>
      <c r="AB78" s="29">
        <f>'[3]    Stope Perfomance'!$D$34</f>
        <v>0</v>
      </c>
      <c r="AC78" s="29">
        <f>'[3]    Stope Perfomance'!$D$34</f>
        <v>0</v>
      </c>
      <c r="AD78" s="29">
        <f>'[3]    Stope Perfomance'!$D$34</f>
        <v>0</v>
      </c>
      <c r="AE78" s="29">
        <f>'[3]    Stope Perfomance'!$D$34</f>
        <v>0</v>
      </c>
      <c r="AF78" s="29">
        <f>'[3]    Stope Perfomance'!$D$34</f>
        <v>0</v>
      </c>
      <c r="AG78" s="29">
        <f>'[3]    Stope Perfomance'!$D$34</f>
        <v>0</v>
      </c>
      <c r="AH78" s="29">
        <f>'[3]    Stope Perfomance'!$D$34</f>
        <v>0</v>
      </c>
    </row>
    <row r="79" spans="1:34" outlineLevel="1">
      <c r="A79" s="3121" t="s">
        <v>140</v>
      </c>
      <c r="B79" s="20" t="s">
        <v>1644</v>
      </c>
      <c r="C79" s="958">
        <f>SUM(D79:AH79)</f>
        <v>2030</v>
      </c>
      <c r="D79" s="21">
        <f>'[3]    Stope Perfomance'!$E$35*35</f>
        <v>70</v>
      </c>
      <c r="E79" s="21">
        <f>'[3]    Stope Perfomance'!$E$35*35</f>
        <v>70</v>
      </c>
      <c r="F79" s="21">
        <f>'[3]    Stope Perfomance'!$E$35*35</f>
        <v>70</v>
      </c>
      <c r="G79" s="21">
        <f>'[3]    Stope Perfomance'!$E$35*35</f>
        <v>70</v>
      </c>
      <c r="H79" s="21">
        <f>'[3]    Stope Perfomance'!$E$35*35</f>
        <v>70</v>
      </c>
      <c r="I79" s="21">
        <f>'[3]    Stope Perfomance'!$E$35*35</f>
        <v>70</v>
      </c>
      <c r="J79" s="21">
        <f>'[3]    Stope Perfomance'!$E$35*35</f>
        <v>70</v>
      </c>
      <c r="K79" s="21">
        <f>'[3]    Stope Perfomance'!$E$35*35</f>
        <v>70</v>
      </c>
      <c r="L79" s="21">
        <f>'[3]    Stope Perfomance'!$E$35*35</f>
        <v>70</v>
      </c>
      <c r="M79" s="21">
        <f>'[3]    Stope Perfomance'!$E$35*35</f>
        <v>70</v>
      </c>
      <c r="N79" s="2299"/>
      <c r="O79" s="2299"/>
      <c r="P79" s="21">
        <f>'[3]    Stope Perfomance'!$E$35*35</f>
        <v>70</v>
      </c>
      <c r="Q79" s="21">
        <f>'[3]    Stope Perfomance'!$E$35*35</f>
        <v>70</v>
      </c>
      <c r="R79" s="21">
        <f>'[3]    Stope Perfomance'!$E$35*35</f>
        <v>70</v>
      </c>
      <c r="S79" s="21">
        <f>'[3]    Stope Perfomance'!$E$35*35</f>
        <v>70</v>
      </c>
      <c r="T79" s="21">
        <f>'[3]    Stope Perfomance'!$E$35*35</f>
        <v>70</v>
      </c>
      <c r="U79" s="21">
        <f>'[3]    Stope Perfomance'!$E$35*35</f>
        <v>70</v>
      </c>
      <c r="V79" s="21">
        <f>'[3]    Stope Perfomance'!$E$35*35</f>
        <v>70</v>
      </c>
      <c r="W79" s="21">
        <f>'[3]    Stope Perfomance'!$E$35*35</f>
        <v>70</v>
      </c>
      <c r="X79" s="21">
        <f>'[3]    Stope Perfomance'!$E$35*35</f>
        <v>70</v>
      </c>
      <c r="Y79" s="21">
        <f>'[3]    Stope Perfomance'!$E$35*35</f>
        <v>70</v>
      </c>
      <c r="Z79" s="21">
        <f>'[3]    Stope Perfomance'!$E$35*35</f>
        <v>70</v>
      </c>
      <c r="AA79" s="21">
        <f>'[3]    Stope Perfomance'!$E$35*35</f>
        <v>70</v>
      </c>
      <c r="AB79" s="21">
        <f>'[3]    Stope Perfomance'!$E$35*35</f>
        <v>70</v>
      </c>
      <c r="AC79" s="21">
        <f>'[3]    Stope Perfomance'!$E$35*35</f>
        <v>70</v>
      </c>
      <c r="AD79" s="21">
        <f>'[3]    Stope Perfomance'!$E$35*35</f>
        <v>70</v>
      </c>
      <c r="AE79" s="21">
        <f>'[3]    Stope Perfomance'!$E$35*35</f>
        <v>70</v>
      </c>
      <c r="AF79" s="21">
        <f>'[3]    Stope Perfomance'!$E$35*35</f>
        <v>70</v>
      </c>
      <c r="AG79" s="21">
        <f>'[3]    Stope Perfomance'!$E$35*35</f>
        <v>70</v>
      </c>
      <c r="AH79" s="21">
        <f>'[3]    Stope Perfomance'!$E$35*35</f>
        <v>70</v>
      </c>
    </row>
    <row r="80" spans="1:34" outlineLevel="1">
      <c r="A80" s="3137"/>
      <c r="B80" s="20" t="s">
        <v>1641</v>
      </c>
      <c r="C80" s="957">
        <f>IF(C79,SUMPRODUCT(D79:AH79,D80:AH80)/C79,0)</f>
        <v>1.7476635514018701</v>
      </c>
      <c r="D80" s="29">
        <f>'[3]    Stope Perfomance'!$D$35</f>
        <v>1.7476635514018692</v>
      </c>
      <c r="E80" s="29">
        <f>'[3]    Stope Perfomance'!$D$35</f>
        <v>1.7476635514018692</v>
      </c>
      <c r="F80" s="29">
        <f>'[3]    Stope Perfomance'!$D$35</f>
        <v>1.7476635514018692</v>
      </c>
      <c r="G80" s="29">
        <f>'[3]    Stope Perfomance'!$D$35</f>
        <v>1.7476635514018692</v>
      </c>
      <c r="H80" s="29">
        <f>'[3]    Stope Perfomance'!$D$35</f>
        <v>1.7476635514018692</v>
      </c>
      <c r="I80" s="29">
        <f>'[3]    Stope Perfomance'!$D$35</f>
        <v>1.7476635514018692</v>
      </c>
      <c r="J80" s="29">
        <f>'[3]    Stope Perfomance'!$D$35</f>
        <v>1.7476635514018692</v>
      </c>
      <c r="K80" s="29">
        <f>'[3]    Stope Perfomance'!$D$35</f>
        <v>1.7476635514018692</v>
      </c>
      <c r="L80" s="29">
        <f>'[3]    Stope Perfomance'!$D$35</f>
        <v>1.7476635514018692</v>
      </c>
      <c r="M80" s="29">
        <f>'[3]    Stope Perfomance'!$D$35</f>
        <v>1.7476635514018692</v>
      </c>
      <c r="N80" s="2300"/>
      <c r="O80" s="2300"/>
      <c r="P80" s="29">
        <f>'[3]    Stope Perfomance'!$D$35</f>
        <v>1.7476635514018692</v>
      </c>
      <c r="Q80" s="29">
        <f>'[3]    Stope Perfomance'!$D$35</f>
        <v>1.7476635514018692</v>
      </c>
      <c r="R80" s="29">
        <f>'[3]    Stope Perfomance'!$D$35</f>
        <v>1.7476635514018692</v>
      </c>
      <c r="S80" s="29">
        <f>'[3]    Stope Perfomance'!$D$35</f>
        <v>1.7476635514018692</v>
      </c>
      <c r="T80" s="29">
        <f>'[3]    Stope Perfomance'!$D$35</f>
        <v>1.7476635514018692</v>
      </c>
      <c r="U80" s="29">
        <f>'[3]    Stope Perfomance'!$D$35</f>
        <v>1.7476635514018692</v>
      </c>
      <c r="V80" s="29">
        <f>'[3]    Stope Perfomance'!$D$35</f>
        <v>1.7476635514018692</v>
      </c>
      <c r="W80" s="29">
        <f>'[3]    Stope Perfomance'!$D$35</f>
        <v>1.7476635514018692</v>
      </c>
      <c r="X80" s="29">
        <f>'[3]    Stope Perfomance'!$D$35</f>
        <v>1.7476635514018692</v>
      </c>
      <c r="Y80" s="29">
        <f>'[3]    Stope Perfomance'!$D$35</f>
        <v>1.7476635514018692</v>
      </c>
      <c r="Z80" s="29">
        <f>'[3]    Stope Perfomance'!$D$35</f>
        <v>1.7476635514018692</v>
      </c>
      <c r="AA80" s="29">
        <f>'[3]    Stope Perfomance'!$D$35</f>
        <v>1.7476635514018692</v>
      </c>
      <c r="AB80" s="29">
        <f>'[3]    Stope Perfomance'!$D$35</f>
        <v>1.7476635514018692</v>
      </c>
      <c r="AC80" s="29">
        <f>'[3]    Stope Perfomance'!$D$35</f>
        <v>1.7476635514018692</v>
      </c>
      <c r="AD80" s="29">
        <f>'[3]    Stope Perfomance'!$D$35</f>
        <v>1.7476635514018692</v>
      </c>
      <c r="AE80" s="29">
        <f>'[3]    Stope Perfomance'!$D$35</f>
        <v>1.7476635514018692</v>
      </c>
      <c r="AF80" s="29">
        <f>'[3]    Stope Perfomance'!$D$35</f>
        <v>1.7476635514018692</v>
      </c>
      <c r="AG80" s="29">
        <f>'[3]    Stope Perfomance'!$D$35</f>
        <v>1.7476635514018692</v>
      </c>
      <c r="AH80" s="29">
        <f>'[3]    Stope Perfomance'!$D$35</f>
        <v>1.7476635514018692</v>
      </c>
    </row>
    <row r="81" spans="1:34" outlineLevel="1">
      <c r="A81" s="3121" t="s">
        <v>1683</v>
      </c>
      <c r="B81" s="20" t="s">
        <v>1644</v>
      </c>
      <c r="C81" s="958">
        <f>SUM(D81:AH81)</f>
        <v>2030</v>
      </c>
      <c r="D81" s="27">
        <f>'[3]    Stope Perfomance'!$E$36*35</f>
        <v>70</v>
      </c>
      <c r="E81" s="27">
        <f>'[3]    Stope Perfomance'!$E$36*35</f>
        <v>70</v>
      </c>
      <c r="F81" s="27">
        <f>'[3]    Stope Perfomance'!$E$36*35</f>
        <v>70</v>
      </c>
      <c r="G81" s="27">
        <f>'[3]    Stope Perfomance'!$E$36*35</f>
        <v>70</v>
      </c>
      <c r="H81" s="27">
        <f>'[3]    Stope Perfomance'!$E$36*35</f>
        <v>70</v>
      </c>
      <c r="I81" s="27">
        <f>'[3]    Stope Perfomance'!$E$36*35</f>
        <v>70</v>
      </c>
      <c r="J81" s="27">
        <f>'[3]    Stope Perfomance'!$E$36*35</f>
        <v>70</v>
      </c>
      <c r="K81" s="27">
        <f>'[3]    Stope Perfomance'!$E$36*35</f>
        <v>70</v>
      </c>
      <c r="L81" s="27">
        <f>'[3]    Stope Perfomance'!$E$36*35</f>
        <v>70</v>
      </c>
      <c r="M81" s="27">
        <f>'[3]    Stope Perfomance'!$E$36*35</f>
        <v>70</v>
      </c>
      <c r="N81" s="2300"/>
      <c r="O81" s="2300"/>
      <c r="P81" s="27">
        <f>'[3]    Stope Perfomance'!$E$36*35</f>
        <v>70</v>
      </c>
      <c r="Q81" s="27">
        <f>'[3]    Stope Perfomance'!$E$36*35</f>
        <v>70</v>
      </c>
      <c r="R81" s="27">
        <f>'[3]    Stope Perfomance'!$E$36*35</f>
        <v>70</v>
      </c>
      <c r="S81" s="27">
        <f>'[3]    Stope Perfomance'!$E$36*35</f>
        <v>70</v>
      </c>
      <c r="T81" s="27">
        <f>'[3]    Stope Perfomance'!$E$36*35</f>
        <v>70</v>
      </c>
      <c r="U81" s="27">
        <f>'[3]    Stope Perfomance'!$E$36*35</f>
        <v>70</v>
      </c>
      <c r="V81" s="27">
        <f>'[3]    Stope Perfomance'!$E$36*35</f>
        <v>70</v>
      </c>
      <c r="W81" s="27">
        <f>'[3]    Stope Perfomance'!$E$36*35</f>
        <v>70</v>
      </c>
      <c r="X81" s="27">
        <f>'[3]    Stope Perfomance'!$E$36*35</f>
        <v>70</v>
      </c>
      <c r="Y81" s="27">
        <f>'[3]    Stope Perfomance'!$E$36*35</f>
        <v>70</v>
      </c>
      <c r="Z81" s="27">
        <f>'[3]    Stope Perfomance'!$E$36*35</f>
        <v>70</v>
      </c>
      <c r="AA81" s="27">
        <f>'[3]    Stope Perfomance'!$E$36*35</f>
        <v>70</v>
      </c>
      <c r="AB81" s="27">
        <f>'[3]    Stope Perfomance'!$E$36*35</f>
        <v>70</v>
      </c>
      <c r="AC81" s="27">
        <f>'[3]    Stope Perfomance'!$E$36*35</f>
        <v>70</v>
      </c>
      <c r="AD81" s="27">
        <f>'[3]    Stope Perfomance'!$E$36*35</f>
        <v>70</v>
      </c>
      <c r="AE81" s="27">
        <f>'[3]    Stope Perfomance'!$E$36*35</f>
        <v>70</v>
      </c>
      <c r="AF81" s="27">
        <f>'[3]    Stope Perfomance'!$E$36*35</f>
        <v>70</v>
      </c>
      <c r="AG81" s="27">
        <f>'[3]    Stope Perfomance'!$E$36*35</f>
        <v>70</v>
      </c>
      <c r="AH81" s="27">
        <f>'[3]    Stope Perfomance'!$E$36*35</f>
        <v>70</v>
      </c>
    </row>
    <row r="82" spans="1:34" outlineLevel="1">
      <c r="A82" s="3137"/>
      <c r="B82" s="20" t="s">
        <v>1641</v>
      </c>
      <c r="C82" s="957">
        <f>IF(C81,SUMPRODUCT(D81:AH81,D82:AH82)/C81,0)</f>
        <v>2.7803738317757012</v>
      </c>
      <c r="D82" s="29">
        <f>'[3]    Stope Perfomance'!$D$36</f>
        <v>2.7803738317757007</v>
      </c>
      <c r="E82" s="29">
        <f>'[3]    Stope Perfomance'!$D$36</f>
        <v>2.7803738317757007</v>
      </c>
      <c r="F82" s="29">
        <f>'[3]    Stope Perfomance'!$D$36</f>
        <v>2.7803738317757007</v>
      </c>
      <c r="G82" s="29">
        <f>'[3]    Stope Perfomance'!$D$36</f>
        <v>2.7803738317757007</v>
      </c>
      <c r="H82" s="29">
        <f>'[3]    Stope Perfomance'!$D$36</f>
        <v>2.7803738317757007</v>
      </c>
      <c r="I82" s="29">
        <f>'[3]    Stope Perfomance'!$D$36</f>
        <v>2.7803738317757007</v>
      </c>
      <c r="J82" s="29">
        <f>'[3]    Stope Perfomance'!$D$36</f>
        <v>2.7803738317757007</v>
      </c>
      <c r="K82" s="29">
        <f>'[3]    Stope Perfomance'!$D$36</f>
        <v>2.7803738317757007</v>
      </c>
      <c r="L82" s="29">
        <f>'[3]    Stope Perfomance'!$D$36</f>
        <v>2.7803738317757007</v>
      </c>
      <c r="M82" s="29">
        <f>'[3]    Stope Perfomance'!$D$36</f>
        <v>2.7803738317757007</v>
      </c>
      <c r="N82" s="2300"/>
      <c r="O82" s="2300"/>
      <c r="P82" s="29">
        <f>'[3]    Stope Perfomance'!$D$36</f>
        <v>2.7803738317757007</v>
      </c>
      <c r="Q82" s="29">
        <f>'[3]    Stope Perfomance'!$D$36</f>
        <v>2.7803738317757007</v>
      </c>
      <c r="R82" s="29">
        <f>'[3]    Stope Perfomance'!$D$36</f>
        <v>2.7803738317757007</v>
      </c>
      <c r="S82" s="29">
        <f>'[3]    Stope Perfomance'!$D$36</f>
        <v>2.7803738317757007</v>
      </c>
      <c r="T82" s="29">
        <f>'[3]    Stope Perfomance'!$D$36</f>
        <v>2.7803738317757007</v>
      </c>
      <c r="U82" s="29">
        <f>'[3]    Stope Perfomance'!$D$36</f>
        <v>2.7803738317757007</v>
      </c>
      <c r="V82" s="29">
        <f>'[3]    Stope Perfomance'!$D$36</f>
        <v>2.7803738317757007</v>
      </c>
      <c r="W82" s="29">
        <f>'[3]    Stope Perfomance'!$D$36</f>
        <v>2.7803738317757007</v>
      </c>
      <c r="X82" s="29">
        <f>'[3]    Stope Perfomance'!$D$36</f>
        <v>2.7803738317757007</v>
      </c>
      <c r="Y82" s="29">
        <f>'[3]    Stope Perfomance'!$D$36</f>
        <v>2.7803738317757007</v>
      </c>
      <c r="Z82" s="29">
        <f>'[3]    Stope Perfomance'!$D$36</f>
        <v>2.7803738317757007</v>
      </c>
      <c r="AA82" s="29">
        <f>'[3]    Stope Perfomance'!$D$36</f>
        <v>2.7803738317757007</v>
      </c>
      <c r="AB82" s="29">
        <f>'[3]    Stope Perfomance'!$D$36</f>
        <v>2.7803738317757007</v>
      </c>
      <c r="AC82" s="29">
        <f>'[3]    Stope Perfomance'!$D$36</f>
        <v>2.7803738317757007</v>
      </c>
      <c r="AD82" s="29">
        <f>'[3]    Stope Perfomance'!$D$36</f>
        <v>2.7803738317757007</v>
      </c>
      <c r="AE82" s="29">
        <f>'[3]    Stope Perfomance'!$D$36</f>
        <v>2.7803738317757007</v>
      </c>
      <c r="AF82" s="29">
        <f>'[3]    Stope Perfomance'!$D$36</f>
        <v>2.7803738317757007</v>
      </c>
      <c r="AG82" s="29">
        <f>'[3]    Stope Perfomance'!$D$36</f>
        <v>2.7803738317757007</v>
      </c>
      <c r="AH82" s="29">
        <f>'[3]    Stope Perfomance'!$D$36</f>
        <v>2.7803738317757007</v>
      </c>
    </row>
    <row r="83" spans="1:34" outlineLevel="1">
      <c r="A83" s="3157" t="s">
        <v>1684</v>
      </c>
      <c r="B83" s="24" t="s">
        <v>1685</v>
      </c>
      <c r="C83" s="959">
        <f>SUM(D83:AH83)</f>
        <v>16240</v>
      </c>
      <c r="D83" s="1406">
        <f>D79+D77+D67+D69+D73+D63+D61+D65+D71+D75+D81</f>
        <v>560</v>
      </c>
      <c r="E83" s="1406">
        <f t="shared" ref="E83:AH83" si="13">E79+E77+E67+E69+E73+E63+E61+E65+E71+E75+E81</f>
        <v>560</v>
      </c>
      <c r="F83" s="1406">
        <f t="shared" si="13"/>
        <v>560</v>
      </c>
      <c r="G83" s="1406">
        <f t="shared" si="13"/>
        <v>560</v>
      </c>
      <c r="H83" s="1406">
        <f t="shared" si="13"/>
        <v>560</v>
      </c>
      <c r="I83" s="1406">
        <f t="shared" si="13"/>
        <v>560</v>
      </c>
      <c r="J83" s="1406">
        <f t="shared" si="13"/>
        <v>560</v>
      </c>
      <c r="K83" s="1406">
        <f t="shared" si="13"/>
        <v>560</v>
      </c>
      <c r="L83" s="1406">
        <f t="shared" si="13"/>
        <v>560</v>
      </c>
      <c r="M83" s="1406">
        <f t="shared" si="13"/>
        <v>560</v>
      </c>
      <c r="N83" s="1406">
        <f t="shared" si="13"/>
        <v>0</v>
      </c>
      <c r="O83" s="1406">
        <f t="shared" si="13"/>
        <v>0</v>
      </c>
      <c r="P83" s="1406">
        <f t="shared" si="13"/>
        <v>560</v>
      </c>
      <c r="Q83" s="1406">
        <f t="shared" si="13"/>
        <v>560</v>
      </c>
      <c r="R83" s="1406">
        <f t="shared" si="13"/>
        <v>560</v>
      </c>
      <c r="S83" s="1406">
        <f t="shared" si="13"/>
        <v>560</v>
      </c>
      <c r="T83" s="1406">
        <f t="shared" si="13"/>
        <v>560</v>
      </c>
      <c r="U83" s="1406">
        <f t="shared" si="13"/>
        <v>560</v>
      </c>
      <c r="V83" s="1406">
        <f t="shared" si="13"/>
        <v>560</v>
      </c>
      <c r="W83" s="1406">
        <f t="shared" si="13"/>
        <v>560</v>
      </c>
      <c r="X83" s="1406">
        <f t="shared" si="13"/>
        <v>560</v>
      </c>
      <c r="Y83" s="1406">
        <f t="shared" si="13"/>
        <v>560</v>
      </c>
      <c r="Z83" s="1406">
        <f t="shared" si="13"/>
        <v>560</v>
      </c>
      <c r="AA83" s="1406">
        <f t="shared" si="13"/>
        <v>560</v>
      </c>
      <c r="AB83" s="1406">
        <f t="shared" si="13"/>
        <v>560</v>
      </c>
      <c r="AC83" s="1406">
        <f t="shared" si="13"/>
        <v>560</v>
      </c>
      <c r="AD83" s="1406">
        <f t="shared" si="13"/>
        <v>560</v>
      </c>
      <c r="AE83" s="1406">
        <f t="shared" si="13"/>
        <v>560</v>
      </c>
      <c r="AF83" s="1406">
        <f t="shared" si="13"/>
        <v>560</v>
      </c>
      <c r="AG83" s="1406">
        <f t="shared" si="13"/>
        <v>560</v>
      </c>
      <c r="AH83" s="1406">
        <f t="shared" si="13"/>
        <v>560</v>
      </c>
    </row>
    <row r="84" spans="1:34" outlineLevel="1">
      <c r="A84" s="3158"/>
      <c r="B84" s="24" t="s">
        <v>1641</v>
      </c>
      <c r="C84" s="960">
        <f>IF(C83,SUMPRODUCT(D83:AH83,D84:AH84)/C83,0)</f>
        <v>2.4899240654205603</v>
      </c>
      <c r="D84" s="25">
        <f>IF(D83,(D61*D62+D63*D64+D73*D74+D69*D70+D67*D68+D77*D78+D79*D80+D65*D66+D71*D72+D75*D76+D81*D82)/D83,0)</f>
        <v>2.4899240654205603</v>
      </c>
      <c r="E84" s="25">
        <f t="shared" ref="E84:AH84" si="14">IF(E83,(E61*E62+E63*E64+E73*E74+E69*E70+E67*E68+E77*E78+E79*E80+E65*E66+E71*E72+E75*E76+E81*E82)/E83,0)</f>
        <v>2.4899240654205603</v>
      </c>
      <c r="F84" s="25">
        <f t="shared" si="14"/>
        <v>2.4899240654205603</v>
      </c>
      <c r="G84" s="25">
        <f t="shared" si="14"/>
        <v>2.4899240654205603</v>
      </c>
      <c r="H84" s="25">
        <f t="shared" si="14"/>
        <v>2.4899240654205603</v>
      </c>
      <c r="I84" s="25">
        <f t="shared" si="14"/>
        <v>2.4899240654205603</v>
      </c>
      <c r="J84" s="25">
        <f t="shared" si="14"/>
        <v>2.4899240654205603</v>
      </c>
      <c r="K84" s="25">
        <f t="shared" si="14"/>
        <v>2.4899240654205603</v>
      </c>
      <c r="L84" s="25">
        <f t="shared" si="14"/>
        <v>2.4899240654205603</v>
      </c>
      <c r="M84" s="25">
        <f t="shared" si="14"/>
        <v>2.4899240654205603</v>
      </c>
      <c r="N84" s="25">
        <f t="shared" si="14"/>
        <v>0</v>
      </c>
      <c r="O84" s="25">
        <f t="shared" si="14"/>
        <v>0</v>
      </c>
      <c r="P84" s="25">
        <f t="shared" si="14"/>
        <v>2.4899240654205603</v>
      </c>
      <c r="Q84" s="25">
        <f t="shared" si="14"/>
        <v>2.4899240654205603</v>
      </c>
      <c r="R84" s="25">
        <f t="shared" si="14"/>
        <v>2.4899240654205603</v>
      </c>
      <c r="S84" s="25">
        <f t="shared" si="14"/>
        <v>2.4899240654205603</v>
      </c>
      <c r="T84" s="25">
        <f t="shared" si="14"/>
        <v>2.4899240654205603</v>
      </c>
      <c r="U84" s="25">
        <f t="shared" si="14"/>
        <v>2.4899240654205603</v>
      </c>
      <c r="V84" s="25">
        <f t="shared" si="14"/>
        <v>2.4899240654205603</v>
      </c>
      <c r="W84" s="25">
        <f t="shared" si="14"/>
        <v>2.4899240654205603</v>
      </c>
      <c r="X84" s="25">
        <f t="shared" si="14"/>
        <v>2.4899240654205603</v>
      </c>
      <c r="Y84" s="25">
        <f t="shared" si="14"/>
        <v>2.4899240654205603</v>
      </c>
      <c r="Z84" s="25">
        <f t="shared" si="14"/>
        <v>2.4899240654205603</v>
      </c>
      <c r="AA84" s="25">
        <f t="shared" si="14"/>
        <v>2.4899240654205603</v>
      </c>
      <c r="AB84" s="25">
        <f t="shared" si="14"/>
        <v>2.4899240654205603</v>
      </c>
      <c r="AC84" s="25">
        <f t="shared" si="14"/>
        <v>2.4899240654205603</v>
      </c>
      <c r="AD84" s="25">
        <f t="shared" si="14"/>
        <v>2.4899240654205603</v>
      </c>
      <c r="AE84" s="25">
        <f t="shared" si="14"/>
        <v>2.4899240654205603</v>
      </c>
      <c r="AF84" s="25">
        <f t="shared" si="14"/>
        <v>2.4899240654205603</v>
      </c>
      <c r="AG84" s="25">
        <f t="shared" si="14"/>
        <v>2.4899240654205603</v>
      </c>
      <c r="AH84" s="25">
        <f t="shared" si="14"/>
        <v>2.4899240654205603</v>
      </c>
    </row>
    <row r="85" spans="1:34">
      <c r="A85" s="3159" t="s">
        <v>279</v>
      </c>
      <c r="B85" s="4" t="s">
        <v>1644</v>
      </c>
      <c r="C85" s="562">
        <f>SUM(D85:AH85)</f>
        <v>27195</v>
      </c>
      <c r="D85" s="5">
        <f t="shared" ref="D85:AH85" si="15">+SUMIF($B$9:$B$84,$B$85,D9:D84)</f>
        <v>910</v>
      </c>
      <c r="E85" s="5">
        <f t="shared" si="15"/>
        <v>910</v>
      </c>
      <c r="F85" s="5">
        <f t="shared" si="15"/>
        <v>910</v>
      </c>
      <c r="G85" s="5">
        <f t="shared" si="15"/>
        <v>910</v>
      </c>
      <c r="H85" s="5">
        <f t="shared" si="15"/>
        <v>910</v>
      </c>
      <c r="I85" s="5">
        <f t="shared" si="15"/>
        <v>910</v>
      </c>
      <c r="J85" s="5">
        <f t="shared" si="15"/>
        <v>910</v>
      </c>
      <c r="K85" s="5">
        <f t="shared" si="15"/>
        <v>910</v>
      </c>
      <c r="L85" s="5">
        <f t="shared" si="15"/>
        <v>910</v>
      </c>
      <c r="M85" s="5">
        <f t="shared" si="15"/>
        <v>910</v>
      </c>
      <c r="N85" s="2290">
        <f t="shared" si="15"/>
        <v>0</v>
      </c>
      <c r="O85" s="2290">
        <f t="shared" si="15"/>
        <v>0</v>
      </c>
      <c r="P85" s="5">
        <f t="shared" si="15"/>
        <v>910</v>
      </c>
      <c r="Q85" s="5">
        <f t="shared" si="15"/>
        <v>910</v>
      </c>
      <c r="R85" s="5">
        <f t="shared" si="15"/>
        <v>875</v>
      </c>
      <c r="S85" s="5">
        <f t="shared" si="15"/>
        <v>875</v>
      </c>
      <c r="T85" s="5">
        <f t="shared" si="15"/>
        <v>875</v>
      </c>
      <c r="U85" s="5">
        <f t="shared" si="15"/>
        <v>875</v>
      </c>
      <c r="V85" s="5">
        <f t="shared" si="15"/>
        <v>875</v>
      </c>
      <c r="W85" s="5">
        <f t="shared" si="15"/>
        <v>875</v>
      </c>
      <c r="X85" s="5">
        <f t="shared" si="15"/>
        <v>875</v>
      </c>
      <c r="Y85" s="5">
        <f t="shared" si="15"/>
        <v>1015</v>
      </c>
      <c r="Z85" s="5">
        <f t="shared" si="15"/>
        <v>1015</v>
      </c>
      <c r="AA85" s="5">
        <f t="shared" si="15"/>
        <v>1015</v>
      </c>
      <c r="AB85" s="5">
        <f t="shared" si="15"/>
        <v>1015</v>
      </c>
      <c r="AC85" s="5">
        <f t="shared" si="15"/>
        <v>1015</v>
      </c>
      <c r="AD85" s="5">
        <f t="shared" si="15"/>
        <v>1015</v>
      </c>
      <c r="AE85" s="5">
        <f t="shared" si="15"/>
        <v>1015</v>
      </c>
      <c r="AF85" s="5">
        <f t="shared" si="15"/>
        <v>1015</v>
      </c>
      <c r="AG85" s="5">
        <f t="shared" si="15"/>
        <v>1015</v>
      </c>
      <c r="AH85" s="5">
        <f t="shared" si="15"/>
        <v>1015</v>
      </c>
    </row>
    <row r="86" spans="1:34" ht="15" thickBot="1">
      <c r="A86" s="3160" t="s">
        <v>279</v>
      </c>
      <c r="B86" s="6" t="s">
        <v>1641</v>
      </c>
      <c r="C86" s="563">
        <f>IF(C85,SUMPRODUCT(D85:AH85,D86:AH86)/C85,0)</f>
        <v>2.2483762133294838</v>
      </c>
      <c r="D86" s="7">
        <f t="shared" ref="D86:AH86" si="16">+IF(D85,(D23*D24+D49*D50+D59*D60+D11*D12+D83*D84)/D85,0)</f>
        <v>2.2563803019410491</v>
      </c>
      <c r="E86" s="7">
        <f t="shared" si="16"/>
        <v>2.2563803019410491</v>
      </c>
      <c r="F86" s="7">
        <f t="shared" si="16"/>
        <v>2.2563803019410491</v>
      </c>
      <c r="G86" s="7">
        <f t="shared" si="16"/>
        <v>2.2563803019410491</v>
      </c>
      <c r="H86" s="7">
        <f t="shared" si="16"/>
        <v>2.2563803019410491</v>
      </c>
      <c r="I86" s="7">
        <f t="shared" si="16"/>
        <v>2.2563803019410491</v>
      </c>
      <c r="J86" s="7">
        <f t="shared" si="16"/>
        <v>2.2563803019410491</v>
      </c>
      <c r="K86" s="7">
        <f t="shared" si="16"/>
        <v>2.2563803019410491</v>
      </c>
      <c r="L86" s="7">
        <f t="shared" si="16"/>
        <v>2.2563803019410491</v>
      </c>
      <c r="M86" s="7">
        <f t="shared" si="16"/>
        <v>2.2563803019410491</v>
      </c>
      <c r="N86" s="2291">
        <f t="shared" si="16"/>
        <v>0</v>
      </c>
      <c r="O86" s="2291">
        <f t="shared" si="16"/>
        <v>0</v>
      </c>
      <c r="P86" s="7">
        <f t="shared" si="16"/>
        <v>2.2563803019410491</v>
      </c>
      <c r="Q86" s="7">
        <f t="shared" si="16"/>
        <v>2.2563803019410491</v>
      </c>
      <c r="R86" s="7">
        <f t="shared" si="16"/>
        <v>2.2671962616822428</v>
      </c>
      <c r="S86" s="7">
        <f t="shared" si="16"/>
        <v>2.2671962616822428</v>
      </c>
      <c r="T86" s="7">
        <f t="shared" si="16"/>
        <v>2.2671962616822428</v>
      </c>
      <c r="U86" s="7">
        <f t="shared" si="16"/>
        <v>2.2671962616822428</v>
      </c>
      <c r="V86" s="7">
        <f t="shared" si="16"/>
        <v>2.2671962616822428</v>
      </c>
      <c r="W86" s="7">
        <f t="shared" si="16"/>
        <v>2.2671962616822428</v>
      </c>
      <c r="X86" s="7">
        <f t="shared" si="16"/>
        <v>2.2671962616822428</v>
      </c>
      <c r="Y86" s="7">
        <f t="shared" si="16"/>
        <v>2.2284079922655491</v>
      </c>
      <c r="Z86" s="7">
        <f t="shared" si="16"/>
        <v>2.2284079922655491</v>
      </c>
      <c r="AA86" s="7">
        <f t="shared" si="16"/>
        <v>2.2284079922655491</v>
      </c>
      <c r="AB86" s="7">
        <f t="shared" si="16"/>
        <v>2.2284079922655491</v>
      </c>
      <c r="AC86" s="7">
        <f t="shared" si="16"/>
        <v>2.2284079922655491</v>
      </c>
      <c r="AD86" s="7">
        <f t="shared" si="16"/>
        <v>2.2284079922655491</v>
      </c>
      <c r="AE86" s="7">
        <f t="shared" si="16"/>
        <v>2.2284079922655491</v>
      </c>
      <c r="AF86" s="7">
        <f t="shared" si="16"/>
        <v>2.2284079922655491</v>
      </c>
      <c r="AG86" s="7">
        <f t="shared" si="16"/>
        <v>2.2284079922655491</v>
      </c>
      <c r="AH86" s="7">
        <f t="shared" si="16"/>
        <v>2.2284079922655491</v>
      </c>
    </row>
    <row r="87" spans="1:34" ht="15" thickTop="1">
      <c r="N87" s="962"/>
      <c r="O87" s="962"/>
      <c r="W87" s="262"/>
      <c r="X87" s="262"/>
    </row>
    <row r="88" spans="1:34" hidden="1" outlineLevel="1">
      <c r="A88" s="3120"/>
      <c r="B88"/>
      <c r="C88" s="942">
        <f>SUM(D88:AH88)</f>
        <v>0</v>
      </c>
      <c r="D88" s="23"/>
      <c r="E88" s="23"/>
      <c r="F88" s="23"/>
      <c r="G88" s="23"/>
      <c r="H88" s="23"/>
      <c r="I88" s="23"/>
      <c r="J88" s="23"/>
      <c r="K88" s="23"/>
      <c r="L88" s="23"/>
      <c r="M88" s="23"/>
      <c r="N88" s="2313"/>
      <c r="O88" s="2313"/>
      <c r="P88" s="23"/>
      <c r="Q88" s="23"/>
      <c r="R88" s="23"/>
      <c r="S88" s="23"/>
      <c r="T88" s="23"/>
      <c r="U88" s="23"/>
      <c r="V88" s="23"/>
      <c r="W88" s="265"/>
      <c r="X88" s="265"/>
      <c r="Y88" s="265"/>
      <c r="Z88" s="265"/>
      <c r="AA88" s="23"/>
      <c r="AB88" s="23"/>
      <c r="AC88" s="23"/>
      <c r="AD88" s="23"/>
      <c r="AE88" s="23"/>
      <c r="AF88" s="23"/>
      <c r="AG88" s="23"/>
      <c r="AH88" s="565"/>
    </row>
    <row r="89" spans="1:34" hidden="1" outlineLevel="1">
      <c r="A89" s="3120"/>
      <c r="B89"/>
      <c r="C89" s="942">
        <f>+IF(C88,SUMPRODUCT(D88:AH88,D89:AH89)/C88,0)</f>
        <v>0</v>
      </c>
      <c r="D89" s="23"/>
      <c r="E89" s="23"/>
      <c r="F89" s="23"/>
      <c r="G89" s="23"/>
      <c r="H89" s="23"/>
      <c r="I89" s="23"/>
      <c r="J89" s="23"/>
      <c r="K89" s="23"/>
      <c r="L89" s="23"/>
      <c r="M89" s="23"/>
      <c r="N89" s="2313"/>
      <c r="O89" s="2313"/>
      <c r="P89" s="23"/>
      <c r="Q89" s="23"/>
      <c r="R89" s="23"/>
      <c r="S89" s="23"/>
      <c r="T89" s="23"/>
      <c r="U89" s="23"/>
      <c r="V89" s="23"/>
      <c r="W89" s="265"/>
      <c r="X89" s="265"/>
      <c r="Y89" s="265"/>
      <c r="Z89" s="265"/>
      <c r="AA89" s="23"/>
      <c r="AB89" s="23"/>
      <c r="AC89" s="23"/>
      <c r="AD89" s="23"/>
      <c r="AE89" s="23"/>
      <c r="AF89" s="23"/>
      <c r="AG89" s="23"/>
      <c r="AH89" s="565"/>
    </row>
    <row r="90" spans="1:34" hidden="1" outlineLevel="1">
      <c r="A90" s="3120"/>
      <c r="B90" s="15"/>
      <c r="C90" s="942">
        <f>SUM(D90:AH90)</f>
        <v>0</v>
      </c>
      <c r="D90" s="23"/>
      <c r="E90" s="23"/>
      <c r="F90" s="23"/>
      <c r="G90" s="23"/>
      <c r="H90" s="23"/>
      <c r="I90" s="23"/>
      <c r="J90" s="23"/>
      <c r="K90" s="23"/>
      <c r="L90" s="23"/>
      <c r="M90" s="23"/>
      <c r="N90" s="2313"/>
      <c r="O90" s="2313"/>
      <c r="P90" s="23"/>
      <c r="Q90" s="23"/>
      <c r="R90" s="23"/>
      <c r="S90" s="23"/>
      <c r="T90" s="23"/>
      <c r="U90" s="23"/>
      <c r="V90" s="23"/>
      <c r="W90" s="265"/>
      <c r="X90" s="265"/>
      <c r="Y90" s="265"/>
      <c r="Z90" s="265"/>
      <c r="AA90" s="23"/>
      <c r="AB90" s="23"/>
      <c r="AC90" s="23"/>
      <c r="AD90" s="23"/>
      <c r="AE90" s="23"/>
      <c r="AF90" s="23"/>
      <c r="AG90" s="23"/>
      <c r="AH90" s="565"/>
    </row>
    <row r="91" spans="1:34" hidden="1" outlineLevel="1">
      <c r="A91" s="3120"/>
      <c r="B91" s="15"/>
      <c r="C91" s="942">
        <f>+IF(C90,SUMPRODUCT(D90:AH90,D91:AH91)/C90,0)</f>
        <v>0</v>
      </c>
      <c r="D91" s="23"/>
      <c r="E91" s="23"/>
      <c r="F91" s="23"/>
      <c r="G91" s="23"/>
      <c r="H91" s="23"/>
      <c r="I91" s="23"/>
      <c r="J91" s="23"/>
      <c r="K91" s="23"/>
      <c r="L91" s="23"/>
      <c r="M91" s="23"/>
      <c r="N91" s="2313"/>
      <c r="O91" s="2313"/>
      <c r="P91" s="23"/>
      <c r="Q91" s="23"/>
      <c r="R91" s="23"/>
      <c r="S91" s="23"/>
      <c r="T91" s="23"/>
      <c r="U91" s="23"/>
      <c r="V91" s="23"/>
      <c r="W91" s="265"/>
      <c r="X91" s="265"/>
      <c r="Y91" s="265"/>
      <c r="Z91" s="265"/>
      <c r="AA91" s="23"/>
      <c r="AB91" s="23"/>
      <c r="AC91" s="23"/>
      <c r="AD91" s="23"/>
      <c r="AE91" s="23"/>
      <c r="AF91" s="23"/>
      <c r="AG91" s="23"/>
      <c r="AH91" s="565"/>
    </row>
    <row r="92" spans="1:34" hidden="1" outlineLevel="1">
      <c r="A92" s="3120"/>
      <c r="B92" s="15"/>
      <c r="C92" s="942">
        <f>SUM(D92:AH92)</f>
        <v>0</v>
      </c>
      <c r="D92" s="23"/>
      <c r="E92" s="23"/>
      <c r="F92" s="23"/>
      <c r="G92" s="23"/>
      <c r="H92" s="23"/>
      <c r="I92" s="23"/>
      <c r="J92" s="23"/>
      <c r="K92" s="23"/>
      <c r="L92" s="23"/>
      <c r="M92" s="23"/>
      <c r="N92" s="2313"/>
      <c r="O92" s="2313"/>
      <c r="P92" s="23"/>
      <c r="Q92" s="23"/>
      <c r="R92" s="23"/>
      <c r="S92" s="23"/>
      <c r="T92" s="23"/>
      <c r="U92" s="23"/>
      <c r="V92" s="23"/>
      <c r="W92" s="265"/>
      <c r="X92" s="265"/>
      <c r="Y92" s="265"/>
      <c r="Z92" s="265"/>
      <c r="AA92" s="23"/>
      <c r="AB92" s="23"/>
      <c r="AC92" s="23"/>
      <c r="AD92" s="23"/>
      <c r="AE92" s="23"/>
      <c r="AF92" s="23"/>
      <c r="AG92" s="23"/>
      <c r="AH92" s="565"/>
    </row>
    <row r="93" spans="1:34" hidden="1" outlineLevel="1">
      <c r="A93" s="3120"/>
      <c r="B93" s="15"/>
      <c r="C93" s="942">
        <f>+IF(C92,SUMPRODUCT(D92:AH92,D93:AH93)/C92,0)</f>
        <v>0</v>
      </c>
      <c r="D93" s="23"/>
      <c r="E93" s="23"/>
      <c r="F93" s="23"/>
      <c r="G93" s="23"/>
      <c r="H93" s="23"/>
      <c r="I93" s="23"/>
      <c r="J93" s="23"/>
      <c r="K93" s="23"/>
      <c r="L93" s="23"/>
      <c r="M93" s="23"/>
      <c r="N93" s="2313"/>
      <c r="O93" s="2313"/>
      <c r="P93" s="23"/>
      <c r="Q93" s="23"/>
      <c r="R93" s="23"/>
      <c r="S93" s="23"/>
      <c r="T93" s="23"/>
      <c r="U93" s="23"/>
      <c r="V93" s="23"/>
      <c r="W93" s="265"/>
      <c r="X93" s="265"/>
      <c r="Y93" s="265"/>
      <c r="Z93" s="265"/>
      <c r="AA93" s="23"/>
      <c r="AB93" s="23"/>
      <c r="AC93" s="23"/>
      <c r="AD93" s="23"/>
      <c r="AE93" s="23"/>
      <c r="AF93" s="23"/>
      <c r="AG93" s="23"/>
      <c r="AH93" s="565"/>
    </row>
    <row r="94" spans="1:34" collapsed="1">
      <c r="A94" s="3120" t="s">
        <v>1686</v>
      </c>
      <c r="B94" s="15" t="s">
        <v>1687</v>
      </c>
      <c r="C94" s="942">
        <f>SUM(D94:AH94)</f>
        <v>0</v>
      </c>
      <c r="D94" s="39">
        <f t="shared" ref="D94:AH94" si="17">+D88+D90+D92</f>
        <v>0</v>
      </c>
      <c r="E94" s="39">
        <f t="shared" si="17"/>
        <v>0</v>
      </c>
      <c r="F94" s="39">
        <f t="shared" si="17"/>
        <v>0</v>
      </c>
      <c r="G94" s="39">
        <f t="shared" si="17"/>
        <v>0</v>
      </c>
      <c r="H94" s="39">
        <f t="shared" si="17"/>
        <v>0</v>
      </c>
      <c r="I94" s="39">
        <f t="shared" si="17"/>
        <v>0</v>
      </c>
      <c r="J94" s="39">
        <f t="shared" si="17"/>
        <v>0</v>
      </c>
      <c r="K94" s="39">
        <f t="shared" si="17"/>
        <v>0</v>
      </c>
      <c r="L94" s="39">
        <f t="shared" si="17"/>
        <v>0</v>
      </c>
      <c r="M94" s="39">
        <f t="shared" si="17"/>
        <v>0</v>
      </c>
      <c r="N94" s="2314">
        <f t="shared" si="17"/>
        <v>0</v>
      </c>
      <c r="O94" s="2314">
        <f t="shared" si="17"/>
        <v>0</v>
      </c>
      <c r="P94" s="39">
        <f t="shared" si="17"/>
        <v>0</v>
      </c>
      <c r="Q94" s="39">
        <f t="shared" si="17"/>
        <v>0</v>
      </c>
      <c r="R94" s="39">
        <f t="shared" si="17"/>
        <v>0</v>
      </c>
      <c r="S94" s="39">
        <f t="shared" si="17"/>
        <v>0</v>
      </c>
      <c r="T94" s="39">
        <f t="shared" si="17"/>
        <v>0</v>
      </c>
      <c r="U94" s="39">
        <f t="shared" si="17"/>
        <v>0</v>
      </c>
      <c r="V94" s="39">
        <f t="shared" si="17"/>
        <v>0</v>
      </c>
      <c r="W94" s="39">
        <f t="shared" si="17"/>
        <v>0</v>
      </c>
      <c r="X94" s="39">
        <f t="shared" si="17"/>
        <v>0</v>
      </c>
      <c r="Y94" s="266">
        <f t="shared" si="17"/>
        <v>0</v>
      </c>
      <c r="Z94" s="266">
        <f t="shared" si="17"/>
        <v>0</v>
      </c>
      <c r="AA94" s="39">
        <f t="shared" si="17"/>
        <v>0</v>
      </c>
      <c r="AB94" s="39">
        <f t="shared" si="17"/>
        <v>0</v>
      </c>
      <c r="AC94" s="1387">
        <f t="shared" si="17"/>
        <v>0</v>
      </c>
      <c r="AD94" s="39">
        <f t="shared" si="17"/>
        <v>0</v>
      </c>
      <c r="AE94" s="39">
        <f t="shared" si="17"/>
        <v>0</v>
      </c>
      <c r="AF94" s="39">
        <f t="shared" si="17"/>
        <v>0</v>
      </c>
      <c r="AG94" s="39">
        <f t="shared" si="17"/>
        <v>0</v>
      </c>
      <c r="AH94" s="40">
        <f t="shared" si="17"/>
        <v>0</v>
      </c>
    </row>
    <row r="95" spans="1:34">
      <c r="A95" s="3121" t="s">
        <v>1686</v>
      </c>
      <c r="B95" s="37" t="s">
        <v>1641</v>
      </c>
      <c r="C95" s="942">
        <f>IFERROR(SUMPRODUCT(D94:AH94,D95:AH95)/C94,0)</f>
        <v>0</v>
      </c>
      <c r="D95" s="40">
        <f t="shared" ref="D95:AH95" si="18">IFERROR((D89*D88+D90*D91+D92*D93)/D94,0)</f>
        <v>0</v>
      </c>
      <c r="E95" s="40">
        <f t="shared" si="18"/>
        <v>0</v>
      </c>
      <c r="F95" s="40">
        <f t="shared" si="18"/>
        <v>0</v>
      </c>
      <c r="G95" s="40">
        <f t="shared" si="18"/>
        <v>0</v>
      </c>
      <c r="H95" s="40">
        <f t="shared" si="18"/>
        <v>0</v>
      </c>
      <c r="I95" s="40">
        <f t="shared" si="18"/>
        <v>0</v>
      </c>
      <c r="J95" s="40">
        <f t="shared" si="18"/>
        <v>0</v>
      </c>
      <c r="K95" s="40">
        <f t="shared" si="18"/>
        <v>0</v>
      </c>
      <c r="L95" s="40">
        <f t="shared" si="18"/>
        <v>0</v>
      </c>
      <c r="M95" s="40">
        <f t="shared" si="18"/>
        <v>0</v>
      </c>
      <c r="N95" s="2315">
        <f t="shared" si="18"/>
        <v>0</v>
      </c>
      <c r="O95" s="2315">
        <f t="shared" si="18"/>
        <v>0</v>
      </c>
      <c r="P95" s="40">
        <f t="shared" si="18"/>
        <v>0</v>
      </c>
      <c r="Q95" s="40">
        <f t="shared" si="18"/>
        <v>0</v>
      </c>
      <c r="R95" s="40">
        <f t="shared" si="18"/>
        <v>0</v>
      </c>
      <c r="S95" s="40">
        <f t="shared" si="18"/>
        <v>0</v>
      </c>
      <c r="T95" s="40">
        <f t="shared" si="18"/>
        <v>0</v>
      </c>
      <c r="U95" s="40">
        <f t="shared" si="18"/>
        <v>0</v>
      </c>
      <c r="V95" s="40">
        <f t="shared" si="18"/>
        <v>0</v>
      </c>
      <c r="W95" s="40">
        <f t="shared" si="18"/>
        <v>0</v>
      </c>
      <c r="X95" s="40">
        <f t="shared" si="18"/>
        <v>0</v>
      </c>
      <c r="Y95" s="267">
        <f t="shared" si="18"/>
        <v>0</v>
      </c>
      <c r="Z95" s="267">
        <f t="shared" si="18"/>
        <v>0</v>
      </c>
      <c r="AA95" s="40">
        <f t="shared" si="18"/>
        <v>0</v>
      </c>
      <c r="AB95" s="40">
        <f t="shared" si="18"/>
        <v>0</v>
      </c>
      <c r="AC95" s="1388">
        <f t="shared" si="18"/>
        <v>0</v>
      </c>
      <c r="AD95" s="40">
        <f t="shared" si="18"/>
        <v>0</v>
      </c>
      <c r="AE95" s="40">
        <f t="shared" si="18"/>
        <v>0</v>
      </c>
      <c r="AF95" s="40">
        <f t="shared" si="18"/>
        <v>0</v>
      </c>
      <c r="AG95" s="40">
        <f t="shared" si="18"/>
        <v>0</v>
      </c>
      <c r="AH95" s="40">
        <f t="shared" si="18"/>
        <v>0</v>
      </c>
    </row>
    <row r="96" spans="1:34" hidden="1" outlineLevel="1">
      <c r="A96" s="3120"/>
      <c r="B96" s="41"/>
      <c r="C96" s="942">
        <f>SUM(D96:AH96)</f>
        <v>0</v>
      </c>
      <c r="D96" s="23"/>
      <c r="E96" s="23"/>
      <c r="F96" s="23"/>
      <c r="G96" s="23"/>
      <c r="H96" s="23"/>
      <c r="I96" s="23"/>
      <c r="J96" s="23"/>
      <c r="K96" s="23"/>
      <c r="L96" s="23"/>
      <c r="M96" s="23"/>
      <c r="N96" s="2313"/>
      <c r="O96" s="2313"/>
      <c r="P96" s="23"/>
      <c r="Q96" s="23"/>
      <c r="R96" s="23"/>
      <c r="S96" s="23"/>
      <c r="T96" s="23"/>
      <c r="U96" s="23"/>
      <c r="V96" s="23"/>
      <c r="W96" s="23"/>
      <c r="X96" s="23"/>
      <c r="Y96" s="265"/>
      <c r="Z96" s="265"/>
      <c r="AA96" s="23"/>
      <c r="AB96" s="23"/>
      <c r="AC96" s="23"/>
      <c r="AD96" s="23"/>
      <c r="AE96" s="23"/>
      <c r="AF96" s="23"/>
      <c r="AG96" s="23"/>
      <c r="AH96" s="565"/>
    </row>
    <row r="97" spans="1:34" hidden="1" outlineLevel="1">
      <c r="A97" s="3120"/>
      <c r="B97" s="41"/>
      <c r="C97" s="942">
        <f>IFERROR(SUMPRODUCT(D96:AH96,D97:AH97)/C96,0)</f>
        <v>0</v>
      </c>
      <c r="D97" s="23"/>
      <c r="E97" s="23"/>
      <c r="F97" s="23"/>
      <c r="G97" s="23"/>
      <c r="H97" s="23"/>
      <c r="I97" s="23"/>
      <c r="J97" s="23"/>
      <c r="K97" s="23"/>
      <c r="L97" s="23"/>
      <c r="M97" s="23"/>
      <c r="N97" s="2313"/>
      <c r="O97" s="2313"/>
      <c r="P97" s="23"/>
      <c r="Q97" s="23"/>
      <c r="R97" s="23"/>
      <c r="S97" s="23"/>
      <c r="T97" s="23"/>
      <c r="U97" s="23"/>
      <c r="V97" s="23"/>
      <c r="W97" s="23"/>
      <c r="X97" s="23"/>
      <c r="Y97" s="265"/>
      <c r="Z97" s="265"/>
      <c r="AA97" s="23"/>
      <c r="AB97" s="23"/>
      <c r="AC97" s="23"/>
      <c r="AD97" s="23"/>
      <c r="AE97" s="23"/>
      <c r="AF97" s="23"/>
      <c r="AG97" s="23"/>
      <c r="AH97" s="565"/>
    </row>
    <row r="98" spans="1:34" hidden="1" outlineLevel="1">
      <c r="A98" s="3138"/>
      <c r="B98" s="41"/>
      <c r="C98" s="942">
        <f>SUM(D98:AH98)</f>
        <v>0</v>
      </c>
      <c r="D98" s="23"/>
      <c r="E98" s="23"/>
      <c r="F98" s="23"/>
      <c r="G98" s="23"/>
      <c r="H98" s="23"/>
      <c r="I98" s="23"/>
      <c r="J98" s="23"/>
      <c r="K98" s="23"/>
      <c r="L98" s="23"/>
      <c r="M98" s="23"/>
      <c r="N98" s="2313"/>
      <c r="O98" s="2313"/>
      <c r="P98" s="23"/>
      <c r="Q98" s="23"/>
      <c r="R98" s="23"/>
      <c r="S98" s="23"/>
      <c r="T98" s="23"/>
      <c r="U98" s="23"/>
      <c r="V98" s="23"/>
      <c r="W98" s="23"/>
      <c r="X98" s="23"/>
      <c r="Y98" s="265"/>
      <c r="Z98" s="265"/>
      <c r="AA98" s="23"/>
      <c r="AB98" s="23"/>
      <c r="AC98" s="23"/>
      <c r="AD98" s="23"/>
      <c r="AE98" s="23"/>
      <c r="AF98" s="23"/>
      <c r="AG98" s="23"/>
      <c r="AH98" s="565"/>
    </row>
    <row r="99" spans="1:34" hidden="1" outlineLevel="1">
      <c r="A99" s="3138"/>
      <c r="B99" s="41"/>
      <c r="C99" s="942">
        <f>IFERROR(SUMPRODUCT(D98:AH98,D99:AH99)/C98,0)</f>
        <v>0</v>
      </c>
      <c r="D99" s="23"/>
      <c r="E99" s="23"/>
      <c r="F99" s="23"/>
      <c r="G99" s="23"/>
      <c r="H99" s="23"/>
      <c r="I99" s="23"/>
      <c r="J99" s="23"/>
      <c r="K99" s="23"/>
      <c r="L99" s="23"/>
      <c r="M99" s="23"/>
      <c r="N99" s="2313"/>
      <c r="O99" s="2313"/>
      <c r="P99" s="23"/>
      <c r="Q99" s="23"/>
      <c r="R99" s="23"/>
      <c r="S99" s="23"/>
      <c r="T99" s="23"/>
      <c r="U99" s="23"/>
      <c r="V99" s="23"/>
      <c r="W99" s="23"/>
      <c r="X99" s="23"/>
      <c r="Y99" s="265"/>
      <c r="Z99" s="265"/>
      <c r="AA99" s="23"/>
      <c r="AB99" s="23"/>
      <c r="AC99" s="23"/>
      <c r="AD99" s="23"/>
      <c r="AE99" s="23"/>
      <c r="AF99" s="23"/>
      <c r="AG99" s="23"/>
      <c r="AH99" s="565"/>
    </row>
    <row r="100" spans="1:34" hidden="1" outlineLevel="1">
      <c r="A100" s="3138"/>
      <c r="B100" s="41"/>
      <c r="C100" s="942">
        <f>SUM(D100:AH100)</f>
        <v>0</v>
      </c>
      <c r="D100" s="23"/>
      <c r="E100" s="23"/>
      <c r="F100" s="23"/>
      <c r="G100" s="23"/>
      <c r="H100" s="23"/>
      <c r="I100" s="23"/>
      <c r="J100" s="23"/>
      <c r="K100" s="23"/>
      <c r="L100" s="23"/>
      <c r="M100" s="23"/>
      <c r="N100" s="2313"/>
      <c r="O100" s="2313"/>
      <c r="P100" s="23"/>
      <c r="Q100" s="23"/>
      <c r="R100" s="23"/>
      <c r="S100" s="23"/>
      <c r="T100" s="23"/>
      <c r="U100" s="23"/>
      <c r="V100" s="23"/>
      <c r="W100" s="23"/>
      <c r="X100" s="23"/>
      <c r="Y100" s="265"/>
      <c r="Z100" s="265"/>
      <c r="AA100" s="23"/>
      <c r="AB100" s="23"/>
      <c r="AC100" s="23"/>
      <c r="AD100" s="23"/>
      <c r="AE100" s="23"/>
      <c r="AF100" s="23"/>
      <c r="AG100" s="23"/>
      <c r="AH100" s="565"/>
    </row>
    <row r="101" spans="1:34" hidden="1" outlineLevel="1">
      <c r="A101" s="3138"/>
      <c r="B101" s="41"/>
      <c r="C101" s="942">
        <f>IFERROR(SUMPRODUCT(D100:AH100,D101:AH101)/C100,0)</f>
        <v>0</v>
      </c>
      <c r="D101" s="23"/>
      <c r="E101" s="23"/>
      <c r="F101" s="23"/>
      <c r="G101" s="23"/>
      <c r="H101" s="23"/>
      <c r="I101" s="23"/>
      <c r="J101" s="23"/>
      <c r="K101" s="23"/>
      <c r="L101" s="23"/>
      <c r="M101" s="23"/>
      <c r="N101" s="2313"/>
      <c r="O101" s="2313"/>
      <c r="P101" s="23"/>
      <c r="Q101" s="23"/>
      <c r="R101" s="23"/>
      <c r="S101" s="23"/>
      <c r="T101" s="23"/>
      <c r="U101" s="23"/>
      <c r="V101" s="23"/>
      <c r="W101" s="23"/>
      <c r="X101" s="23"/>
      <c r="Y101" s="265"/>
      <c r="Z101" s="265"/>
      <c r="AA101" s="23"/>
      <c r="AB101" s="23"/>
      <c r="AC101" s="23"/>
      <c r="AD101" s="23"/>
      <c r="AE101" s="23"/>
      <c r="AF101" s="23"/>
      <c r="AG101" s="23"/>
      <c r="AH101" s="565"/>
    </row>
    <row r="102" spans="1:34" hidden="1" outlineLevel="1">
      <c r="A102" s="3138"/>
      <c r="B102" s="41"/>
      <c r="C102" s="942">
        <f>SUM(D102:AH102)</f>
        <v>0</v>
      </c>
      <c r="D102" s="23"/>
      <c r="E102" s="23"/>
      <c r="F102" s="23"/>
      <c r="G102" s="23"/>
      <c r="H102" s="23"/>
      <c r="I102" s="23"/>
      <c r="J102" s="23"/>
      <c r="K102" s="23"/>
      <c r="L102" s="23"/>
      <c r="M102" s="23"/>
      <c r="N102" s="2313"/>
      <c r="O102" s="2313"/>
      <c r="P102" s="23"/>
      <c r="Q102" s="23"/>
      <c r="R102" s="23"/>
      <c r="S102" s="23"/>
      <c r="T102" s="23"/>
      <c r="U102" s="23"/>
      <c r="V102" s="23"/>
      <c r="W102" s="23"/>
      <c r="X102" s="23"/>
      <c r="Y102" s="265"/>
      <c r="Z102" s="265"/>
      <c r="AA102" s="23"/>
      <c r="AB102" s="23"/>
      <c r="AC102" s="23"/>
      <c r="AD102" s="23"/>
      <c r="AE102" s="23"/>
      <c r="AF102" s="23"/>
      <c r="AG102" s="23"/>
      <c r="AH102" s="565"/>
    </row>
    <row r="103" spans="1:34" hidden="1" outlineLevel="1">
      <c r="A103" s="3138"/>
      <c r="B103" s="41"/>
      <c r="C103" s="942">
        <f>IFERROR(SUMPRODUCT(D102:AH102,D103:AH103)/C102,0)</f>
        <v>0</v>
      </c>
      <c r="D103" s="23"/>
      <c r="E103" s="23"/>
      <c r="F103" s="23"/>
      <c r="G103" s="23"/>
      <c r="H103" s="23"/>
      <c r="I103" s="23"/>
      <c r="J103" s="23"/>
      <c r="K103" s="23"/>
      <c r="L103" s="23"/>
      <c r="M103" s="23"/>
      <c r="N103" s="2313"/>
      <c r="O103" s="2313"/>
      <c r="P103" s="23"/>
      <c r="Q103" s="23"/>
      <c r="R103" s="23"/>
      <c r="S103" s="23"/>
      <c r="T103" s="23"/>
      <c r="U103" s="23"/>
      <c r="V103" s="23"/>
      <c r="W103" s="23"/>
      <c r="X103" s="23"/>
      <c r="Y103" s="265"/>
      <c r="Z103" s="265"/>
      <c r="AA103" s="23"/>
      <c r="AB103" s="23"/>
      <c r="AC103" s="23"/>
      <c r="AD103" s="23"/>
      <c r="AE103" s="23"/>
      <c r="AF103" s="23"/>
      <c r="AG103" s="23"/>
      <c r="AH103" s="565"/>
    </row>
    <row r="104" spans="1:34" hidden="1" outlineLevel="1">
      <c r="A104" s="3138"/>
      <c r="B104" s="41"/>
      <c r="C104" s="942">
        <f>SUM(D104:AH104)</f>
        <v>0</v>
      </c>
      <c r="D104" s="23"/>
      <c r="E104" s="23"/>
      <c r="F104" s="23"/>
      <c r="G104" s="23"/>
      <c r="H104" s="23"/>
      <c r="I104" s="23"/>
      <c r="J104" s="23"/>
      <c r="K104" s="23"/>
      <c r="L104" s="23"/>
      <c r="M104" s="23"/>
      <c r="N104" s="2313"/>
      <c r="O104" s="2313"/>
      <c r="P104" s="23"/>
      <c r="Q104" s="23"/>
      <c r="R104" s="23"/>
      <c r="S104" s="23"/>
      <c r="T104" s="23"/>
      <c r="U104" s="23"/>
      <c r="V104" s="23"/>
      <c r="W104" s="23"/>
      <c r="X104" s="23"/>
      <c r="Y104" s="265"/>
      <c r="Z104" s="265"/>
      <c r="AA104" s="23"/>
      <c r="AB104" s="23"/>
      <c r="AC104" s="23"/>
      <c r="AD104" s="23"/>
      <c r="AE104" s="23"/>
      <c r="AF104" s="23"/>
      <c r="AG104" s="23"/>
      <c r="AH104" s="565"/>
    </row>
    <row r="105" spans="1:34" hidden="1" outlineLevel="1">
      <c r="A105" s="3138"/>
      <c r="B105" s="41"/>
      <c r="C105" s="942">
        <f>IFERROR(SUMPRODUCT(D104:AH104,D105:AH105)/C104,0)</f>
        <v>0</v>
      </c>
      <c r="D105" s="42"/>
      <c r="E105" s="42"/>
      <c r="F105" s="42"/>
      <c r="G105" s="42"/>
      <c r="H105" s="42"/>
      <c r="I105" s="42"/>
      <c r="J105" s="42"/>
      <c r="K105" s="42"/>
      <c r="L105" s="42"/>
      <c r="M105" s="42"/>
      <c r="N105" s="2316"/>
      <c r="O105" s="2316"/>
      <c r="P105" s="42"/>
      <c r="Q105" s="42"/>
      <c r="R105" s="42"/>
      <c r="S105" s="42"/>
      <c r="T105" s="42"/>
      <c r="U105" s="42"/>
      <c r="V105" s="42"/>
      <c r="W105" s="42"/>
      <c r="X105" s="42"/>
      <c r="Y105" s="268"/>
      <c r="Z105" s="268"/>
      <c r="AA105" s="42"/>
      <c r="AB105" s="42"/>
      <c r="AC105" s="42"/>
      <c r="AD105" s="42"/>
      <c r="AE105" s="42"/>
      <c r="AF105" s="42"/>
      <c r="AG105" s="42"/>
      <c r="AH105" s="566"/>
    </row>
    <row r="106" spans="1:34" hidden="1" outlineLevel="1">
      <c r="A106" s="3139"/>
      <c r="B106" s="41"/>
      <c r="C106" s="942">
        <f>SUM(D106:AH106)</f>
        <v>0</v>
      </c>
      <c r="D106" s="44"/>
      <c r="E106" s="44"/>
      <c r="F106" s="43"/>
      <c r="G106" s="43"/>
      <c r="H106" s="43"/>
      <c r="I106" s="43"/>
      <c r="J106" s="43"/>
      <c r="K106" s="43"/>
      <c r="L106" s="43"/>
      <c r="M106" s="43"/>
      <c r="N106" s="2317"/>
      <c r="O106" s="2317"/>
      <c r="P106" s="43"/>
      <c r="Q106" s="43"/>
      <c r="R106" s="43"/>
      <c r="S106" s="43"/>
      <c r="T106" s="43"/>
      <c r="U106" s="43"/>
      <c r="V106" s="43"/>
      <c r="W106" s="43"/>
      <c r="X106" s="43"/>
      <c r="Y106" s="269"/>
      <c r="Z106" s="269"/>
      <c r="AA106" s="43"/>
      <c r="AB106" s="43"/>
      <c r="AC106" s="43"/>
      <c r="AD106" s="43"/>
      <c r="AE106" s="43"/>
      <c r="AF106" s="43"/>
      <c r="AG106" s="43"/>
      <c r="AH106" s="567"/>
    </row>
    <row r="107" spans="1:34" hidden="1" outlineLevel="1">
      <c r="A107" s="3140"/>
      <c r="B107" s="41"/>
      <c r="C107" s="942">
        <f>IFERROR(SUMPRODUCT(D106:AH106,D107:AH107)/C106,0)</f>
        <v>0</v>
      </c>
      <c r="D107" s="44"/>
      <c r="E107" s="44"/>
      <c r="F107" s="43"/>
      <c r="G107" s="43"/>
      <c r="H107" s="43"/>
      <c r="I107" s="43"/>
      <c r="J107" s="43"/>
      <c r="K107" s="43"/>
      <c r="L107" s="43"/>
      <c r="M107" s="43"/>
      <c r="N107" s="2317"/>
      <c r="O107" s="2317"/>
      <c r="P107" s="43"/>
      <c r="Q107" s="43"/>
      <c r="R107" s="43"/>
      <c r="S107" s="43"/>
      <c r="T107" s="43"/>
      <c r="U107" s="43"/>
      <c r="V107" s="43"/>
      <c r="W107" s="43"/>
      <c r="X107" s="43"/>
      <c r="Y107" s="269"/>
      <c r="Z107" s="269"/>
      <c r="AA107" s="43"/>
      <c r="AB107" s="43"/>
      <c r="AC107" s="43"/>
      <c r="AD107" s="43"/>
      <c r="AE107" s="43"/>
      <c r="AF107" s="43"/>
      <c r="AG107" s="43"/>
      <c r="AH107" s="567"/>
    </row>
    <row r="108" spans="1:34" collapsed="1">
      <c r="A108" s="3141" t="s">
        <v>1688</v>
      </c>
      <c r="B108" s="45" t="s">
        <v>1687</v>
      </c>
      <c r="C108" s="942">
        <f>SUM(D108:AH108)</f>
        <v>0</v>
      </c>
      <c r="D108" s="46">
        <f t="shared" ref="D108:AG108" si="19">+D96+D98+D100+D106+D102+D104</f>
        <v>0</v>
      </c>
      <c r="E108" s="46">
        <f t="shared" si="19"/>
        <v>0</v>
      </c>
      <c r="F108" s="46">
        <f t="shared" si="19"/>
        <v>0</v>
      </c>
      <c r="G108" s="46">
        <f t="shared" si="19"/>
        <v>0</v>
      </c>
      <c r="H108" s="46">
        <f t="shared" si="19"/>
        <v>0</v>
      </c>
      <c r="I108" s="46">
        <f t="shared" si="19"/>
        <v>0</v>
      </c>
      <c r="J108" s="46">
        <f t="shared" si="19"/>
        <v>0</v>
      </c>
      <c r="K108" s="46">
        <f t="shared" si="19"/>
        <v>0</v>
      </c>
      <c r="L108" s="46">
        <f t="shared" si="19"/>
        <v>0</v>
      </c>
      <c r="M108" s="46">
        <f t="shared" si="19"/>
        <v>0</v>
      </c>
      <c r="N108" s="2318">
        <f t="shared" si="19"/>
        <v>0</v>
      </c>
      <c r="O108" s="2318">
        <f t="shared" si="19"/>
        <v>0</v>
      </c>
      <c r="P108" s="46">
        <f t="shared" si="19"/>
        <v>0</v>
      </c>
      <c r="Q108" s="46">
        <f t="shared" si="19"/>
        <v>0</v>
      </c>
      <c r="R108" s="46">
        <f t="shared" si="19"/>
        <v>0</v>
      </c>
      <c r="S108" s="46">
        <f t="shared" si="19"/>
        <v>0</v>
      </c>
      <c r="T108" s="46">
        <f t="shared" si="19"/>
        <v>0</v>
      </c>
      <c r="U108" s="46">
        <f t="shared" si="19"/>
        <v>0</v>
      </c>
      <c r="V108" s="46">
        <f t="shared" si="19"/>
        <v>0</v>
      </c>
      <c r="W108" s="46">
        <f t="shared" si="19"/>
        <v>0</v>
      </c>
      <c r="X108" s="46">
        <f t="shared" si="19"/>
        <v>0</v>
      </c>
      <c r="Y108" s="270">
        <f t="shared" si="19"/>
        <v>0</v>
      </c>
      <c r="Z108" s="270">
        <f t="shared" si="19"/>
        <v>0</v>
      </c>
      <c r="AA108" s="46">
        <f t="shared" si="19"/>
        <v>0</v>
      </c>
      <c r="AB108" s="46">
        <f t="shared" si="19"/>
        <v>0</v>
      </c>
      <c r="AC108" s="1389">
        <f t="shared" si="19"/>
        <v>0</v>
      </c>
      <c r="AD108" s="46">
        <f t="shared" si="19"/>
        <v>0</v>
      </c>
      <c r="AE108" s="46">
        <f t="shared" si="19"/>
        <v>0</v>
      </c>
      <c r="AF108" s="46">
        <f t="shared" si="19"/>
        <v>0</v>
      </c>
      <c r="AG108" s="46">
        <f t="shared" si="19"/>
        <v>0</v>
      </c>
      <c r="AH108" s="46"/>
    </row>
    <row r="109" spans="1:34">
      <c r="A109" s="3142" t="s">
        <v>1688</v>
      </c>
      <c r="B109" s="47" t="s">
        <v>1641</v>
      </c>
      <c r="C109" s="942">
        <f>IFERROR(SUMPRODUCT(D108:AH108,D109:AH109)/C108,0)</f>
        <v>0</v>
      </c>
      <c r="D109" s="40">
        <f t="shared" ref="D109:AG109" si="20">+IF(D108,(D96*D97+D98*D99+D100*D101+D106*D107+D102*D103+D104*D105)/D108,0)</f>
        <v>0</v>
      </c>
      <c r="E109" s="40">
        <f t="shared" si="20"/>
        <v>0</v>
      </c>
      <c r="F109" s="40">
        <f t="shared" si="20"/>
        <v>0</v>
      </c>
      <c r="G109" s="40">
        <f t="shared" si="20"/>
        <v>0</v>
      </c>
      <c r="H109" s="40">
        <f t="shared" si="20"/>
        <v>0</v>
      </c>
      <c r="I109" s="40">
        <f t="shared" si="20"/>
        <v>0</v>
      </c>
      <c r="J109" s="40">
        <f t="shared" si="20"/>
        <v>0</v>
      </c>
      <c r="K109" s="40">
        <f t="shared" si="20"/>
        <v>0</v>
      </c>
      <c r="L109" s="40">
        <f t="shared" si="20"/>
        <v>0</v>
      </c>
      <c r="M109" s="40">
        <f t="shared" si="20"/>
        <v>0</v>
      </c>
      <c r="N109" s="2315">
        <f t="shared" si="20"/>
        <v>0</v>
      </c>
      <c r="O109" s="2315">
        <f t="shared" si="20"/>
        <v>0</v>
      </c>
      <c r="P109" s="40">
        <f t="shared" si="20"/>
        <v>0</v>
      </c>
      <c r="Q109" s="40">
        <f t="shared" si="20"/>
        <v>0</v>
      </c>
      <c r="R109" s="40">
        <f t="shared" si="20"/>
        <v>0</v>
      </c>
      <c r="S109" s="40">
        <f t="shared" si="20"/>
        <v>0</v>
      </c>
      <c r="T109" s="40">
        <f t="shared" si="20"/>
        <v>0</v>
      </c>
      <c r="U109" s="40">
        <f t="shared" si="20"/>
        <v>0</v>
      </c>
      <c r="V109" s="40">
        <f t="shared" si="20"/>
        <v>0</v>
      </c>
      <c r="W109" s="40">
        <f t="shared" si="20"/>
        <v>0</v>
      </c>
      <c r="X109" s="40">
        <f t="shared" si="20"/>
        <v>0</v>
      </c>
      <c r="Y109" s="267">
        <f t="shared" si="20"/>
        <v>0</v>
      </c>
      <c r="Z109" s="267">
        <f t="shared" si="20"/>
        <v>0</v>
      </c>
      <c r="AA109" s="40">
        <f t="shared" si="20"/>
        <v>0</v>
      </c>
      <c r="AB109" s="40">
        <f t="shared" si="20"/>
        <v>0</v>
      </c>
      <c r="AC109" s="1388">
        <f t="shared" si="20"/>
        <v>0</v>
      </c>
      <c r="AD109" s="40">
        <f t="shared" si="20"/>
        <v>0</v>
      </c>
      <c r="AE109" s="40">
        <f t="shared" si="20"/>
        <v>0</v>
      </c>
      <c r="AF109" s="40">
        <f t="shared" si="20"/>
        <v>0</v>
      </c>
      <c r="AG109" s="40">
        <f t="shared" si="20"/>
        <v>0</v>
      </c>
      <c r="AH109" s="40"/>
    </row>
    <row r="110" spans="1:34" hidden="1" outlineLevel="1">
      <c r="A110" s="3132"/>
      <c r="B110" s="48"/>
      <c r="C110" s="942">
        <f>SUM(D110:AH110)</f>
        <v>0</v>
      </c>
      <c r="D110"/>
      <c r="E110"/>
      <c r="F110"/>
      <c r="G110"/>
      <c r="H110"/>
      <c r="I110"/>
      <c r="J110"/>
      <c r="K110"/>
      <c r="L110"/>
      <c r="M110"/>
      <c r="N110" s="873"/>
      <c r="O110" s="873"/>
      <c r="P110"/>
      <c r="Q110"/>
      <c r="R110"/>
      <c r="S110"/>
      <c r="T110"/>
      <c r="U110"/>
      <c r="V110"/>
      <c r="W110"/>
      <c r="X110"/>
      <c r="Y110" s="204"/>
      <c r="Z110" s="204"/>
      <c r="AA110"/>
      <c r="AB110"/>
      <c r="AC110"/>
      <c r="AD110"/>
      <c r="AE110"/>
      <c r="AF110"/>
      <c r="AG110"/>
      <c r="AH110" s="568"/>
    </row>
    <row r="111" spans="1:34" hidden="1" outlineLevel="1">
      <c r="A111" s="3133"/>
      <c r="B111" s="49"/>
      <c r="C111" s="942">
        <f>IFERROR(SUMPRODUCT(D110:AH110,D111:AH111)/C110,0)</f>
        <v>0</v>
      </c>
      <c r="D111"/>
      <c r="E111"/>
      <c r="F111"/>
      <c r="G111"/>
      <c r="H111"/>
      <c r="I111"/>
      <c r="J111"/>
      <c r="K111"/>
      <c r="L111"/>
      <c r="M111"/>
      <c r="N111" s="873"/>
      <c r="O111" s="873"/>
      <c r="P111"/>
      <c r="Q111"/>
      <c r="R111"/>
      <c r="S111"/>
      <c r="T111"/>
      <c r="U111"/>
      <c r="V111"/>
      <c r="W111"/>
      <c r="X111"/>
      <c r="Y111" s="204"/>
      <c r="Z111" s="204"/>
      <c r="AA111"/>
      <c r="AB111"/>
      <c r="AC111"/>
      <c r="AD111"/>
      <c r="AE111"/>
      <c r="AF111"/>
      <c r="AG111"/>
      <c r="AH111" s="568"/>
    </row>
    <row r="112" spans="1:34" hidden="1" outlineLevel="1">
      <c r="A112" s="3132"/>
      <c r="B112" s="49"/>
      <c r="C112" s="942">
        <f>SUM(D112:AH112)</f>
        <v>0</v>
      </c>
      <c r="D112" s="556"/>
      <c r="E112" s="556"/>
      <c r="F112" s="556"/>
      <c r="G112" s="556"/>
      <c r="H112" s="556"/>
      <c r="I112" s="556"/>
      <c r="J112" s="556"/>
      <c r="K112" s="556"/>
      <c r="L112" s="556"/>
      <c r="M112" s="556"/>
      <c r="N112" s="2319"/>
      <c r="O112" s="2319"/>
      <c r="P112" s="556"/>
      <c r="Q112" s="556"/>
      <c r="R112" s="556"/>
      <c r="S112" s="556"/>
      <c r="T112" s="556"/>
      <c r="U112" s="556"/>
      <c r="V112" s="556"/>
      <c r="W112" s="556"/>
      <c r="X112" s="556"/>
      <c r="Y112" s="569"/>
      <c r="Z112" s="569"/>
      <c r="AA112" s="556"/>
      <c r="AB112" s="556"/>
      <c r="AC112" s="1390"/>
      <c r="AD112" s="556"/>
      <c r="AE112" s="556"/>
      <c r="AF112" s="556"/>
      <c r="AG112" s="556"/>
      <c r="AH112" s="557"/>
    </row>
    <row r="113" spans="1:34" hidden="1" outlineLevel="1">
      <c r="A113" s="3133"/>
      <c r="B113" s="49"/>
      <c r="C113" s="942">
        <f>IFERROR(SUMPRODUCT(D112:AH112,D113:AH113)/C112,0)</f>
        <v>0</v>
      </c>
      <c r="D113" s="556"/>
      <c r="E113" s="556"/>
      <c r="F113" s="556"/>
      <c r="G113" s="556"/>
      <c r="H113" s="556"/>
      <c r="I113" s="556"/>
      <c r="J113" s="556"/>
      <c r="K113" s="556"/>
      <c r="L113" s="556"/>
      <c r="M113" s="556"/>
      <c r="N113" s="2319"/>
      <c r="O113" s="2319"/>
      <c r="P113" s="556"/>
      <c r="Q113" s="556"/>
      <c r="R113" s="556"/>
      <c r="S113" s="556"/>
      <c r="T113" s="556"/>
      <c r="U113" s="556"/>
      <c r="V113" s="556"/>
      <c r="W113" s="556"/>
      <c r="X113" s="556"/>
      <c r="Y113" s="569"/>
      <c r="Z113" s="569"/>
      <c r="AA113" s="556"/>
      <c r="AB113" s="556"/>
      <c r="AC113" s="1390"/>
      <c r="AD113" s="556"/>
      <c r="AE113" s="556"/>
      <c r="AF113" s="556"/>
      <c r="AG113" s="556"/>
      <c r="AH113" s="557"/>
    </row>
    <row r="114" spans="1:34" hidden="1" outlineLevel="1">
      <c r="A114" s="3132"/>
      <c r="B114" s="49"/>
      <c r="C114" s="942">
        <f>SUM(D114:AH114)</f>
        <v>0</v>
      </c>
      <c r="D114" s="556"/>
      <c r="E114" s="556"/>
      <c r="F114" s="556"/>
      <c r="G114" s="556"/>
      <c r="H114" s="556"/>
      <c r="I114" s="556"/>
      <c r="J114" s="556"/>
      <c r="K114" s="556"/>
      <c r="L114" s="556"/>
      <c r="M114" s="556"/>
      <c r="N114" s="2319"/>
      <c r="O114" s="2319"/>
      <c r="P114" s="556"/>
      <c r="Q114" s="556"/>
      <c r="R114" s="556"/>
      <c r="S114" s="556"/>
      <c r="T114" s="556"/>
      <c r="U114" s="556"/>
      <c r="V114" s="556"/>
      <c r="W114" s="556"/>
      <c r="X114" s="556"/>
      <c r="Y114" s="569"/>
      <c r="Z114" s="569"/>
      <c r="AA114" s="556"/>
      <c r="AB114" s="556"/>
      <c r="AC114" s="1390"/>
      <c r="AD114" s="556"/>
      <c r="AE114" s="556"/>
      <c r="AF114" s="556"/>
      <c r="AG114" s="556"/>
      <c r="AH114" s="557"/>
    </row>
    <row r="115" spans="1:34" hidden="1" outlineLevel="1">
      <c r="A115" s="3133"/>
      <c r="B115" s="49"/>
      <c r="C115" s="942">
        <f>IFERROR(SUMPRODUCT(D114:AH114,D115:AH115)/C114,0)</f>
        <v>0</v>
      </c>
      <c r="D115" s="556"/>
      <c r="E115" s="556"/>
      <c r="F115" s="556"/>
      <c r="G115" s="556"/>
      <c r="H115" s="556"/>
      <c r="I115" s="556"/>
      <c r="J115" s="556"/>
      <c r="K115" s="556"/>
      <c r="L115" s="556"/>
      <c r="M115" s="556"/>
      <c r="N115" s="2319"/>
      <c r="O115" s="2319"/>
      <c r="P115" s="556"/>
      <c r="Q115" s="556"/>
      <c r="R115" s="556"/>
      <c r="S115" s="556"/>
      <c r="T115" s="556"/>
      <c r="U115" s="556"/>
      <c r="V115" s="556"/>
      <c r="W115" s="556"/>
      <c r="X115" s="556"/>
      <c r="Y115" s="569"/>
      <c r="Z115" s="569"/>
      <c r="AA115" s="556"/>
      <c r="AB115" s="556"/>
      <c r="AC115" s="1390"/>
      <c r="AD115" s="556"/>
      <c r="AE115" s="556"/>
      <c r="AF115" s="556"/>
      <c r="AG115" s="556"/>
      <c r="AH115" s="557"/>
    </row>
    <row r="116" spans="1:34" hidden="1" outlineLevel="1">
      <c r="A116" s="3134"/>
      <c r="B116" s="49"/>
      <c r="C116" s="942">
        <f>SUM(D116:AH116)</f>
        <v>0</v>
      </c>
      <c r="D116" s="556"/>
      <c r="E116" s="556"/>
      <c r="F116" s="556"/>
      <c r="G116" s="556"/>
      <c r="H116" s="556"/>
      <c r="I116" s="556"/>
      <c r="J116" s="556"/>
      <c r="K116" s="556"/>
      <c r="L116" s="556"/>
      <c r="M116" s="556"/>
      <c r="N116" s="2319"/>
      <c r="O116" s="2319"/>
      <c r="P116" s="556"/>
      <c r="Q116" s="556"/>
      <c r="R116" s="556"/>
      <c r="S116" s="556"/>
      <c r="T116" s="556"/>
      <c r="U116" s="556"/>
      <c r="V116" s="556"/>
      <c r="W116" s="556"/>
      <c r="X116" s="556"/>
      <c r="Y116" s="569"/>
      <c r="Z116" s="569"/>
      <c r="AA116" s="556"/>
      <c r="AB116" s="556"/>
      <c r="AC116" s="1390"/>
      <c r="AD116" s="556"/>
      <c r="AE116" s="556"/>
      <c r="AF116" s="556"/>
      <c r="AG116" s="556"/>
      <c r="AH116" s="557"/>
    </row>
    <row r="117" spans="1:34" hidden="1" outlineLevel="1">
      <c r="A117" s="3135"/>
      <c r="B117" s="49"/>
      <c r="C117" s="942">
        <f>IFERROR(SUMPRODUCT(D116:AH116,D117:AH117)/C116,0)</f>
        <v>0</v>
      </c>
      <c r="D117" s="556"/>
      <c r="E117" s="556"/>
      <c r="F117" s="556"/>
      <c r="G117" s="556"/>
      <c r="H117" s="556"/>
      <c r="I117" s="556"/>
      <c r="J117" s="556"/>
      <c r="K117" s="556"/>
      <c r="L117" s="556"/>
      <c r="M117" s="556"/>
      <c r="N117" s="2319"/>
      <c r="O117" s="2319"/>
      <c r="P117" s="556"/>
      <c r="Q117" s="556"/>
      <c r="R117" s="556"/>
      <c r="S117" s="556"/>
      <c r="T117" s="556"/>
      <c r="U117" s="556"/>
      <c r="V117" s="556"/>
      <c r="W117" s="556"/>
      <c r="X117" s="556"/>
      <c r="Y117" s="569"/>
      <c r="Z117" s="569"/>
      <c r="AA117" s="556"/>
      <c r="AB117" s="556"/>
      <c r="AC117" s="1390"/>
      <c r="AD117" s="556"/>
      <c r="AE117" s="556"/>
      <c r="AF117" s="556"/>
      <c r="AG117" s="556"/>
      <c r="AH117" s="557"/>
    </row>
    <row r="118" spans="1:34" hidden="1" outlineLevel="1">
      <c r="A118" s="3136"/>
      <c r="B118" s="15"/>
      <c r="C118" s="942">
        <f>SUM(D118:AH118)</f>
        <v>0</v>
      </c>
      <c r="D118" s="556"/>
      <c r="E118" s="556"/>
      <c r="F118" s="556"/>
      <c r="G118" s="556"/>
      <c r="H118" s="556"/>
      <c r="I118" s="556"/>
      <c r="J118" s="556"/>
      <c r="K118" s="556"/>
      <c r="L118" s="556"/>
      <c r="M118" s="556"/>
      <c r="N118" s="2319"/>
      <c r="O118" s="2319"/>
      <c r="P118" s="556"/>
      <c r="Q118" s="556"/>
      <c r="R118" s="556"/>
      <c r="S118" s="556"/>
      <c r="T118" s="556"/>
      <c r="U118" s="556"/>
      <c r="V118" s="556"/>
      <c r="W118" s="556"/>
      <c r="X118" s="556"/>
      <c r="Y118" s="569"/>
      <c r="Z118" s="569"/>
      <c r="AA118" s="556"/>
      <c r="AB118" s="556"/>
      <c r="AC118" s="1390"/>
      <c r="AD118" s="556"/>
      <c r="AE118" s="556"/>
      <c r="AF118" s="556"/>
      <c r="AG118" s="556"/>
      <c r="AH118" s="557"/>
    </row>
    <row r="119" spans="1:34" hidden="1" outlineLevel="1">
      <c r="A119" s="3137"/>
      <c r="B119" s="15"/>
      <c r="C119" s="942">
        <f>IFERROR(SUMPRODUCT(D118:AH118,D119:AH119)/C118,0)</f>
        <v>0</v>
      </c>
      <c r="D119" s="556"/>
      <c r="E119" s="556"/>
      <c r="F119" s="556"/>
      <c r="G119" s="556"/>
      <c r="H119" s="556"/>
      <c r="I119" s="556"/>
      <c r="J119" s="556"/>
      <c r="K119" s="556"/>
      <c r="L119" s="556"/>
      <c r="M119" s="556"/>
      <c r="N119" s="2319"/>
      <c r="O119" s="2319"/>
      <c r="P119" s="556"/>
      <c r="Q119" s="556"/>
      <c r="R119" s="556"/>
      <c r="S119" s="556"/>
      <c r="T119" s="556"/>
      <c r="U119" s="556"/>
      <c r="V119" s="556"/>
      <c r="W119" s="556"/>
      <c r="X119" s="556"/>
      <c r="Y119" s="569"/>
      <c r="Z119" s="569"/>
      <c r="AA119" s="556"/>
      <c r="AB119" s="556"/>
      <c r="AC119" s="1390"/>
      <c r="AD119" s="556"/>
      <c r="AE119" s="556"/>
      <c r="AF119" s="556"/>
      <c r="AG119" s="556"/>
      <c r="AH119" s="557"/>
    </row>
    <row r="120" spans="1:34" hidden="1" outlineLevel="1">
      <c r="A120" s="3120"/>
      <c r="B120" s="15"/>
      <c r="C120" s="942">
        <f>SUM(D120:AG120)</f>
        <v>0</v>
      </c>
      <c r="D120" s="556"/>
      <c r="E120" s="556"/>
      <c r="F120" s="556"/>
      <c r="G120" s="556"/>
      <c r="H120" s="556"/>
      <c r="I120" s="556"/>
      <c r="J120" s="556"/>
      <c r="K120" s="556"/>
      <c r="L120" s="556"/>
      <c r="M120" s="556"/>
      <c r="N120" s="2319"/>
      <c r="O120" s="2319"/>
      <c r="P120" s="556"/>
      <c r="Q120" s="556"/>
      <c r="R120" s="556"/>
      <c r="S120" s="556"/>
      <c r="T120" s="556"/>
      <c r="U120" s="556"/>
      <c r="V120" s="556"/>
      <c r="W120" s="556"/>
      <c r="X120" s="556"/>
      <c r="Y120" s="569"/>
      <c r="Z120" s="569"/>
      <c r="AA120" s="556"/>
      <c r="AB120" s="556"/>
      <c r="AC120" s="1390"/>
      <c r="AD120" s="556"/>
      <c r="AE120" s="556"/>
      <c r="AF120" s="556"/>
      <c r="AG120" s="556"/>
      <c r="AH120" s="557"/>
    </row>
    <row r="121" spans="1:34" hidden="1" outlineLevel="1">
      <c r="A121" s="3121"/>
      <c r="B121" s="15"/>
      <c r="C121" s="942">
        <f>IFERROR(SUMPRODUCT(D120:AG120,D121:AG121)/C120,0)</f>
        <v>0</v>
      </c>
      <c r="D121" s="556"/>
      <c r="E121" s="556"/>
      <c r="F121" s="556"/>
      <c r="G121" s="556"/>
      <c r="H121" s="556"/>
      <c r="I121" s="556"/>
      <c r="J121" s="556"/>
      <c r="K121" s="556"/>
      <c r="L121" s="556"/>
      <c r="M121" s="556"/>
      <c r="N121" s="2319"/>
      <c r="O121" s="2319"/>
      <c r="P121" s="556"/>
      <c r="Q121" s="556"/>
      <c r="R121" s="556"/>
      <c r="S121" s="556"/>
      <c r="T121" s="556"/>
      <c r="U121" s="556"/>
      <c r="V121" s="556"/>
      <c r="W121" s="556"/>
      <c r="X121" s="556"/>
      <c r="Y121" s="569"/>
      <c r="Z121" s="569"/>
      <c r="AA121" s="556"/>
      <c r="AB121" s="556"/>
      <c r="AC121" s="1390"/>
      <c r="AD121" s="556"/>
      <c r="AE121" s="556"/>
      <c r="AF121" s="556"/>
      <c r="AG121" s="556"/>
      <c r="AH121" s="557"/>
    </row>
    <row r="122" spans="1:34" hidden="1" outlineLevel="1">
      <c r="A122" s="3122"/>
      <c r="B122" s="50"/>
      <c r="C122" s="942">
        <f>SUM(D122:AG122)</f>
        <v>0</v>
      </c>
      <c r="D122" s="570"/>
      <c r="E122" s="570"/>
      <c r="F122" s="570"/>
      <c r="G122" s="570"/>
      <c r="H122" s="570"/>
      <c r="I122" s="570"/>
      <c r="J122" s="570"/>
      <c r="K122" s="570"/>
      <c r="L122" s="570"/>
      <c r="M122" s="570"/>
      <c r="N122" s="2320"/>
      <c r="O122" s="2320"/>
      <c r="P122" s="570"/>
      <c r="Q122" s="570"/>
      <c r="R122" s="570"/>
      <c r="S122" s="570"/>
      <c r="T122" s="570"/>
      <c r="U122" s="570"/>
      <c r="V122" s="570"/>
      <c r="W122" s="570"/>
      <c r="X122" s="570"/>
      <c r="Y122" s="571"/>
      <c r="Z122" s="571"/>
      <c r="AA122" s="570"/>
      <c r="AB122" s="570"/>
      <c r="AC122" s="1391"/>
      <c r="AD122" s="570"/>
      <c r="AE122" s="570"/>
      <c r="AF122" s="570"/>
      <c r="AG122" s="570"/>
      <c r="AH122" s="572"/>
    </row>
    <row r="123" spans="1:34" hidden="1" outlineLevel="1">
      <c r="A123" s="3123"/>
      <c r="B123" s="51"/>
      <c r="C123" s="963">
        <f>IFERROR(SUMPRODUCT(D122:AG122,D123:AG123)/C122,0)</f>
        <v>0</v>
      </c>
      <c r="D123" s="573"/>
      <c r="E123" s="573"/>
      <c r="F123" s="573"/>
      <c r="G123" s="573"/>
      <c r="H123" s="573"/>
      <c r="I123" s="573"/>
      <c r="J123" s="573"/>
      <c r="K123" s="573"/>
      <c r="L123" s="573"/>
      <c r="M123" s="573"/>
      <c r="N123" s="2321"/>
      <c r="O123" s="2321"/>
      <c r="P123" s="573"/>
      <c r="Q123" s="573"/>
      <c r="R123" s="573"/>
      <c r="S123" s="573"/>
      <c r="T123" s="573"/>
      <c r="U123" s="573"/>
      <c r="V123" s="573"/>
      <c r="W123" s="573"/>
      <c r="X123" s="573"/>
      <c r="Y123" s="574"/>
      <c r="Z123" s="574"/>
      <c r="AA123" s="573"/>
      <c r="AB123" s="573"/>
      <c r="AC123" s="1392"/>
      <c r="AD123" s="573"/>
      <c r="AE123" s="573"/>
      <c r="AF123" s="573"/>
      <c r="AG123" s="573"/>
      <c r="AH123" s="575"/>
    </row>
    <row r="124" spans="1:34" hidden="1" outlineLevel="1">
      <c r="A124" s="3124"/>
      <c r="B124" s="52"/>
      <c r="C124" s="963">
        <f>SUM(D124:AG124)</f>
        <v>0</v>
      </c>
      <c r="D124" s="54"/>
      <c r="E124" s="54"/>
      <c r="F124" s="53"/>
      <c r="G124" s="53"/>
      <c r="H124" s="53"/>
      <c r="I124" s="53"/>
      <c r="J124" s="53"/>
      <c r="K124" s="53"/>
      <c r="L124" s="53"/>
      <c r="M124" s="53"/>
      <c r="N124" s="2322"/>
      <c r="O124" s="2322"/>
      <c r="P124" s="53"/>
      <c r="Q124" s="53"/>
      <c r="R124" s="53"/>
      <c r="S124" s="53"/>
      <c r="T124" s="53"/>
      <c r="U124" s="53"/>
      <c r="V124" s="53"/>
      <c r="W124" s="53"/>
      <c r="X124" s="53"/>
      <c r="Y124" s="271"/>
      <c r="Z124" s="271"/>
      <c r="AA124" s="53"/>
      <c r="AB124" s="53"/>
      <c r="AC124" s="53"/>
      <c r="AD124" s="53"/>
      <c r="AE124" s="53"/>
      <c r="AF124" s="53"/>
      <c r="AG124" s="53"/>
      <c r="AH124" s="576"/>
    </row>
    <row r="125" spans="1:34" hidden="1" outlineLevel="1">
      <c r="A125" s="3125"/>
      <c r="B125" s="55"/>
      <c r="C125" s="963">
        <f>IFERROR(SUMPRODUCT(D124:AG124,D125:AG125)/C124,0)</f>
        <v>0</v>
      </c>
      <c r="D125" s="54"/>
      <c r="E125" s="54"/>
      <c r="F125" s="53"/>
      <c r="G125" s="53"/>
      <c r="H125" s="53"/>
      <c r="I125" s="53"/>
      <c r="J125" s="53"/>
      <c r="K125" s="53"/>
      <c r="L125" s="53"/>
      <c r="M125" s="53"/>
      <c r="N125" s="2322"/>
      <c r="O125" s="2322"/>
      <c r="P125" s="53"/>
      <c r="Q125" s="53"/>
      <c r="R125" s="53"/>
      <c r="S125" s="53"/>
      <c r="T125" s="53"/>
      <c r="U125" s="53"/>
      <c r="V125" s="53"/>
      <c r="W125" s="53"/>
      <c r="X125" s="53"/>
      <c r="Y125" s="271"/>
      <c r="Z125" s="271"/>
      <c r="AA125" s="53"/>
      <c r="AB125" s="53"/>
      <c r="AC125" s="53"/>
      <c r="AD125" s="53"/>
      <c r="AE125" s="53"/>
      <c r="AF125" s="53"/>
      <c r="AG125" s="53"/>
      <c r="AH125" s="576"/>
    </row>
    <row r="126" spans="1:34" hidden="1" outlineLevel="1">
      <c r="A126" s="3126"/>
      <c r="B126" s="48"/>
      <c r="C126" s="964">
        <f>SUM(D126:AG126)</f>
        <v>0</v>
      </c>
      <c r="D126" s="573"/>
      <c r="E126" s="573"/>
      <c r="F126" s="573"/>
      <c r="G126" s="573"/>
      <c r="H126" s="573"/>
      <c r="I126" s="573"/>
      <c r="J126" s="573"/>
      <c r="K126" s="573"/>
      <c r="L126" s="573"/>
      <c r="M126" s="573"/>
      <c r="N126" s="2321"/>
      <c r="O126" s="2321"/>
      <c r="P126" s="573"/>
      <c r="Q126" s="573"/>
      <c r="R126" s="573"/>
      <c r="S126" s="573"/>
      <c r="T126" s="573"/>
      <c r="U126" s="573"/>
      <c r="V126" s="573"/>
      <c r="W126" s="573"/>
      <c r="X126" s="573"/>
      <c r="Y126" s="574"/>
      <c r="Z126" s="574"/>
      <c r="AA126" s="573"/>
      <c r="AB126" s="573"/>
      <c r="AC126" s="1392"/>
      <c r="AD126" s="573"/>
      <c r="AE126" s="573"/>
      <c r="AF126" s="573"/>
      <c r="AG126" s="573"/>
      <c r="AH126" s="575"/>
    </row>
    <row r="127" spans="1:34" hidden="1" outlineLevel="1">
      <c r="A127" s="3127"/>
      <c r="B127" s="49"/>
      <c r="C127" s="942">
        <f>IFERROR(SUMPRODUCT(D126:AG126,D127:AG127)/C126,0)</f>
        <v>0</v>
      </c>
      <c r="D127" s="577"/>
      <c r="E127" s="577"/>
      <c r="F127" s="577"/>
      <c r="G127" s="577"/>
      <c r="H127" s="577"/>
      <c r="I127" s="577"/>
      <c r="J127" s="577"/>
      <c r="K127" s="577"/>
      <c r="L127" s="577"/>
      <c r="M127" s="577"/>
      <c r="N127" s="2323"/>
      <c r="O127" s="2323"/>
      <c r="P127" s="577"/>
      <c r="Q127" s="577"/>
      <c r="R127" s="577"/>
      <c r="S127" s="577"/>
      <c r="T127" s="577"/>
      <c r="U127" s="577"/>
      <c r="V127" s="577"/>
      <c r="W127" s="577"/>
      <c r="X127" s="577"/>
      <c r="Y127" s="578"/>
      <c r="Z127" s="578"/>
      <c r="AA127" s="577"/>
      <c r="AB127" s="577"/>
      <c r="AC127" s="1393"/>
      <c r="AD127" s="577"/>
      <c r="AE127" s="577"/>
      <c r="AF127" s="577"/>
      <c r="AG127" s="577"/>
      <c r="AH127" s="579"/>
    </row>
    <row r="128" spans="1:34" hidden="1" outlineLevel="1">
      <c r="A128" s="3128"/>
      <c r="B128" s="15"/>
      <c r="C128" s="942">
        <f>SUM(D128:AG128)</f>
        <v>0</v>
      </c>
      <c r="D128" s="556"/>
      <c r="E128" s="556"/>
      <c r="F128" s="556"/>
      <c r="G128" s="556"/>
      <c r="H128" s="556"/>
      <c r="I128" s="556"/>
      <c r="J128" s="556"/>
      <c r="K128" s="556"/>
      <c r="L128" s="556"/>
      <c r="M128" s="556"/>
      <c r="N128" s="2319"/>
      <c r="O128" s="2319"/>
      <c r="P128" s="556"/>
      <c r="Q128" s="556"/>
      <c r="R128" s="556"/>
      <c r="S128" s="556"/>
      <c r="T128" s="556"/>
      <c r="U128" s="556"/>
      <c r="V128" s="556"/>
      <c r="W128" s="556"/>
      <c r="X128" s="556"/>
      <c r="Y128" s="569"/>
      <c r="Z128" s="569"/>
      <c r="AA128" s="556"/>
      <c r="AB128" s="556"/>
      <c r="AC128" s="1390"/>
      <c r="AD128" s="556"/>
      <c r="AE128" s="556"/>
      <c r="AF128" s="556"/>
      <c r="AG128" s="556"/>
      <c r="AH128" s="557"/>
    </row>
    <row r="129" spans="1:34" hidden="1" outlineLevel="1">
      <c r="A129" s="3129"/>
      <c r="B129" s="15"/>
      <c r="C129" s="942">
        <f>IFERROR(SUMPRODUCT(D128:AG128,D129:AG129)/C128,0)</f>
        <v>0</v>
      </c>
      <c r="D129" s="556"/>
      <c r="E129" s="556"/>
      <c r="F129" s="556"/>
      <c r="G129" s="556"/>
      <c r="H129" s="556"/>
      <c r="I129" s="556"/>
      <c r="J129" s="556"/>
      <c r="K129" s="556"/>
      <c r="L129" s="556"/>
      <c r="M129" s="556"/>
      <c r="N129" s="2319"/>
      <c r="O129" s="2319"/>
      <c r="P129" s="556"/>
      <c r="Q129" s="556"/>
      <c r="R129" s="556"/>
      <c r="S129" s="556"/>
      <c r="T129" s="556"/>
      <c r="U129" s="556"/>
      <c r="V129" s="556"/>
      <c r="W129" s="556"/>
      <c r="X129" s="556"/>
      <c r="Y129" s="569"/>
      <c r="Z129" s="569"/>
      <c r="AA129" s="556"/>
      <c r="AB129" s="556"/>
      <c r="AC129" s="1390"/>
      <c r="AD129" s="556"/>
      <c r="AE129" s="556"/>
      <c r="AF129" s="556"/>
      <c r="AG129" s="556"/>
      <c r="AH129" s="557"/>
    </row>
    <row r="130" spans="1:34" hidden="1" outlineLevel="1">
      <c r="A130" s="3130"/>
      <c r="B130" s="49"/>
      <c r="C130" s="942">
        <f>SUM(D130:AG130)</f>
        <v>0</v>
      </c>
      <c r="D130" s="556"/>
      <c r="E130" s="556"/>
      <c r="F130" s="556"/>
      <c r="G130" s="556"/>
      <c r="H130" s="556"/>
      <c r="I130" s="556"/>
      <c r="J130" s="556"/>
      <c r="K130" s="556"/>
      <c r="L130" s="556"/>
      <c r="M130" s="556"/>
      <c r="N130" s="2319"/>
      <c r="O130" s="2319"/>
      <c r="P130" s="556"/>
      <c r="Q130" s="556"/>
      <c r="R130" s="556"/>
      <c r="S130" s="556"/>
      <c r="T130" s="556"/>
      <c r="U130" s="556"/>
      <c r="V130" s="556"/>
      <c r="W130" s="556"/>
      <c r="X130" s="556"/>
      <c r="Y130" s="569"/>
      <c r="Z130" s="569"/>
      <c r="AA130" s="556"/>
      <c r="AB130" s="556"/>
      <c r="AC130" s="1390"/>
      <c r="AD130" s="556"/>
      <c r="AE130" s="556"/>
      <c r="AF130" s="556"/>
      <c r="AG130" s="556"/>
      <c r="AH130" s="557"/>
    </row>
    <row r="131" spans="1:34" hidden="1" outlineLevel="1">
      <c r="A131" s="3131"/>
      <c r="B131" s="49"/>
      <c r="C131" s="942">
        <f>IFERROR(SUMPRODUCT(D130:AG130,D131:AG131)/C130,0)</f>
        <v>0</v>
      </c>
      <c r="D131" s="556"/>
      <c r="E131" s="556"/>
      <c r="F131" s="556"/>
      <c r="G131" s="556"/>
      <c r="H131" s="556"/>
      <c r="I131" s="556"/>
      <c r="J131" s="556"/>
      <c r="K131" s="556"/>
      <c r="L131" s="556"/>
      <c r="M131" s="556"/>
      <c r="N131" s="2319"/>
      <c r="O131" s="2319"/>
      <c r="P131" s="556"/>
      <c r="Q131" s="556"/>
      <c r="R131" s="556"/>
      <c r="S131" s="556"/>
      <c r="T131" s="556"/>
      <c r="U131" s="556"/>
      <c r="V131" s="556"/>
      <c r="W131" s="556"/>
      <c r="X131" s="556"/>
      <c r="Y131" s="569"/>
      <c r="Z131" s="569"/>
      <c r="AA131" s="556"/>
      <c r="AB131" s="556"/>
      <c r="AC131" s="1390"/>
      <c r="AD131" s="556"/>
      <c r="AE131" s="556"/>
      <c r="AF131" s="556"/>
      <c r="AG131" s="556"/>
      <c r="AH131" s="557"/>
    </row>
    <row r="132" spans="1:34" hidden="1" outlineLevel="1">
      <c r="A132" s="3130"/>
      <c r="B132" s="49"/>
      <c r="C132" s="942">
        <f>SUM(D132:AG132)</f>
        <v>0</v>
      </c>
      <c r="D132" s="556"/>
      <c r="E132" s="556"/>
      <c r="F132" s="556"/>
      <c r="G132" s="556"/>
      <c r="H132" s="556"/>
      <c r="I132" s="556"/>
      <c r="J132" s="556"/>
      <c r="K132" s="556"/>
      <c r="L132" s="556"/>
      <c r="M132" s="556"/>
      <c r="N132" s="2319"/>
      <c r="O132" s="2319"/>
      <c r="P132" s="556"/>
      <c r="Q132" s="556"/>
      <c r="R132" s="556"/>
      <c r="S132" s="556"/>
      <c r="T132" s="556"/>
      <c r="U132" s="556"/>
      <c r="V132" s="556"/>
      <c r="W132" s="556"/>
      <c r="X132" s="556"/>
      <c r="Y132" s="569"/>
      <c r="Z132" s="569"/>
      <c r="AA132" s="556"/>
      <c r="AB132" s="556"/>
      <c r="AC132" s="1390"/>
      <c r="AD132" s="556"/>
      <c r="AE132" s="556"/>
      <c r="AF132" s="556"/>
      <c r="AG132" s="556"/>
      <c r="AH132" s="557"/>
    </row>
    <row r="133" spans="1:34" hidden="1" outlineLevel="1">
      <c r="A133" s="3131"/>
      <c r="B133" s="49"/>
      <c r="C133" s="942">
        <f>IFERROR(SUMPRODUCT(D132:AG132,D133:AG133)/C132,0)</f>
        <v>0</v>
      </c>
      <c r="D133" s="556"/>
      <c r="E133" s="556"/>
      <c r="F133" s="556"/>
      <c r="G133" s="556"/>
      <c r="H133" s="556"/>
      <c r="I133" s="556"/>
      <c r="J133" s="556"/>
      <c r="K133" s="556"/>
      <c r="L133" s="556"/>
      <c r="M133" s="556"/>
      <c r="N133" s="2319"/>
      <c r="O133" s="2319"/>
      <c r="P133" s="556"/>
      <c r="Q133" s="556"/>
      <c r="R133" s="556"/>
      <c r="S133" s="556"/>
      <c r="T133" s="556"/>
      <c r="U133" s="556"/>
      <c r="V133" s="556"/>
      <c r="W133" s="556"/>
      <c r="X133" s="556"/>
      <c r="Y133" s="569"/>
      <c r="Z133" s="569"/>
      <c r="AA133" s="556"/>
      <c r="AB133" s="556"/>
      <c r="AC133" s="1390"/>
      <c r="AD133" s="556"/>
      <c r="AE133" s="556"/>
      <c r="AF133" s="556"/>
      <c r="AG133" s="556"/>
      <c r="AH133" s="557"/>
    </row>
    <row r="134" spans="1:34" hidden="1" outlineLevel="1">
      <c r="A134" s="3130"/>
      <c r="B134" s="49"/>
      <c r="C134" s="942">
        <f>SUM(D134:AG134)</f>
        <v>0</v>
      </c>
      <c r="D134" s="556"/>
      <c r="E134" s="556"/>
      <c r="F134" s="556"/>
      <c r="G134" s="556"/>
      <c r="H134" s="556"/>
      <c r="I134" s="556"/>
      <c r="J134" s="556"/>
      <c r="K134" s="556"/>
      <c r="L134" s="556"/>
      <c r="M134" s="556"/>
      <c r="N134" s="2319"/>
      <c r="O134" s="2319"/>
      <c r="P134" s="556"/>
      <c r="Q134" s="556"/>
      <c r="R134" s="556"/>
      <c r="S134" s="556"/>
      <c r="T134" s="556"/>
      <c r="U134" s="556"/>
      <c r="V134" s="556"/>
      <c r="W134" s="556"/>
      <c r="X134" s="556"/>
      <c r="Y134" s="569"/>
      <c r="Z134" s="569"/>
      <c r="AA134" s="556"/>
      <c r="AB134" s="556"/>
      <c r="AC134" s="1390"/>
      <c r="AD134" s="556"/>
      <c r="AE134" s="556"/>
      <c r="AF134" s="556"/>
      <c r="AG134" s="556"/>
      <c r="AH134" s="557"/>
    </row>
    <row r="135" spans="1:34" hidden="1" outlineLevel="1">
      <c r="A135" s="3131"/>
      <c r="B135" s="49"/>
      <c r="C135" s="942">
        <f>IFERROR(SUMPRODUCT(D134:AG134,D135:AG135)/C134,0)</f>
        <v>0</v>
      </c>
      <c r="D135" s="556"/>
      <c r="E135" s="556"/>
      <c r="F135" s="556"/>
      <c r="G135" s="556"/>
      <c r="H135" s="556"/>
      <c r="I135" s="556"/>
      <c r="J135" s="556"/>
      <c r="K135" s="556"/>
      <c r="L135" s="556"/>
      <c r="M135" s="556"/>
      <c r="N135" s="2319"/>
      <c r="O135" s="2319"/>
      <c r="P135" s="556"/>
      <c r="Q135" s="556"/>
      <c r="R135" s="556"/>
      <c r="S135" s="556"/>
      <c r="T135" s="556"/>
      <c r="U135" s="556"/>
      <c r="V135" s="556"/>
      <c r="W135" s="556"/>
      <c r="X135" s="556"/>
      <c r="Y135" s="569"/>
      <c r="Z135" s="569"/>
      <c r="AA135" s="556"/>
      <c r="AB135" s="556"/>
      <c r="AC135" s="1390"/>
      <c r="AD135" s="556"/>
      <c r="AE135" s="556"/>
      <c r="AF135" s="556"/>
      <c r="AG135" s="556"/>
      <c r="AH135" s="557"/>
    </row>
    <row r="136" spans="1:34" hidden="1" outlineLevel="1">
      <c r="A136" s="3130"/>
      <c r="B136" s="49"/>
      <c r="C136" s="942">
        <f>SUM(D136:AG136)</f>
        <v>0</v>
      </c>
      <c r="D136" s="556"/>
      <c r="E136" s="556"/>
      <c r="F136" s="556"/>
      <c r="G136" s="556"/>
      <c r="H136" s="556"/>
      <c r="I136" s="556"/>
      <c r="J136" s="556"/>
      <c r="K136" s="556"/>
      <c r="L136" s="556"/>
      <c r="M136" s="556"/>
      <c r="N136" s="2319"/>
      <c r="O136" s="2319"/>
      <c r="P136" s="556"/>
      <c r="Q136" s="556"/>
      <c r="R136" s="556"/>
      <c r="S136" s="556"/>
      <c r="T136" s="556"/>
      <c r="U136" s="556"/>
      <c r="V136" s="556"/>
      <c r="W136" s="556"/>
      <c r="X136" s="556"/>
      <c r="Y136" s="569"/>
      <c r="Z136" s="569"/>
      <c r="AA136" s="556"/>
      <c r="AB136" s="556"/>
      <c r="AC136" s="1390"/>
      <c r="AD136" s="556"/>
      <c r="AE136" s="556"/>
      <c r="AF136" s="556"/>
      <c r="AG136" s="556"/>
      <c r="AH136" s="557"/>
    </row>
    <row r="137" spans="1:34" hidden="1" outlineLevel="1">
      <c r="A137" s="3131"/>
      <c r="B137" s="49"/>
      <c r="C137" s="942">
        <f>IFERROR(SUMPRODUCT(D136:AG136,D137:AG137)/C136,0)</f>
        <v>0</v>
      </c>
      <c r="D137" s="556"/>
      <c r="E137" s="556"/>
      <c r="F137" s="556"/>
      <c r="G137" s="556"/>
      <c r="H137" s="556"/>
      <c r="I137" s="556"/>
      <c r="J137" s="556"/>
      <c r="K137" s="556"/>
      <c r="L137" s="556"/>
      <c r="M137" s="556"/>
      <c r="N137" s="2319"/>
      <c r="O137" s="2319"/>
      <c r="P137" s="556"/>
      <c r="Q137" s="556"/>
      <c r="R137" s="556"/>
      <c r="S137" s="556"/>
      <c r="T137" s="556"/>
      <c r="U137" s="556"/>
      <c r="V137" s="556"/>
      <c r="W137" s="556"/>
      <c r="X137" s="556"/>
      <c r="Y137" s="569"/>
      <c r="Z137" s="569"/>
      <c r="AA137" s="556"/>
      <c r="AB137" s="556"/>
      <c r="AC137" s="1390"/>
      <c r="AD137" s="556"/>
      <c r="AE137" s="556"/>
      <c r="AF137" s="556"/>
      <c r="AG137" s="556"/>
      <c r="AH137" s="557"/>
    </row>
    <row r="138" spans="1:34" hidden="1" outlineLevel="1">
      <c r="A138" s="3161"/>
      <c r="B138" s="15"/>
      <c r="C138" s="942">
        <f>SUM(D138:AG138)</f>
        <v>0</v>
      </c>
      <c r="D138" s="556"/>
      <c r="E138" s="556"/>
      <c r="F138" s="556"/>
      <c r="G138" s="556"/>
      <c r="H138" s="556"/>
      <c r="I138" s="556"/>
      <c r="J138" s="556"/>
      <c r="K138" s="556"/>
      <c r="L138" s="556"/>
      <c r="M138" s="556"/>
      <c r="N138" s="2319"/>
      <c r="O138" s="2319"/>
      <c r="P138" s="556"/>
      <c r="Q138" s="556"/>
      <c r="R138" s="556"/>
      <c r="S138" s="556"/>
      <c r="T138" s="556"/>
      <c r="U138" s="556"/>
      <c r="V138" s="556"/>
      <c r="W138" s="556"/>
      <c r="X138" s="556"/>
      <c r="Y138" s="569"/>
      <c r="Z138" s="569"/>
      <c r="AA138" s="556"/>
      <c r="AB138" s="556"/>
      <c r="AC138" s="1390"/>
      <c r="AD138" s="556"/>
      <c r="AE138" s="556"/>
      <c r="AF138" s="556"/>
      <c r="AG138" s="556"/>
      <c r="AH138" s="557"/>
    </row>
    <row r="139" spans="1:34" hidden="1" outlineLevel="1">
      <c r="A139" s="3162"/>
      <c r="B139" s="15"/>
      <c r="C139" s="942">
        <f>IFERROR(SUMPRODUCT(D138:AG138,D139:AG139)/C138,0)</f>
        <v>0</v>
      </c>
      <c r="D139" s="556"/>
      <c r="E139" s="556"/>
      <c r="F139" s="556"/>
      <c r="G139" s="556"/>
      <c r="H139" s="556"/>
      <c r="I139" s="556"/>
      <c r="J139" s="556"/>
      <c r="K139" s="556"/>
      <c r="L139" s="556"/>
      <c r="M139" s="556"/>
      <c r="N139" s="2319"/>
      <c r="O139" s="2319"/>
      <c r="P139" s="556"/>
      <c r="Q139" s="556"/>
      <c r="R139" s="556"/>
      <c r="S139" s="556"/>
      <c r="T139" s="556"/>
      <c r="U139" s="556"/>
      <c r="V139" s="556"/>
      <c r="W139" s="556"/>
      <c r="X139" s="556"/>
      <c r="Y139" s="569"/>
      <c r="Z139" s="569"/>
      <c r="AA139" s="556"/>
      <c r="AB139" s="556"/>
      <c r="AC139" s="1390"/>
      <c r="AD139" s="556"/>
      <c r="AE139" s="556"/>
      <c r="AF139" s="556"/>
      <c r="AG139" s="556"/>
      <c r="AH139" s="557"/>
    </row>
    <row r="140" spans="1:34" hidden="1" outlineLevel="1">
      <c r="A140" s="3120"/>
      <c r="B140" s="15"/>
      <c r="C140" s="942">
        <f>SUM(D140:AG140)</f>
        <v>0</v>
      </c>
      <c r="D140" s="556"/>
      <c r="E140" s="556"/>
      <c r="F140" s="556"/>
      <c r="G140" s="556"/>
      <c r="H140" s="556"/>
      <c r="I140" s="556"/>
      <c r="J140" s="556"/>
      <c r="K140" s="556"/>
      <c r="L140" s="556"/>
      <c r="M140" s="556"/>
      <c r="N140" s="2319"/>
      <c r="O140" s="2319"/>
      <c r="P140" s="556"/>
      <c r="Q140" s="556"/>
      <c r="R140" s="556"/>
      <c r="S140" s="556"/>
      <c r="T140" s="556"/>
      <c r="U140" s="556"/>
      <c r="V140" s="556"/>
      <c r="W140" s="556"/>
      <c r="X140" s="556"/>
      <c r="Y140" s="569"/>
      <c r="Z140" s="569"/>
      <c r="AA140" s="556"/>
      <c r="AB140" s="556"/>
      <c r="AC140" s="1390"/>
      <c r="AD140" s="556"/>
      <c r="AE140" s="556"/>
      <c r="AF140" s="556"/>
      <c r="AG140" s="556"/>
      <c r="AH140" s="557"/>
    </row>
    <row r="141" spans="1:34" hidden="1" outlineLevel="1">
      <c r="A141" s="3120"/>
      <c r="B141" s="15"/>
      <c r="C141" s="942">
        <f>IFERROR(SUMPRODUCT(D140:AG140,D141:AG141)/C140,0)</f>
        <v>0</v>
      </c>
      <c r="D141" s="556"/>
      <c r="E141" s="556"/>
      <c r="F141" s="556"/>
      <c r="G141" s="556"/>
      <c r="H141" s="556"/>
      <c r="I141" s="556"/>
      <c r="J141" s="556"/>
      <c r="K141" s="556"/>
      <c r="L141" s="556"/>
      <c r="M141" s="556"/>
      <c r="N141" s="2319"/>
      <c r="O141" s="2319"/>
      <c r="P141" s="556"/>
      <c r="Q141" s="556"/>
      <c r="R141" s="556"/>
      <c r="S141" s="556"/>
      <c r="T141" s="556"/>
      <c r="U141" s="556"/>
      <c r="V141" s="556"/>
      <c r="W141" s="556"/>
      <c r="X141" s="556"/>
      <c r="Y141" s="569"/>
      <c r="Z141" s="569"/>
      <c r="AA141" s="556"/>
      <c r="AB141" s="556"/>
      <c r="AC141" s="1390"/>
      <c r="AD141" s="556"/>
      <c r="AE141" s="556"/>
      <c r="AF141" s="556"/>
      <c r="AG141" s="556"/>
      <c r="AH141" s="557"/>
    </row>
    <row r="142" spans="1:34" hidden="1" outlineLevel="1">
      <c r="A142" s="3120"/>
      <c r="B142" s="15"/>
      <c r="C142" s="942">
        <f>SUM(D142:AG142)</f>
        <v>0</v>
      </c>
      <c r="D142" s="556"/>
      <c r="E142" s="556"/>
      <c r="F142" s="556"/>
      <c r="G142" s="556"/>
      <c r="H142" s="556"/>
      <c r="I142" s="556"/>
      <c r="J142" s="556"/>
      <c r="K142" s="556"/>
      <c r="L142" s="556"/>
      <c r="M142" s="556"/>
      <c r="N142" s="2319"/>
      <c r="O142" s="2319"/>
      <c r="P142" s="556"/>
      <c r="Q142" s="556"/>
      <c r="R142" s="556"/>
      <c r="S142" s="556"/>
      <c r="T142" s="556"/>
      <c r="U142" s="556"/>
      <c r="V142" s="556"/>
      <c r="W142" s="556"/>
      <c r="X142" s="556"/>
      <c r="Y142" s="569"/>
      <c r="Z142" s="569"/>
      <c r="AA142" s="556"/>
      <c r="AB142" s="556"/>
      <c r="AC142" s="1390"/>
      <c r="AD142" s="556"/>
      <c r="AE142" s="556"/>
      <c r="AF142" s="556"/>
      <c r="AG142" s="556"/>
      <c r="AH142" s="557"/>
    </row>
    <row r="143" spans="1:34" hidden="1" outlineLevel="1">
      <c r="A143" s="3120"/>
      <c r="B143" s="15"/>
      <c r="C143" s="942">
        <f>IFERROR(SUMPRODUCT(D142:AG142,D143:AG143)/C142,0)</f>
        <v>0</v>
      </c>
      <c r="D143" s="556"/>
      <c r="E143" s="556"/>
      <c r="F143" s="556"/>
      <c r="G143" s="556"/>
      <c r="H143" s="556"/>
      <c r="I143" s="556"/>
      <c r="J143" s="556"/>
      <c r="K143" s="556"/>
      <c r="L143" s="556"/>
      <c r="M143" s="556"/>
      <c r="N143" s="2319"/>
      <c r="O143" s="2319"/>
      <c r="P143" s="556"/>
      <c r="Q143" s="556"/>
      <c r="R143" s="556"/>
      <c r="S143" s="556"/>
      <c r="T143" s="556"/>
      <c r="U143" s="556"/>
      <c r="V143" s="556"/>
      <c r="W143" s="556"/>
      <c r="X143" s="556"/>
      <c r="Y143" s="569"/>
      <c r="Z143" s="569"/>
      <c r="AA143" s="556"/>
      <c r="AB143" s="556"/>
      <c r="AC143" s="1390"/>
      <c r="AD143" s="556"/>
      <c r="AE143" s="556"/>
      <c r="AF143" s="556"/>
      <c r="AG143" s="556"/>
      <c r="AH143" s="557"/>
    </row>
    <row r="144" spans="1:34" hidden="1" outlineLevel="1">
      <c r="A144" s="3120"/>
      <c r="B144" s="15"/>
      <c r="C144" s="942">
        <f>SUM(D144:AG144)</f>
        <v>0</v>
      </c>
      <c r="D144" s="556"/>
      <c r="E144" s="556"/>
      <c r="F144" s="556"/>
      <c r="G144" s="556"/>
      <c r="H144" s="556"/>
      <c r="I144" s="556"/>
      <c r="J144" s="556"/>
      <c r="K144" s="556"/>
      <c r="L144" s="556"/>
      <c r="M144" s="556"/>
      <c r="N144" s="2319"/>
      <c r="O144" s="2319"/>
      <c r="P144" s="556"/>
      <c r="Q144" s="556"/>
      <c r="R144" s="556"/>
      <c r="S144" s="556"/>
      <c r="T144" s="556"/>
      <c r="U144" s="556"/>
      <c r="V144" s="556"/>
      <c r="W144" s="556"/>
      <c r="X144" s="556"/>
      <c r="Y144" s="569"/>
      <c r="Z144" s="569"/>
      <c r="AA144" s="556"/>
      <c r="AB144" s="556"/>
      <c r="AC144" s="1390"/>
      <c r="AD144" s="556"/>
      <c r="AE144" s="556"/>
      <c r="AF144" s="556"/>
      <c r="AG144" s="556"/>
      <c r="AH144" s="557"/>
    </row>
    <row r="145" spans="1:34" hidden="1" outlineLevel="1">
      <c r="A145" s="3120"/>
      <c r="B145" s="15"/>
      <c r="C145" s="942">
        <f>IFERROR(SUMPRODUCT(D144:AG144,D145:AG145)/C144,0)</f>
        <v>0</v>
      </c>
      <c r="D145" s="556"/>
      <c r="E145" s="556"/>
      <c r="F145" s="556"/>
      <c r="G145" s="556"/>
      <c r="H145" s="556"/>
      <c r="I145" s="556"/>
      <c r="J145" s="556"/>
      <c r="K145" s="556"/>
      <c r="L145" s="556"/>
      <c r="M145" s="556"/>
      <c r="N145" s="2319"/>
      <c r="O145" s="2319"/>
      <c r="P145" s="556"/>
      <c r="Q145" s="556"/>
      <c r="R145" s="556"/>
      <c r="S145" s="556"/>
      <c r="T145" s="556"/>
      <c r="U145" s="556"/>
      <c r="V145" s="556"/>
      <c r="W145" s="556"/>
      <c r="X145" s="556"/>
      <c r="Y145" s="569"/>
      <c r="Z145" s="569"/>
      <c r="AA145" s="556"/>
      <c r="AB145" s="556"/>
      <c r="AC145" s="1390"/>
      <c r="AD145" s="556"/>
      <c r="AE145" s="556"/>
      <c r="AF145" s="556"/>
      <c r="AG145" s="556"/>
      <c r="AH145" s="557"/>
    </row>
    <row r="146" spans="1:34" hidden="1" outlineLevel="1">
      <c r="A146" s="3120"/>
      <c r="B146" s="15"/>
      <c r="C146" s="942">
        <f>SUM(D146:AG146)</f>
        <v>0</v>
      </c>
      <c r="D146" s="556"/>
      <c r="E146" s="556"/>
      <c r="F146" s="556"/>
      <c r="G146" s="556"/>
      <c r="H146" s="556"/>
      <c r="I146" s="556"/>
      <c r="J146" s="556"/>
      <c r="K146" s="556"/>
      <c r="L146" s="556"/>
      <c r="M146" s="556"/>
      <c r="N146" s="2319"/>
      <c r="O146" s="2319"/>
      <c r="P146" s="556"/>
      <c r="Q146" s="556"/>
      <c r="R146" s="556"/>
      <c r="S146" s="556"/>
      <c r="T146" s="556"/>
      <c r="U146" s="556"/>
      <c r="V146" s="556"/>
      <c r="W146" s="556"/>
      <c r="X146" s="556"/>
      <c r="Y146" s="569"/>
      <c r="Z146" s="569"/>
      <c r="AA146" s="556"/>
      <c r="AB146" s="556"/>
      <c r="AC146" s="1390"/>
      <c r="AD146" s="556"/>
      <c r="AE146" s="556"/>
      <c r="AF146" s="556"/>
      <c r="AG146" s="556"/>
      <c r="AH146" s="557"/>
    </row>
    <row r="147" spans="1:34" hidden="1" outlineLevel="1">
      <c r="A147" s="3120"/>
      <c r="B147" s="15"/>
      <c r="C147" s="942">
        <f>IFERROR(SUMPRODUCT(D146:AG146,D147:AG147)/C146,0)</f>
        <v>0</v>
      </c>
      <c r="D147" s="556"/>
      <c r="E147" s="556"/>
      <c r="F147" s="556"/>
      <c r="G147" s="556"/>
      <c r="H147" s="556"/>
      <c r="I147" s="556"/>
      <c r="J147" s="556"/>
      <c r="K147" s="556"/>
      <c r="L147" s="556"/>
      <c r="M147" s="556"/>
      <c r="N147" s="2319"/>
      <c r="O147" s="2319"/>
      <c r="P147" s="556"/>
      <c r="Q147" s="556"/>
      <c r="R147" s="556"/>
      <c r="S147" s="556"/>
      <c r="T147" s="556"/>
      <c r="U147" s="556"/>
      <c r="V147" s="556"/>
      <c r="W147" s="556"/>
      <c r="X147" s="556"/>
      <c r="Y147" s="569"/>
      <c r="Z147" s="569"/>
      <c r="AA147" s="556"/>
      <c r="AB147" s="556"/>
      <c r="AC147" s="1390"/>
      <c r="AD147" s="556"/>
      <c r="AE147" s="556"/>
      <c r="AF147" s="556"/>
      <c r="AG147" s="556"/>
      <c r="AH147" s="557"/>
    </row>
    <row r="148" spans="1:34" hidden="1" outlineLevel="1">
      <c r="A148" s="3120"/>
      <c r="B148" s="15"/>
      <c r="C148" s="942">
        <f>SUM(D148:AG148)</f>
        <v>0</v>
      </c>
      <c r="D148" s="556"/>
      <c r="E148" s="556"/>
      <c r="F148" s="556"/>
      <c r="G148" s="556"/>
      <c r="H148" s="556"/>
      <c r="I148" s="556"/>
      <c r="J148" s="556"/>
      <c r="K148" s="556"/>
      <c r="L148" s="556"/>
      <c r="M148" s="556"/>
      <c r="N148" s="2319"/>
      <c r="O148" s="2319"/>
      <c r="P148" s="556"/>
      <c r="Q148" s="556"/>
      <c r="R148" s="556"/>
      <c r="S148" s="556"/>
      <c r="T148" s="556"/>
      <c r="U148" s="556"/>
      <c r="V148" s="556"/>
      <c r="W148" s="556"/>
      <c r="X148" s="556"/>
      <c r="Y148" s="569"/>
      <c r="Z148" s="569"/>
      <c r="AA148" s="556"/>
      <c r="AB148" s="556"/>
      <c r="AC148" s="1390"/>
      <c r="AD148" s="556"/>
      <c r="AE148" s="556"/>
      <c r="AF148" s="556"/>
      <c r="AG148" s="556"/>
      <c r="AH148" s="557"/>
    </row>
    <row r="149" spans="1:34" hidden="1" outlineLevel="1">
      <c r="A149" s="3120"/>
      <c r="B149" s="15"/>
      <c r="C149" s="942">
        <f>IFERROR(SUMPRODUCT(D148:AG148,D149:AG149)/C148,0)</f>
        <v>0</v>
      </c>
      <c r="D149" s="556"/>
      <c r="E149" s="556"/>
      <c r="F149" s="556"/>
      <c r="G149" s="556"/>
      <c r="H149" s="556"/>
      <c r="I149" s="556"/>
      <c r="J149" s="556"/>
      <c r="K149" s="556"/>
      <c r="L149" s="556"/>
      <c r="M149" s="556"/>
      <c r="N149" s="2319"/>
      <c r="O149" s="2319"/>
      <c r="P149" s="556"/>
      <c r="Q149" s="556"/>
      <c r="R149" s="556"/>
      <c r="S149" s="556"/>
      <c r="T149" s="556"/>
      <c r="U149" s="556"/>
      <c r="V149" s="556"/>
      <c r="W149" s="556"/>
      <c r="X149" s="556"/>
      <c r="Y149" s="569"/>
      <c r="Z149" s="569"/>
      <c r="AA149" s="556"/>
      <c r="AB149" s="556"/>
      <c r="AC149" s="1390"/>
      <c r="AD149" s="556"/>
      <c r="AE149" s="556"/>
      <c r="AF149" s="556"/>
      <c r="AG149" s="556"/>
      <c r="AH149" s="557"/>
    </row>
    <row r="150" spans="1:34" collapsed="1">
      <c r="A150" s="3120" t="s">
        <v>1689</v>
      </c>
      <c r="B150" s="15" t="s">
        <v>1687</v>
      </c>
      <c r="C150" s="942">
        <f>SUM(D150:AG150)</f>
        <v>0</v>
      </c>
      <c r="D150" s="39">
        <f>+D110+D112+D114+D116+D118+D120+D122+D124+D126+D128+D130+D132+D134+D136+D138+D140+D142+D144+D146+D148</f>
        <v>0</v>
      </c>
      <c r="E150" s="39">
        <f>+E110+E112+E114+E116+E118+E120+E122+E124+E126+E128+E130+E132+E134+E136+E138+E140+E142+E144+E146+E148</f>
        <v>0</v>
      </c>
      <c r="F150" s="39">
        <f t="shared" ref="F150:AG150" si="21">+F110+F112+F114+F116+F118+F120+F122+F124+F126+F128+F130+F132+F134+F136+F138+F140+F142+F144+F146+F148</f>
        <v>0</v>
      </c>
      <c r="G150" s="39">
        <f t="shared" si="21"/>
        <v>0</v>
      </c>
      <c r="H150" s="39">
        <f t="shared" si="21"/>
        <v>0</v>
      </c>
      <c r="I150" s="39">
        <f t="shared" si="21"/>
        <v>0</v>
      </c>
      <c r="J150" s="39">
        <f t="shared" si="21"/>
        <v>0</v>
      </c>
      <c r="K150" s="39">
        <f t="shared" si="21"/>
        <v>0</v>
      </c>
      <c r="L150" s="39">
        <f t="shared" si="21"/>
        <v>0</v>
      </c>
      <c r="M150" s="39">
        <f t="shared" si="21"/>
        <v>0</v>
      </c>
      <c r="N150" s="2314">
        <f t="shared" si="21"/>
        <v>0</v>
      </c>
      <c r="O150" s="2314">
        <f t="shared" si="21"/>
        <v>0</v>
      </c>
      <c r="P150" s="39">
        <f t="shared" si="21"/>
        <v>0</v>
      </c>
      <c r="Q150" s="39">
        <f t="shared" si="21"/>
        <v>0</v>
      </c>
      <c r="R150" s="39">
        <f t="shared" si="21"/>
        <v>0</v>
      </c>
      <c r="S150" s="39">
        <f t="shared" si="21"/>
        <v>0</v>
      </c>
      <c r="T150" s="39">
        <f t="shared" si="21"/>
        <v>0</v>
      </c>
      <c r="U150" s="39">
        <f t="shared" si="21"/>
        <v>0</v>
      </c>
      <c r="V150" s="39">
        <f t="shared" si="21"/>
        <v>0</v>
      </c>
      <c r="W150" s="39">
        <f t="shared" si="21"/>
        <v>0</v>
      </c>
      <c r="X150" s="39">
        <f t="shared" si="21"/>
        <v>0</v>
      </c>
      <c r="Y150" s="266">
        <f t="shared" si="21"/>
        <v>0</v>
      </c>
      <c r="Z150" s="266">
        <f t="shared" si="21"/>
        <v>0</v>
      </c>
      <c r="AA150" s="39">
        <f t="shared" si="21"/>
        <v>0</v>
      </c>
      <c r="AB150" s="39">
        <f t="shared" si="21"/>
        <v>0</v>
      </c>
      <c r="AC150" s="1387">
        <f t="shared" si="21"/>
        <v>0</v>
      </c>
      <c r="AD150" s="39">
        <f t="shared" si="21"/>
        <v>0</v>
      </c>
      <c r="AE150" s="39">
        <f t="shared" si="21"/>
        <v>0</v>
      </c>
      <c r="AF150" s="39">
        <f t="shared" si="21"/>
        <v>0</v>
      </c>
      <c r="AG150" s="39">
        <f t="shared" si="21"/>
        <v>0</v>
      </c>
      <c r="AH150" s="40"/>
    </row>
    <row r="151" spans="1:34">
      <c r="A151" s="3120" t="s">
        <v>1690</v>
      </c>
      <c r="B151" s="15" t="s">
        <v>1641</v>
      </c>
      <c r="C151" s="942">
        <f>IFERROR(SUMPRODUCT(D150:AH150,D151:AH165)/C150,0)</f>
        <v>0</v>
      </c>
      <c r="D151" s="40">
        <f>+IF(D150,(D110*D111+D112*D113+D114*D115+D116*D117+D118*D119+D120*D121+D122*D123+D124*D125+D126*D127+D128*D129+D130*D131+D132*D133+D134*D135+D136*D137+D138*D139+D140*D141+D142*D143+D144*D145+D146*D147+D148*D149)/D150,0)</f>
        <v>0</v>
      </c>
      <c r="E151" s="40">
        <f>+IF(E150,(E110*E111+E112*E113+E114*E115+E116*E117+E118*E119+E120*E121+E122*E123+E124*E125+E126*E127+E128*E129+E130*E131+E132*E133+E134*E135+E136*E137+E138*E139+E140*E141+E142*E143+E144*E145+E146*E147+E148*E149)/E150,0)</f>
        <v>0</v>
      </c>
      <c r="F151" s="40">
        <f t="shared" ref="F151:AG151" si="22">+IF(F150,(F110*F111+F112*F113+F114*F115+F116*F117+F118*F119+F120*F121+F122*F123+F124*F125+F126*F127+F128*F129+F130*F131+F132*F133+F134*F135+F136*F137+F138*F139+F140*F141+F142*F143+F144*F145+F146*F147+F148*F149)/F150,0)</f>
        <v>0</v>
      </c>
      <c r="G151" s="40">
        <f t="shared" si="22"/>
        <v>0</v>
      </c>
      <c r="H151" s="40">
        <f t="shared" si="22"/>
        <v>0</v>
      </c>
      <c r="I151" s="40">
        <f t="shared" si="22"/>
        <v>0</v>
      </c>
      <c r="J151" s="40">
        <f t="shared" si="22"/>
        <v>0</v>
      </c>
      <c r="K151" s="40">
        <f t="shared" si="22"/>
        <v>0</v>
      </c>
      <c r="L151" s="40">
        <f t="shared" si="22"/>
        <v>0</v>
      </c>
      <c r="M151" s="40">
        <f t="shared" si="22"/>
        <v>0</v>
      </c>
      <c r="N151" s="2315">
        <f t="shared" si="22"/>
        <v>0</v>
      </c>
      <c r="O151" s="2315">
        <f t="shared" si="22"/>
        <v>0</v>
      </c>
      <c r="P151" s="40">
        <f t="shared" si="22"/>
        <v>0</v>
      </c>
      <c r="Q151" s="40">
        <f t="shared" si="22"/>
        <v>0</v>
      </c>
      <c r="R151" s="40">
        <f t="shared" si="22"/>
        <v>0</v>
      </c>
      <c r="S151" s="40">
        <f t="shared" si="22"/>
        <v>0</v>
      </c>
      <c r="T151" s="40">
        <f t="shared" si="22"/>
        <v>0</v>
      </c>
      <c r="U151" s="40">
        <f t="shared" si="22"/>
        <v>0</v>
      </c>
      <c r="V151" s="40">
        <f t="shared" si="22"/>
        <v>0</v>
      </c>
      <c r="W151" s="40">
        <f t="shared" si="22"/>
        <v>0</v>
      </c>
      <c r="X151" s="40">
        <f t="shared" si="22"/>
        <v>0</v>
      </c>
      <c r="Y151" s="267">
        <f t="shared" si="22"/>
        <v>0</v>
      </c>
      <c r="Z151" s="267">
        <f t="shared" si="22"/>
        <v>0</v>
      </c>
      <c r="AA151" s="40">
        <f t="shared" si="22"/>
        <v>0</v>
      </c>
      <c r="AB151" s="40">
        <f t="shared" si="22"/>
        <v>0</v>
      </c>
      <c r="AC151" s="1388">
        <f t="shared" si="22"/>
        <v>0</v>
      </c>
      <c r="AD151" s="40">
        <f t="shared" si="22"/>
        <v>0</v>
      </c>
      <c r="AE151" s="40">
        <f t="shared" si="22"/>
        <v>0</v>
      </c>
      <c r="AF151" s="40">
        <f t="shared" si="22"/>
        <v>0</v>
      </c>
      <c r="AG151" s="40">
        <f t="shared" si="22"/>
        <v>0</v>
      </c>
      <c r="AH151" s="40"/>
    </row>
    <row r="152" spans="1:34" hidden="1" outlineLevel="1">
      <c r="A152" s="3120"/>
      <c r="B152" s="15"/>
      <c r="C152" s="942">
        <f>SUM(D152:AG152)</f>
        <v>0</v>
      </c>
      <c r="D152" s="23"/>
      <c r="E152" s="23"/>
      <c r="F152" s="23"/>
      <c r="G152" s="23"/>
      <c r="H152" s="23"/>
      <c r="I152" s="23"/>
      <c r="J152" s="23"/>
      <c r="K152" s="23"/>
      <c r="L152" s="23"/>
      <c r="M152" s="23"/>
      <c r="N152" s="2313"/>
      <c r="O152" s="2313"/>
      <c r="P152" s="23"/>
      <c r="Q152" s="23"/>
      <c r="R152" s="23"/>
      <c r="S152" s="23"/>
      <c r="T152" s="23"/>
      <c r="U152" s="23"/>
      <c r="V152" s="23"/>
      <c r="W152" s="23"/>
      <c r="X152" s="23"/>
      <c r="Y152" s="265"/>
      <c r="Z152" s="265"/>
      <c r="AA152" s="23"/>
      <c r="AB152" s="23"/>
      <c r="AC152" s="23"/>
      <c r="AD152" s="23"/>
      <c r="AE152" s="23"/>
      <c r="AF152" s="23"/>
      <c r="AG152" s="23"/>
      <c r="AH152" s="565"/>
    </row>
    <row r="153" spans="1:34" hidden="1" outlineLevel="1">
      <c r="A153" s="3120"/>
      <c r="B153" s="15"/>
      <c r="C153" s="942">
        <f>IFERROR(SUMPRODUCT(D152:AG152,D153:AG153)/C152,0)</f>
        <v>0</v>
      </c>
      <c r="D153" s="23"/>
      <c r="E153" s="23"/>
      <c r="F153" s="23"/>
      <c r="G153" s="23"/>
      <c r="H153" s="23"/>
      <c r="I153" s="23"/>
      <c r="J153" s="23"/>
      <c r="K153" s="23"/>
      <c r="L153" s="23"/>
      <c r="M153" s="23"/>
      <c r="N153" s="2313"/>
      <c r="O153" s="2313"/>
      <c r="P153" s="23"/>
      <c r="Q153" s="23"/>
      <c r="R153" s="23"/>
      <c r="S153" s="23"/>
      <c r="T153" s="23"/>
      <c r="U153" s="23"/>
      <c r="V153" s="23"/>
      <c r="W153" s="23"/>
      <c r="X153" s="23"/>
      <c r="Y153" s="265"/>
      <c r="Z153" s="265"/>
      <c r="AA153" s="23"/>
      <c r="AB153" s="23"/>
      <c r="AC153" s="23"/>
      <c r="AD153" s="23"/>
      <c r="AE153" s="23"/>
      <c r="AF153" s="23"/>
      <c r="AG153" s="23"/>
      <c r="AH153" s="565"/>
    </row>
    <row r="154" spans="1:34" hidden="1" outlineLevel="1">
      <c r="A154" s="3120"/>
      <c r="B154" s="15"/>
      <c r="C154" s="942">
        <f>SUM(D154:AG154)</f>
        <v>0</v>
      </c>
      <c r="D154" s="23"/>
      <c r="E154" s="23"/>
      <c r="F154" s="23"/>
      <c r="G154" s="23"/>
      <c r="H154" s="23"/>
      <c r="I154" s="23"/>
      <c r="J154" s="23"/>
      <c r="K154" s="23"/>
      <c r="L154" s="23"/>
      <c r="M154" s="23"/>
      <c r="N154" s="2313"/>
      <c r="O154" s="2313"/>
      <c r="P154" s="23"/>
      <c r="Q154" s="23"/>
      <c r="R154" s="23"/>
      <c r="S154" s="23"/>
      <c r="T154" s="23"/>
      <c r="U154" s="23"/>
      <c r="V154" s="23"/>
      <c r="W154" s="23"/>
      <c r="X154" s="23"/>
      <c r="Y154" s="265"/>
      <c r="Z154" s="265"/>
      <c r="AA154" s="23"/>
      <c r="AB154" s="23"/>
      <c r="AC154" s="23"/>
      <c r="AD154" s="23"/>
      <c r="AE154" s="23"/>
      <c r="AF154" s="23"/>
      <c r="AG154" s="23"/>
      <c r="AH154" s="565"/>
    </row>
    <row r="155" spans="1:34" hidden="1" outlineLevel="1">
      <c r="A155" s="3120"/>
      <c r="B155" s="15"/>
      <c r="C155" s="942">
        <f>IFERROR(SUMPRODUCT(D154:AG154,D155:AG155)/C154,0)</f>
        <v>0</v>
      </c>
      <c r="D155" s="23"/>
      <c r="E155" s="23"/>
      <c r="F155" s="23"/>
      <c r="G155" s="23"/>
      <c r="H155" s="23"/>
      <c r="I155" s="23"/>
      <c r="J155" s="23"/>
      <c r="K155" s="23"/>
      <c r="L155" s="23"/>
      <c r="M155" s="23"/>
      <c r="N155" s="2313"/>
      <c r="O155" s="2313"/>
      <c r="P155" s="23"/>
      <c r="Q155" s="23"/>
      <c r="R155" s="23"/>
      <c r="S155" s="23"/>
      <c r="T155" s="23"/>
      <c r="U155" s="23"/>
      <c r="V155" s="23"/>
      <c r="W155" s="23"/>
      <c r="X155" s="23"/>
      <c r="Y155" s="265"/>
      <c r="Z155" s="265"/>
      <c r="AA155" s="23"/>
      <c r="AB155" s="23"/>
      <c r="AC155" s="23"/>
      <c r="AD155" s="23"/>
      <c r="AE155" s="23"/>
      <c r="AF155" s="23"/>
      <c r="AG155" s="23"/>
      <c r="AH155" s="565"/>
    </row>
    <row r="156" spans="1:34" hidden="1" outlineLevel="1">
      <c r="A156" s="3120"/>
      <c r="B156" s="15"/>
      <c r="C156" s="942">
        <f>SUM(D156:AG156)</f>
        <v>0</v>
      </c>
      <c r="D156" s="23"/>
      <c r="E156" s="23"/>
      <c r="F156" s="23"/>
      <c r="G156" s="23"/>
      <c r="H156" s="23"/>
      <c r="I156" s="23"/>
      <c r="J156" s="23"/>
      <c r="K156" s="23"/>
      <c r="L156" s="23"/>
      <c r="M156" s="23"/>
      <c r="N156" s="2313"/>
      <c r="O156" s="2313"/>
      <c r="P156" s="23"/>
      <c r="Q156" s="23"/>
      <c r="R156" s="23"/>
      <c r="S156" s="23"/>
      <c r="T156" s="23"/>
      <c r="U156" s="23"/>
      <c r="V156" s="23"/>
      <c r="W156" s="23"/>
      <c r="X156" s="23"/>
      <c r="Y156" s="265"/>
      <c r="Z156" s="265"/>
      <c r="AA156" s="23"/>
      <c r="AB156" s="23"/>
      <c r="AC156" s="23"/>
      <c r="AD156" s="23"/>
      <c r="AE156" s="23"/>
      <c r="AF156" s="23"/>
      <c r="AG156" s="23"/>
      <c r="AH156" s="565"/>
    </row>
    <row r="157" spans="1:34" hidden="1" outlineLevel="1">
      <c r="A157" s="3120"/>
      <c r="B157" s="15"/>
      <c r="C157" s="942">
        <f>IFERROR(SUMPRODUCT(D156:AG156,D157:AG157)/C156,0)</f>
        <v>0</v>
      </c>
      <c r="D157" s="23"/>
      <c r="E157" s="23"/>
      <c r="F157" s="23"/>
      <c r="G157" s="23"/>
      <c r="H157" s="23"/>
      <c r="I157" s="23"/>
      <c r="J157" s="23"/>
      <c r="K157" s="23"/>
      <c r="L157" s="23"/>
      <c r="M157" s="23"/>
      <c r="N157" s="2313"/>
      <c r="O157" s="2313"/>
      <c r="P157" s="23"/>
      <c r="Q157" s="23"/>
      <c r="R157" s="23"/>
      <c r="S157" s="23"/>
      <c r="T157" s="23"/>
      <c r="U157" s="23"/>
      <c r="V157" s="23"/>
      <c r="W157" s="23"/>
      <c r="X157" s="23"/>
      <c r="Y157" s="265"/>
      <c r="Z157" s="265"/>
      <c r="AA157" s="23"/>
      <c r="AB157" s="23"/>
      <c r="AC157" s="23"/>
      <c r="AD157" s="23"/>
      <c r="AE157" s="23"/>
      <c r="AF157" s="23"/>
      <c r="AG157" s="23"/>
      <c r="AH157" s="565"/>
    </row>
    <row r="158" spans="1:34" hidden="1" outlineLevel="1">
      <c r="A158" s="3120"/>
      <c r="B158" s="15"/>
      <c r="C158" s="942">
        <f>SUM(D158:AG158)</f>
        <v>0</v>
      </c>
      <c r="D158" s="23"/>
      <c r="E158" s="23"/>
      <c r="F158" s="23"/>
      <c r="G158" s="23"/>
      <c r="H158" s="23"/>
      <c r="I158" s="23"/>
      <c r="J158" s="23"/>
      <c r="K158" s="23"/>
      <c r="L158" s="23"/>
      <c r="M158" s="23"/>
      <c r="N158" s="2313"/>
      <c r="O158" s="2313"/>
      <c r="P158" s="23"/>
      <c r="Q158" s="23"/>
      <c r="R158" s="23"/>
      <c r="S158" s="23"/>
      <c r="T158" s="23"/>
      <c r="U158" s="23"/>
      <c r="V158" s="23"/>
      <c r="W158" s="23"/>
      <c r="X158" s="23"/>
      <c r="Y158" s="265"/>
      <c r="Z158" s="265"/>
      <c r="AA158" s="23"/>
      <c r="AB158" s="23"/>
      <c r="AC158" s="23"/>
      <c r="AD158" s="23"/>
      <c r="AE158" s="23"/>
      <c r="AF158" s="23"/>
      <c r="AG158" s="23"/>
      <c r="AH158" s="565"/>
    </row>
    <row r="159" spans="1:34" hidden="1" outlineLevel="1">
      <c r="A159" s="3120"/>
      <c r="B159" s="15"/>
      <c r="C159" s="942">
        <f>IFERROR(SUMPRODUCT(D158:AG158,D159:AG159)/C158,0)</f>
        <v>0</v>
      </c>
      <c r="D159" s="23"/>
      <c r="E159" s="23"/>
      <c r="F159" s="23"/>
      <c r="G159" s="23"/>
      <c r="H159" s="23"/>
      <c r="I159" s="23"/>
      <c r="J159" s="23"/>
      <c r="K159" s="23"/>
      <c r="L159" s="23"/>
      <c r="M159" s="23"/>
      <c r="N159" s="2313"/>
      <c r="O159" s="2313"/>
      <c r="P159" s="23"/>
      <c r="Q159" s="23"/>
      <c r="R159" s="23"/>
      <c r="S159" s="23"/>
      <c r="T159" s="23"/>
      <c r="U159" s="23"/>
      <c r="V159" s="23"/>
      <c r="W159" s="23"/>
      <c r="X159" s="23"/>
      <c r="Y159" s="265"/>
      <c r="Z159" s="265"/>
      <c r="AA159" s="23"/>
      <c r="AB159" s="23"/>
      <c r="AC159" s="23"/>
      <c r="AD159" s="23"/>
      <c r="AE159" s="23"/>
      <c r="AF159" s="23"/>
      <c r="AG159" s="23"/>
      <c r="AH159" s="565"/>
    </row>
    <row r="160" spans="1:34" hidden="1" outlineLevel="1">
      <c r="A160" s="3120"/>
      <c r="B160" s="15"/>
      <c r="C160" s="942">
        <f>SUM(D160:AG160)</f>
        <v>0</v>
      </c>
      <c r="D160" s="23"/>
      <c r="E160" s="23"/>
      <c r="F160" s="23"/>
      <c r="G160" s="23"/>
      <c r="H160" s="23"/>
      <c r="I160" s="23"/>
      <c r="J160" s="23"/>
      <c r="K160" s="23"/>
      <c r="L160" s="23"/>
      <c r="M160" s="23"/>
      <c r="N160" s="2313"/>
      <c r="O160" s="2313"/>
      <c r="P160" s="23"/>
      <c r="Q160" s="23"/>
      <c r="R160" s="23"/>
      <c r="S160" s="23"/>
      <c r="T160" s="23"/>
      <c r="U160" s="23"/>
      <c r="V160" s="23"/>
      <c r="W160" s="23"/>
      <c r="X160" s="23"/>
      <c r="Y160" s="265"/>
      <c r="Z160" s="265"/>
      <c r="AA160" s="23"/>
      <c r="AB160" s="23"/>
      <c r="AC160" s="23"/>
      <c r="AD160" s="23"/>
      <c r="AE160" s="23"/>
      <c r="AF160" s="23"/>
      <c r="AG160" s="23"/>
      <c r="AH160" s="565"/>
    </row>
    <row r="161" spans="1:34" hidden="1" outlineLevel="1">
      <c r="A161" s="3120"/>
      <c r="B161" s="15"/>
      <c r="C161" s="942">
        <f>IFERROR(SUMPRODUCT(D160:AG160,D161:AG161)/C160,0)</f>
        <v>0</v>
      </c>
      <c r="D161" s="23"/>
      <c r="E161" s="23"/>
      <c r="F161" s="23"/>
      <c r="G161" s="23"/>
      <c r="H161" s="23"/>
      <c r="I161" s="23"/>
      <c r="J161" s="23"/>
      <c r="K161" s="23"/>
      <c r="L161" s="23"/>
      <c r="M161" s="23"/>
      <c r="N161" s="2313"/>
      <c r="O161" s="2313"/>
      <c r="P161" s="23"/>
      <c r="Q161" s="23"/>
      <c r="R161" s="23"/>
      <c r="S161" s="23"/>
      <c r="T161" s="23"/>
      <c r="U161" s="23"/>
      <c r="V161" s="23"/>
      <c r="W161" s="23"/>
      <c r="X161" s="23"/>
      <c r="Y161" s="265"/>
      <c r="Z161" s="265"/>
      <c r="AA161" s="23"/>
      <c r="AB161" s="23"/>
      <c r="AC161" s="23"/>
      <c r="AD161" s="23"/>
      <c r="AE161" s="23"/>
      <c r="AF161" s="23"/>
      <c r="AG161" s="23"/>
      <c r="AH161" s="565"/>
    </row>
    <row r="162" spans="1:34" hidden="1" outlineLevel="1">
      <c r="A162" s="3120"/>
      <c r="B162" s="15"/>
      <c r="C162" s="942">
        <f>SUM(D162:AG162)</f>
        <v>0</v>
      </c>
      <c r="D162" s="23"/>
      <c r="E162" s="23"/>
      <c r="F162" s="23"/>
      <c r="G162" s="23"/>
      <c r="H162" s="23"/>
      <c r="I162" s="23"/>
      <c r="J162" s="23"/>
      <c r="K162" s="23"/>
      <c r="L162" s="23"/>
      <c r="M162" s="23"/>
      <c r="N162" s="2313"/>
      <c r="O162" s="2313"/>
      <c r="P162" s="23"/>
      <c r="Q162" s="23"/>
      <c r="R162" s="23"/>
      <c r="S162" s="23"/>
      <c r="T162" s="23"/>
      <c r="U162" s="23"/>
      <c r="V162" s="23"/>
      <c r="W162" s="23"/>
      <c r="X162" s="23"/>
      <c r="Y162" s="265"/>
      <c r="Z162" s="265"/>
      <c r="AA162" s="23"/>
      <c r="AB162" s="23"/>
      <c r="AC162" s="23"/>
      <c r="AD162" s="23"/>
      <c r="AE162" s="23"/>
      <c r="AF162" s="23"/>
      <c r="AG162" s="23"/>
      <c r="AH162" s="565"/>
    </row>
    <row r="163" spans="1:34" hidden="1" outlineLevel="1">
      <c r="A163" s="3120"/>
      <c r="B163" s="15"/>
      <c r="C163" s="942">
        <f>IFERROR(SUMPRODUCT(D162:AG162,D163:AG163)/C162,0)</f>
        <v>0</v>
      </c>
      <c r="D163" s="23"/>
      <c r="E163" s="23"/>
      <c r="F163" s="23"/>
      <c r="G163" s="23"/>
      <c r="H163" s="23"/>
      <c r="I163" s="23"/>
      <c r="J163" s="23"/>
      <c r="K163" s="23"/>
      <c r="L163" s="23"/>
      <c r="M163" s="23"/>
      <c r="N163" s="2313"/>
      <c r="O163" s="2313"/>
      <c r="P163" s="23"/>
      <c r="Q163" s="23"/>
      <c r="R163" s="23"/>
      <c r="S163" s="23"/>
      <c r="T163" s="23"/>
      <c r="U163" s="23"/>
      <c r="V163" s="23"/>
      <c r="W163" s="23"/>
      <c r="X163" s="23"/>
      <c r="Y163" s="265"/>
      <c r="Z163" s="265"/>
      <c r="AA163" s="23"/>
      <c r="AB163" s="23"/>
      <c r="AC163" s="23"/>
      <c r="AD163" s="23"/>
      <c r="AE163" s="23"/>
      <c r="AF163" s="23"/>
      <c r="AG163" s="23"/>
      <c r="AH163" s="565"/>
    </row>
    <row r="164" spans="1:34" hidden="1" outlineLevel="1">
      <c r="A164" s="3120"/>
      <c r="B164" s="15"/>
      <c r="C164" s="942">
        <f>SUM(D164:AG164)</f>
        <v>0</v>
      </c>
      <c r="D164" s="23"/>
      <c r="E164" s="23"/>
      <c r="F164"/>
      <c r="G164" s="23"/>
      <c r="H164" s="23"/>
      <c r="I164" s="23"/>
      <c r="J164" s="23"/>
      <c r="K164" s="23"/>
      <c r="L164" s="23"/>
      <c r="M164" s="23"/>
      <c r="N164" s="2313"/>
      <c r="O164" s="2313"/>
      <c r="P164" s="23"/>
      <c r="Q164" s="23"/>
      <c r="R164" s="23"/>
      <c r="S164" s="23"/>
      <c r="T164" s="23"/>
      <c r="U164" s="23"/>
      <c r="V164" s="23"/>
      <c r="W164" s="23"/>
      <c r="X164" s="23"/>
      <c r="Y164" s="265"/>
      <c r="Z164" s="265"/>
      <c r="AA164" s="23"/>
      <c r="AB164" s="23"/>
      <c r="AC164" s="23"/>
      <c r="AD164" s="23"/>
      <c r="AE164" s="23"/>
      <c r="AF164" s="23"/>
      <c r="AG164" s="23"/>
      <c r="AH164" s="565"/>
    </row>
    <row r="165" spans="1:34" hidden="1" outlineLevel="1">
      <c r="A165" s="3120"/>
      <c r="B165" s="15"/>
      <c r="C165" s="942">
        <f>IFERROR(SUMPRODUCT(D164:AG164,D165:AG165)/C164,0)</f>
        <v>0</v>
      </c>
      <c r="D165" s="23"/>
      <c r="E165" s="23"/>
      <c r="F165" s="23"/>
      <c r="G165" s="23"/>
      <c r="H165" s="23"/>
      <c r="I165" s="23"/>
      <c r="J165" s="23"/>
      <c r="K165" s="23"/>
      <c r="L165" s="23"/>
      <c r="M165" s="23"/>
      <c r="N165" s="2313"/>
      <c r="O165" s="2313"/>
      <c r="P165" s="23"/>
      <c r="Q165" s="23"/>
      <c r="R165" s="23"/>
      <c r="S165" s="23"/>
      <c r="T165" s="23"/>
      <c r="U165" s="23"/>
      <c r="V165" s="23"/>
      <c r="W165" s="23"/>
      <c r="X165" s="23"/>
      <c r="Y165" s="265"/>
      <c r="Z165" s="265"/>
      <c r="AA165" s="23"/>
      <c r="AB165" s="23"/>
      <c r="AC165" s="23"/>
      <c r="AD165" s="23"/>
      <c r="AE165" s="23"/>
      <c r="AF165" s="23"/>
      <c r="AG165" s="23"/>
      <c r="AH165" s="565"/>
    </row>
    <row r="166" spans="1:34" collapsed="1">
      <c r="A166" s="3120" t="s">
        <v>1691</v>
      </c>
      <c r="B166" s="15" t="s">
        <v>1687</v>
      </c>
      <c r="C166" s="942">
        <f>SUM(D166:AH166)</f>
        <v>0</v>
      </c>
      <c r="D166" s="39">
        <f>+D152+D154+D156+D158+D160+D162+D164</f>
        <v>0</v>
      </c>
      <c r="E166" s="39">
        <f t="shared" ref="E166:AG166" si="23">+E152+E154+E156+E158+E160+E162+E164</f>
        <v>0</v>
      </c>
      <c r="F166" s="39">
        <f t="shared" si="23"/>
        <v>0</v>
      </c>
      <c r="G166" s="39">
        <f t="shared" si="23"/>
        <v>0</v>
      </c>
      <c r="H166" s="39">
        <f t="shared" si="23"/>
        <v>0</v>
      </c>
      <c r="I166" s="39">
        <f t="shared" si="23"/>
        <v>0</v>
      </c>
      <c r="J166" s="39">
        <f t="shared" si="23"/>
        <v>0</v>
      </c>
      <c r="K166" s="39">
        <f t="shared" si="23"/>
        <v>0</v>
      </c>
      <c r="L166" s="39">
        <f t="shared" si="23"/>
        <v>0</v>
      </c>
      <c r="M166" s="39">
        <f t="shared" si="23"/>
        <v>0</v>
      </c>
      <c r="N166" s="2314">
        <f t="shared" si="23"/>
        <v>0</v>
      </c>
      <c r="O166" s="2314">
        <f t="shared" si="23"/>
        <v>0</v>
      </c>
      <c r="P166" s="39">
        <f t="shared" si="23"/>
        <v>0</v>
      </c>
      <c r="Q166" s="39">
        <f t="shared" si="23"/>
        <v>0</v>
      </c>
      <c r="R166" s="39">
        <f t="shared" si="23"/>
        <v>0</v>
      </c>
      <c r="S166" s="39">
        <f t="shared" si="23"/>
        <v>0</v>
      </c>
      <c r="T166" s="39">
        <f t="shared" si="23"/>
        <v>0</v>
      </c>
      <c r="U166" s="39">
        <f t="shared" si="23"/>
        <v>0</v>
      </c>
      <c r="V166" s="39">
        <f t="shared" si="23"/>
        <v>0</v>
      </c>
      <c r="W166" s="39">
        <f t="shared" si="23"/>
        <v>0</v>
      </c>
      <c r="X166" s="39">
        <f t="shared" si="23"/>
        <v>0</v>
      </c>
      <c r="Y166" s="266">
        <f t="shared" si="23"/>
        <v>0</v>
      </c>
      <c r="Z166" s="266">
        <f t="shared" si="23"/>
        <v>0</v>
      </c>
      <c r="AA166" s="39">
        <f t="shared" si="23"/>
        <v>0</v>
      </c>
      <c r="AB166" s="39">
        <f t="shared" si="23"/>
        <v>0</v>
      </c>
      <c r="AC166" s="1387">
        <f t="shared" si="23"/>
        <v>0</v>
      </c>
      <c r="AD166" s="39">
        <f t="shared" si="23"/>
        <v>0</v>
      </c>
      <c r="AE166" s="39">
        <f t="shared" si="23"/>
        <v>0</v>
      </c>
      <c r="AF166" s="39">
        <f t="shared" si="23"/>
        <v>0</v>
      </c>
      <c r="AG166" s="39">
        <f t="shared" si="23"/>
        <v>0</v>
      </c>
      <c r="AH166" s="40"/>
    </row>
    <row r="167" spans="1:34">
      <c r="A167" s="3121" t="s">
        <v>1691</v>
      </c>
      <c r="B167" s="37" t="s">
        <v>1641</v>
      </c>
      <c r="C167" s="942">
        <f>IFERROR(SUMPRODUCT(D166:AH166,D167:AH167)/C166,0)</f>
        <v>0</v>
      </c>
      <c r="D167" s="56">
        <f>+IF(D166,(D152*D153+D154*D155+D156*D157+D158*D159+D160*D161+D162*D163+D164*D165)/D166,0)</f>
        <v>0</v>
      </c>
      <c r="E167" s="56">
        <f t="shared" ref="E167:AG167" si="24">+IF(E166,(E152*E153+E154*E155+E156*E157+E158*E159+E160*E161+E162*E163+E164*E165)/E166,0)</f>
        <v>0</v>
      </c>
      <c r="F167" s="56">
        <f t="shared" si="24"/>
        <v>0</v>
      </c>
      <c r="G167" s="56">
        <f t="shared" si="24"/>
        <v>0</v>
      </c>
      <c r="H167" s="56">
        <f t="shared" si="24"/>
        <v>0</v>
      </c>
      <c r="I167" s="56">
        <f t="shared" si="24"/>
        <v>0</v>
      </c>
      <c r="J167" s="56">
        <f t="shared" si="24"/>
        <v>0</v>
      </c>
      <c r="K167" s="56">
        <f t="shared" si="24"/>
        <v>0</v>
      </c>
      <c r="L167" s="56">
        <f t="shared" si="24"/>
        <v>0</v>
      </c>
      <c r="M167" s="56">
        <f t="shared" si="24"/>
        <v>0</v>
      </c>
      <c r="N167" s="2324">
        <f t="shared" si="24"/>
        <v>0</v>
      </c>
      <c r="O167" s="2324">
        <f t="shared" si="24"/>
        <v>0</v>
      </c>
      <c r="P167" s="56">
        <f t="shared" si="24"/>
        <v>0</v>
      </c>
      <c r="Q167" s="56">
        <f t="shared" si="24"/>
        <v>0</v>
      </c>
      <c r="R167" s="56">
        <f t="shared" si="24"/>
        <v>0</v>
      </c>
      <c r="S167" s="56">
        <f t="shared" si="24"/>
        <v>0</v>
      </c>
      <c r="T167" s="56">
        <f t="shared" si="24"/>
        <v>0</v>
      </c>
      <c r="U167" s="56">
        <f t="shared" si="24"/>
        <v>0</v>
      </c>
      <c r="V167" s="56">
        <f t="shared" si="24"/>
        <v>0</v>
      </c>
      <c r="W167" s="56">
        <f t="shared" si="24"/>
        <v>0</v>
      </c>
      <c r="X167" s="56">
        <f t="shared" si="24"/>
        <v>0</v>
      </c>
      <c r="Y167" s="272">
        <f t="shared" si="24"/>
        <v>0</v>
      </c>
      <c r="Z167" s="272">
        <f t="shared" si="24"/>
        <v>0</v>
      </c>
      <c r="AA167" s="56">
        <f t="shared" si="24"/>
        <v>0</v>
      </c>
      <c r="AB167" s="56">
        <f t="shared" si="24"/>
        <v>0</v>
      </c>
      <c r="AC167" s="1394">
        <f t="shared" si="24"/>
        <v>0</v>
      </c>
      <c r="AD167" s="56">
        <f t="shared" si="24"/>
        <v>0</v>
      </c>
      <c r="AE167" s="56">
        <f t="shared" si="24"/>
        <v>0</v>
      </c>
      <c r="AF167" s="56">
        <f t="shared" si="24"/>
        <v>0</v>
      </c>
      <c r="AG167" s="56">
        <f t="shared" si="24"/>
        <v>0</v>
      </c>
      <c r="AH167" s="56"/>
    </row>
    <row r="168" spans="1:34">
      <c r="A168" s="8"/>
      <c r="B168" s="8"/>
      <c r="C168" s="549"/>
      <c r="D168" s="57"/>
      <c r="E168" s="57"/>
      <c r="F168" s="57"/>
      <c r="G168" s="57"/>
      <c r="H168" s="57"/>
      <c r="I168" s="57"/>
      <c r="J168" s="57"/>
      <c r="K168" s="1395"/>
      <c r="L168" s="57"/>
      <c r="M168" s="57"/>
      <c r="N168" s="2325"/>
      <c r="O168" s="2325"/>
      <c r="P168" s="57"/>
      <c r="Q168" s="57"/>
      <c r="R168" s="57"/>
      <c r="S168" s="57"/>
      <c r="T168" s="57"/>
      <c r="U168" s="57"/>
      <c r="V168" s="57"/>
      <c r="W168" s="57"/>
      <c r="X168" s="57"/>
      <c r="Y168" s="57"/>
      <c r="Z168" s="57"/>
      <c r="AA168" s="57"/>
      <c r="AB168" s="57"/>
      <c r="AC168" s="1395"/>
      <c r="AD168" s="57"/>
      <c r="AE168" s="57"/>
      <c r="AF168" s="57"/>
      <c r="AG168" s="57"/>
      <c r="AH168" s="11"/>
    </row>
    <row r="169" spans="1:34">
      <c r="A169" s="3159" t="s">
        <v>279</v>
      </c>
      <c r="B169" s="4" t="s">
        <v>1692</v>
      </c>
      <c r="C169" s="965">
        <f>SUM(D169:AG169)</f>
        <v>0</v>
      </c>
      <c r="D169" s="580">
        <f>+D150+D108+D94+D166</f>
        <v>0</v>
      </c>
      <c r="E169" s="580">
        <f t="shared" ref="E169:AG169" si="25">+E150+E108+E94+E166</f>
        <v>0</v>
      </c>
      <c r="F169" s="562">
        <f t="shared" si="25"/>
        <v>0</v>
      </c>
      <c r="G169" s="562">
        <f t="shared" si="25"/>
        <v>0</v>
      </c>
      <c r="H169" s="562">
        <f t="shared" si="25"/>
        <v>0</v>
      </c>
      <c r="I169" s="562">
        <f t="shared" si="25"/>
        <v>0</v>
      </c>
      <c r="J169" s="562">
        <f t="shared" si="25"/>
        <v>0</v>
      </c>
      <c r="K169" s="562">
        <f t="shared" si="25"/>
        <v>0</v>
      </c>
      <c r="L169" s="562">
        <f t="shared" si="25"/>
        <v>0</v>
      </c>
      <c r="M169" s="562">
        <f t="shared" si="25"/>
        <v>0</v>
      </c>
      <c r="N169" s="2326">
        <f t="shared" si="25"/>
        <v>0</v>
      </c>
      <c r="O169" s="2326">
        <f t="shared" si="25"/>
        <v>0</v>
      </c>
      <c r="P169" s="562">
        <f t="shared" si="25"/>
        <v>0</v>
      </c>
      <c r="Q169" s="562">
        <f t="shared" si="25"/>
        <v>0</v>
      </c>
      <c r="R169" s="562">
        <f t="shared" si="25"/>
        <v>0</v>
      </c>
      <c r="S169" s="562">
        <f t="shared" si="25"/>
        <v>0</v>
      </c>
      <c r="T169" s="562">
        <f t="shared" si="25"/>
        <v>0</v>
      </c>
      <c r="U169" s="562">
        <f t="shared" si="25"/>
        <v>0</v>
      </c>
      <c r="V169" s="562">
        <f t="shared" si="25"/>
        <v>0</v>
      </c>
      <c r="W169" s="562">
        <f t="shared" si="25"/>
        <v>0</v>
      </c>
      <c r="X169" s="562">
        <f t="shared" si="25"/>
        <v>0</v>
      </c>
      <c r="Y169" s="581">
        <f t="shared" si="25"/>
        <v>0</v>
      </c>
      <c r="Z169" s="581">
        <f t="shared" si="25"/>
        <v>0</v>
      </c>
      <c r="AA169" s="562">
        <f t="shared" si="25"/>
        <v>0</v>
      </c>
      <c r="AB169" s="562">
        <f t="shared" si="25"/>
        <v>0</v>
      </c>
      <c r="AC169" s="1396">
        <f t="shared" si="25"/>
        <v>0</v>
      </c>
      <c r="AD169" s="562">
        <f t="shared" si="25"/>
        <v>0</v>
      </c>
      <c r="AE169" s="562">
        <f t="shared" si="25"/>
        <v>0</v>
      </c>
      <c r="AF169" s="562">
        <f t="shared" si="25"/>
        <v>0</v>
      </c>
      <c r="AG169" s="562">
        <f t="shared" si="25"/>
        <v>0</v>
      </c>
      <c r="AH169" s="582"/>
    </row>
    <row r="170" spans="1:34" ht="15" thickBot="1">
      <c r="A170" s="3160" t="s">
        <v>279</v>
      </c>
      <c r="B170" s="6" t="s">
        <v>1641</v>
      </c>
      <c r="C170" s="563">
        <f>IFERROR(SUMPRODUCT(D169:AG169,D170:AG170)/C169,0)</f>
        <v>0</v>
      </c>
      <c r="D170" s="7">
        <f>+IF(D169,(D94*D95+D108*D109+D150*D151+D166*D167)/D169,0)*85%/1.07</f>
        <v>0</v>
      </c>
      <c r="E170" s="7">
        <f t="shared" ref="E170:AH170" si="26">+IF(E169,(E94*E95+E108*E109+E150*E151+E166*E167)/E169,0)*85%/1.07</f>
        <v>0</v>
      </c>
      <c r="F170" s="7">
        <f t="shared" si="26"/>
        <v>0</v>
      </c>
      <c r="G170" s="7">
        <f>+IF(G169,(G94*G95+G108*G109+G150*G151+G166*G167)/G169,0)*85%/1.07</f>
        <v>0</v>
      </c>
      <c r="H170" s="7">
        <f t="shared" si="26"/>
        <v>0</v>
      </c>
      <c r="I170" s="7">
        <f t="shared" si="26"/>
        <v>0</v>
      </c>
      <c r="J170" s="7">
        <f t="shared" si="26"/>
        <v>0</v>
      </c>
      <c r="K170" s="7">
        <f t="shared" si="26"/>
        <v>0</v>
      </c>
      <c r="L170" s="7">
        <f t="shared" si="26"/>
        <v>0</v>
      </c>
      <c r="M170" s="7">
        <f t="shared" si="26"/>
        <v>0</v>
      </c>
      <c r="N170" s="2291">
        <f t="shared" si="26"/>
        <v>0</v>
      </c>
      <c r="O170" s="2291">
        <f t="shared" si="26"/>
        <v>0</v>
      </c>
      <c r="P170" s="7">
        <f t="shared" si="26"/>
        <v>0</v>
      </c>
      <c r="Q170" s="7">
        <f t="shared" si="26"/>
        <v>0</v>
      </c>
      <c r="R170" s="7">
        <f t="shared" si="26"/>
        <v>0</v>
      </c>
      <c r="S170" s="7">
        <f t="shared" si="26"/>
        <v>0</v>
      </c>
      <c r="T170" s="7">
        <f t="shared" si="26"/>
        <v>0</v>
      </c>
      <c r="U170" s="7">
        <f t="shared" si="26"/>
        <v>0</v>
      </c>
      <c r="V170" s="7">
        <f t="shared" si="26"/>
        <v>0</v>
      </c>
      <c r="W170" s="7">
        <f t="shared" si="26"/>
        <v>0</v>
      </c>
      <c r="X170" s="7">
        <f t="shared" si="26"/>
        <v>0</v>
      </c>
      <c r="Y170" s="7">
        <f t="shared" si="26"/>
        <v>0</v>
      </c>
      <c r="Z170" s="7">
        <f t="shared" si="26"/>
        <v>0</v>
      </c>
      <c r="AA170" s="7">
        <f t="shared" si="26"/>
        <v>0</v>
      </c>
      <c r="AB170" s="7">
        <f t="shared" si="26"/>
        <v>0</v>
      </c>
      <c r="AC170" s="1397">
        <f t="shared" si="26"/>
        <v>0</v>
      </c>
      <c r="AD170" s="7">
        <f t="shared" si="26"/>
        <v>0</v>
      </c>
      <c r="AE170" s="7">
        <f>+IF(AE169,(AE94*AE95+AE108*AE109+AE150*AE151+AE166*AE167)/AE169,0)*85%/1.07</f>
        <v>0</v>
      </c>
      <c r="AF170" s="7">
        <f t="shared" si="26"/>
        <v>0</v>
      </c>
      <c r="AG170" s="7">
        <f t="shared" si="26"/>
        <v>0</v>
      </c>
      <c r="AH170" s="7">
        <f t="shared" si="26"/>
        <v>0</v>
      </c>
    </row>
    <row r="171" spans="1:34" ht="15" thickTop="1">
      <c r="K171" s="562"/>
    </row>
    <row r="187" spans="7:7">
      <c r="G187" s="19">
        <v>11</v>
      </c>
    </row>
  </sheetData>
  <sheetProtection algorithmName="SHA-512" hashValue="erEDq2YB9DMkmbla7dkXPMJ4tN+hBOD7smUvLrpmMefHkPJ+nG/epX1SSgiewiqn3F3S+P30IeXOTUToscRT8A==" saltValue="RNZWaO6I/0io61ebCb3uMw==" spinCount="100000" sheet="1" objects="1" scenarios="1"/>
  <mergeCells count="81">
    <mergeCell ref="A169:A170"/>
    <mergeCell ref="A160:A161"/>
    <mergeCell ref="A138:A139"/>
    <mergeCell ref="A140:A141"/>
    <mergeCell ref="A142:A143"/>
    <mergeCell ref="A144:A145"/>
    <mergeCell ref="A146:A147"/>
    <mergeCell ref="A158:A159"/>
    <mergeCell ref="A150:A151"/>
    <mergeCell ref="A152:A153"/>
    <mergeCell ref="A154:A155"/>
    <mergeCell ref="A156:A157"/>
    <mergeCell ref="A162:A163"/>
    <mergeCell ref="A164:A165"/>
    <mergeCell ref="A166:A167"/>
    <mergeCell ref="A88:A89"/>
    <mergeCell ref="A77:A78"/>
    <mergeCell ref="A81:A82"/>
    <mergeCell ref="A83:A84"/>
    <mergeCell ref="A85:A86"/>
    <mergeCell ref="A67:A68"/>
    <mergeCell ref="A69:A70"/>
    <mergeCell ref="A71:A72"/>
    <mergeCell ref="A73:A74"/>
    <mergeCell ref="A75:A76"/>
    <mergeCell ref="A2:A3"/>
    <mergeCell ref="A6:A7"/>
    <mergeCell ref="A9:A10"/>
    <mergeCell ref="A11:A12"/>
    <mergeCell ref="A13:A14"/>
    <mergeCell ref="A15:A16"/>
    <mergeCell ref="A27:A28"/>
    <mergeCell ref="A29:A30"/>
    <mergeCell ref="A31:A32"/>
    <mergeCell ref="A33:A34"/>
    <mergeCell ref="A17:A18"/>
    <mergeCell ref="A19:A20"/>
    <mergeCell ref="A21:A22"/>
    <mergeCell ref="A23:A24"/>
    <mergeCell ref="A25:A26"/>
    <mergeCell ref="A35:A36"/>
    <mergeCell ref="A37:A38"/>
    <mergeCell ref="A39:A40"/>
    <mergeCell ref="A41:A42"/>
    <mergeCell ref="A79:A80"/>
    <mergeCell ref="A43:A44"/>
    <mergeCell ref="A45:A46"/>
    <mergeCell ref="A47:A48"/>
    <mergeCell ref="A49:A50"/>
    <mergeCell ref="A51:A52"/>
    <mergeCell ref="A53:A54"/>
    <mergeCell ref="A55:A56"/>
    <mergeCell ref="A59:A60"/>
    <mergeCell ref="A61:A62"/>
    <mergeCell ref="A63:A64"/>
    <mergeCell ref="A65:A66"/>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48:A149"/>
    <mergeCell ref="A128:A129"/>
    <mergeCell ref="A130:A131"/>
    <mergeCell ref="A132:A133"/>
    <mergeCell ref="A134:A135"/>
    <mergeCell ref="A136:A13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FE2A5-0531-477A-93F7-2EF9FC9A1667}">
  <sheetPr>
    <tabColor theme="2" tint="-9.9978637043366805E-2"/>
  </sheetPr>
  <dimension ref="A1:AG133"/>
  <sheetViews>
    <sheetView showGridLines="0" zoomScaleNormal="100" workbookViewId="0">
      <pane xSplit="2" ySplit="4" topLeftCell="C126" activePane="bottomRight" state="frozen"/>
      <selection pane="topRight" activeCell="C1" sqref="C1"/>
      <selection pane="bottomLeft" activeCell="A5" sqref="A5"/>
      <selection pane="bottomRight" activeCell="D141" sqref="D141"/>
    </sheetView>
  </sheetViews>
  <sheetFormatPr defaultColWidth="9.6640625" defaultRowHeight="14.4"/>
  <cols>
    <col min="1" max="1" width="68" style="242" bestFit="1" customWidth="1"/>
    <col min="2" max="2" width="12.77734375" style="244" customWidth="1"/>
    <col min="3" max="3" width="12.77734375" style="204" bestFit="1" customWidth="1"/>
    <col min="4" max="11" width="13.21875" style="204" bestFit="1" customWidth="1"/>
    <col min="12" max="12" width="12.77734375" style="204" bestFit="1" customWidth="1"/>
    <col min="13" max="13" width="12.21875" style="204" bestFit="1" customWidth="1"/>
    <col min="14" max="14" width="12.77734375" style="204" bestFit="1" customWidth="1"/>
    <col min="15" max="15" width="9.6640625" style="204" bestFit="1" customWidth="1"/>
    <col min="16" max="21" width="12.77734375" style="204" bestFit="1" customWidth="1"/>
    <col min="22" max="22" width="13.21875" style="204" bestFit="1" customWidth="1"/>
    <col min="23" max="23" width="12.77734375" style="204" bestFit="1" customWidth="1"/>
    <col min="24" max="32" width="13.21875" style="204" bestFit="1" customWidth="1"/>
    <col min="33" max="33" width="9.6640625" style="204" customWidth="1"/>
    <col min="34" max="16384" width="9.6640625" style="204"/>
  </cols>
  <sheetData>
    <row r="1" spans="1:33">
      <c r="A1" s="208" t="s">
        <v>1693</v>
      </c>
      <c r="B1" s="209">
        <f>B128</f>
        <v>67.8</v>
      </c>
      <c r="K1" s="210"/>
      <c r="U1" s="211"/>
      <c r="V1" s="211"/>
      <c r="W1" s="211"/>
      <c r="X1" s="211"/>
      <c r="Y1" s="211"/>
      <c r="Z1" s="211"/>
      <c r="AA1" s="211"/>
      <c r="AB1" s="211"/>
      <c r="AC1" s="211"/>
      <c r="AD1" s="211"/>
      <c r="AE1" s="211"/>
      <c r="AF1" s="211"/>
    </row>
    <row r="2" spans="1:33">
      <c r="A2" s="212">
        <v>45870</v>
      </c>
      <c r="B2" s="209"/>
    </row>
    <row r="3" spans="1:33" s="215" customFormat="1">
      <c r="A3" s="499"/>
      <c r="B3" s="213"/>
      <c r="C3" s="214" t="s">
        <v>1694</v>
      </c>
      <c r="D3" s="214" t="s">
        <v>1695</v>
      </c>
      <c r="E3" s="214" t="s">
        <v>1696</v>
      </c>
      <c r="F3" s="214" t="s">
        <v>1697</v>
      </c>
      <c r="G3" s="214" t="s">
        <v>1698</v>
      </c>
      <c r="H3" s="214" t="s">
        <v>1699</v>
      </c>
      <c r="I3" s="214" t="s">
        <v>1700</v>
      </c>
      <c r="J3" s="214" t="s">
        <v>1694</v>
      </c>
      <c r="K3" s="214" t="s">
        <v>1695</v>
      </c>
      <c r="L3" s="214" t="s">
        <v>1696</v>
      </c>
      <c r="M3" s="214" t="s">
        <v>1697</v>
      </c>
      <c r="N3" s="214" t="s">
        <v>1698</v>
      </c>
      <c r="O3" s="214" t="s">
        <v>1699</v>
      </c>
      <c r="P3" s="214" t="s">
        <v>1700</v>
      </c>
      <c r="Q3" s="214" t="s">
        <v>1694</v>
      </c>
      <c r="R3" s="214" t="s">
        <v>1695</v>
      </c>
      <c r="S3" s="214" t="s">
        <v>1696</v>
      </c>
      <c r="T3" s="214" t="s">
        <v>1697</v>
      </c>
      <c r="U3" s="214" t="s">
        <v>1698</v>
      </c>
      <c r="V3" s="214" t="s">
        <v>1699</v>
      </c>
      <c r="W3" s="214" t="s">
        <v>1700</v>
      </c>
      <c r="X3" s="214" t="s">
        <v>1694</v>
      </c>
      <c r="Y3" s="214" t="s">
        <v>1695</v>
      </c>
      <c r="Z3" s="214" t="s">
        <v>1696</v>
      </c>
      <c r="AA3" s="214" t="s">
        <v>1697</v>
      </c>
      <c r="AB3" s="214" t="s">
        <v>1698</v>
      </c>
      <c r="AC3" s="214" t="s">
        <v>1699</v>
      </c>
      <c r="AD3" s="214" t="s">
        <v>1700</v>
      </c>
      <c r="AE3" s="214" t="s">
        <v>1694</v>
      </c>
      <c r="AF3" s="214" t="s">
        <v>1695</v>
      </c>
      <c r="AG3" s="214" t="s">
        <v>1696</v>
      </c>
    </row>
    <row r="4" spans="1:33" s="215" customFormat="1">
      <c r="A4" s="2662"/>
      <c r="B4" s="216">
        <f>A2</f>
        <v>45870</v>
      </c>
      <c r="C4" s="217">
        <v>45870</v>
      </c>
      <c r="D4" s="217">
        <v>45871</v>
      </c>
      <c r="E4" s="217">
        <v>45872</v>
      </c>
      <c r="F4" s="217">
        <v>45873</v>
      </c>
      <c r="G4" s="217">
        <v>45874</v>
      </c>
      <c r="H4" s="217">
        <v>45875</v>
      </c>
      <c r="I4" s="217">
        <v>45876</v>
      </c>
      <c r="J4" s="217">
        <v>45877</v>
      </c>
      <c r="K4" s="217">
        <v>45878</v>
      </c>
      <c r="L4" s="217">
        <v>45879</v>
      </c>
      <c r="M4" s="217">
        <v>45880</v>
      </c>
      <c r="N4" s="217">
        <v>45881</v>
      </c>
      <c r="O4" s="217">
        <v>45882</v>
      </c>
      <c r="P4" s="217">
        <v>45883</v>
      </c>
      <c r="Q4" s="217">
        <v>45884</v>
      </c>
      <c r="R4" s="217">
        <v>45885</v>
      </c>
      <c r="S4" s="217">
        <v>45886</v>
      </c>
      <c r="T4" s="217">
        <v>45887</v>
      </c>
      <c r="U4" s="217">
        <v>45888</v>
      </c>
      <c r="V4" s="217">
        <v>45889</v>
      </c>
      <c r="W4" s="217">
        <v>45890</v>
      </c>
      <c r="X4" s="217">
        <v>45891</v>
      </c>
      <c r="Y4" s="217">
        <v>45892</v>
      </c>
      <c r="Z4" s="217">
        <v>45893</v>
      </c>
      <c r="AA4" s="217">
        <v>45894</v>
      </c>
      <c r="AB4" s="217">
        <v>45895</v>
      </c>
      <c r="AC4" s="217">
        <v>45896</v>
      </c>
      <c r="AD4" s="217">
        <v>45897</v>
      </c>
      <c r="AE4" s="217">
        <v>45898</v>
      </c>
      <c r="AF4" s="217">
        <v>45899</v>
      </c>
      <c r="AG4" s="217">
        <v>45900</v>
      </c>
    </row>
    <row r="5" spans="1:33">
      <c r="A5" s="218" t="s">
        <v>1701</v>
      </c>
      <c r="B5" s="500"/>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row>
    <row r="6" spans="1:33" s="504" customFormat="1">
      <c r="A6" s="501" t="s">
        <v>62</v>
      </c>
      <c r="B6" s="502"/>
      <c r="C6" s="503"/>
      <c r="D6" s="503"/>
      <c r="E6" s="503"/>
      <c r="F6" s="503"/>
      <c r="G6" s="503"/>
      <c r="H6" s="503"/>
      <c r="I6" s="503"/>
      <c r="J6" s="503"/>
      <c r="K6" s="503"/>
      <c r="L6" s="503"/>
      <c r="M6" s="503"/>
      <c r="N6" s="503"/>
      <c r="O6" s="503"/>
      <c r="P6" s="503"/>
      <c r="Q6" s="503"/>
      <c r="R6" s="503"/>
      <c r="S6" s="503"/>
      <c r="T6" s="503"/>
      <c r="U6" s="503"/>
      <c r="V6" s="503"/>
      <c r="W6" s="503"/>
      <c r="X6" s="503"/>
      <c r="Y6" s="503"/>
      <c r="Z6" s="503"/>
      <c r="AA6" s="503"/>
      <c r="AB6" s="503"/>
      <c r="AC6" s="503"/>
      <c r="AD6" s="503"/>
      <c r="AE6" s="503"/>
      <c r="AF6" s="503"/>
      <c r="AG6" s="503"/>
    </row>
    <row r="7" spans="1:33" s="215" customFormat="1">
      <c r="A7" s="220" t="s">
        <v>1702</v>
      </c>
      <c r="B7" s="505">
        <f>SUM(C7:AG7)</f>
        <v>0</v>
      </c>
      <c r="C7" s="2663">
        <f>+C9/C8</f>
        <v>0</v>
      </c>
      <c r="D7" s="2663">
        <f>+D9/D8</f>
        <v>0</v>
      </c>
      <c r="E7" s="2663">
        <f t="shared" ref="E7:AG7" si="0">+E9/E8</f>
        <v>0</v>
      </c>
      <c r="F7" s="2663">
        <f t="shared" si="0"/>
        <v>0</v>
      </c>
      <c r="G7" s="2663">
        <f t="shared" si="0"/>
        <v>0</v>
      </c>
      <c r="H7" s="2663">
        <f t="shared" si="0"/>
        <v>0</v>
      </c>
      <c r="I7" s="2663">
        <f t="shared" si="0"/>
        <v>0</v>
      </c>
      <c r="J7" s="2663">
        <f t="shared" si="0"/>
        <v>0</v>
      </c>
      <c r="K7" s="2663">
        <f t="shared" si="0"/>
        <v>0</v>
      </c>
      <c r="L7" s="2663">
        <f t="shared" si="0"/>
        <v>0</v>
      </c>
      <c r="M7" s="2663">
        <f t="shared" si="0"/>
        <v>0</v>
      </c>
      <c r="N7" s="2663">
        <f t="shared" si="0"/>
        <v>0</v>
      </c>
      <c r="O7" s="2663">
        <f t="shared" si="0"/>
        <v>0</v>
      </c>
      <c r="P7" s="2663">
        <f t="shared" si="0"/>
        <v>0</v>
      </c>
      <c r="Q7" s="2663">
        <f t="shared" si="0"/>
        <v>0</v>
      </c>
      <c r="R7" s="2663">
        <f t="shared" si="0"/>
        <v>0</v>
      </c>
      <c r="S7" s="2663">
        <f t="shared" si="0"/>
        <v>0</v>
      </c>
      <c r="T7" s="2663">
        <f t="shared" si="0"/>
        <v>0</v>
      </c>
      <c r="U7" s="2663">
        <f t="shared" si="0"/>
        <v>0</v>
      </c>
      <c r="V7" s="2663">
        <f t="shared" si="0"/>
        <v>0</v>
      </c>
      <c r="W7" s="2663">
        <f t="shared" si="0"/>
        <v>0</v>
      </c>
      <c r="X7" s="2663">
        <f t="shared" si="0"/>
        <v>0</v>
      </c>
      <c r="Y7" s="2663">
        <f t="shared" si="0"/>
        <v>0</v>
      </c>
      <c r="Z7" s="2663">
        <f t="shared" si="0"/>
        <v>0</v>
      </c>
      <c r="AA7" s="2663">
        <f t="shared" si="0"/>
        <v>0</v>
      </c>
      <c r="AB7" s="2663">
        <f t="shared" si="0"/>
        <v>0</v>
      </c>
      <c r="AC7" s="2663">
        <f t="shared" si="0"/>
        <v>0</v>
      </c>
      <c r="AD7" s="2663">
        <f t="shared" si="0"/>
        <v>0</v>
      </c>
      <c r="AE7" s="2663">
        <f t="shared" si="0"/>
        <v>0</v>
      </c>
      <c r="AF7" s="2663">
        <f t="shared" si="0"/>
        <v>0</v>
      </c>
      <c r="AG7" s="2663">
        <f t="shared" si="0"/>
        <v>0</v>
      </c>
    </row>
    <row r="8" spans="1:33" s="215" customFormat="1">
      <c r="A8" s="220" t="s">
        <v>1703</v>
      </c>
      <c r="B8" s="506">
        <f>IFERROR(B9/B7,0)</f>
        <v>0</v>
      </c>
      <c r="C8" s="2664">
        <v>2.9</v>
      </c>
      <c r="D8" s="2664">
        <v>2.9</v>
      </c>
      <c r="E8" s="2664">
        <v>2.9</v>
      </c>
      <c r="F8" s="2664">
        <v>2.9</v>
      </c>
      <c r="G8" s="2664">
        <v>2.9</v>
      </c>
      <c r="H8" s="2664">
        <v>2.9</v>
      </c>
      <c r="I8" s="2664">
        <v>2.9</v>
      </c>
      <c r="J8" s="2664">
        <v>2.9</v>
      </c>
      <c r="K8" s="2664">
        <v>2.9</v>
      </c>
      <c r="L8" s="2664">
        <v>2.9</v>
      </c>
      <c r="M8" s="2664">
        <v>2.9</v>
      </c>
      <c r="N8" s="2664">
        <v>2.9</v>
      </c>
      <c r="O8" s="2664">
        <v>2.9</v>
      </c>
      <c r="P8" s="2664">
        <v>2.9</v>
      </c>
      <c r="Q8" s="2664">
        <v>2.9</v>
      </c>
      <c r="R8" s="2664">
        <v>2.9</v>
      </c>
      <c r="S8" s="2664">
        <v>2.9</v>
      </c>
      <c r="T8" s="2664">
        <v>2.9</v>
      </c>
      <c r="U8" s="2664">
        <v>2.9</v>
      </c>
      <c r="V8" s="2664">
        <v>2.9</v>
      </c>
      <c r="W8" s="2664">
        <v>2.9</v>
      </c>
      <c r="X8" s="2664">
        <v>2.9</v>
      </c>
      <c r="Y8" s="2664">
        <v>2.9</v>
      </c>
      <c r="Z8" s="2664">
        <v>2.9</v>
      </c>
      <c r="AA8" s="2664">
        <v>2.9</v>
      </c>
      <c r="AB8" s="2664">
        <v>2.9</v>
      </c>
      <c r="AC8" s="2664">
        <v>2.9</v>
      </c>
      <c r="AD8" s="2664">
        <v>2.9</v>
      </c>
      <c r="AE8" s="2664">
        <v>2.9</v>
      </c>
      <c r="AF8" s="2664">
        <v>2.9</v>
      </c>
      <c r="AG8" s="2664">
        <v>2.9</v>
      </c>
    </row>
    <row r="9" spans="1:33" s="215" customFormat="1">
      <c r="A9" s="220" t="s">
        <v>1704</v>
      </c>
      <c r="B9" s="505">
        <f>SUM(C9:AG9)</f>
        <v>0</v>
      </c>
      <c r="C9" s="2663"/>
      <c r="D9" s="2663"/>
      <c r="E9" s="2663"/>
      <c r="F9" s="2663"/>
      <c r="G9" s="2663"/>
      <c r="H9" s="2663"/>
      <c r="I9" s="2663"/>
      <c r="J9" s="2663"/>
      <c r="K9" s="2663"/>
      <c r="L9" s="2663"/>
      <c r="M9" s="2663"/>
      <c r="N9" s="2663"/>
      <c r="O9" s="2663"/>
      <c r="P9" s="2663"/>
      <c r="Q9" s="2663"/>
      <c r="R9" s="2663"/>
      <c r="S9" s="2663"/>
      <c r="T9" s="2663"/>
      <c r="U9" s="2663"/>
      <c r="V9" s="2663"/>
      <c r="W9" s="2663"/>
      <c r="X9" s="2663"/>
      <c r="Y9" s="2663"/>
      <c r="Z9" s="2663"/>
      <c r="AA9" s="2663"/>
      <c r="AB9" s="2663"/>
      <c r="AC9" s="2663"/>
      <c r="AD9" s="2663"/>
      <c r="AE9" s="2663"/>
      <c r="AF9" s="2663"/>
      <c r="AG9" s="2663"/>
    </row>
    <row r="10" spans="1:33" s="215" customFormat="1">
      <c r="A10" s="221" t="s">
        <v>1705</v>
      </c>
      <c r="B10" s="505">
        <f>SUM(C10:AG10)</f>
        <v>8587.9310344827591</v>
      </c>
      <c r="C10" s="507">
        <f>+C12/C11</f>
        <v>255.17241379310346</v>
      </c>
      <c r="D10" s="507">
        <f t="shared" ref="D10:AG10" si="1">+D12/D11</f>
        <v>293.10344827586209</v>
      </c>
      <c r="E10" s="507">
        <f t="shared" si="1"/>
        <v>293.10344827586209</v>
      </c>
      <c r="F10" s="507">
        <f t="shared" si="1"/>
        <v>293.10344827586209</v>
      </c>
      <c r="G10" s="507">
        <f t="shared" si="1"/>
        <v>293.10344827586209</v>
      </c>
      <c r="H10" s="507">
        <f t="shared" si="1"/>
        <v>293.10344827586209</v>
      </c>
      <c r="I10" s="507">
        <f t="shared" si="1"/>
        <v>293.10344827586209</v>
      </c>
      <c r="J10" s="507">
        <f t="shared" si="1"/>
        <v>255.17241379310346</v>
      </c>
      <c r="K10" s="507">
        <f t="shared" si="1"/>
        <v>293.10344827586209</v>
      </c>
      <c r="L10" s="507">
        <f t="shared" si="1"/>
        <v>293.10344827586209</v>
      </c>
      <c r="M10" s="507">
        <f t="shared" si="1"/>
        <v>0</v>
      </c>
      <c r="N10" s="507">
        <f t="shared" si="1"/>
        <v>0</v>
      </c>
      <c r="O10" s="507">
        <f t="shared" si="1"/>
        <v>293.10344827586209</v>
      </c>
      <c r="P10" s="507">
        <f t="shared" si="1"/>
        <v>293.10344827586209</v>
      </c>
      <c r="Q10" s="507">
        <f t="shared" si="1"/>
        <v>243.10344827586206</v>
      </c>
      <c r="R10" s="507">
        <f t="shared" si="1"/>
        <v>281.0344827586207</v>
      </c>
      <c r="S10" s="507">
        <f t="shared" si="1"/>
        <v>281.0344827586207</v>
      </c>
      <c r="T10" s="507">
        <f t="shared" si="1"/>
        <v>281.0344827586207</v>
      </c>
      <c r="U10" s="507">
        <f>+U12/U11</f>
        <v>243.10344827586206</v>
      </c>
      <c r="V10" s="507">
        <f t="shared" si="1"/>
        <v>281.0344827586207</v>
      </c>
      <c r="W10" s="507">
        <f t="shared" si="1"/>
        <v>281.0344827586207</v>
      </c>
      <c r="X10" s="507">
        <f t="shared" si="1"/>
        <v>329.31034482758622</v>
      </c>
      <c r="Y10" s="507">
        <f t="shared" si="1"/>
        <v>329.31034482758622</v>
      </c>
      <c r="Z10" s="507">
        <f t="shared" si="1"/>
        <v>329.31034482758622</v>
      </c>
      <c r="AA10" s="507">
        <f t="shared" si="1"/>
        <v>329.31034482758622</v>
      </c>
      <c r="AB10" s="507">
        <f t="shared" si="1"/>
        <v>329.31034482758622</v>
      </c>
      <c r="AC10" s="507">
        <f t="shared" si="1"/>
        <v>329.31034482758622</v>
      </c>
      <c r="AD10" s="507">
        <f t="shared" si="1"/>
        <v>329.31034482758622</v>
      </c>
      <c r="AE10" s="507">
        <f t="shared" si="1"/>
        <v>291.37931034482762</v>
      </c>
      <c r="AF10" s="507">
        <f t="shared" si="1"/>
        <v>329.31034482758622</v>
      </c>
      <c r="AG10" s="507">
        <f t="shared" si="1"/>
        <v>329.31034482758622</v>
      </c>
    </row>
    <row r="11" spans="1:33" s="215" customFormat="1">
      <c r="A11" s="221" t="s">
        <v>1706</v>
      </c>
      <c r="B11" s="506">
        <f>IFERROR(B12/B10,0)</f>
        <v>2.9</v>
      </c>
      <c r="C11" s="508">
        <v>2.9</v>
      </c>
      <c r="D11" s="508">
        <v>2.9</v>
      </c>
      <c r="E11" s="508">
        <v>2.9</v>
      </c>
      <c r="F11" s="508">
        <v>2.9</v>
      </c>
      <c r="G11" s="508">
        <v>2.9</v>
      </c>
      <c r="H11" s="508">
        <v>2.9</v>
      </c>
      <c r="I11" s="508">
        <v>2.9</v>
      </c>
      <c r="J11" s="508">
        <v>2.9</v>
      </c>
      <c r="K11" s="508">
        <v>2.9</v>
      </c>
      <c r="L11" s="508">
        <v>2.9</v>
      </c>
      <c r="M11" s="508">
        <v>2.9</v>
      </c>
      <c r="N11" s="508">
        <v>2.9</v>
      </c>
      <c r="O11" s="508">
        <v>2.9</v>
      </c>
      <c r="P11" s="508">
        <v>2.9</v>
      </c>
      <c r="Q11" s="508">
        <v>2.9</v>
      </c>
      <c r="R11" s="508">
        <v>2.9</v>
      </c>
      <c r="S11" s="508">
        <v>2.9</v>
      </c>
      <c r="T11" s="508">
        <v>2.9</v>
      </c>
      <c r="U11" s="508">
        <v>2.9</v>
      </c>
      <c r="V11" s="508">
        <v>2.9</v>
      </c>
      <c r="W11" s="508">
        <v>2.9</v>
      </c>
      <c r="X11" s="508">
        <v>2.9</v>
      </c>
      <c r="Y11" s="508">
        <v>2.9</v>
      </c>
      <c r="Z11" s="508">
        <v>2.9</v>
      </c>
      <c r="AA11" s="508">
        <v>2.9</v>
      </c>
      <c r="AB11" s="508">
        <v>2.9</v>
      </c>
      <c r="AC11" s="508">
        <v>2.9</v>
      </c>
      <c r="AD11" s="508">
        <v>2.9</v>
      </c>
      <c r="AE11" s="508">
        <v>2.9</v>
      </c>
      <c r="AF11" s="508">
        <v>2.9</v>
      </c>
      <c r="AG11" s="508">
        <v>2.9</v>
      </c>
    </row>
    <row r="12" spans="1:33" s="509" customFormat="1">
      <c r="A12" s="221" t="s">
        <v>1707</v>
      </c>
      <c r="B12" s="505">
        <f>SUM(C12:AG12)</f>
        <v>24905</v>
      </c>
      <c r="C12" s="507">
        <f>+'[3]Underground Ore Hoisting Plan'!D5</f>
        <v>740</v>
      </c>
      <c r="D12" s="507">
        <f>+'[3]Underground Ore Hoisting Plan'!E5</f>
        <v>850</v>
      </c>
      <c r="E12" s="507">
        <f>+'[3]Underground Ore Hoisting Plan'!F5</f>
        <v>850</v>
      </c>
      <c r="F12" s="507">
        <f>+'[3]Underground Ore Hoisting Plan'!G5</f>
        <v>850</v>
      </c>
      <c r="G12" s="507">
        <f>+'[3]Underground Ore Hoisting Plan'!H5</f>
        <v>850</v>
      </c>
      <c r="H12" s="507">
        <f>+'[3]Underground Ore Hoisting Plan'!I5</f>
        <v>850</v>
      </c>
      <c r="I12" s="507">
        <f>+'[3]Underground Ore Hoisting Plan'!J5</f>
        <v>850</v>
      </c>
      <c r="J12" s="507">
        <f>+'[3]Underground Ore Hoisting Plan'!K5</f>
        <v>740</v>
      </c>
      <c r="K12" s="507">
        <f>+'[3]Underground Ore Hoisting Plan'!L5</f>
        <v>850</v>
      </c>
      <c r="L12" s="507">
        <f>+'[3]Underground Ore Hoisting Plan'!M5</f>
        <v>850</v>
      </c>
      <c r="M12" s="507">
        <f>+'[3]Underground Ore Hoisting Plan'!N5</f>
        <v>0</v>
      </c>
      <c r="N12" s="507">
        <f>+'[3]Underground Ore Hoisting Plan'!O5</f>
        <v>0</v>
      </c>
      <c r="O12" s="507">
        <f>+'[3]Underground Ore Hoisting Plan'!P5</f>
        <v>850</v>
      </c>
      <c r="P12" s="507">
        <f>+'[3]Underground Ore Hoisting Plan'!Q5</f>
        <v>850</v>
      </c>
      <c r="Q12" s="507">
        <f>+'[3]Underground Ore Hoisting Plan'!R5</f>
        <v>705</v>
      </c>
      <c r="R12" s="507">
        <f>+'[3]Underground Ore Hoisting Plan'!S5</f>
        <v>815</v>
      </c>
      <c r="S12" s="507">
        <f>+'[3]Underground Ore Hoisting Plan'!T5</f>
        <v>815</v>
      </c>
      <c r="T12" s="507">
        <f>+'[3]Underground Ore Hoisting Plan'!U5</f>
        <v>815</v>
      </c>
      <c r="U12" s="507">
        <f>+'[3]Underground Ore Hoisting Plan'!V5</f>
        <v>705</v>
      </c>
      <c r="V12" s="507">
        <f>+'[3]Underground Ore Hoisting Plan'!W5</f>
        <v>815</v>
      </c>
      <c r="W12" s="507">
        <f>+'[3]Underground Ore Hoisting Plan'!X5</f>
        <v>815</v>
      </c>
      <c r="X12" s="507">
        <f>+'[3]Underground Ore Hoisting Plan'!Y5</f>
        <v>955</v>
      </c>
      <c r="Y12" s="507">
        <f>+'[3]Underground Ore Hoisting Plan'!Z5</f>
        <v>955</v>
      </c>
      <c r="Z12" s="507">
        <f>+'[3]Underground Ore Hoisting Plan'!AA5</f>
        <v>955</v>
      </c>
      <c r="AA12" s="507">
        <f>+'[3]Underground Ore Hoisting Plan'!AB5</f>
        <v>955</v>
      </c>
      <c r="AB12" s="507">
        <f>+'[3]Underground Ore Hoisting Plan'!AC5</f>
        <v>955</v>
      </c>
      <c r="AC12" s="507">
        <f>+'[3]Underground Ore Hoisting Plan'!AD5</f>
        <v>955</v>
      </c>
      <c r="AD12" s="507">
        <f>+'[3]Underground Ore Hoisting Plan'!AE5</f>
        <v>955</v>
      </c>
      <c r="AE12" s="507">
        <f>+'[3]Underground Ore Hoisting Plan'!AF5</f>
        <v>845</v>
      </c>
      <c r="AF12" s="507">
        <f>+'[3]Underground Ore Hoisting Plan'!AG5</f>
        <v>955</v>
      </c>
      <c r="AG12" s="507">
        <f>+'[3]Underground Ore Hoisting Plan'!AH5</f>
        <v>955</v>
      </c>
    </row>
    <row r="13" spans="1:33" s="504" customFormat="1">
      <c r="A13" s="221" t="s">
        <v>28</v>
      </c>
      <c r="B13" s="506">
        <f>IFERROR(B14/B12,0)</f>
        <v>2.2261660313865588</v>
      </c>
      <c r="C13" s="508">
        <f>+'[3]Underground Ore Hoisting Plan'!D6</f>
        <v>2.2027283562768369</v>
      </c>
      <c r="D13" s="508">
        <f>+'[3]Underground Ore Hoisting Plan'!E6</f>
        <v>2.2398948598130839</v>
      </c>
      <c r="E13" s="508">
        <f>+'[3]Underground Ore Hoisting Plan'!F6</f>
        <v>2.2398948598130839</v>
      </c>
      <c r="F13" s="508">
        <f>+'[3]Underground Ore Hoisting Plan'!G6</f>
        <v>2.2398948598130839</v>
      </c>
      <c r="G13" s="508">
        <f>+'[3]Underground Ore Hoisting Plan'!H6</f>
        <v>2.2398948598130839</v>
      </c>
      <c r="H13" s="508">
        <f>+'[3]Underground Ore Hoisting Plan'!I6</f>
        <v>2.2398948598130839</v>
      </c>
      <c r="I13" s="508">
        <f>+'[3]Underground Ore Hoisting Plan'!J6</f>
        <v>2.2398948598130839</v>
      </c>
      <c r="J13" s="508">
        <f>+'[3]Underground Ore Hoisting Plan'!K6</f>
        <v>2.2027283562768369</v>
      </c>
      <c r="K13" s="508">
        <f>+'[3]Underground Ore Hoisting Plan'!L6</f>
        <v>2.2398948598130839</v>
      </c>
      <c r="L13" s="508">
        <f>+'[3]Underground Ore Hoisting Plan'!M6</f>
        <v>2.2398948598130839</v>
      </c>
      <c r="M13" s="508">
        <f>+'[3]Underground Ore Hoisting Plan'!N6</f>
        <v>0</v>
      </c>
      <c r="N13" s="508">
        <f>+'[3]Underground Ore Hoisting Plan'!O6</f>
        <v>0</v>
      </c>
      <c r="O13" s="508">
        <f>+'[3]Underground Ore Hoisting Plan'!P6</f>
        <v>2.2398948598130839</v>
      </c>
      <c r="P13" s="508">
        <f>+'[3]Underground Ore Hoisting Plan'!Q6</f>
        <v>2.2398948598130839</v>
      </c>
      <c r="Q13" s="508">
        <f>+'[3]Underground Ore Hoisting Plan'!R6</f>
        <v>2.2134888480148471</v>
      </c>
      <c r="R13" s="508">
        <f>+'[3]Underground Ore Hoisting Plan'!S6</f>
        <v>2.2507991227567223</v>
      </c>
      <c r="S13" s="508">
        <f>+'[3]Underground Ore Hoisting Plan'!T6</f>
        <v>2.2507991227567223</v>
      </c>
      <c r="T13" s="508">
        <f>+'[3]Underground Ore Hoisting Plan'!U6</f>
        <v>2.2507991227567223</v>
      </c>
      <c r="U13" s="508">
        <f>+'[3]Underground Ore Hoisting Plan'!V6</f>
        <v>2.2134888480148471</v>
      </c>
      <c r="V13" s="508">
        <f>+'[3]Underground Ore Hoisting Plan'!W6</f>
        <v>2.2507991227567223</v>
      </c>
      <c r="W13" s="508">
        <f>+'[3]Underground Ore Hoisting Plan'!X6</f>
        <v>2.2507991227567223</v>
      </c>
      <c r="X13" s="508">
        <f>+'[3]Underground Ore Hoisting Plan'!Y6</f>
        <v>2.2119776630620933</v>
      </c>
      <c r="Y13" s="508">
        <f>+'[3]Underground Ore Hoisting Plan'!Z6</f>
        <v>2.2119776630620933</v>
      </c>
      <c r="Z13" s="508">
        <f>+'[3]Underground Ore Hoisting Plan'!AA6</f>
        <v>2.2119776630620933</v>
      </c>
      <c r="AA13" s="508">
        <f>+'[3]Underground Ore Hoisting Plan'!AB6</f>
        <v>2.2119776630620933</v>
      </c>
      <c r="AB13" s="508">
        <f>+'[3]Underground Ore Hoisting Plan'!AC6</f>
        <v>2.2119776630620933</v>
      </c>
      <c r="AC13" s="508">
        <f>+'[3]Underground Ore Hoisting Plan'!AD6</f>
        <v>2.2119776630620933</v>
      </c>
      <c r="AD13" s="508">
        <f>+'[3]Underground Ore Hoisting Plan'!AE6</f>
        <v>2.2119776630620933</v>
      </c>
      <c r="AE13" s="508">
        <f>+'[3]Underground Ore Hoisting Plan'!AF6</f>
        <v>2.1757952911574407</v>
      </c>
      <c r="AF13" s="508">
        <f>+'[3]Underground Ore Hoisting Plan'!AG6</f>
        <v>2.2119776630620933</v>
      </c>
      <c r="AG13" s="508">
        <f>+'[3]Underground Ore Hoisting Plan'!AH6</f>
        <v>2.2119776630620933</v>
      </c>
    </row>
    <row r="14" spans="1:33" s="509" customFormat="1">
      <c r="A14" s="221" t="s">
        <v>1708</v>
      </c>
      <c r="B14" s="505">
        <f>SUM(C14:AG14)</f>
        <v>55442.665011682242</v>
      </c>
      <c r="C14" s="507">
        <f>+C12*C13</f>
        <v>1630.0189836448594</v>
      </c>
      <c r="D14" s="507">
        <f t="shared" ref="D14:AG14" si="2">+D12*D13</f>
        <v>1903.9106308411212</v>
      </c>
      <c r="E14" s="507">
        <f t="shared" si="2"/>
        <v>1903.9106308411212</v>
      </c>
      <c r="F14" s="507">
        <f t="shared" si="2"/>
        <v>1903.9106308411212</v>
      </c>
      <c r="G14" s="507">
        <f t="shared" si="2"/>
        <v>1903.9106308411212</v>
      </c>
      <c r="H14" s="507">
        <f t="shared" si="2"/>
        <v>1903.9106308411212</v>
      </c>
      <c r="I14" s="507">
        <f t="shared" si="2"/>
        <v>1903.9106308411212</v>
      </c>
      <c r="J14" s="507">
        <f t="shared" si="2"/>
        <v>1630.0189836448594</v>
      </c>
      <c r="K14" s="507">
        <f t="shared" si="2"/>
        <v>1903.9106308411212</v>
      </c>
      <c r="L14" s="507">
        <f t="shared" si="2"/>
        <v>1903.9106308411212</v>
      </c>
      <c r="M14" s="507">
        <f t="shared" si="2"/>
        <v>0</v>
      </c>
      <c r="N14" s="507">
        <f t="shared" si="2"/>
        <v>0</v>
      </c>
      <c r="O14" s="507">
        <f t="shared" si="2"/>
        <v>1903.9106308411212</v>
      </c>
      <c r="P14" s="507">
        <f t="shared" si="2"/>
        <v>1903.9106308411212</v>
      </c>
      <c r="Q14" s="507">
        <f t="shared" si="2"/>
        <v>1560.5096378504672</v>
      </c>
      <c r="R14" s="507">
        <f t="shared" si="2"/>
        <v>1834.4012850467286</v>
      </c>
      <c r="S14" s="507">
        <f t="shared" si="2"/>
        <v>1834.4012850467286</v>
      </c>
      <c r="T14" s="507">
        <f t="shared" si="2"/>
        <v>1834.4012850467286</v>
      </c>
      <c r="U14" s="507">
        <f t="shared" si="2"/>
        <v>1560.5096378504672</v>
      </c>
      <c r="V14" s="507">
        <f t="shared" si="2"/>
        <v>1834.4012850467286</v>
      </c>
      <c r="W14" s="507">
        <f t="shared" si="2"/>
        <v>1834.4012850467286</v>
      </c>
      <c r="X14" s="507">
        <f t="shared" si="2"/>
        <v>2112.4386682242989</v>
      </c>
      <c r="Y14" s="507">
        <f t="shared" si="2"/>
        <v>2112.4386682242989</v>
      </c>
      <c r="Z14" s="507">
        <f t="shared" si="2"/>
        <v>2112.4386682242989</v>
      </c>
      <c r="AA14" s="507">
        <f t="shared" si="2"/>
        <v>2112.4386682242989</v>
      </c>
      <c r="AB14" s="507">
        <f t="shared" si="2"/>
        <v>2112.4386682242989</v>
      </c>
      <c r="AC14" s="507">
        <f t="shared" si="2"/>
        <v>2112.4386682242989</v>
      </c>
      <c r="AD14" s="507">
        <f t="shared" si="2"/>
        <v>2112.4386682242989</v>
      </c>
      <c r="AE14" s="507">
        <f t="shared" si="2"/>
        <v>1838.5470210280375</v>
      </c>
      <c r="AF14" s="507">
        <f t="shared" si="2"/>
        <v>2112.4386682242989</v>
      </c>
      <c r="AG14" s="507">
        <f t="shared" si="2"/>
        <v>2112.4386682242989</v>
      </c>
    </row>
    <row r="15" spans="1:33" s="511" customFormat="1">
      <c r="A15" s="221" t="s">
        <v>1709</v>
      </c>
      <c r="B15" s="510"/>
      <c r="C15" s="510"/>
      <c r="D15" s="510"/>
      <c r="E15" s="510"/>
      <c r="F15" s="510"/>
      <c r="G15" s="510"/>
      <c r="H15" s="510"/>
      <c r="I15" s="510"/>
      <c r="J15" s="510"/>
      <c r="K15" s="510"/>
      <c r="L15" s="510"/>
      <c r="M15" s="510"/>
      <c r="N15" s="510"/>
      <c r="O15" s="510"/>
      <c r="P15" s="510"/>
      <c r="Q15" s="510"/>
      <c r="R15" s="510"/>
      <c r="S15" s="510"/>
      <c r="T15" s="510"/>
      <c r="U15" s="510"/>
      <c r="V15" s="510"/>
      <c r="W15" s="510"/>
      <c r="X15" s="510"/>
      <c r="Y15" s="510"/>
      <c r="Z15" s="510"/>
      <c r="AA15" s="510"/>
      <c r="AB15" s="510"/>
      <c r="AC15" s="510"/>
      <c r="AD15" s="510"/>
      <c r="AE15" s="510"/>
      <c r="AF15" s="510"/>
      <c r="AG15" s="510"/>
    </row>
    <row r="16" spans="1:33" s="504" customFormat="1" hidden="1">
      <c r="A16" s="501" t="s">
        <v>1710</v>
      </c>
      <c r="B16" s="502"/>
      <c r="C16" s="503"/>
      <c r="D16" s="503"/>
      <c r="E16" s="503"/>
      <c r="F16" s="503"/>
      <c r="G16" s="503"/>
      <c r="H16" s="503"/>
      <c r="I16" s="503"/>
      <c r="J16" s="503"/>
      <c r="K16" s="503"/>
      <c r="L16" s="503"/>
      <c r="M16" s="503"/>
      <c r="N16" s="503"/>
      <c r="O16" s="503"/>
      <c r="P16" s="503"/>
      <c r="Q16" s="503"/>
      <c r="R16" s="503"/>
      <c r="S16" s="503"/>
      <c r="T16" s="503"/>
      <c r="U16" s="503"/>
      <c r="V16" s="503"/>
      <c r="W16" s="503"/>
      <c r="X16" s="503"/>
      <c r="Y16" s="503"/>
      <c r="Z16" s="503"/>
      <c r="AA16" s="503"/>
      <c r="AB16" s="503"/>
      <c r="AC16" s="503"/>
      <c r="AD16" s="503"/>
      <c r="AE16" s="503"/>
      <c r="AF16" s="503"/>
      <c r="AG16" s="503"/>
    </row>
    <row r="17" spans="1:33" s="215" customFormat="1" hidden="1">
      <c r="A17" s="220" t="s">
        <v>1702</v>
      </c>
      <c r="B17" s="505">
        <f>SUM(C17:AF17)</f>
        <v>0</v>
      </c>
      <c r="C17" s="222"/>
      <c r="D17" s="222"/>
      <c r="E17" s="222"/>
      <c r="F17" s="222"/>
      <c r="G17" s="222"/>
      <c r="H17" s="222"/>
      <c r="I17" s="222"/>
      <c r="J17" s="222"/>
      <c r="K17" s="2665"/>
      <c r="L17" s="2665"/>
      <c r="M17" s="2665"/>
      <c r="N17" s="2665"/>
      <c r="O17" s="2665"/>
      <c r="P17" s="2665"/>
      <c r="Q17" s="2665"/>
      <c r="R17" s="2665"/>
      <c r="S17" s="2665"/>
      <c r="T17" s="2665"/>
      <c r="U17" s="2665"/>
      <c r="V17" s="2665"/>
      <c r="W17" s="2665"/>
      <c r="X17" s="2665"/>
      <c r="Y17" s="2665"/>
      <c r="Z17" s="2665"/>
      <c r="AA17" s="2665"/>
      <c r="AB17" s="2665"/>
      <c r="AC17" s="2665"/>
      <c r="AD17" s="2665"/>
      <c r="AE17" s="2665"/>
      <c r="AF17" s="2665"/>
      <c r="AG17" s="2665"/>
    </row>
    <row r="18" spans="1:33" s="215" customFormat="1" hidden="1">
      <c r="A18" s="220" t="s">
        <v>1703</v>
      </c>
      <c r="B18" s="506">
        <f>IFERROR(B19/B17,0)</f>
        <v>0</v>
      </c>
      <c r="C18" s="223"/>
      <c r="D18" s="223"/>
      <c r="E18" s="223"/>
      <c r="F18" s="223"/>
      <c r="G18" s="223"/>
      <c r="H18" s="223"/>
      <c r="I18" s="223"/>
      <c r="J18" s="223"/>
      <c r="K18" s="2666"/>
      <c r="L18" s="2666"/>
      <c r="M18" s="2666"/>
      <c r="N18" s="2666"/>
      <c r="O18" s="2666"/>
      <c r="P18" s="2666"/>
      <c r="Q18" s="2666"/>
      <c r="R18" s="2666"/>
      <c r="S18" s="2666"/>
      <c r="T18" s="2666"/>
      <c r="U18" s="2666"/>
      <c r="V18" s="2666"/>
      <c r="W18" s="2666"/>
      <c r="X18" s="2666"/>
      <c r="Y18" s="2666"/>
      <c r="Z18" s="2666"/>
      <c r="AA18" s="2666"/>
      <c r="AB18" s="2666"/>
      <c r="AC18" s="2666"/>
      <c r="AD18" s="2666"/>
      <c r="AE18" s="2666"/>
      <c r="AF18" s="2666"/>
      <c r="AG18" s="2666"/>
    </row>
    <row r="19" spans="1:33" s="215" customFormat="1" hidden="1">
      <c r="A19" s="224" t="s">
        <v>1704</v>
      </c>
      <c r="B19" s="505">
        <f>SUM(C19:AF19)</f>
        <v>0</v>
      </c>
      <c r="C19" s="222"/>
      <c r="D19" s="222"/>
      <c r="E19" s="222"/>
      <c r="F19" s="222"/>
      <c r="G19" s="222"/>
      <c r="H19" s="222"/>
      <c r="I19" s="222"/>
      <c r="J19" s="222"/>
      <c r="K19" s="2665"/>
      <c r="L19" s="2665"/>
      <c r="M19" s="2665"/>
      <c r="N19" s="2665"/>
      <c r="O19" s="2665"/>
      <c r="P19" s="2665"/>
      <c r="Q19" s="2665"/>
      <c r="R19" s="2665"/>
      <c r="S19" s="2665"/>
      <c r="T19" s="2665"/>
      <c r="U19" s="2665"/>
      <c r="V19" s="2665"/>
      <c r="W19" s="2665"/>
      <c r="X19" s="2665"/>
      <c r="Y19" s="2665"/>
      <c r="Z19" s="2665"/>
      <c r="AA19" s="2665"/>
      <c r="AB19" s="2665"/>
      <c r="AC19" s="2665"/>
      <c r="AD19" s="2665"/>
      <c r="AE19" s="2665"/>
      <c r="AF19" s="2665"/>
      <c r="AG19" s="2665"/>
    </row>
    <row r="20" spans="1:33" s="215" customFormat="1" hidden="1">
      <c r="A20" s="225" t="s">
        <v>1705</v>
      </c>
      <c r="B20" s="512">
        <f>SUM(C20:AF20)</f>
        <v>0</v>
      </c>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c r="AF20" s="222"/>
      <c r="AG20" s="222"/>
    </row>
    <row r="21" spans="1:33" s="215" customFormat="1" hidden="1">
      <c r="A21" s="225" t="s">
        <v>1706</v>
      </c>
      <c r="B21" s="513">
        <f>IFERROR(B22/B20,0)</f>
        <v>0</v>
      </c>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c r="AD21" s="223"/>
      <c r="AE21" s="223"/>
      <c r="AF21" s="223"/>
      <c r="AG21" s="223"/>
    </row>
    <row r="22" spans="1:33" s="509" customFormat="1" hidden="1">
      <c r="A22" s="225" t="s">
        <v>1707</v>
      </c>
      <c r="B22" s="512">
        <f>SUM(C22:AF22)</f>
        <v>0</v>
      </c>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c r="AF22" s="222"/>
      <c r="AG22" s="222"/>
    </row>
    <row r="23" spans="1:33" s="504" customFormat="1" hidden="1">
      <c r="A23" s="225" t="s">
        <v>28</v>
      </c>
      <c r="B23" s="513">
        <f>IFERROR(B24/B22,0)</f>
        <v>0</v>
      </c>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223"/>
      <c r="AG23" s="223"/>
    </row>
    <row r="24" spans="1:33" s="509" customFormat="1" hidden="1">
      <c r="A24" s="225" t="s">
        <v>1708</v>
      </c>
      <c r="B24" s="512">
        <f>SUM(C24:AF24)</f>
        <v>0</v>
      </c>
      <c r="C24" s="222"/>
      <c r="D24" s="222"/>
      <c r="E24" s="222"/>
      <c r="F24" s="222"/>
      <c r="G24" s="222"/>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c r="AF24" s="222"/>
      <c r="AG24" s="222"/>
    </row>
    <row r="25" spans="1:33" s="509" customFormat="1" hidden="1">
      <c r="A25" s="225" t="s">
        <v>1709</v>
      </c>
      <c r="B25" s="513">
        <f>IFERROR(B17/B20,0)</f>
        <v>0</v>
      </c>
      <c r="C25" s="506"/>
      <c r="D25" s="506"/>
      <c r="E25" s="506"/>
      <c r="F25" s="506"/>
      <c r="G25" s="506"/>
      <c r="H25" s="506"/>
      <c r="I25" s="506"/>
      <c r="J25" s="506"/>
      <c r="K25" s="506"/>
      <c r="L25" s="506"/>
      <c r="M25" s="506"/>
      <c r="N25" s="506"/>
      <c r="O25" s="506"/>
      <c r="P25" s="506"/>
      <c r="Q25" s="506"/>
      <c r="R25" s="506"/>
      <c r="S25" s="506"/>
      <c r="T25" s="506"/>
      <c r="U25" s="506"/>
      <c r="V25" s="506"/>
      <c r="W25" s="506"/>
      <c r="X25" s="506"/>
      <c r="Y25" s="506"/>
      <c r="Z25" s="506"/>
      <c r="AA25" s="506"/>
      <c r="AB25" s="506"/>
      <c r="AC25" s="506"/>
      <c r="AD25" s="506"/>
      <c r="AE25" s="506"/>
      <c r="AF25" s="506"/>
      <c r="AG25" s="506"/>
    </row>
    <row r="26" spans="1:33" s="215" customFormat="1" hidden="1">
      <c r="A26" s="226" t="s">
        <v>1711</v>
      </c>
      <c r="B26" s="227"/>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row>
    <row r="27" spans="1:33" s="215" customFormat="1" hidden="1">
      <c r="A27" s="220" t="s">
        <v>1702</v>
      </c>
      <c r="B27" s="505">
        <f>SUM(C27:AF27)</f>
        <v>0</v>
      </c>
      <c r="C27" s="2663"/>
      <c r="D27" s="2663"/>
      <c r="E27" s="2663"/>
      <c r="F27" s="2663"/>
      <c r="G27" s="2663"/>
      <c r="H27" s="2663"/>
      <c r="I27" s="2663"/>
      <c r="J27" s="2663"/>
      <c r="K27" s="2663"/>
      <c r="L27" s="2663"/>
      <c r="M27" s="2663"/>
      <c r="N27" s="2663"/>
      <c r="O27" s="2663"/>
      <c r="P27" s="2663"/>
      <c r="Q27" s="2663"/>
      <c r="R27" s="2663"/>
      <c r="S27" s="2663"/>
      <c r="T27" s="2663"/>
      <c r="U27" s="2663"/>
      <c r="V27" s="2663"/>
      <c r="W27" s="2663"/>
      <c r="X27" s="2663"/>
      <c r="Y27" s="2663"/>
      <c r="Z27" s="2663"/>
      <c r="AA27" s="2663"/>
      <c r="AB27" s="2663"/>
      <c r="AC27" s="2663"/>
      <c r="AD27" s="2663"/>
      <c r="AE27" s="2663"/>
      <c r="AF27" s="2663"/>
      <c r="AG27" s="2663"/>
    </row>
    <row r="28" spans="1:33" s="215" customFormat="1" hidden="1">
      <c r="A28" s="220" t="s">
        <v>1703</v>
      </c>
      <c r="B28" s="506">
        <f>IFERROR(B29/B27,0)</f>
        <v>0</v>
      </c>
      <c r="C28" s="2664"/>
      <c r="D28" s="2664"/>
      <c r="E28" s="2664"/>
      <c r="F28" s="2664"/>
      <c r="G28" s="2664"/>
      <c r="H28" s="2664"/>
      <c r="I28" s="2664"/>
      <c r="J28" s="2664"/>
      <c r="K28" s="2664"/>
      <c r="L28" s="2664"/>
      <c r="M28" s="2664"/>
      <c r="N28" s="2664"/>
      <c r="O28" s="2664"/>
      <c r="P28" s="2664"/>
      <c r="Q28" s="2664"/>
      <c r="R28" s="2664"/>
      <c r="S28" s="2664"/>
      <c r="T28" s="2664"/>
      <c r="U28" s="2664"/>
      <c r="V28" s="2664"/>
      <c r="W28" s="2664"/>
      <c r="X28" s="2664"/>
      <c r="Y28" s="2664"/>
      <c r="Z28" s="2664"/>
      <c r="AA28" s="2664"/>
      <c r="AB28" s="2664"/>
      <c r="AC28" s="2664"/>
      <c r="AD28" s="2664"/>
      <c r="AE28" s="2664"/>
      <c r="AF28" s="2664"/>
      <c r="AG28" s="2664"/>
    </row>
    <row r="29" spans="1:33" s="215" customFormat="1" hidden="1">
      <c r="A29" s="220" t="s">
        <v>1704</v>
      </c>
      <c r="B29" s="505">
        <f>SUM(C29:AF29)</f>
        <v>0</v>
      </c>
      <c r="C29" s="2663"/>
      <c r="D29" s="2663"/>
      <c r="E29" s="2663"/>
      <c r="F29" s="2663"/>
      <c r="G29" s="2663"/>
      <c r="H29" s="2663"/>
      <c r="I29" s="2663"/>
      <c r="J29" s="2663"/>
      <c r="K29" s="2663"/>
      <c r="L29" s="2663"/>
      <c r="M29" s="2663"/>
      <c r="N29" s="2663"/>
      <c r="O29" s="2663"/>
      <c r="P29" s="2663"/>
      <c r="Q29" s="2663"/>
      <c r="R29" s="2663"/>
      <c r="S29" s="2663"/>
      <c r="T29" s="2663"/>
      <c r="U29" s="2663"/>
      <c r="V29" s="2663"/>
      <c r="W29" s="2663"/>
      <c r="X29" s="2663"/>
      <c r="Y29" s="2663"/>
      <c r="Z29" s="2663"/>
      <c r="AA29" s="2663"/>
      <c r="AB29" s="2663"/>
      <c r="AC29" s="2663"/>
      <c r="AD29" s="2663"/>
      <c r="AE29" s="2663"/>
      <c r="AF29" s="2663"/>
      <c r="AG29" s="2663"/>
    </row>
    <row r="30" spans="1:33" s="215" customFormat="1" hidden="1">
      <c r="A30" s="221" t="s">
        <v>1705</v>
      </c>
      <c r="B30" s="505">
        <f>SUM(C30:AF30)</f>
        <v>0</v>
      </c>
      <c r="C30" s="507"/>
      <c r="D30" s="507"/>
      <c r="E30" s="507"/>
      <c r="F30" s="507"/>
      <c r="G30" s="507"/>
      <c r="H30" s="507"/>
      <c r="I30" s="507"/>
      <c r="J30" s="507"/>
      <c r="K30" s="507"/>
      <c r="L30" s="507"/>
      <c r="M30" s="507"/>
      <c r="N30" s="507"/>
      <c r="O30" s="507"/>
      <c r="P30" s="507"/>
      <c r="Q30" s="507"/>
      <c r="R30" s="507"/>
      <c r="S30" s="507"/>
      <c r="T30" s="507"/>
      <c r="U30" s="507"/>
      <c r="V30" s="507"/>
      <c r="W30" s="507"/>
      <c r="X30" s="507"/>
      <c r="Y30" s="507"/>
      <c r="Z30" s="507"/>
      <c r="AA30" s="507"/>
      <c r="AB30" s="507"/>
      <c r="AC30" s="507"/>
      <c r="AD30" s="507"/>
      <c r="AE30" s="507"/>
      <c r="AF30" s="507"/>
      <c r="AG30" s="507"/>
    </row>
    <row r="31" spans="1:33" s="215" customFormat="1" hidden="1">
      <c r="A31" s="221" t="s">
        <v>1706</v>
      </c>
      <c r="B31" s="506">
        <f>IFERROR(B32/B30,0)</f>
        <v>0</v>
      </c>
      <c r="C31" s="508"/>
      <c r="D31" s="508"/>
      <c r="E31" s="508"/>
      <c r="F31" s="508"/>
      <c r="G31" s="508"/>
      <c r="H31" s="508"/>
      <c r="I31" s="508"/>
      <c r="J31" s="508"/>
      <c r="K31" s="508"/>
      <c r="L31" s="508"/>
      <c r="M31" s="508"/>
      <c r="N31" s="508"/>
      <c r="O31" s="508"/>
      <c r="P31" s="508"/>
      <c r="Q31" s="508"/>
      <c r="R31" s="508"/>
      <c r="S31" s="508"/>
      <c r="T31" s="2664"/>
      <c r="U31" s="2664"/>
      <c r="V31" s="2664"/>
      <c r="W31" s="508"/>
      <c r="X31" s="508"/>
      <c r="Y31" s="508"/>
      <c r="Z31" s="508"/>
      <c r="AA31" s="508"/>
      <c r="AB31" s="508"/>
      <c r="AC31" s="508"/>
      <c r="AD31" s="508"/>
      <c r="AE31" s="508"/>
      <c r="AF31" s="508"/>
      <c r="AG31" s="508"/>
    </row>
    <row r="32" spans="1:33" s="509" customFormat="1" hidden="1">
      <c r="A32" s="221" t="s">
        <v>1707</v>
      </c>
      <c r="B32" s="505">
        <f>SUM(C32:AF32)</f>
        <v>0</v>
      </c>
      <c r="C32" s="507"/>
      <c r="D32" s="507"/>
      <c r="E32" s="507"/>
      <c r="F32" s="507"/>
      <c r="G32" s="507"/>
      <c r="H32" s="507"/>
      <c r="I32" s="507"/>
      <c r="J32" s="507"/>
      <c r="K32" s="507"/>
      <c r="L32" s="507"/>
      <c r="M32" s="507"/>
      <c r="N32" s="507"/>
      <c r="O32" s="507"/>
      <c r="P32" s="507"/>
      <c r="Q32" s="507"/>
      <c r="R32" s="507"/>
      <c r="S32" s="507"/>
      <c r="T32" s="507"/>
      <c r="U32" s="507"/>
      <c r="V32" s="507"/>
      <c r="W32" s="507"/>
      <c r="X32" s="507"/>
      <c r="Y32" s="507"/>
      <c r="Z32" s="507"/>
      <c r="AA32" s="507"/>
      <c r="AB32" s="507"/>
      <c r="AC32" s="507"/>
      <c r="AD32" s="507"/>
      <c r="AE32" s="507"/>
      <c r="AF32" s="507"/>
      <c r="AG32" s="507"/>
    </row>
    <row r="33" spans="1:33" s="504" customFormat="1" hidden="1">
      <c r="A33" s="221" t="s">
        <v>28</v>
      </c>
      <c r="B33" s="506">
        <f>IFERROR(B34/B32,0)</f>
        <v>0</v>
      </c>
      <c r="C33" s="508"/>
      <c r="D33" s="508"/>
      <c r="E33" s="508"/>
      <c r="F33" s="508"/>
      <c r="G33" s="508"/>
      <c r="H33" s="508"/>
      <c r="I33" s="508"/>
      <c r="J33" s="508"/>
      <c r="K33" s="508"/>
      <c r="L33" s="508"/>
      <c r="M33" s="508"/>
      <c r="N33" s="508"/>
      <c r="O33" s="508"/>
      <c r="P33" s="508"/>
      <c r="Q33" s="508"/>
      <c r="R33" s="508"/>
      <c r="S33" s="508"/>
      <c r="T33" s="508"/>
      <c r="U33" s="508"/>
      <c r="V33" s="508"/>
      <c r="W33" s="508"/>
      <c r="X33" s="508"/>
      <c r="Y33" s="508"/>
      <c r="Z33" s="508"/>
      <c r="AA33" s="508"/>
      <c r="AB33" s="508"/>
      <c r="AC33" s="508"/>
      <c r="AD33" s="508"/>
      <c r="AE33" s="508"/>
      <c r="AF33" s="508"/>
      <c r="AG33" s="508"/>
    </row>
    <row r="34" spans="1:33" s="509" customFormat="1" hidden="1">
      <c r="A34" s="221" t="s">
        <v>1708</v>
      </c>
      <c r="B34" s="505">
        <f>SUM(C34:AF34)</f>
        <v>0</v>
      </c>
      <c r="C34" s="507"/>
      <c r="D34" s="507"/>
      <c r="E34" s="507"/>
      <c r="F34" s="507"/>
      <c r="G34" s="507"/>
      <c r="H34" s="507"/>
      <c r="I34" s="507"/>
      <c r="J34" s="507"/>
      <c r="K34" s="507"/>
      <c r="L34" s="507"/>
      <c r="M34" s="507"/>
      <c r="N34" s="507"/>
      <c r="O34" s="507"/>
      <c r="P34" s="507"/>
      <c r="Q34" s="507"/>
      <c r="R34" s="507"/>
      <c r="S34" s="507"/>
      <c r="T34" s="507"/>
      <c r="U34" s="507"/>
      <c r="V34" s="507"/>
      <c r="W34" s="507"/>
      <c r="X34" s="507"/>
      <c r="Y34" s="507"/>
      <c r="Z34" s="507"/>
      <c r="AA34" s="507"/>
      <c r="AB34" s="507"/>
      <c r="AC34" s="507"/>
      <c r="AD34" s="507"/>
      <c r="AE34" s="507"/>
      <c r="AF34" s="507"/>
      <c r="AG34" s="507"/>
    </row>
    <row r="35" spans="1:33" s="509" customFormat="1" hidden="1">
      <c r="A35" s="221" t="s">
        <v>1709</v>
      </c>
      <c r="B35" s="506">
        <f>IFERROR(B29/B32,0)</f>
        <v>0</v>
      </c>
      <c r="C35" s="506"/>
      <c r="D35" s="506"/>
      <c r="E35" s="506"/>
      <c r="F35" s="506"/>
      <c r="G35" s="506"/>
      <c r="H35" s="506"/>
      <c r="I35" s="506"/>
      <c r="J35" s="506"/>
      <c r="K35" s="506"/>
      <c r="L35" s="506"/>
      <c r="M35" s="506"/>
      <c r="N35" s="506"/>
      <c r="O35" s="506"/>
      <c r="P35" s="506"/>
      <c r="Q35" s="506"/>
      <c r="R35" s="506"/>
      <c r="S35" s="506"/>
      <c r="T35" s="506"/>
      <c r="U35" s="506"/>
      <c r="V35" s="506"/>
      <c r="W35" s="506"/>
      <c r="X35" s="506"/>
      <c r="Y35" s="506"/>
      <c r="Z35" s="506"/>
      <c r="AA35" s="506"/>
      <c r="AB35" s="506"/>
      <c r="AC35" s="506"/>
      <c r="AD35" s="506"/>
      <c r="AE35" s="506"/>
      <c r="AF35" s="506"/>
      <c r="AG35" s="506"/>
    </row>
    <row r="36" spans="1:33" s="509" customFormat="1" hidden="1">
      <c r="A36" s="514" t="s">
        <v>1712</v>
      </c>
      <c r="B36" s="515"/>
      <c r="C36" s="516"/>
      <c r="D36" s="516"/>
      <c r="E36" s="516"/>
      <c r="F36" s="516"/>
      <c r="G36" s="516"/>
      <c r="H36" s="516"/>
      <c r="I36" s="516"/>
      <c r="J36" s="516"/>
      <c r="K36" s="516"/>
      <c r="L36" s="516"/>
      <c r="M36" s="516"/>
      <c r="N36" s="516"/>
      <c r="O36" s="516"/>
      <c r="P36" s="516"/>
      <c r="Q36" s="516"/>
      <c r="R36" s="516"/>
      <c r="S36" s="516"/>
      <c r="T36" s="516"/>
      <c r="U36" s="516"/>
      <c r="V36" s="516"/>
      <c r="W36" s="516"/>
      <c r="X36" s="516"/>
      <c r="Y36" s="516"/>
      <c r="Z36" s="516"/>
      <c r="AA36" s="516"/>
      <c r="AB36" s="516"/>
      <c r="AC36" s="516"/>
      <c r="AD36" s="516"/>
      <c r="AE36" s="516"/>
      <c r="AF36" s="516"/>
      <c r="AG36" s="516"/>
    </row>
    <row r="37" spans="1:33" s="518" customFormat="1" hidden="1">
      <c r="A37" s="229" t="s">
        <v>1713</v>
      </c>
      <c r="B37" s="505">
        <f>SUM(C37:AF37)</f>
        <v>0</v>
      </c>
      <c r="C37" s="517">
        <f>C17+C27</f>
        <v>0</v>
      </c>
      <c r="D37" s="517">
        <f t="shared" ref="D37:K37" si="3">D17+D27</f>
        <v>0</v>
      </c>
      <c r="E37" s="517">
        <f t="shared" si="3"/>
        <v>0</v>
      </c>
      <c r="F37" s="517">
        <f t="shared" si="3"/>
        <v>0</v>
      </c>
      <c r="G37" s="517">
        <f t="shared" si="3"/>
        <v>0</v>
      </c>
      <c r="H37" s="517">
        <f t="shared" si="3"/>
        <v>0</v>
      </c>
      <c r="I37" s="517">
        <f t="shared" si="3"/>
        <v>0</v>
      </c>
      <c r="J37" s="517">
        <f t="shared" si="3"/>
        <v>0</v>
      </c>
      <c r="K37" s="517">
        <f t="shared" si="3"/>
        <v>0</v>
      </c>
      <c r="L37" s="517">
        <f>L17+L27</f>
        <v>0</v>
      </c>
      <c r="M37" s="517">
        <f t="shared" ref="M37:AG37" si="4">M17+M27</f>
        <v>0</v>
      </c>
      <c r="N37" s="517">
        <f t="shared" si="4"/>
        <v>0</v>
      </c>
      <c r="O37" s="517">
        <f t="shared" si="4"/>
        <v>0</v>
      </c>
      <c r="P37" s="517">
        <f>P17+P27</f>
        <v>0</v>
      </c>
      <c r="Q37" s="517">
        <f t="shared" si="4"/>
        <v>0</v>
      </c>
      <c r="R37" s="517">
        <f t="shared" si="4"/>
        <v>0</v>
      </c>
      <c r="S37" s="517">
        <f t="shared" si="4"/>
        <v>0</v>
      </c>
      <c r="T37" s="517">
        <f t="shared" si="4"/>
        <v>0</v>
      </c>
      <c r="U37" s="517">
        <f t="shared" si="4"/>
        <v>0</v>
      </c>
      <c r="V37" s="517">
        <f t="shared" si="4"/>
        <v>0</v>
      </c>
      <c r="W37" s="517">
        <f t="shared" si="4"/>
        <v>0</v>
      </c>
      <c r="X37" s="517">
        <f t="shared" si="4"/>
        <v>0</v>
      </c>
      <c r="Y37" s="517">
        <f t="shared" si="4"/>
        <v>0</v>
      </c>
      <c r="Z37" s="517">
        <f t="shared" si="4"/>
        <v>0</v>
      </c>
      <c r="AA37" s="517">
        <f t="shared" si="4"/>
        <v>0</v>
      </c>
      <c r="AB37" s="517">
        <f t="shared" si="4"/>
        <v>0</v>
      </c>
      <c r="AC37" s="517">
        <f t="shared" si="4"/>
        <v>0</v>
      </c>
      <c r="AD37" s="517">
        <f t="shared" si="4"/>
        <v>0</v>
      </c>
      <c r="AE37" s="517">
        <f t="shared" si="4"/>
        <v>0</v>
      </c>
      <c r="AF37" s="517">
        <f t="shared" si="4"/>
        <v>0</v>
      </c>
      <c r="AG37" s="517">
        <f t="shared" si="4"/>
        <v>0</v>
      </c>
    </row>
    <row r="38" spans="1:33" s="518" customFormat="1" hidden="1">
      <c r="A38" s="229" t="s">
        <v>1703</v>
      </c>
      <c r="B38" s="506">
        <f>IFERROR(B39/B37,0)</f>
        <v>0</v>
      </c>
      <c r="C38" s="519">
        <f>IFERROR(C39/C37,0)</f>
        <v>0</v>
      </c>
      <c r="D38" s="519">
        <f>IFERROR(D39/D37,0)</f>
        <v>0</v>
      </c>
      <c r="E38" s="519">
        <f t="shared" ref="E38:AG38" si="5">IFERROR(E39/E37,0)</f>
        <v>0</v>
      </c>
      <c r="F38" s="519">
        <f t="shared" si="5"/>
        <v>0</v>
      </c>
      <c r="G38" s="519">
        <f t="shared" si="5"/>
        <v>0</v>
      </c>
      <c r="H38" s="519">
        <f t="shared" si="5"/>
        <v>0</v>
      </c>
      <c r="I38" s="519">
        <f t="shared" si="5"/>
        <v>0</v>
      </c>
      <c r="J38" s="519">
        <f t="shared" si="5"/>
        <v>0</v>
      </c>
      <c r="K38" s="519">
        <f t="shared" si="5"/>
        <v>0</v>
      </c>
      <c r="L38" s="519">
        <f t="shared" si="5"/>
        <v>0</v>
      </c>
      <c r="M38" s="519">
        <f t="shared" si="5"/>
        <v>0</v>
      </c>
      <c r="N38" s="519">
        <f t="shared" si="5"/>
        <v>0</v>
      </c>
      <c r="O38" s="519">
        <f t="shared" si="5"/>
        <v>0</v>
      </c>
      <c r="P38" s="519">
        <f t="shared" si="5"/>
        <v>0</v>
      </c>
      <c r="Q38" s="519">
        <f t="shared" si="5"/>
        <v>0</v>
      </c>
      <c r="R38" s="519">
        <f t="shared" si="5"/>
        <v>0</v>
      </c>
      <c r="S38" s="519">
        <f t="shared" si="5"/>
        <v>0</v>
      </c>
      <c r="T38" s="519">
        <f t="shared" si="5"/>
        <v>0</v>
      </c>
      <c r="U38" s="519">
        <f t="shared" si="5"/>
        <v>0</v>
      </c>
      <c r="V38" s="519">
        <f t="shared" si="5"/>
        <v>0</v>
      </c>
      <c r="W38" s="519">
        <f t="shared" si="5"/>
        <v>0</v>
      </c>
      <c r="X38" s="519">
        <f t="shared" si="5"/>
        <v>0</v>
      </c>
      <c r="Y38" s="519">
        <f t="shared" si="5"/>
        <v>0</v>
      </c>
      <c r="Z38" s="519">
        <f t="shared" si="5"/>
        <v>0</v>
      </c>
      <c r="AA38" s="519">
        <f t="shared" si="5"/>
        <v>0</v>
      </c>
      <c r="AB38" s="519">
        <f t="shared" si="5"/>
        <v>0</v>
      </c>
      <c r="AC38" s="519">
        <f t="shared" si="5"/>
        <v>0</v>
      </c>
      <c r="AD38" s="519">
        <f t="shared" si="5"/>
        <v>0</v>
      </c>
      <c r="AE38" s="519">
        <f t="shared" si="5"/>
        <v>0</v>
      </c>
      <c r="AF38" s="519">
        <f t="shared" si="5"/>
        <v>0</v>
      </c>
      <c r="AG38" s="519">
        <f t="shared" si="5"/>
        <v>0</v>
      </c>
    </row>
    <row r="39" spans="1:33" s="518" customFormat="1" hidden="1">
      <c r="A39" s="229" t="s">
        <v>1714</v>
      </c>
      <c r="B39" s="505">
        <f>SUM(C39:AF39)</f>
        <v>0</v>
      </c>
      <c r="C39" s="517">
        <f t="shared" ref="C39:K40" si="6">C19+C29</f>
        <v>0</v>
      </c>
      <c r="D39" s="517">
        <f t="shared" si="6"/>
        <v>0</v>
      </c>
      <c r="E39" s="517">
        <f t="shared" si="6"/>
        <v>0</v>
      </c>
      <c r="F39" s="517">
        <f t="shared" si="6"/>
        <v>0</v>
      </c>
      <c r="G39" s="517">
        <f t="shared" si="6"/>
        <v>0</v>
      </c>
      <c r="H39" s="517">
        <f t="shared" si="6"/>
        <v>0</v>
      </c>
      <c r="I39" s="517">
        <f t="shared" si="6"/>
        <v>0</v>
      </c>
      <c r="J39" s="517">
        <f>J19+J29</f>
        <v>0</v>
      </c>
      <c r="K39" s="517">
        <f t="shared" si="6"/>
        <v>0</v>
      </c>
      <c r="L39" s="517">
        <f>L19+L29</f>
        <v>0</v>
      </c>
      <c r="M39" s="517">
        <f t="shared" ref="M39:AG40" si="7">M19+M29</f>
        <v>0</v>
      </c>
      <c r="N39" s="517">
        <f t="shared" si="7"/>
        <v>0</v>
      </c>
      <c r="O39" s="517">
        <f t="shared" si="7"/>
        <v>0</v>
      </c>
      <c r="P39" s="517">
        <f t="shared" si="7"/>
        <v>0</v>
      </c>
      <c r="Q39" s="517">
        <f t="shared" si="7"/>
        <v>0</v>
      </c>
      <c r="R39" s="517">
        <f t="shared" si="7"/>
        <v>0</v>
      </c>
      <c r="S39" s="517">
        <f t="shared" si="7"/>
        <v>0</v>
      </c>
      <c r="T39" s="517">
        <f t="shared" si="7"/>
        <v>0</v>
      </c>
      <c r="U39" s="517">
        <f t="shared" si="7"/>
        <v>0</v>
      </c>
      <c r="V39" s="517">
        <f t="shared" si="7"/>
        <v>0</v>
      </c>
      <c r="W39" s="517">
        <f t="shared" si="7"/>
        <v>0</v>
      </c>
      <c r="X39" s="517">
        <f t="shared" si="7"/>
        <v>0</v>
      </c>
      <c r="Y39" s="517">
        <f t="shared" si="7"/>
        <v>0</v>
      </c>
      <c r="Z39" s="517">
        <f t="shared" si="7"/>
        <v>0</v>
      </c>
      <c r="AA39" s="517">
        <f t="shared" si="7"/>
        <v>0</v>
      </c>
      <c r="AB39" s="517">
        <f t="shared" si="7"/>
        <v>0</v>
      </c>
      <c r="AC39" s="517">
        <f t="shared" si="7"/>
        <v>0</v>
      </c>
      <c r="AD39" s="517">
        <f t="shared" si="7"/>
        <v>0</v>
      </c>
      <c r="AE39" s="517">
        <f t="shared" si="7"/>
        <v>0</v>
      </c>
      <c r="AF39" s="517">
        <f t="shared" si="7"/>
        <v>0</v>
      </c>
      <c r="AG39" s="517">
        <f t="shared" si="7"/>
        <v>0</v>
      </c>
    </row>
    <row r="40" spans="1:33" s="518" customFormat="1" hidden="1">
      <c r="A40" s="230" t="s">
        <v>1715</v>
      </c>
      <c r="B40" s="505">
        <f>SUM(C40:AF40)</f>
        <v>0</v>
      </c>
      <c r="C40" s="517">
        <f t="shared" si="6"/>
        <v>0</v>
      </c>
      <c r="D40" s="517">
        <f>D20+D30</f>
        <v>0</v>
      </c>
      <c r="E40" s="517">
        <f t="shared" si="6"/>
        <v>0</v>
      </c>
      <c r="F40" s="517">
        <f t="shared" si="6"/>
        <v>0</v>
      </c>
      <c r="G40" s="517">
        <f t="shared" si="6"/>
        <v>0</v>
      </c>
      <c r="H40" s="517">
        <f t="shared" si="6"/>
        <v>0</v>
      </c>
      <c r="I40" s="517">
        <f t="shared" si="6"/>
        <v>0</v>
      </c>
      <c r="J40" s="517">
        <f>J20+J30</f>
        <v>0</v>
      </c>
      <c r="K40" s="517">
        <f t="shared" si="6"/>
        <v>0</v>
      </c>
      <c r="L40" s="517">
        <f>L20+L30</f>
        <v>0</v>
      </c>
      <c r="M40" s="517">
        <f t="shared" si="7"/>
        <v>0</v>
      </c>
      <c r="N40" s="517">
        <f t="shared" si="7"/>
        <v>0</v>
      </c>
      <c r="O40" s="517">
        <f t="shared" si="7"/>
        <v>0</v>
      </c>
      <c r="P40" s="517">
        <f t="shared" si="7"/>
        <v>0</v>
      </c>
      <c r="Q40" s="517">
        <f t="shared" si="7"/>
        <v>0</v>
      </c>
      <c r="R40" s="517">
        <f t="shared" si="7"/>
        <v>0</v>
      </c>
      <c r="S40" s="517">
        <f t="shared" si="7"/>
        <v>0</v>
      </c>
      <c r="T40" s="517">
        <f t="shared" si="7"/>
        <v>0</v>
      </c>
      <c r="U40" s="517">
        <f t="shared" si="7"/>
        <v>0</v>
      </c>
      <c r="V40" s="517">
        <f t="shared" si="7"/>
        <v>0</v>
      </c>
      <c r="W40" s="517">
        <f t="shared" si="7"/>
        <v>0</v>
      </c>
      <c r="X40" s="517">
        <f t="shared" si="7"/>
        <v>0</v>
      </c>
      <c r="Y40" s="517">
        <f t="shared" si="7"/>
        <v>0</v>
      </c>
      <c r="Z40" s="517">
        <f t="shared" si="7"/>
        <v>0</v>
      </c>
      <c r="AA40" s="517">
        <f t="shared" si="7"/>
        <v>0</v>
      </c>
      <c r="AB40" s="517">
        <f t="shared" si="7"/>
        <v>0</v>
      </c>
      <c r="AC40" s="517">
        <f t="shared" si="7"/>
        <v>0</v>
      </c>
      <c r="AD40" s="517">
        <f t="shared" si="7"/>
        <v>0</v>
      </c>
      <c r="AE40" s="517">
        <f t="shared" si="7"/>
        <v>0</v>
      </c>
      <c r="AF40" s="517">
        <f t="shared" si="7"/>
        <v>0</v>
      </c>
      <c r="AG40" s="517">
        <f t="shared" si="7"/>
        <v>0</v>
      </c>
    </row>
    <row r="41" spans="1:33" s="518" customFormat="1">
      <c r="A41" s="230" t="s">
        <v>1716</v>
      </c>
      <c r="B41" s="505">
        <f>SUM(C41:AG41)</f>
        <v>24905</v>
      </c>
      <c r="C41" s="520">
        <f t="shared" ref="C41:K41" si="8">C12+C22+C32</f>
        <v>740</v>
      </c>
      <c r="D41" s="520">
        <f t="shared" si="8"/>
        <v>850</v>
      </c>
      <c r="E41" s="520">
        <f t="shared" si="8"/>
        <v>850</v>
      </c>
      <c r="F41" s="520">
        <f t="shared" si="8"/>
        <v>850</v>
      </c>
      <c r="G41" s="520">
        <f t="shared" si="8"/>
        <v>850</v>
      </c>
      <c r="H41" s="520">
        <f t="shared" si="8"/>
        <v>850</v>
      </c>
      <c r="I41" s="520">
        <f t="shared" si="8"/>
        <v>850</v>
      </c>
      <c r="J41" s="520">
        <f t="shared" si="8"/>
        <v>740</v>
      </c>
      <c r="K41" s="520">
        <f t="shared" si="8"/>
        <v>850</v>
      </c>
      <c r="L41" s="520">
        <f>L12+L22+L32</f>
        <v>850</v>
      </c>
      <c r="M41" s="520">
        <f t="shared" ref="M41:AG41" si="9">M12+M22+M32</f>
        <v>0</v>
      </c>
      <c r="N41" s="520">
        <f t="shared" si="9"/>
        <v>0</v>
      </c>
      <c r="O41" s="520">
        <f t="shared" si="9"/>
        <v>850</v>
      </c>
      <c r="P41" s="520">
        <f>P12+P22+P32</f>
        <v>850</v>
      </c>
      <c r="Q41" s="520">
        <f>Q12+Q22+Q32</f>
        <v>705</v>
      </c>
      <c r="R41" s="520">
        <f t="shared" si="9"/>
        <v>815</v>
      </c>
      <c r="S41" s="520">
        <f t="shared" si="9"/>
        <v>815</v>
      </c>
      <c r="T41" s="520">
        <f t="shared" si="9"/>
        <v>815</v>
      </c>
      <c r="U41" s="520">
        <f t="shared" si="9"/>
        <v>705</v>
      </c>
      <c r="V41" s="520">
        <f t="shared" si="9"/>
        <v>815</v>
      </c>
      <c r="W41" s="520">
        <f t="shared" si="9"/>
        <v>815</v>
      </c>
      <c r="X41" s="520">
        <f t="shared" si="9"/>
        <v>955</v>
      </c>
      <c r="Y41" s="520">
        <f t="shared" si="9"/>
        <v>955</v>
      </c>
      <c r="Z41" s="520">
        <f t="shared" si="9"/>
        <v>955</v>
      </c>
      <c r="AA41" s="520">
        <f t="shared" si="9"/>
        <v>955</v>
      </c>
      <c r="AB41" s="520">
        <f t="shared" si="9"/>
        <v>955</v>
      </c>
      <c r="AC41" s="520">
        <f t="shared" si="9"/>
        <v>955</v>
      </c>
      <c r="AD41" s="520">
        <f t="shared" si="9"/>
        <v>955</v>
      </c>
      <c r="AE41" s="520">
        <f t="shared" si="9"/>
        <v>845</v>
      </c>
      <c r="AF41" s="520">
        <f t="shared" si="9"/>
        <v>955</v>
      </c>
      <c r="AG41" s="520">
        <f t="shared" si="9"/>
        <v>955</v>
      </c>
    </row>
    <row r="42" spans="1:33" s="522" customFormat="1">
      <c r="A42" s="230" t="s">
        <v>28</v>
      </c>
      <c r="B42" s="506">
        <f>IFERROR(B43/B41,0)</f>
        <v>2.2261660313865588</v>
      </c>
      <c r="C42" s="521">
        <f t="shared" ref="C42:K42" si="10">IFERROR((+C12*C13+C32*C33+C22*C23)/(+C12+C32+C22),0)</f>
        <v>2.2027283562768369</v>
      </c>
      <c r="D42" s="521">
        <f t="shared" si="10"/>
        <v>2.2398948598130839</v>
      </c>
      <c r="E42" s="521">
        <f t="shared" si="10"/>
        <v>2.2398948598130839</v>
      </c>
      <c r="F42" s="521">
        <f t="shared" si="10"/>
        <v>2.2398948598130839</v>
      </c>
      <c r="G42" s="521">
        <f t="shared" si="10"/>
        <v>2.2398948598130839</v>
      </c>
      <c r="H42" s="521">
        <f t="shared" si="10"/>
        <v>2.2398948598130839</v>
      </c>
      <c r="I42" s="521">
        <f t="shared" si="10"/>
        <v>2.2398948598130839</v>
      </c>
      <c r="J42" s="521">
        <f t="shared" si="10"/>
        <v>2.2027283562768369</v>
      </c>
      <c r="K42" s="521">
        <f t="shared" si="10"/>
        <v>2.2398948598130839</v>
      </c>
      <c r="L42" s="521">
        <f>IFERROR((+L12*L13+L32*L33+L22*L23)/(+L12+L32+L22),0)</f>
        <v>2.2398948598130839</v>
      </c>
      <c r="M42" s="521">
        <f t="shared" ref="M42:AG42" si="11">IFERROR((+M12*M13+M32*M33+M22*M23)/(+M12+M32+M22),0)</f>
        <v>0</v>
      </c>
      <c r="N42" s="521">
        <f t="shared" si="11"/>
        <v>0</v>
      </c>
      <c r="O42" s="521">
        <f t="shared" si="11"/>
        <v>2.2398948598130839</v>
      </c>
      <c r="P42" s="521">
        <f t="shared" si="11"/>
        <v>2.2398948598130839</v>
      </c>
      <c r="Q42" s="521">
        <f t="shared" si="11"/>
        <v>2.2134888480148471</v>
      </c>
      <c r="R42" s="521">
        <f t="shared" si="11"/>
        <v>2.2507991227567223</v>
      </c>
      <c r="S42" s="521">
        <f t="shared" si="11"/>
        <v>2.2507991227567223</v>
      </c>
      <c r="T42" s="521">
        <f t="shared" si="11"/>
        <v>2.2507991227567223</v>
      </c>
      <c r="U42" s="521">
        <f t="shared" si="11"/>
        <v>2.2134888480148471</v>
      </c>
      <c r="V42" s="521">
        <f t="shared" si="11"/>
        <v>2.2507991227567223</v>
      </c>
      <c r="W42" s="521">
        <f t="shared" si="11"/>
        <v>2.2507991227567223</v>
      </c>
      <c r="X42" s="521">
        <f t="shared" si="11"/>
        <v>2.2119776630620933</v>
      </c>
      <c r="Y42" s="521">
        <f t="shared" si="11"/>
        <v>2.2119776630620933</v>
      </c>
      <c r="Z42" s="521">
        <f t="shared" si="11"/>
        <v>2.2119776630620933</v>
      </c>
      <c r="AA42" s="521">
        <f t="shared" si="11"/>
        <v>2.2119776630620933</v>
      </c>
      <c r="AB42" s="521">
        <f t="shared" si="11"/>
        <v>2.2119776630620933</v>
      </c>
      <c r="AC42" s="521">
        <f t="shared" si="11"/>
        <v>2.2119776630620933</v>
      </c>
      <c r="AD42" s="521">
        <f t="shared" si="11"/>
        <v>2.2119776630620933</v>
      </c>
      <c r="AE42" s="521">
        <f t="shared" si="11"/>
        <v>2.1757952911574407</v>
      </c>
      <c r="AF42" s="521">
        <f t="shared" si="11"/>
        <v>2.2119776630620933</v>
      </c>
      <c r="AG42" s="521">
        <f t="shared" si="11"/>
        <v>2.2119776630620933</v>
      </c>
    </row>
    <row r="43" spans="1:33" s="518" customFormat="1">
      <c r="A43" s="230" t="s">
        <v>1708</v>
      </c>
      <c r="B43" s="505">
        <f>SUM(C43:AG43)</f>
        <v>55442.665011682242</v>
      </c>
      <c r="C43" s="520">
        <f t="shared" ref="C43:K43" si="12">C41*C42</f>
        <v>1630.0189836448594</v>
      </c>
      <c r="D43" s="520">
        <f t="shared" si="12"/>
        <v>1903.9106308411212</v>
      </c>
      <c r="E43" s="520">
        <f t="shared" si="12"/>
        <v>1903.9106308411212</v>
      </c>
      <c r="F43" s="520">
        <f t="shared" si="12"/>
        <v>1903.9106308411212</v>
      </c>
      <c r="G43" s="520">
        <f t="shared" si="12"/>
        <v>1903.9106308411212</v>
      </c>
      <c r="H43" s="520">
        <f t="shared" si="12"/>
        <v>1903.9106308411212</v>
      </c>
      <c r="I43" s="520">
        <f t="shared" si="12"/>
        <v>1903.9106308411212</v>
      </c>
      <c r="J43" s="520">
        <f t="shared" si="12"/>
        <v>1630.0189836448594</v>
      </c>
      <c r="K43" s="520">
        <f t="shared" si="12"/>
        <v>1903.9106308411212</v>
      </c>
      <c r="L43" s="520">
        <f>L41*L42</f>
        <v>1903.9106308411212</v>
      </c>
      <c r="M43" s="520">
        <f t="shared" ref="M43:AG43" si="13">M41*M42</f>
        <v>0</v>
      </c>
      <c r="N43" s="520">
        <f t="shared" si="13"/>
        <v>0</v>
      </c>
      <c r="O43" s="520">
        <f t="shared" si="13"/>
        <v>1903.9106308411212</v>
      </c>
      <c r="P43" s="520">
        <f t="shared" si="13"/>
        <v>1903.9106308411212</v>
      </c>
      <c r="Q43" s="520">
        <f t="shared" si="13"/>
        <v>1560.5096378504672</v>
      </c>
      <c r="R43" s="520">
        <f t="shared" si="13"/>
        <v>1834.4012850467286</v>
      </c>
      <c r="S43" s="520">
        <f t="shared" si="13"/>
        <v>1834.4012850467286</v>
      </c>
      <c r="T43" s="520">
        <f t="shared" si="13"/>
        <v>1834.4012850467286</v>
      </c>
      <c r="U43" s="520">
        <f t="shared" si="13"/>
        <v>1560.5096378504672</v>
      </c>
      <c r="V43" s="520">
        <f t="shared" si="13"/>
        <v>1834.4012850467286</v>
      </c>
      <c r="W43" s="520">
        <f t="shared" si="13"/>
        <v>1834.4012850467286</v>
      </c>
      <c r="X43" s="520">
        <f t="shared" si="13"/>
        <v>2112.4386682242989</v>
      </c>
      <c r="Y43" s="520">
        <f t="shared" si="13"/>
        <v>2112.4386682242989</v>
      </c>
      <c r="Z43" s="520">
        <f t="shared" si="13"/>
        <v>2112.4386682242989</v>
      </c>
      <c r="AA43" s="520">
        <f t="shared" si="13"/>
        <v>2112.4386682242989</v>
      </c>
      <c r="AB43" s="520">
        <f t="shared" si="13"/>
        <v>2112.4386682242989</v>
      </c>
      <c r="AC43" s="520">
        <f t="shared" si="13"/>
        <v>2112.4386682242989</v>
      </c>
      <c r="AD43" s="520">
        <f t="shared" si="13"/>
        <v>2112.4386682242989</v>
      </c>
      <c r="AE43" s="520">
        <f t="shared" si="13"/>
        <v>1838.5470210280375</v>
      </c>
      <c r="AF43" s="520">
        <f t="shared" si="13"/>
        <v>2112.4386682242989</v>
      </c>
      <c r="AG43" s="520">
        <f t="shared" si="13"/>
        <v>2112.4386682242989</v>
      </c>
    </row>
    <row r="44" spans="1:33" s="518" customFormat="1" hidden="1">
      <c r="A44" s="230" t="s">
        <v>1717</v>
      </c>
      <c r="B44" s="505">
        <f>SUM(C44:AF44)</f>
        <v>0</v>
      </c>
      <c r="C44" s="520">
        <f t="shared" ref="C44:K44" si="14">C37+C40</f>
        <v>0</v>
      </c>
      <c r="D44" s="520">
        <f t="shared" si="14"/>
        <v>0</v>
      </c>
      <c r="E44" s="520">
        <f t="shared" si="14"/>
        <v>0</v>
      </c>
      <c r="F44" s="520">
        <f t="shared" si="14"/>
        <v>0</v>
      </c>
      <c r="G44" s="520">
        <f t="shared" si="14"/>
        <v>0</v>
      </c>
      <c r="H44" s="520">
        <f t="shared" si="14"/>
        <v>0</v>
      </c>
      <c r="I44" s="520">
        <f t="shared" si="14"/>
        <v>0</v>
      </c>
      <c r="J44" s="520">
        <f t="shared" si="14"/>
        <v>0</v>
      </c>
      <c r="K44" s="520">
        <f t="shared" si="14"/>
        <v>0</v>
      </c>
      <c r="L44" s="520">
        <f>L37+L40</f>
        <v>0</v>
      </c>
      <c r="M44" s="520">
        <f t="shared" ref="M44:AF44" si="15">M37+M40</f>
        <v>0</v>
      </c>
      <c r="N44" s="520">
        <f t="shared" si="15"/>
        <v>0</v>
      </c>
      <c r="O44" s="520">
        <f t="shared" si="15"/>
        <v>0</v>
      </c>
      <c r="P44" s="520">
        <f t="shared" si="15"/>
        <v>0</v>
      </c>
      <c r="Q44" s="520">
        <f t="shared" si="15"/>
        <v>0</v>
      </c>
      <c r="R44" s="520">
        <f t="shared" si="15"/>
        <v>0</v>
      </c>
      <c r="S44" s="520">
        <f t="shared" si="15"/>
        <v>0</v>
      </c>
      <c r="T44" s="520">
        <f t="shared" si="15"/>
        <v>0</v>
      </c>
      <c r="U44" s="520">
        <f t="shared" si="15"/>
        <v>0</v>
      </c>
      <c r="V44" s="520">
        <f t="shared" si="15"/>
        <v>0</v>
      </c>
      <c r="W44" s="520">
        <f t="shared" si="15"/>
        <v>0</v>
      </c>
      <c r="X44" s="520">
        <f t="shared" si="15"/>
        <v>0</v>
      </c>
      <c r="Y44" s="520">
        <f t="shared" si="15"/>
        <v>0</v>
      </c>
      <c r="Z44" s="520">
        <f t="shared" si="15"/>
        <v>0</v>
      </c>
      <c r="AA44" s="520">
        <f t="shared" si="15"/>
        <v>0</v>
      </c>
      <c r="AB44" s="520">
        <f t="shared" si="15"/>
        <v>0</v>
      </c>
      <c r="AC44" s="520">
        <f t="shared" si="15"/>
        <v>0</v>
      </c>
      <c r="AD44" s="520">
        <f t="shared" si="15"/>
        <v>0</v>
      </c>
      <c r="AE44" s="520">
        <f t="shared" si="15"/>
        <v>0</v>
      </c>
      <c r="AF44" s="520">
        <f t="shared" si="15"/>
        <v>0</v>
      </c>
    </row>
    <row r="45" spans="1:33" s="518" customFormat="1" hidden="1">
      <c r="A45" s="230" t="s">
        <v>1718</v>
      </c>
      <c r="B45" s="505">
        <f>SUM(C45:AF45)</f>
        <v>23950</v>
      </c>
      <c r="C45" s="520">
        <f t="shared" ref="C45:K45" si="16">C39+C41</f>
        <v>740</v>
      </c>
      <c r="D45" s="520">
        <f t="shared" si="16"/>
        <v>850</v>
      </c>
      <c r="E45" s="520">
        <f t="shared" si="16"/>
        <v>850</v>
      </c>
      <c r="F45" s="520">
        <f t="shared" si="16"/>
        <v>850</v>
      </c>
      <c r="G45" s="520">
        <f t="shared" si="16"/>
        <v>850</v>
      </c>
      <c r="H45" s="520">
        <f t="shared" si="16"/>
        <v>850</v>
      </c>
      <c r="I45" s="520">
        <f t="shared" si="16"/>
        <v>850</v>
      </c>
      <c r="J45" s="520">
        <f t="shared" si="16"/>
        <v>740</v>
      </c>
      <c r="K45" s="520">
        <f t="shared" si="16"/>
        <v>850</v>
      </c>
      <c r="L45" s="520">
        <f>L39+L41</f>
        <v>850</v>
      </c>
      <c r="M45" s="520">
        <f t="shared" ref="M45:AF45" si="17">M39+M41</f>
        <v>0</v>
      </c>
      <c r="N45" s="520">
        <f t="shared" si="17"/>
        <v>0</v>
      </c>
      <c r="O45" s="520">
        <f t="shared" si="17"/>
        <v>850</v>
      </c>
      <c r="P45" s="520">
        <f t="shared" si="17"/>
        <v>850</v>
      </c>
      <c r="Q45" s="520">
        <f t="shared" si="17"/>
        <v>705</v>
      </c>
      <c r="R45" s="520">
        <f t="shared" si="17"/>
        <v>815</v>
      </c>
      <c r="S45" s="520">
        <f t="shared" si="17"/>
        <v>815</v>
      </c>
      <c r="T45" s="520">
        <f t="shared" si="17"/>
        <v>815</v>
      </c>
      <c r="U45" s="520">
        <f t="shared" si="17"/>
        <v>705</v>
      </c>
      <c r="V45" s="520">
        <f t="shared" si="17"/>
        <v>815</v>
      </c>
      <c r="W45" s="520">
        <f t="shared" si="17"/>
        <v>815</v>
      </c>
      <c r="X45" s="520">
        <f t="shared" si="17"/>
        <v>955</v>
      </c>
      <c r="Y45" s="520">
        <f t="shared" si="17"/>
        <v>955</v>
      </c>
      <c r="Z45" s="520">
        <f t="shared" si="17"/>
        <v>955</v>
      </c>
      <c r="AA45" s="520">
        <f t="shared" si="17"/>
        <v>955</v>
      </c>
      <c r="AB45" s="520">
        <f t="shared" si="17"/>
        <v>955</v>
      </c>
      <c r="AC45" s="520">
        <f t="shared" si="17"/>
        <v>955</v>
      </c>
      <c r="AD45" s="520">
        <f t="shared" si="17"/>
        <v>955</v>
      </c>
      <c r="AE45" s="520">
        <f t="shared" si="17"/>
        <v>845</v>
      </c>
      <c r="AF45" s="520">
        <f t="shared" si="17"/>
        <v>955</v>
      </c>
    </row>
    <row r="46" spans="1:33" s="518" customFormat="1" hidden="1">
      <c r="A46" s="230" t="s">
        <v>1709</v>
      </c>
      <c r="B46" s="523">
        <f>IFERROR(B37/B40,0)</f>
        <v>0</v>
      </c>
      <c r="C46" s="523">
        <f t="shared" ref="C46:K46" si="18">IFERROR(C37/C40,0)</f>
        <v>0</v>
      </c>
      <c r="D46" s="523">
        <f t="shared" si="18"/>
        <v>0</v>
      </c>
      <c r="E46" s="523">
        <f t="shared" si="18"/>
        <v>0</v>
      </c>
      <c r="F46" s="523">
        <f t="shared" si="18"/>
        <v>0</v>
      </c>
      <c r="G46" s="523">
        <f t="shared" si="18"/>
        <v>0</v>
      </c>
      <c r="H46" s="523">
        <f t="shared" si="18"/>
        <v>0</v>
      </c>
      <c r="I46" s="523">
        <f t="shared" si="18"/>
        <v>0</v>
      </c>
      <c r="J46" s="523">
        <f>IFERROR(J37/J40,0)</f>
        <v>0</v>
      </c>
      <c r="K46" s="523">
        <f t="shared" si="18"/>
        <v>0</v>
      </c>
      <c r="L46" s="523">
        <f>IFERROR(L37/L40,0)</f>
        <v>0</v>
      </c>
      <c r="M46" s="523">
        <f t="shared" ref="M46:AF46" si="19">IFERROR(M37/M40,0)</f>
        <v>0</v>
      </c>
      <c r="N46" s="523">
        <f t="shared" si="19"/>
        <v>0</v>
      </c>
      <c r="O46" s="523">
        <f t="shared" si="19"/>
        <v>0</v>
      </c>
      <c r="P46" s="523">
        <f>IFERROR(P37/P40,0)</f>
        <v>0</v>
      </c>
      <c r="Q46" s="523">
        <f t="shared" si="19"/>
        <v>0</v>
      </c>
      <c r="R46" s="523">
        <f t="shared" si="19"/>
        <v>0</v>
      </c>
      <c r="S46" s="523">
        <f t="shared" si="19"/>
        <v>0</v>
      </c>
      <c r="T46" s="523">
        <f t="shared" si="19"/>
        <v>0</v>
      </c>
      <c r="U46" s="523">
        <f t="shared" si="19"/>
        <v>0</v>
      </c>
      <c r="V46" s="523">
        <f t="shared" si="19"/>
        <v>0</v>
      </c>
      <c r="W46" s="523">
        <f t="shared" si="19"/>
        <v>0</v>
      </c>
      <c r="X46" s="523">
        <f t="shared" si="19"/>
        <v>0</v>
      </c>
      <c r="Y46" s="523">
        <f t="shared" si="19"/>
        <v>0</v>
      </c>
      <c r="Z46" s="523">
        <f t="shared" si="19"/>
        <v>0</v>
      </c>
      <c r="AA46" s="523">
        <f t="shared" si="19"/>
        <v>0</v>
      </c>
      <c r="AB46" s="523">
        <f t="shared" si="19"/>
        <v>0</v>
      </c>
      <c r="AC46" s="523">
        <f t="shared" si="19"/>
        <v>0</v>
      </c>
      <c r="AD46" s="523">
        <f t="shared" si="19"/>
        <v>0</v>
      </c>
      <c r="AE46" s="523">
        <f t="shared" si="19"/>
        <v>0</v>
      </c>
      <c r="AF46" s="523">
        <f t="shared" si="19"/>
        <v>0</v>
      </c>
    </row>
    <row r="49" spans="1:33" s="522" customFormat="1">
      <c r="A49" s="524" t="s">
        <v>1719</v>
      </c>
      <c r="B49" s="525" t="s">
        <v>1720</v>
      </c>
      <c r="C49" s="2667"/>
      <c r="D49" s="2667"/>
      <c r="E49" s="2667"/>
      <c r="F49" s="2667"/>
      <c r="G49" s="2667"/>
      <c r="H49" s="2667"/>
      <c r="I49" s="2667"/>
      <c r="J49" s="2667"/>
      <c r="K49" s="2667"/>
      <c r="L49" s="2667"/>
      <c r="M49" s="2667"/>
      <c r="N49" s="2667"/>
      <c r="O49" s="2667"/>
      <c r="P49" s="2667"/>
      <c r="Q49" s="2667"/>
      <c r="R49" s="2667"/>
      <c r="S49" s="2667"/>
      <c r="T49" s="2667"/>
      <c r="U49" s="2667"/>
      <c r="V49" s="2667"/>
      <c r="W49" s="2667"/>
      <c r="X49" s="2667"/>
      <c r="Y49" s="2667"/>
      <c r="Z49" s="2667"/>
      <c r="AA49" s="2667"/>
      <c r="AB49" s="2667"/>
      <c r="AC49" s="2667"/>
      <c r="AD49" s="2667"/>
      <c r="AE49" s="2667"/>
      <c r="AF49" s="2667"/>
      <c r="AG49" s="2667"/>
    </row>
    <row r="50" spans="1:33" s="522" customFormat="1">
      <c r="A50" s="2668" t="s">
        <v>1721</v>
      </c>
      <c r="B50" s="526">
        <v>0</v>
      </c>
      <c r="C50" s="2669">
        <f>B50-C81</f>
        <v>0</v>
      </c>
      <c r="D50" s="2669">
        <f>C50-D81</f>
        <v>0</v>
      </c>
      <c r="E50" s="2669">
        <f t="shared" ref="E50:AG50" si="20">D50-E81</f>
        <v>0</v>
      </c>
      <c r="F50" s="2669">
        <f t="shared" si="20"/>
        <v>0</v>
      </c>
      <c r="G50" s="2669">
        <f t="shared" si="20"/>
        <v>0</v>
      </c>
      <c r="H50" s="2669">
        <f t="shared" si="20"/>
        <v>0</v>
      </c>
      <c r="I50" s="2669">
        <f t="shared" si="20"/>
        <v>0</v>
      </c>
      <c r="J50" s="2669">
        <f t="shared" si="20"/>
        <v>0</v>
      </c>
      <c r="K50" s="2669">
        <f t="shared" si="20"/>
        <v>0</v>
      </c>
      <c r="L50" s="2669">
        <f t="shared" si="20"/>
        <v>0</v>
      </c>
      <c r="M50" s="2669">
        <f t="shared" si="20"/>
        <v>0</v>
      </c>
      <c r="N50" s="2669">
        <f t="shared" si="20"/>
        <v>0</v>
      </c>
      <c r="O50" s="2669">
        <f t="shared" si="20"/>
        <v>0</v>
      </c>
      <c r="P50" s="2669">
        <f t="shared" si="20"/>
        <v>0</v>
      </c>
      <c r="Q50" s="2669">
        <f t="shared" si="20"/>
        <v>0</v>
      </c>
      <c r="R50" s="2669">
        <f t="shared" si="20"/>
        <v>0</v>
      </c>
      <c r="S50" s="2669">
        <f t="shared" si="20"/>
        <v>0</v>
      </c>
      <c r="T50" s="2669">
        <f t="shared" si="20"/>
        <v>0</v>
      </c>
      <c r="U50" s="2669">
        <f t="shared" si="20"/>
        <v>0</v>
      </c>
      <c r="V50" s="2669">
        <f t="shared" si="20"/>
        <v>0</v>
      </c>
      <c r="W50" s="2669">
        <f t="shared" si="20"/>
        <v>0</v>
      </c>
      <c r="X50" s="2669">
        <f t="shared" si="20"/>
        <v>0</v>
      </c>
      <c r="Y50" s="2669">
        <f t="shared" si="20"/>
        <v>0</v>
      </c>
      <c r="Z50" s="2669">
        <f t="shared" si="20"/>
        <v>0</v>
      </c>
      <c r="AA50" s="2669">
        <f t="shared" si="20"/>
        <v>0</v>
      </c>
      <c r="AB50" s="2669">
        <f t="shared" si="20"/>
        <v>0</v>
      </c>
      <c r="AC50" s="2669">
        <f t="shared" si="20"/>
        <v>0</v>
      </c>
      <c r="AD50" s="2669">
        <f t="shared" si="20"/>
        <v>0</v>
      </c>
      <c r="AE50" s="2669">
        <f t="shared" si="20"/>
        <v>0</v>
      </c>
      <c r="AF50" s="2669">
        <f t="shared" si="20"/>
        <v>0</v>
      </c>
      <c r="AG50" s="2669">
        <f t="shared" si="20"/>
        <v>0</v>
      </c>
    </row>
    <row r="51" spans="1:33" s="522" customFormat="1">
      <c r="A51" s="2668" t="s">
        <v>1722</v>
      </c>
      <c r="B51" s="527"/>
      <c r="C51" s="2670">
        <f>IFERROR(C52/C50,0)</f>
        <v>0</v>
      </c>
      <c r="D51" s="2670">
        <f>IFERROR(D52/D50,0)</f>
        <v>0</v>
      </c>
      <c r="E51" s="2670">
        <f t="shared" ref="E51:O51" si="21">IFERROR(E52/E50,0)</f>
        <v>0</v>
      </c>
      <c r="F51" s="2670">
        <f t="shared" si="21"/>
        <v>0</v>
      </c>
      <c r="G51" s="2670">
        <f t="shared" si="21"/>
        <v>0</v>
      </c>
      <c r="H51" s="2670">
        <f t="shared" si="21"/>
        <v>0</v>
      </c>
      <c r="I51" s="2670">
        <f t="shared" si="21"/>
        <v>0</v>
      </c>
      <c r="J51" s="2670">
        <f t="shared" si="21"/>
        <v>0</v>
      </c>
      <c r="K51" s="2670">
        <f t="shared" si="21"/>
        <v>0</v>
      </c>
      <c r="L51" s="2670">
        <f t="shared" si="21"/>
        <v>0</v>
      </c>
      <c r="M51" s="2670">
        <f t="shared" si="21"/>
        <v>0</v>
      </c>
      <c r="N51" s="2670">
        <f t="shared" si="21"/>
        <v>0</v>
      </c>
      <c r="O51" s="2670">
        <f t="shared" si="21"/>
        <v>0</v>
      </c>
      <c r="P51" s="2670">
        <f>IFERROR(P52/P50,0)</f>
        <v>0</v>
      </c>
      <c r="Q51" s="2670">
        <f t="shared" ref="Q51:AG51" si="22">IFERROR(Q52/Q50,0)</f>
        <v>0</v>
      </c>
      <c r="R51" s="2670">
        <f t="shared" si="22"/>
        <v>0</v>
      </c>
      <c r="S51" s="2670">
        <f t="shared" si="22"/>
        <v>0</v>
      </c>
      <c r="T51" s="2670">
        <f t="shared" si="22"/>
        <v>0</v>
      </c>
      <c r="U51" s="2670">
        <f t="shared" si="22"/>
        <v>0</v>
      </c>
      <c r="V51" s="2670">
        <f t="shared" si="22"/>
        <v>0</v>
      </c>
      <c r="W51" s="2670">
        <f t="shared" si="22"/>
        <v>0</v>
      </c>
      <c r="X51" s="2670">
        <f t="shared" si="22"/>
        <v>0</v>
      </c>
      <c r="Y51" s="2670">
        <f t="shared" si="22"/>
        <v>0</v>
      </c>
      <c r="Z51" s="2670">
        <f t="shared" si="22"/>
        <v>0</v>
      </c>
      <c r="AA51" s="2670">
        <f t="shared" si="22"/>
        <v>0</v>
      </c>
      <c r="AB51" s="2670">
        <f t="shared" si="22"/>
        <v>0</v>
      </c>
      <c r="AC51" s="2670">
        <f t="shared" si="22"/>
        <v>0</v>
      </c>
      <c r="AD51" s="2670">
        <f t="shared" si="22"/>
        <v>0</v>
      </c>
      <c r="AE51" s="2670">
        <f t="shared" si="22"/>
        <v>0</v>
      </c>
      <c r="AF51" s="2670">
        <f t="shared" si="22"/>
        <v>0</v>
      </c>
      <c r="AG51" s="2670">
        <f t="shared" si="22"/>
        <v>0</v>
      </c>
    </row>
    <row r="52" spans="1:33" s="518" customFormat="1">
      <c r="A52" s="2671" t="s">
        <v>1723</v>
      </c>
      <c r="B52" s="528">
        <f>B50*B51</f>
        <v>0</v>
      </c>
      <c r="C52" s="2669">
        <f>IFERROR(B52-C83,0)</f>
        <v>0</v>
      </c>
      <c r="D52" s="2669">
        <f t="shared" ref="D52:AG52" si="23">C52-D83</f>
        <v>0</v>
      </c>
      <c r="E52" s="2669">
        <f t="shared" si="23"/>
        <v>0</v>
      </c>
      <c r="F52" s="2669">
        <f t="shared" si="23"/>
        <v>0</v>
      </c>
      <c r="G52" s="2669">
        <f t="shared" si="23"/>
        <v>0</v>
      </c>
      <c r="H52" s="2669">
        <f t="shared" si="23"/>
        <v>0</v>
      </c>
      <c r="I52" s="2669">
        <f t="shared" si="23"/>
        <v>0</v>
      </c>
      <c r="J52" s="2669">
        <f t="shared" si="23"/>
        <v>0</v>
      </c>
      <c r="K52" s="2669">
        <f t="shared" si="23"/>
        <v>0</v>
      </c>
      <c r="L52" s="2669">
        <f t="shared" si="23"/>
        <v>0</v>
      </c>
      <c r="M52" s="2669">
        <f t="shared" si="23"/>
        <v>0</v>
      </c>
      <c r="N52" s="2669">
        <f t="shared" si="23"/>
        <v>0</v>
      </c>
      <c r="O52" s="2669">
        <f t="shared" si="23"/>
        <v>0</v>
      </c>
      <c r="P52" s="2669">
        <f t="shared" si="23"/>
        <v>0</v>
      </c>
      <c r="Q52" s="2669">
        <f t="shared" si="23"/>
        <v>0</v>
      </c>
      <c r="R52" s="2669">
        <f t="shared" si="23"/>
        <v>0</v>
      </c>
      <c r="S52" s="2669">
        <f t="shared" si="23"/>
        <v>0</v>
      </c>
      <c r="T52" s="2669">
        <f t="shared" si="23"/>
        <v>0</v>
      </c>
      <c r="U52" s="2669">
        <f t="shared" si="23"/>
        <v>0</v>
      </c>
      <c r="V52" s="2669">
        <f t="shared" si="23"/>
        <v>0</v>
      </c>
      <c r="W52" s="2669">
        <f t="shared" si="23"/>
        <v>0</v>
      </c>
      <c r="X52" s="2669">
        <f t="shared" si="23"/>
        <v>0</v>
      </c>
      <c r="Y52" s="2669">
        <f t="shared" si="23"/>
        <v>0</v>
      </c>
      <c r="Z52" s="2669">
        <f t="shared" si="23"/>
        <v>0</v>
      </c>
      <c r="AA52" s="2669">
        <f t="shared" si="23"/>
        <v>0</v>
      </c>
      <c r="AB52" s="2669">
        <f t="shared" si="23"/>
        <v>0</v>
      </c>
      <c r="AC52" s="2669">
        <f t="shared" si="23"/>
        <v>0</v>
      </c>
      <c r="AD52" s="2669">
        <f t="shared" si="23"/>
        <v>0</v>
      </c>
      <c r="AE52" s="2669">
        <f t="shared" si="23"/>
        <v>0</v>
      </c>
      <c r="AF52" s="2669">
        <f t="shared" si="23"/>
        <v>0</v>
      </c>
      <c r="AG52" s="2669">
        <f t="shared" si="23"/>
        <v>0</v>
      </c>
    </row>
    <row r="53" spans="1:33" s="529" customFormat="1">
      <c r="A53" s="1252"/>
      <c r="B53" s="1253"/>
      <c r="C53" s="1253"/>
      <c r="D53" s="1253"/>
      <c r="E53" s="1253"/>
      <c r="F53" s="1253"/>
      <c r="G53" s="1253"/>
      <c r="H53" s="1253"/>
      <c r="I53" s="1253"/>
      <c r="J53" s="1253"/>
      <c r="K53" s="1253"/>
      <c r="L53" s="1253"/>
      <c r="M53" s="1253"/>
      <c r="N53" s="1253"/>
      <c r="O53" s="1253"/>
      <c r="P53" s="1253"/>
      <c r="Q53" s="1253"/>
      <c r="R53" s="1253"/>
      <c r="S53" s="1253"/>
      <c r="T53" s="1253"/>
      <c r="U53" s="1253"/>
      <c r="V53" s="1253"/>
      <c r="W53" s="1253"/>
      <c r="X53" s="1253"/>
      <c r="Y53" s="1253"/>
      <c r="Z53" s="1253"/>
      <c r="AA53" s="1253"/>
      <c r="AB53" s="1253"/>
      <c r="AC53" s="1253"/>
      <c r="AD53" s="1253"/>
      <c r="AE53" s="1253"/>
      <c r="AF53" s="1253"/>
      <c r="AG53" s="1253"/>
    </row>
    <row r="54" spans="1:33" s="522" customFormat="1">
      <c r="A54" s="230" t="s">
        <v>1724</v>
      </c>
      <c r="B54" s="530" t="s">
        <v>1720</v>
      </c>
      <c r="C54" s="531"/>
      <c r="D54" s="531"/>
      <c r="E54" s="531"/>
      <c r="F54" s="531"/>
      <c r="G54" s="531"/>
      <c r="H54" s="531"/>
      <c r="I54" s="531"/>
      <c r="J54" s="531"/>
      <c r="K54" s="531"/>
      <c r="L54" s="531"/>
      <c r="M54" s="531"/>
      <c r="N54" s="531"/>
      <c r="O54" s="531"/>
      <c r="P54" s="531"/>
      <c r="Q54" s="531"/>
      <c r="R54" s="531"/>
      <c r="S54" s="531"/>
      <c r="T54" s="531"/>
      <c r="U54" s="531"/>
      <c r="V54" s="531"/>
      <c r="W54" s="531"/>
      <c r="X54" s="531"/>
      <c r="Y54" s="531"/>
      <c r="Z54" s="531"/>
      <c r="AA54" s="531"/>
      <c r="AB54" s="531"/>
      <c r="AC54" s="531"/>
      <c r="AD54" s="531"/>
      <c r="AE54" s="531"/>
      <c r="AF54" s="531"/>
      <c r="AG54" s="531"/>
    </row>
    <row r="55" spans="1:33" s="522" customFormat="1">
      <c r="A55" s="524" t="s">
        <v>1725</v>
      </c>
      <c r="B55" s="525"/>
      <c r="C55" s="2667"/>
      <c r="D55" s="2667"/>
      <c r="E55" s="2667"/>
      <c r="F55" s="2667"/>
      <c r="G55" s="2667"/>
      <c r="H55" s="2667"/>
      <c r="I55" s="2667"/>
      <c r="J55" s="2667"/>
      <c r="K55" s="2667"/>
      <c r="L55" s="2667"/>
      <c r="M55" s="2667"/>
      <c r="N55" s="2667"/>
      <c r="O55" s="2667"/>
      <c r="P55" s="2667"/>
      <c r="Q55" s="2667"/>
      <c r="R55" s="2667"/>
      <c r="S55" s="2667"/>
      <c r="T55" s="2667"/>
      <c r="U55" s="2667"/>
      <c r="V55" s="2667"/>
      <c r="W55" s="2667"/>
      <c r="X55" s="2667"/>
      <c r="Y55" s="2667"/>
      <c r="Z55" s="2667"/>
      <c r="AA55" s="2667"/>
      <c r="AB55" s="2667"/>
      <c r="AC55" s="2667"/>
      <c r="AD55" s="2667"/>
      <c r="AE55" s="2667"/>
      <c r="AF55" s="2667"/>
      <c r="AG55" s="2667"/>
    </row>
    <row r="56" spans="1:33" s="533" customFormat="1">
      <c r="A56" s="2672" t="s">
        <v>1721</v>
      </c>
      <c r="B56" s="532"/>
      <c r="C56" s="2673">
        <f>+C12+B56-C88</f>
        <v>740</v>
      </c>
      <c r="D56" s="2673">
        <f>C56+D12-D88</f>
        <v>1590</v>
      </c>
      <c r="E56" s="2673">
        <f t="shared" ref="E56:AG56" si="24">D56+E12-E88</f>
        <v>2440</v>
      </c>
      <c r="F56" s="2673">
        <f t="shared" si="24"/>
        <v>2116.1288000000004</v>
      </c>
      <c r="G56" s="2673">
        <f t="shared" si="24"/>
        <v>2379.1932000000006</v>
      </c>
      <c r="H56" s="2673">
        <f t="shared" si="24"/>
        <v>2055.322000000001</v>
      </c>
      <c r="I56" s="2673">
        <f t="shared" si="24"/>
        <v>1731.4508000000014</v>
      </c>
      <c r="J56" s="2673">
        <f t="shared" si="24"/>
        <v>2471.4508000000014</v>
      </c>
      <c r="K56" s="2673">
        <f t="shared" si="24"/>
        <v>3321.4508000000014</v>
      </c>
      <c r="L56" s="2673">
        <f t="shared" si="24"/>
        <v>4171.4508000000014</v>
      </c>
      <c r="M56" s="2673">
        <f t="shared" si="24"/>
        <v>2997.5796000000018</v>
      </c>
      <c r="N56" s="2673">
        <f t="shared" si="24"/>
        <v>1924.7768855674199</v>
      </c>
      <c r="O56" s="2673">
        <f t="shared" si="24"/>
        <v>1701.9741711348379</v>
      </c>
      <c r="P56" s="2673">
        <f t="shared" si="24"/>
        <v>1378.1029711348383</v>
      </c>
      <c r="Q56" s="2673">
        <f t="shared" si="24"/>
        <v>909.23177113483871</v>
      </c>
      <c r="R56" s="2673">
        <f t="shared" si="24"/>
        <v>550.36057113483912</v>
      </c>
      <c r="S56" s="2673">
        <f t="shared" si="24"/>
        <v>191.48937113483953</v>
      </c>
      <c r="T56" s="2673">
        <f t="shared" si="24"/>
        <v>0</v>
      </c>
      <c r="U56" s="2673">
        <f t="shared" si="24"/>
        <v>705</v>
      </c>
      <c r="V56" s="2673">
        <f t="shared" si="24"/>
        <v>1520</v>
      </c>
      <c r="W56" s="2673">
        <f t="shared" si="24"/>
        <v>1161.1288000000004</v>
      </c>
      <c r="X56" s="2673">
        <f t="shared" si="24"/>
        <v>942.25760000000082</v>
      </c>
      <c r="Y56" s="2673">
        <f t="shared" si="24"/>
        <v>723.38640000000123</v>
      </c>
      <c r="Z56" s="2673">
        <f t="shared" si="24"/>
        <v>504.51520000000164</v>
      </c>
      <c r="AA56" s="2673">
        <f t="shared" si="24"/>
        <v>285.64400000000205</v>
      </c>
      <c r="AB56" s="2673">
        <f t="shared" si="24"/>
        <v>653.70840000000226</v>
      </c>
      <c r="AC56" s="2673">
        <f t="shared" si="24"/>
        <v>434.83720000000267</v>
      </c>
      <c r="AD56" s="2673">
        <f t="shared" si="24"/>
        <v>215.96600000000308</v>
      </c>
      <c r="AE56" s="2673">
        <f t="shared" si="24"/>
        <v>0</v>
      </c>
      <c r="AF56" s="2673">
        <f t="shared" si="24"/>
        <v>0</v>
      </c>
      <c r="AG56" s="2673">
        <f t="shared" si="24"/>
        <v>0</v>
      </c>
    </row>
    <row r="57" spans="1:33" s="533" customFormat="1">
      <c r="A57" s="2672" t="s">
        <v>1722</v>
      </c>
      <c r="B57" s="534"/>
      <c r="C57" s="2674">
        <f>IFERROR(C58/C56,0)</f>
        <v>2.2027283562768369</v>
      </c>
      <c r="D57" s="2674">
        <f>IFERROR(D58/D56,0)</f>
        <v>2.2225972418150821</v>
      </c>
      <c r="E57" s="2674">
        <f t="shared" ref="E57:O57" si="25">IFERROR(E58/E56,0)</f>
        <v>2.2286230513635665</v>
      </c>
      <c r="F57" s="2674">
        <f t="shared" si="25"/>
        <v>2.2315352207198242</v>
      </c>
      <c r="G57" s="2674">
        <f t="shared" si="25"/>
        <v>2.2339308325453358</v>
      </c>
      <c r="H57" s="2674">
        <f t="shared" si="25"/>
        <v>2.2355007055332963</v>
      </c>
      <c r="I57" s="2674">
        <f t="shared" si="25"/>
        <v>2.2367862880394074</v>
      </c>
      <c r="J57" s="2674">
        <f t="shared" si="25"/>
        <v>2.2265886868958593</v>
      </c>
      <c r="K57" s="2674">
        <f t="shared" si="25"/>
        <v>2.229993899756348</v>
      </c>
      <c r="L57" s="2674">
        <f t="shared" si="25"/>
        <v>2.2320113791542178</v>
      </c>
      <c r="M57" s="2674">
        <f t="shared" si="25"/>
        <v>2.2320113791542178</v>
      </c>
      <c r="N57" s="2674">
        <f t="shared" si="25"/>
        <v>2.2320113791542178</v>
      </c>
      <c r="O57" s="2674">
        <f t="shared" si="25"/>
        <v>2.2344263331618319</v>
      </c>
      <c r="P57" s="2674">
        <f>IFERROR(P58/P56,0)</f>
        <v>2.236247765253951</v>
      </c>
      <c r="Q57" s="2674">
        <f t="shared" ref="Q57:AG57" si="26">IFERROR(Q58/Q56,0)</f>
        <v>2.2285452959685141</v>
      </c>
      <c r="R57" s="2674">
        <f t="shared" si="26"/>
        <v>2.2390641073812358</v>
      </c>
      <c r="S57" s="2674">
        <f t="shared" si="26"/>
        <v>2.2460688779401745</v>
      </c>
      <c r="T57" s="2674">
        <f t="shared" si="26"/>
        <v>0</v>
      </c>
      <c r="U57" s="2674">
        <f t="shared" si="26"/>
        <v>2.2134888480148471</v>
      </c>
      <c r="V57" s="2674">
        <f t="shared" si="26"/>
        <v>2.2334940282218394</v>
      </c>
      <c r="W57" s="2674">
        <f t="shared" si="26"/>
        <v>2.2395341361644219</v>
      </c>
      <c r="X57" s="2674">
        <f t="shared" si="26"/>
        <v>2.2270980161074934</v>
      </c>
      <c r="Y57" s="2674">
        <f t="shared" si="26"/>
        <v>2.2194870637737893</v>
      </c>
      <c r="Z57" s="2674">
        <f t="shared" si="26"/>
        <v>2.2152142230979646</v>
      </c>
      <c r="AA57" s="2674">
        <f t="shared" si="26"/>
        <v>2.2130964549279191</v>
      </c>
      <c r="AB57" s="2674">
        <f t="shared" si="26"/>
        <v>2.2122352520108342</v>
      </c>
      <c r="AC57" s="2674">
        <f t="shared" si="26"/>
        <v>2.2120823358912638</v>
      </c>
      <c r="AD57" s="2674">
        <f t="shared" si="26"/>
        <v>2.2120104119624346</v>
      </c>
      <c r="AE57" s="2674">
        <f t="shared" si="26"/>
        <v>0</v>
      </c>
      <c r="AF57" s="2674">
        <f t="shared" si="26"/>
        <v>0</v>
      </c>
      <c r="AG57" s="2674">
        <f t="shared" si="26"/>
        <v>0</v>
      </c>
    </row>
    <row r="58" spans="1:33" s="535" customFormat="1">
      <c r="A58" s="2675" t="s">
        <v>1723</v>
      </c>
      <c r="B58" s="532">
        <f>B56*B57</f>
        <v>0</v>
      </c>
      <c r="C58" s="2673">
        <f t="shared" ref="C58:AG58" si="27">C14+B58-C90</f>
        <v>1630.0189836448594</v>
      </c>
      <c r="D58" s="2673">
        <f t="shared" si="27"/>
        <v>3533.9296144859809</v>
      </c>
      <c r="E58" s="2673">
        <f t="shared" si="27"/>
        <v>5437.8402453271019</v>
      </c>
      <c r="F58" s="2673">
        <f t="shared" si="27"/>
        <v>4722.215948779578</v>
      </c>
      <c r="G58" s="2673">
        <f t="shared" si="27"/>
        <v>5314.9530460622027</v>
      </c>
      <c r="H58" s="2673">
        <f t="shared" si="27"/>
        <v>4594.6737810981076</v>
      </c>
      <c r="I58" s="2673">
        <f t="shared" si="27"/>
        <v>3872.8854078548652</v>
      </c>
      <c r="J58" s="2673">
        <f t="shared" si="27"/>
        <v>5502.9043914997246</v>
      </c>
      <c r="K58" s="2673">
        <f t="shared" si="27"/>
        <v>7406.8150223408456</v>
      </c>
      <c r="L58" s="2673">
        <f t="shared" si="27"/>
        <v>9310.7256531819676</v>
      </c>
      <c r="M58" s="2673">
        <f t="shared" si="27"/>
        <v>6690.6317771205522</v>
      </c>
      <c r="N58" s="2673">
        <f t="shared" si="27"/>
        <v>4296.1239109194967</v>
      </c>
      <c r="O58" s="2673">
        <f t="shared" si="27"/>
        <v>3802.9359063449638</v>
      </c>
      <c r="P58" s="2673">
        <f t="shared" si="27"/>
        <v>3081.7796894901121</v>
      </c>
      <c r="Q58" s="2673">
        <f t="shared" si="27"/>
        <v>2026.2641865076653</v>
      </c>
      <c r="R58" s="2673">
        <f t="shared" si="27"/>
        <v>1232.2926009458556</v>
      </c>
      <c r="S58" s="2673">
        <f t="shared" si="27"/>
        <v>430.09831696229867</v>
      </c>
      <c r="T58" s="2673">
        <f t="shared" si="27"/>
        <v>0</v>
      </c>
      <c r="U58" s="2673">
        <f t="shared" si="27"/>
        <v>1560.5096378504672</v>
      </c>
      <c r="V58" s="2673">
        <f t="shared" si="27"/>
        <v>3394.9109228971956</v>
      </c>
      <c r="W58" s="2673">
        <f t="shared" si="27"/>
        <v>2600.3875840836326</v>
      </c>
      <c r="X58" s="2673">
        <f t="shared" si="27"/>
        <v>2098.5000316222099</v>
      </c>
      <c r="Y58" s="2673">
        <f t="shared" si="27"/>
        <v>1605.5467569098946</v>
      </c>
      <c r="Z58" s="2673">
        <f t="shared" si="27"/>
        <v>1117.6092468091178</v>
      </c>
      <c r="AA58" s="2673">
        <f t="shared" si="27"/>
        <v>632.15772377143503</v>
      </c>
      <c r="AB58" s="2673">
        <f t="shared" si="27"/>
        <v>1446.1567670156041</v>
      </c>
      <c r="AC58" s="2673">
        <f t="shared" si="27"/>
        <v>961.89568910842263</v>
      </c>
      <c r="AD58" s="2673">
        <f t="shared" si="27"/>
        <v>477.71904062988597</v>
      </c>
      <c r="AE58" s="2673">
        <f t="shared" si="27"/>
        <v>0</v>
      </c>
      <c r="AF58" s="2673">
        <f t="shared" si="27"/>
        <v>0</v>
      </c>
      <c r="AG58" s="2673">
        <f t="shared" si="27"/>
        <v>0</v>
      </c>
    </row>
    <row r="59" spans="1:33" s="522" customFormat="1">
      <c r="A59" s="524" t="s">
        <v>1726</v>
      </c>
      <c r="B59" s="525"/>
      <c r="C59" s="536"/>
      <c r="D59" s="536"/>
      <c r="E59" s="536"/>
      <c r="F59" s="536"/>
      <c r="G59" s="536"/>
      <c r="H59" s="536"/>
      <c r="I59" s="536"/>
      <c r="J59" s="536"/>
      <c r="K59" s="536"/>
      <c r="L59" s="536"/>
      <c r="M59" s="536"/>
      <c r="N59" s="536"/>
      <c r="O59" s="536"/>
      <c r="P59" s="536"/>
      <c r="Q59" s="536"/>
      <c r="R59" s="536"/>
      <c r="S59" s="536"/>
      <c r="T59" s="536"/>
      <c r="U59" s="536"/>
      <c r="V59" s="536"/>
      <c r="W59" s="536"/>
      <c r="X59" s="536"/>
      <c r="Y59" s="536"/>
      <c r="Z59" s="536"/>
      <c r="AA59" s="536"/>
      <c r="AB59" s="536"/>
      <c r="AC59" s="536"/>
      <c r="AD59" s="536"/>
      <c r="AE59" s="536"/>
      <c r="AF59" s="536"/>
      <c r="AG59" s="536"/>
    </row>
    <row r="60" spans="1:33" s="522" customFormat="1">
      <c r="A60" s="2668" t="s">
        <v>1721</v>
      </c>
      <c r="B60" s="537">
        <v>9400</v>
      </c>
      <c r="C60" s="2669">
        <f t="shared" ref="C60:AG60" si="28">+C22+B60-C95</f>
        <v>8226.1288000000004</v>
      </c>
      <c r="D60" s="2669">
        <f t="shared" si="28"/>
        <v>7052.2576000000008</v>
      </c>
      <c r="E60" s="2669">
        <f>+E22+D60-E95</f>
        <v>6230.5477600000013</v>
      </c>
      <c r="F60" s="2669">
        <f t="shared" si="28"/>
        <v>6230.5477600000013</v>
      </c>
      <c r="G60" s="2669">
        <f t="shared" si="28"/>
        <v>6230.5477600000013</v>
      </c>
      <c r="H60" s="2669">
        <f t="shared" si="28"/>
        <v>6230.5477600000013</v>
      </c>
      <c r="I60" s="2669">
        <f t="shared" si="28"/>
        <v>6230.5477600000013</v>
      </c>
      <c r="J60" s="2669">
        <f t="shared" si="28"/>
        <v>5056.6765600000017</v>
      </c>
      <c r="K60" s="2669">
        <f t="shared" si="28"/>
        <v>3882.8053600000021</v>
      </c>
      <c r="L60" s="2669">
        <f t="shared" si="28"/>
        <v>2708.9341600000025</v>
      </c>
      <c r="M60" s="2669">
        <f t="shared" si="28"/>
        <v>2708.9341600000025</v>
      </c>
      <c r="N60" s="2669">
        <f t="shared" si="28"/>
        <v>2708.9341600000025</v>
      </c>
      <c r="O60" s="2669">
        <f t="shared" si="28"/>
        <v>2708.9341600000025</v>
      </c>
      <c r="P60" s="2669">
        <f t="shared" si="28"/>
        <v>2708.9341600000025</v>
      </c>
      <c r="Q60" s="2669">
        <f t="shared" si="28"/>
        <v>2708.9341600000025</v>
      </c>
      <c r="R60" s="2669">
        <f t="shared" si="28"/>
        <v>2708.9341600000025</v>
      </c>
      <c r="S60" s="2669">
        <f t="shared" si="28"/>
        <v>2708.9341600000025</v>
      </c>
      <c r="T60" s="2669">
        <f t="shared" si="28"/>
        <v>2708.9341600000025</v>
      </c>
      <c r="U60" s="2669">
        <f>+U22+T60-U95</f>
        <v>1535.0629600000029</v>
      </c>
      <c r="V60" s="2669">
        <f t="shared" si="28"/>
        <v>361.19176000000334</v>
      </c>
      <c r="W60" s="2669">
        <f t="shared" si="28"/>
        <v>361.19176000000334</v>
      </c>
      <c r="X60" s="2669">
        <f t="shared" si="28"/>
        <v>361.19176000000334</v>
      </c>
      <c r="Y60" s="2669">
        <f t="shared" si="28"/>
        <v>361.19176000000334</v>
      </c>
      <c r="Z60" s="2669">
        <f t="shared" si="28"/>
        <v>361.19176000000334</v>
      </c>
      <c r="AA60" s="2669">
        <f t="shared" si="28"/>
        <v>361.19176000000334</v>
      </c>
      <c r="AB60" s="2669">
        <f>+AB22+AA60-AB95</f>
        <v>361.19176000000334</v>
      </c>
      <c r="AC60" s="2669">
        <f>+AC22+AB60-AC95</f>
        <v>361.19176000000334</v>
      </c>
      <c r="AD60" s="2669">
        <f t="shared" si="28"/>
        <v>361.19176000000334</v>
      </c>
      <c r="AE60" s="2669">
        <f t="shared" si="28"/>
        <v>361.19176000000334</v>
      </c>
      <c r="AF60" s="2669">
        <f t="shared" si="28"/>
        <v>361.19176000000334</v>
      </c>
      <c r="AG60" s="2669">
        <f t="shared" si="28"/>
        <v>361.19176000000334</v>
      </c>
    </row>
    <row r="61" spans="1:33" s="522" customFormat="1">
      <c r="A61" s="2668" t="s">
        <v>1722</v>
      </c>
      <c r="B61" s="538">
        <v>2.2999999999999998</v>
      </c>
      <c r="C61" s="2670">
        <f>IFERROR(C62/C60,0)</f>
        <v>2.3000000000000003</v>
      </c>
      <c r="D61" s="2670">
        <f t="shared" ref="D61:AG61" si="29">IFERROR(D62/D60,0)</f>
        <v>2.3000000000000003</v>
      </c>
      <c r="E61" s="2670">
        <f t="shared" si="29"/>
        <v>2.3000000000000003</v>
      </c>
      <c r="F61" s="2670">
        <f t="shared" si="29"/>
        <v>2.3000000000000003</v>
      </c>
      <c r="G61" s="2670">
        <f t="shared" si="29"/>
        <v>2.3000000000000003</v>
      </c>
      <c r="H61" s="2670">
        <f t="shared" si="29"/>
        <v>2.3000000000000003</v>
      </c>
      <c r="I61" s="2670">
        <f>IFERROR(I62/I60,0)</f>
        <v>2.3000000000000003</v>
      </c>
      <c r="J61" s="2670">
        <f>IFERROR(J62/J60,0)</f>
        <v>2.2999999999999998</v>
      </c>
      <c r="K61" s="2670">
        <f>IFERROR(K62/K60,0)</f>
        <v>2.2999999999999998</v>
      </c>
      <c r="L61" s="2670">
        <f>IFERROR(L62/L60,0)</f>
        <v>2.2999999999999998</v>
      </c>
      <c r="M61" s="2670">
        <f>IFERROR(M62/M60,0)</f>
        <v>2.2999999999999998</v>
      </c>
      <c r="N61" s="2670">
        <f t="shared" si="29"/>
        <v>2.2999999999999998</v>
      </c>
      <c r="O61" s="2670">
        <f t="shared" si="29"/>
        <v>2.2999999999999998</v>
      </c>
      <c r="P61" s="2670">
        <f t="shared" si="29"/>
        <v>2.2999999999999998</v>
      </c>
      <c r="Q61" s="2670">
        <f t="shared" si="29"/>
        <v>2.2999999999999998</v>
      </c>
      <c r="R61" s="2670">
        <f t="shared" si="29"/>
        <v>2.2999999999999998</v>
      </c>
      <c r="S61" s="2670">
        <f t="shared" si="29"/>
        <v>2.2999999999999998</v>
      </c>
      <c r="T61" s="2670">
        <f t="shared" si="29"/>
        <v>2.2999999999999998</v>
      </c>
      <c r="U61" s="2670">
        <f t="shared" si="29"/>
        <v>2.3000000000000003</v>
      </c>
      <c r="V61" s="2670">
        <f>IFERROR(V62/V60,0)</f>
        <v>2.2999999999999998</v>
      </c>
      <c r="W61" s="2670">
        <f t="shared" si="29"/>
        <v>2.2999999999999998</v>
      </c>
      <c r="X61" s="2670">
        <f t="shared" si="29"/>
        <v>2.2999999999999998</v>
      </c>
      <c r="Y61" s="2670">
        <f t="shared" si="29"/>
        <v>2.2999999999999998</v>
      </c>
      <c r="Z61" s="2670">
        <f t="shared" si="29"/>
        <v>2.2999999999999998</v>
      </c>
      <c r="AA61" s="2670">
        <f t="shared" si="29"/>
        <v>2.2999999999999998</v>
      </c>
      <c r="AB61" s="2670">
        <f t="shared" si="29"/>
        <v>2.2999999999999998</v>
      </c>
      <c r="AC61" s="2670">
        <f t="shared" si="29"/>
        <v>2.2999999999999998</v>
      </c>
      <c r="AD61" s="2670">
        <f t="shared" si="29"/>
        <v>2.2999999999999998</v>
      </c>
      <c r="AE61" s="2670">
        <f t="shared" si="29"/>
        <v>2.2999999999999998</v>
      </c>
      <c r="AF61" s="2670">
        <f t="shared" si="29"/>
        <v>2.2999999999999998</v>
      </c>
      <c r="AG61" s="2670">
        <f t="shared" si="29"/>
        <v>2.2999999999999998</v>
      </c>
    </row>
    <row r="62" spans="1:33" s="518" customFormat="1">
      <c r="A62" s="2671" t="s">
        <v>1723</v>
      </c>
      <c r="B62" s="539">
        <f>B60*B61</f>
        <v>21620</v>
      </c>
      <c r="C62" s="2669">
        <f>C24+B62-C97</f>
        <v>18920.096240000003</v>
      </c>
      <c r="D62" s="2669">
        <f t="shared" ref="D62:AG62" si="30">D24+C62-D97</f>
        <v>16220.192480000003</v>
      </c>
      <c r="E62" s="2669">
        <f t="shared" si="30"/>
        <v>14330.259848000003</v>
      </c>
      <c r="F62" s="2669">
        <f t="shared" si="30"/>
        <v>14330.259848000003</v>
      </c>
      <c r="G62" s="2669">
        <f t="shared" si="30"/>
        <v>14330.259848000003</v>
      </c>
      <c r="H62" s="2669">
        <f t="shared" si="30"/>
        <v>14330.259848000003</v>
      </c>
      <c r="I62" s="2669">
        <f t="shared" si="30"/>
        <v>14330.259848000003</v>
      </c>
      <c r="J62" s="2669">
        <f t="shared" si="30"/>
        <v>11630.356088000004</v>
      </c>
      <c r="K62" s="2669">
        <f t="shared" si="30"/>
        <v>8930.4523280000049</v>
      </c>
      <c r="L62" s="2669">
        <f t="shared" si="30"/>
        <v>6230.5485680000056</v>
      </c>
      <c r="M62" s="2669">
        <f>M24+L62-M97</f>
        <v>6230.5485680000056</v>
      </c>
      <c r="N62" s="2669">
        <f t="shared" si="30"/>
        <v>6230.5485680000056</v>
      </c>
      <c r="O62" s="2669">
        <f t="shared" si="30"/>
        <v>6230.5485680000056</v>
      </c>
      <c r="P62" s="2669">
        <f t="shared" si="30"/>
        <v>6230.5485680000056</v>
      </c>
      <c r="Q62" s="2669">
        <f t="shared" si="30"/>
        <v>6230.5485680000056</v>
      </c>
      <c r="R62" s="2669">
        <f t="shared" si="30"/>
        <v>6230.5485680000056</v>
      </c>
      <c r="S62" s="2669">
        <f t="shared" si="30"/>
        <v>6230.5485680000056</v>
      </c>
      <c r="T62" s="2669">
        <f t="shared" si="30"/>
        <v>6230.5485680000056</v>
      </c>
      <c r="U62" s="2669">
        <f t="shared" si="30"/>
        <v>3530.6448080000068</v>
      </c>
      <c r="V62" s="2669">
        <f>V24+U62-V97</f>
        <v>830.74104800000759</v>
      </c>
      <c r="W62" s="2669">
        <f t="shared" si="30"/>
        <v>830.74104800000759</v>
      </c>
      <c r="X62" s="2669">
        <f t="shared" si="30"/>
        <v>830.74104800000759</v>
      </c>
      <c r="Y62" s="2669">
        <f t="shared" si="30"/>
        <v>830.74104800000759</v>
      </c>
      <c r="Z62" s="2669">
        <f t="shared" si="30"/>
        <v>830.74104800000759</v>
      </c>
      <c r="AA62" s="2669">
        <f t="shared" si="30"/>
        <v>830.74104800000759</v>
      </c>
      <c r="AB62" s="2669">
        <f t="shared" si="30"/>
        <v>830.74104800000759</v>
      </c>
      <c r="AC62" s="2669">
        <f t="shared" si="30"/>
        <v>830.74104800000759</v>
      </c>
      <c r="AD62" s="2669">
        <f t="shared" si="30"/>
        <v>830.74104800000759</v>
      </c>
      <c r="AE62" s="2669">
        <f t="shared" si="30"/>
        <v>830.74104800000759</v>
      </c>
      <c r="AF62" s="2669">
        <f t="shared" si="30"/>
        <v>830.74104800000759</v>
      </c>
      <c r="AG62" s="2669">
        <f t="shared" si="30"/>
        <v>830.74104800000759</v>
      </c>
    </row>
    <row r="63" spans="1:33" s="522" customFormat="1">
      <c r="A63" s="524" t="s">
        <v>1727</v>
      </c>
      <c r="B63" s="525"/>
      <c r="C63" s="2667"/>
      <c r="D63" s="2667"/>
      <c r="E63" s="2667"/>
      <c r="F63" s="2667"/>
      <c r="G63" s="2667"/>
      <c r="H63" s="2667"/>
      <c r="I63" s="2667"/>
      <c r="J63" s="2667"/>
      <c r="K63" s="2667"/>
      <c r="L63" s="2667"/>
      <c r="M63" s="2667"/>
      <c r="N63" s="2667"/>
      <c r="O63" s="2667"/>
      <c r="P63" s="2667"/>
      <c r="Q63" s="2667"/>
      <c r="R63" s="2667"/>
      <c r="S63" s="2667"/>
      <c r="T63" s="2667"/>
      <c r="U63" s="2667"/>
      <c r="V63" s="2667"/>
      <c r="W63" s="2667"/>
      <c r="X63" s="2667"/>
      <c r="Y63" s="2667"/>
      <c r="Z63" s="2667"/>
      <c r="AA63" s="2667"/>
      <c r="AB63" s="2667"/>
      <c r="AC63" s="2667"/>
      <c r="AD63" s="2667"/>
      <c r="AE63" s="2667"/>
      <c r="AF63" s="2667"/>
      <c r="AG63" s="2667"/>
    </row>
    <row r="64" spans="1:33" s="522" customFormat="1">
      <c r="A64" s="2676" t="s">
        <v>1721</v>
      </c>
      <c r="B64" s="540"/>
      <c r="C64" s="2677">
        <f t="shared" ref="C64:AG64" si="31">B64+C32-C102</f>
        <v>0</v>
      </c>
      <c r="D64" s="2677">
        <f t="shared" si="31"/>
        <v>0</v>
      </c>
      <c r="E64" s="2677">
        <f>D64+E32-E102</f>
        <v>0</v>
      </c>
      <c r="F64" s="2677">
        <f>E64+F32-F102</f>
        <v>0</v>
      </c>
      <c r="G64" s="2677">
        <f t="shared" si="31"/>
        <v>0</v>
      </c>
      <c r="H64" s="2677">
        <f t="shared" si="31"/>
        <v>0</v>
      </c>
      <c r="I64" s="2677">
        <f t="shared" si="31"/>
        <v>0</v>
      </c>
      <c r="J64" s="2677">
        <f t="shared" si="31"/>
        <v>0</v>
      </c>
      <c r="K64" s="2677">
        <f t="shared" si="31"/>
        <v>0</v>
      </c>
      <c r="L64" s="2678">
        <f t="shared" si="31"/>
        <v>0</v>
      </c>
      <c r="M64" s="2678">
        <f t="shared" si="31"/>
        <v>0</v>
      </c>
      <c r="N64" s="2678">
        <f t="shared" si="31"/>
        <v>0</v>
      </c>
      <c r="O64" s="2678">
        <f t="shared" si="31"/>
        <v>0</v>
      </c>
      <c r="P64" s="2678">
        <f t="shared" si="31"/>
        <v>0</v>
      </c>
      <c r="Q64" s="2678">
        <f t="shared" si="31"/>
        <v>0</v>
      </c>
      <c r="R64" s="2678">
        <f t="shared" si="31"/>
        <v>0</v>
      </c>
      <c r="S64" s="2678">
        <f t="shared" si="31"/>
        <v>0</v>
      </c>
      <c r="T64" s="2678">
        <f t="shared" si="31"/>
        <v>0</v>
      </c>
      <c r="U64" s="2678">
        <f t="shared" si="31"/>
        <v>0</v>
      </c>
      <c r="V64" s="2678">
        <f t="shared" si="31"/>
        <v>0</v>
      </c>
      <c r="W64" s="2678">
        <f t="shared" si="31"/>
        <v>0</v>
      </c>
      <c r="X64" s="2678">
        <f t="shared" si="31"/>
        <v>0</v>
      </c>
      <c r="Y64" s="2678">
        <f t="shared" si="31"/>
        <v>0</v>
      </c>
      <c r="Z64" s="2678">
        <f t="shared" si="31"/>
        <v>0</v>
      </c>
      <c r="AA64" s="2678">
        <f t="shared" si="31"/>
        <v>0</v>
      </c>
      <c r="AB64" s="2678">
        <f t="shared" si="31"/>
        <v>0</v>
      </c>
      <c r="AC64" s="2678">
        <f t="shared" si="31"/>
        <v>0</v>
      </c>
      <c r="AD64" s="2678">
        <f t="shared" si="31"/>
        <v>0</v>
      </c>
      <c r="AE64" s="2678">
        <f t="shared" si="31"/>
        <v>0</v>
      </c>
      <c r="AF64" s="2678">
        <f t="shared" si="31"/>
        <v>0</v>
      </c>
      <c r="AG64" s="2678">
        <f t="shared" si="31"/>
        <v>0</v>
      </c>
    </row>
    <row r="65" spans="1:33" s="522" customFormat="1">
      <c r="A65" s="2676" t="s">
        <v>1722</v>
      </c>
      <c r="B65" s="538"/>
      <c r="C65" s="2678">
        <f>IFERROR(C66/C64,0)</f>
        <v>0</v>
      </c>
      <c r="D65" s="2678">
        <f t="shared" ref="D65:AG65" si="32">IFERROR(D66/D64,0)</f>
        <v>0</v>
      </c>
      <c r="E65" s="2678">
        <f t="shared" si="32"/>
        <v>0</v>
      </c>
      <c r="F65" s="2678">
        <f t="shared" si="32"/>
        <v>0</v>
      </c>
      <c r="G65" s="2678">
        <f t="shared" si="32"/>
        <v>0</v>
      </c>
      <c r="H65" s="2678">
        <f t="shared" si="32"/>
        <v>0</v>
      </c>
      <c r="I65" s="2678">
        <f t="shared" si="32"/>
        <v>0</v>
      </c>
      <c r="J65" s="2678">
        <f t="shared" si="32"/>
        <v>0</v>
      </c>
      <c r="K65" s="2678">
        <f t="shared" si="32"/>
        <v>0</v>
      </c>
      <c r="L65" s="2678">
        <f t="shared" si="32"/>
        <v>0</v>
      </c>
      <c r="M65" s="2678">
        <f t="shared" si="32"/>
        <v>0</v>
      </c>
      <c r="N65" s="2678">
        <f t="shared" si="32"/>
        <v>0</v>
      </c>
      <c r="O65" s="2678">
        <f t="shared" si="32"/>
        <v>0</v>
      </c>
      <c r="P65" s="2678">
        <f t="shared" si="32"/>
        <v>0</v>
      </c>
      <c r="Q65" s="2678">
        <f t="shared" si="32"/>
        <v>0</v>
      </c>
      <c r="R65" s="2678">
        <f t="shared" si="32"/>
        <v>0</v>
      </c>
      <c r="S65" s="2678">
        <f t="shared" si="32"/>
        <v>0</v>
      </c>
      <c r="T65" s="2678">
        <f t="shared" si="32"/>
        <v>0</v>
      </c>
      <c r="U65" s="2678">
        <f t="shared" si="32"/>
        <v>0</v>
      </c>
      <c r="V65" s="2678">
        <f t="shared" si="32"/>
        <v>0</v>
      </c>
      <c r="W65" s="2678">
        <f t="shared" si="32"/>
        <v>0</v>
      </c>
      <c r="X65" s="2678">
        <f t="shared" si="32"/>
        <v>0</v>
      </c>
      <c r="Y65" s="2678">
        <f t="shared" si="32"/>
        <v>0</v>
      </c>
      <c r="Z65" s="2678">
        <f t="shared" si="32"/>
        <v>0</v>
      </c>
      <c r="AA65" s="2678">
        <f t="shared" si="32"/>
        <v>0</v>
      </c>
      <c r="AB65" s="2678">
        <f t="shared" si="32"/>
        <v>0</v>
      </c>
      <c r="AC65" s="2678">
        <f t="shared" si="32"/>
        <v>0</v>
      </c>
      <c r="AD65" s="2678">
        <f t="shared" si="32"/>
        <v>0</v>
      </c>
      <c r="AE65" s="2678">
        <f t="shared" si="32"/>
        <v>0</v>
      </c>
      <c r="AF65" s="2678">
        <f t="shared" si="32"/>
        <v>0</v>
      </c>
      <c r="AG65" s="2678">
        <f t="shared" si="32"/>
        <v>0</v>
      </c>
    </row>
    <row r="66" spans="1:33" s="518" customFormat="1">
      <c r="A66" s="2679" t="s">
        <v>1723</v>
      </c>
      <c r="B66" s="540">
        <f>+B65*B64</f>
        <v>0</v>
      </c>
      <c r="C66" s="2677">
        <f t="shared" ref="C66:AG66" si="33">C34+B66-C104</f>
        <v>0</v>
      </c>
      <c r="D66" s="2677">
        <f t="shared" si="33"/>
        <v>0</v>
      </c>
      <c r="E66" s="2677">
        <f t="shared" si="33"/>
        <v>0</v>
      </c>
      <c r="F66" s="2677">
        <f t="shared" si="33"/>
        <v>0</v>
      </c>
      <c r="G66" s="2677">
        <f t="shared" si="33"/>
        <v>0</v>
      </c>
      <c r="H66" s="2677">
        <f t="shared" si="33"/>
        <v>0</v>
      </c>
      <c r="I66" s="2677">
        <f t="shared" si="33"/>
        <v>0</v>
      </c>
      <c r="J66" s="2677">
        <f t="shared" si="33"/>
        <v>0</v>
      </c>
      <c r="K66" s="2677">
        <f t="shared" si="33"/>
        <v>0</v>
      </c>
      <c r="L66" s="2677">
        <f t="shared" si="33"/>
        <v>0</v>
      </c>
      <c r="M66" s="2677">
        <f t="shared" si="33"/>
        <v>0</v>
      </c>
      <c r="N66" s="2677">
        <f t="shared" si="33"/>
        <v>0</v>
      </c>
      <c r="O66" s="2677">
        <f t="shared" si="33"/>
        <v>0</v>
      </c>
      <c r="P66" s="2677">
        <f t="shared" si="33"/>
        <v>0</v>
      </c>
      <c r="Q66" s="2677">
        <f t="shared" si="33"/>
        <v>0</v>
      </c>
      <c r="R66" s="2677">
        <f t="shared" si="33"/>
        <v>0</v>
      </c>
      <c r="S66" s="2677">
        <f t="shared" si="33"/>
        <v>0</v>
      </c>
      <c r="T66" s="2677">
        <f t="shared" si="33"/>
        <v>0</v>
      </c>
      <c r="U66" s="2677">
        <f t="shared" si="33"/>
        <v>0</v>
      </c>
      <c r="V66" s="2677">
        <f t="shared" si="33"/>
        <v>0</v>
      </c>
      <c r="W66" s="2677">
        <f t="shared" si="33"/>
        <v>0</v>
      </c>
      <c r="X66" s="2677">
        <f t="shared" si="33"/>
        <v>0</v>
      </c>
      <c r="Y66" s="2677">
        <f t="shared" si="33"/>
        <v>0</v>
      </c>
      <c r="Z66" s="2677">
        <f t="shared" si="33"/>
        <v>0</v>
      </c>
      <c r="AA66" s="2677">
        <f t="shared" si="33"/>
        <v>0</v>
      </c>
      <c r="AB66" s="2677">
        <f t="shared" si="33"/>
        <v>0</v>
      </c>
      <c r="AC66" s="2677">
        <f t="shared" si="33"/>
        <v>0</v>
      </c>
      <c r="AD66" s="2677">
        <f t="shared" si="33"/>
        <v>0</v>
      </c>
      <c r="AE66" s="2677">
        <f t="shared" si="33"/>
        <v>0</v>
      </c>
      <c r="AF66" s="2677">
        <f t="shared" si="33"/>
        <v>0</v>
      </c>
      <c r="AG66" s="2677">
        <f t="shared" si="33"/>
        <v>0</v>
      </c>
    </row>
    <row r="67" spans="1:33" s="522" customFormat="1">
      <c r="A67" s="524" t="s">
        <v>1728</v>
      </c>
      <c r="B67" s="525"/>
      <c r="C67" s="536"/>
      <c r="D67" s="536"/>
      <c r="E67" s="536"/>
      <c r="F67" s="536"/>
      <c r="G67" s="536"/>
      <c r="H67" s="536"/>
      <c r="I67" s="536"/>
      <c r="J67" s="536"/>
      <c r="K67" s="536"/>
      <c r="L67" s="536"/>
      <c r="M67" s="536"/>
      <c r="N67" s="536"/>
      <c r="O67" s="536"/>
      <c r="P67" s="536"/>
      <c r="Q67" s="536"/>
      <c r="R67" s="536"/>
      <c r="S67" s="536"/>
      <c r="T67" s="536"/>
      <c r="U67" s="536"/>
      <c r="V67" s="536"/>
      <c r="W67" s="536"/>
      <c r="X67" s="536"/>
      <c r="Y67" s="536"/>
      <c r="Z67" s="536"/>
      <c r="AA67" s="536"/>
      <c r="AB67" s="536"/>
      <c r="AC67" s="536"/>
      <c r="AD67" s="536"/>
      <c r="AE67" s="536"/>
      <c r="AF67" s="536"/>
      <c r="AG67" s="536"/>
    </row>
    <row r="68" spans="1:33" s="522" customFormat="1">
      <c r="A68" s="2668" t="s">
        <v>1721</v>
      </c>
      <c r="B68" s="541">
        <v>10000</v>
      </c>
      <c r="C68" s="2669">
        <f>B68-C109</f>
        <v>10000</v>
      </c>
      <c r="D68" s="2669">
        <f t="shared" ref="D68:AG68" si="34">C68-D109</f>
        <v>10000</v>
      </c>
      <c r="E68" s="2669">
        <f t="shared" si="34"/>
        <v>9647.8386399999999</v>
      </c>
      <c r="F68" s="2669">
        <f t="shared" si="34"/>
        <v>9647.8386399999999</v>
      </c>
      <c r="G68" s="2669">
        <f t="shared" si="34"/>
        <v>9647.8386399999999</v>
      </c>
      <c r="H68" s="2669">
        <f t="shared" si="34"/>
        <v>9647.8386399999999</v>
      </c>
      <c r="I68" s="2669">
        <f t="shared" si="34"/>
        <v>9647.8386399999999</v>
      </c>
      <c r="J68" s="2669">
        <f t="shared" si="34"/>
        <v>9647.8386399999999</v>
      </c>
      <c r="K68" s="2669">
        <f t="shared" si="34"/>
        <v>9647.8386399999999</v>
      </c>
      <c r="L68" s="2669">
        <f t="shared" si="34"/>
        <v>9647.8386399999999</v>
      </c>
      <c r="M68" s="2669">
        <f t="shared" si="34"/>
        <v>9647.8386399999999</v>
      </c>
      <c r="N68" s="2669">
        <f t="shared" si="34"/>
        <v>9647.8386399999999</v>
      </c>
      <c r="O68" s="2669">
        <f t="shared" si="34"/>
        <v>9647.8386399999999</v>
      </c>
      <c r="P68" s="2669">
        <f t="shared" si="34"/>
        <v>9647.8386399999999</v>
      </c>
      <c r="Q68" s="2669">
        <f t="shared" si="34"/>
        <v>9647.8386399999999</v>
      </c>
      <c r="R68" s="2669">
        <f t="shared" si="34"/>
        <v>9647.8386399999999</v>
      </c>
      <c r="S68" s="2669">
        <f t="shared" si="34"/>
        <v>9647.8386399999999</v>
      </c>
      <c r="T68" s="2669">
        <f t="shared" si="34"/>
        <v>9480.4568111348399</v>
      </c>
      <c r="U68" s="2669">
        <f t="shared" si="34"/>
        <v>9480.4568111348399</v>
      </c>
      <c r="V68" s="2669">
        <f t="shared" si="34"/>
        <v>9480.4568111348399</v>
      </c>
      <c r="W68" s="2669">
        <f t="shared" si="34"/>
        <v>9480.4568111348399</v>
      </c>
      <c r="X68" s="2669">
        <f t="shared" si="34"/>
        <v>9480.4568111348399</v>
      </c>
      <c r="Y68" s="2669">
        <f t="shared" si="34"/>
        <v>9480.4568111348399</v>
      </c>
      <c r="Z68" s="2669">
        <f t="shared" si="34"/>
        <v>9480.4568111348399</v>
      </c>
      <c r="AA68" s="2669">
        <f t="shared" si="34"/>
        <v>9480.4568111348399</v>
      </c>
      <c r="AB68" s="2669">
        <f t="shared" si="34"/>
        <v>9480.4568111348399</v>
      </c>
      <c r="AC68" s="2669">
        <f t="shared" si="34"/>
        <v>9480.4568111348399</v>
      </c>
      <c r="AD68" s="2669">
        <f t="shared" si="34"/>
        <v>9480.4568111348399</v>
      </c>
      <c r="AE68" s="2669">
        <f t="shared" si="34"/>
        <v>9367.5516111348443</v>
      </c>
      <c r="AF68" s="2669">
        <f t="shared" si="34"/>
        <v>9148.6804111348447</v>
      </c>
      <c r="AG68" s="2669">
        <f t="shared" si="34"/>
        <v>8929.8092111348451</v>
      </c>
    </row>
    <row r="69" spans="1:33" s="522" customFormat="1">
      <c r="A69" s="2668" t="s">
        <v>1722</v>
      </c>
      <c r="B69" s="542">
        <v>0.74</v>
      </c>
      <c r="C69" s="2670">
        <f t="shared" ref="C69:AG69" si="35">IFERROR(C70/C68,0)</f>
        <v>0.74</v>
      </c>
      <c r="D69" s="2670">
        <f t="shared" si="35"/>
        <v>0.74</v>
      </c>
      <c r="E69" s="2670">
        <f t="shared" si="35"/>
        <v>0.74</v>
      </c>
      <c r="F69" s="2670">
        <f t="shared" si="35"/>
        <v>0.74</v>
      </c>
      <c r="G69" s="2670">
        <f t="shared" si="35"/>
        <v>0.74</v>
      </c>
      <c r="H69" s="2670">
        <f t="shared" si="35"/>
        <v>0.74</v>
      </c>
      <c r="I69" s="2670">
        <f t="shared" si="35"/>
        <v>0.74</v>
      </c>
      <c r="J69" s="2670">
        <f t="shared" si="35"/>
        <v>0.74</v>
      </c>
      <c r="K69" s="2670">
        <f t="shared" si="35"/>
        <v>0.74</v>
      </c>
      <c r="L69" s="2670">
        <f t="shared" si="35"/>
        <v>0.74</v>
      </c>
      <c r="M69" s="2670">
        <f t="shared" si="35"/>
        <v>0.74</v>
      </c>
      <c r="N69" s="2670">
        <f t="shared" si="35"/>
        <v>0.74</v>
      </c>
      <c r="O69" s="2670">
        <f t="shared" si="35"/>
        <v>0.74</v>
      </c>
      <c r="P69" s="2670">
        <f t="shared" si="35"/>
        <v>0.74</v>
      </c>
      <c r="Q69" s="2670">
        <f t="shared" si="35"/>
        <v>0.74</v>
      </c>
      <c r="R69" s="2670">
        <f t="shared" si="35"/>
        <v>0.74</v>
      </c>
      <c r="S69" s="2670">
        <f t="shared" si="35"/>
        <v>0.74</v>
      </c>
      <c r="T69" s="2670">
        <f t="shared" si="35"/>
        <v>0.7400000000000001</v>
      </c>
      <c r="U69" s="2670">
        <f t="shared" si="35"/>
        <v>0.7400000000000001</v>
      </c>
      <c r="V69" s="2670">
        <f t="shared" si="35"/>
        <v>0.7400000000000001</v>
      </c>
      <c r="W69" s="2670">
        <f t="shared" si="35"/>
        <v>0.7400000000000001</v>
      </c>
      <c r="X69" s="2670">
        <f t="shared" si="35"/>
        <v>0.7400000000000001</v>
      </c>
      <c r="Y69" s="2670">
        <f t="shared" si="35"/>
        <v>0.7400000000000001</v>
      </c>
      <c r="Z69" s="2670">
        <f t="shared" si="35"/>
        <v>0.7400000000000001</v>
      </c>
      <c r="AA69" s="2670">
        <f t="shared" si="35"/>
        <v>0.7400000000000001</v>
      </c>
      <c r="AB69" s="2670">
        <f t="shared" si="35"/>
        <v>0.7400000000000001</v>
      </c>
      <c r="AC69" s="2670">
        <f t="shared" si="35"/>
        <v>0.7400000000000001</v>
      </c>
      <c r="AD69" s="2670">
        <f t="shared" si="35"/>
        <v>0.7400000000000001</v>
      </c>
      <c r="AE69" s="2670">
        <f t="shared" si="35"/>
        <v>0.74</v>
      </c>
      <c r="AF69" s="2670">
        <f t="shared" si="35"/>
        <v>0.73999999999999988</v>
      </c>
      <c r="AG69" s="2670">
        <f t="shared" si="35"/>
        <v>0.73999999999999988</v>
      </c>
    </row>
    <row r="70" spans="1:33" s="518" customFormat="1">
      <c r="A70" s="2671" t="s">
        <v>1723</v>
      </c>
      <c r="B70" s="543">
        <f>B68*B69</f>
        <v>7400</v>
      </c>
      <c r="C70" s="2669">
        <f>IFERROR(B70-C111,0)</f>
        <v>7400</v>
      </c>
      <c r="D70" s="2669">
        <f t="shared" ref="D70:AG70" si="36">C70-D111</f>
        <v>7400</v>
      </c>
      <c r="E70" s="2669">
        <f t="shared" si="36"/>
        <v>7139.4005936000003</v>
      </c>
      <c r="F70" s="2669">
        <f t="shared" si="36"/>
        <v>7139.4005936000003</v>
      </c>
      <c r="G70" s="2669">
        <f t="shared" si="36"/>
        <v>7139.4005936000003</v>
      </c>
      <c r="H70" s="2669">
        <f t="shared" si="36"/>
        <v>7139.4005936000003</v>
      </c>
      <c r="I70" s="2669">
        <f t="shared" si="36"/>
        <v>7139.4005936000003</v>
      </c>
      <c r="J70" s="2669">
        <f t="shared" si="36"/>
        <v>7139.4005936000003</v>
      </c>
      <c r="K70" s="2669">
        <f t="shared" si="36"/>
        <v>7139.4005936000003</v>
      </c>
      <c r="L70" s="2669">
        <f t="shared" si="36"/>
        <v>7139.4005936000003</v>
      </c>
      <c r="M70" s="2669">
        <f t="shared" si="36"/>
        <v>7139.4005936000003</v>
      </c>
      <c r="N70" s="2669">
        <f t="shared" si="36"/>
        <v>7139.4005936000003</v>
      </c>
      <c r="O70" s="2669">
        <f t="shared" si="36"/>
        <v>7139.4005936000003</v>
      </c>
      <c r="P70" s="2669">
        <f t="shared" si="36"/>
        <v>7139.4005936000003</v>
      </c>
      <c r="Q70" s="2669">
        <f t="shared" si="36"/>
        <v>7139.4005936000003</v>
      </c>
      <c r="R70" s="2669">
        <f t="shared" si="36"/>
        <v>7139.4005936000003</v>
      </c>
      <c r="S70" s="2669">
        <f t="shared" si="36"/>
        <v>7139.4005936000003</v>
      </c>
      <c r="T70" s="2669">
        <f t="shared" si="36"/>
        <v>7015.5380402397823</v>
      </c>
      <c r="U70" s="2669">
        <f t="shared" si="36"/>
        <v>7015.5380402397823</v>
      </c>
      <c r="V70" s="2669">
        <f t="shared" si="36"/>
        <v>7015.5380402397823</v>
      </c>
      <c r="W70" s="2669">
        <f t="shared" si="36"/>
        <v>7015.5380402397823</v>
      </c>
      <c r="X70" s="2669">
        <f t="shared" si="36"/>
        <v>7015.5380402397823</v>
      </c>
      <c r="Y70" s="2669">
        <f t="shared" si="36"/>
        <v>7015.5380402397823</v>
      </c>
      <c r="Z70" s="2669">
        <f t="shared" si="36"/>
        <v>7015.5380402397823</v>
      </c>
      <c r="AA70" s="2669">
        <f t="shared" si="36"/>
        <v>7015.5380402397823</v>
      </c>
      <c r="AB70" s="2669">
        <f t="shared" si="36"/>
        <v>7015.5380402397823</v>
      </c>
      <c r="AC70" s="2669">
        <f t="shared" si="36"/>
        <v>7015.5380402397823</v>
      </c>
      <c r="AD70" s="2669">
        <f t="shared" si="36"/>
        <v>7015.5380402397823</v>
      </c>
      <c r="AE70" s="2669">
        <f t="shared" si="36"/>
        <v>6931.9881922397844</v>
      </c>
      <c r="AF70" s="2669">
        <f t="shared" si="36"/>
        <v>6770.0235042397844</v>
      </c>
      <c r="AG70" s="2669">
        <f t="shared" si="36"/>
        <v>6608.0588162397844</v>
      </c>
    </row>
    <row r="71" spans="1:33" s="522" customFormat="1">
      <c r="A71" s="524" t="s">
        <v>1729</v>
      </c>
      <c r="B71" s="525"/>
      <c r="C71" s="2667"/>
      <c r="D71" s="2667"/>
      <c r="E71" s="2667"/>
      <c r="F71" s="2667"/>
      <c r="G71" s="2667"/>
      <c r="H71" s="2667"/>
      <c r="I71" s="2667"/>
      <c r="J71" s="2667"/>
      <c r="K71" s="2667"/>
      <c r="L71" s="2667"/>
      <c r="M71" s="2667"/>
      <c r="N71" s="2667"/>
      <c r="O71" s="2667"/>
      <c r="P71" s="2667"/>
      <c r="Q71" s="2667"/>
      <c r="R71" s="2667"/>
      <c r="S71" s="2667"/>
      <c r="T71" s="2667"/>
      <c r="U71" s="2667"/>
      <c r="V71" s="2667"/>
      <c r="W71" s="2667"/>
      <c r="X71" s="2667"/>
      <c r="Y71" s="2667"/>
      <c r="Z71" s="2667"/>
      <c r="AA71" s="2667"/>
      <c r="AB71" s="2667"/>
      <c r="AC71" s="2667"/>
      <c r="AD71" s="2667"/>
      <c r="AE71" s="2667"/>
      <c r="AF71" s="2667"/>
      <c r="AG71" s="2667"/>
    </row>
    <row r="72" spans="1:33" s="518" customFormat="1">
      <c r="A72" s="2671" t="s">
        <v>1721</v>
      </c>
      <c r="B72" s="543"/>
      <c r="C72" s="2669"/>
      <c r="D72" s="2669"/>
      <c r="E72" s="2669"/>
      <c r="F72" s="2669"/>
      <c r="G72" s="2669"/>
      <c r="H72" s="2669"/>
      <c r="I72" s="2669"/>
      <c r="J72" s="2669"/>
      <c r="K72" s="2669"/>
      <c r="L72" s="2669"/>
      <c r="M72" s="2669"/>
      <c r="N72" s="2669"/>
      <c r="O72" s="2669"/>
      <c r="P72" s="2669"/>
      <c r="Q72" s="2669"/>
      <c r="R72" s="2669"/>
      <c r="S72" s="2669"/>
      <c r="T72" s="2669"/>
      <c r="U72" s="2669"/>
      <c r="V72" s="2669"/>
      <c r="W72" s="2669"/>
      <c r="X72" s="2669"/>
      <c r="Y72" s="2669"/>
      <c r="Z72" s="2669"/>
      <c r="AA72" s="2669"/>
      <c r="AB72" s="2669"/>
      <c r="AC72" s="2669"/>
      <c r="AD72" s="2669"/>
      <c r="AE72" s="2669"/>
      <c r="AF72" s="2669"/>
      <c r="AG72" s="2669"/>
    </row>
    <row r="73" spans="1:33" s="522" customFormat="1">
      <c r="A73" s="2668" t="s">
        <v>1722</v>
      </c>
      <c r="B73" s="542"/>
      <c r="C73" s="2670"/>
      <c r="D73" s="2670"/>
      <c r="E73" s="2670"/>
      <c r="F73" s="2670"/>
      <c r="G73" s="2670"/>
      <c r="H73" s="2670"/>
      <c r="I73" s="2670"/>
      <c r="J73" s="2670"/>
      <c r="K73" s="2670"/>
      <c r="L73" s="2670"/>
      <c r="M73" s="2670"/>
      <c r="N73" s="2670"/>
      <c r="O73" s="2670"/>
      <c r="P73" s="2670"/>
      <c r="Q73" s="2670"/>
      <c r="R73" s="2670"/>
      <c r="S73" s="2670"/>
      <c r="T73" s="2670"/>
      <c r="U73" s="2670"/>
      <c r="V73" s="2670"/>
      <c r="W73" s="2670"/>
      <c r="X73" s="2670"/>
      <c r="Y73" s="2670"/>
      <c r="Z73" s="2670"/>
      <c r="AA73" s="2670"/>
      <c r="AB73" s="2670"/>
      <c r="AC73" s="2670"/>
      <c r="AD73" s="2670"/>
      <c r="AE73" s="2670"/>
      <c r="AF73" s="2670"/>
      <c r="AG73" s="2670"/>
    </row>
    <row r="74" spans="1:33" s="518" customFormat="1">
      <c r="A74" s="2671" t="s">
        <v>1723</v>
      </c>
      <c r="B74" s="543"/>
      <c r="C74" s="2669"/>
      <c r="D74" s="2669"/>
      <c r="E74" s="2669"/>
      <c r="F74" s="2669"/>
      <c r="G74" s="2669"/>
      <c r="H74" s="2669"/>
      <c r="I74" s="2669"/>
      <c r="J74" s="2669"/>
      <c r="K74" s="2669"/>
      <c r="L74" s="2669"/>
      <c r="M74" s="2669"/>
      <c r="N74" s="2669"/>
      <c r="O74" s="2669"/>
      <c r="P74" s="2669"/>
      <c r="Q74" s="2669"/>
      <c r="R74" s="2669"/>
      <c r="S74" s="2669"/>
      <c r="T74" s="2669"/>
      <c r="U74" s="2669"/>
      <c r="V74" s="2669"/>
      <c r="W74" s="2669"/>
      <c r="X74" s="2669"/>
      <c r="Y74" s="2669"/>
      <c r="Z74" s="2669"/>
      <c r="AA74" s="2669"/>
      <c r="AB74" s="2669"/>
      <c r="AC74" s="2669"/>
      <c r="AD74" s="2669"/>
      <c r="AE74" s="2669"/>
      <c r="AF74" s="2669"/>
      <c r="AG74" s="2669"/>
    </row>
    <row r="75" spans="1:33" s="522" customFormat="1">
      <c r="A75" s="524" t="s">
        <v>1730</v>
      </c>
      <c r="B75" s="525"/>
      <c r="C75" s="2667"/>
      <c r="D75" s="2667"/>
      <c r="E75" s="2667"/>
      <c r="F75" s="2667"/>
      <c r="G75" s="2667"/>
      <c r="H75" s="2667"/>
      <c r="I75" s="2667"/>
      <c r="J75" s="2667"/>
      <c r="K75" s="2667"/>
      <c r="L75" s="2667"/>
      <c r="M75" s="2667"/>
      <c r="N75" s="2667"/>
      <c r="O75" s="2667"/>
      <c r="P75" s="2667"/>
      <c r="Q75" s="2667"/>
      <c r="R75" s="2667"/>
      <c r="S75" s="2667"/>
      <c r="T75" s="2667"/>
      <c r="U75" s="2667"/>
      <c r="V75" s="2667"/>
      <c r="W75" s="2667"/>
      <c r="X75" s="2667"/>
      <c r="Y75" s="2667"/>
      <c r="Z75" s="2667"/>
      <c r="AA75" s="2667"/>
      <c r="AB75" s="2667"/>
      <c r="AC75" s="2667"/>
      <c r="AD75" s="2667"/>
      <c r="AE75" s="2667"/>
      <c r="AF75" s="2667"/>
      <c r="AG75" s="2667"/>
    </row>
    <row r="76" spans="1:33" s="518" customFormat="1">
      <c r="A76" s="2671" t="s">
        <v>1721</v>
      </c>
      <c r="B76" s="544">
        <v>0</v>
      </c>
      <c r="C76" s="507">
        <f>B76-C116</f>
        <v>0</v>
      </c>
      <c r="D76" s="507">
        <f t="shared" ref="D76:AG76" si="37">C76-D116</f>
        <v>0</v>
      </c>
      <c r="E76" s="507">
        <f t="shared" si="37"/>
        <v>0</v>
      </c>
      <c r="F76" s="507">
        <f t="shared" si="37"/>
        <v>0</v>
      </c>
      <c r="G76" s="507">
        <f t="shared" si="37"/>
        <v>0</v>
      </c>
      <c r="H76" s="507">
        <f t="shared" si="37"/>
        <v>0</v>
      </c>
      <c r="I76" s="507">
        <f t="shared" si="37"/>
        <v>0</v>
      </c>
      <c r="J76" s="507">
        <f t="shared" si="37"/>
        <v>0</v>
      </c>
      <c r="K76" s="507">
        <f t="shared" si="37"/>
        <v>0</v>
      </c>
      <c r="L76" s="507">
        <f t="shared" si="37"/>
        <v>0</v>
      </c>
      <c r="M76" s="507">
        <f t="shared" si="37"/>
        <v>0</v>
      </c>
      <c r="N76" s="507">
        <f t="shared" si="37"/>
        <v>0</v>
      </c>
      <c r="O76" s="507">
        <f t="shared" si="37"/>
        <v>0</v>
      </c>
      <c r="P76" s="507">
        <f t="shared" si="37"/>
        <v>0</v>
      </c>
      <c r="Q76" s="507">
        <f t="shared" si="37"/>
        <v>0</v>
      </c>
      <c r="R76" s="507">
        <f t="shared" si="37"/>
        <v>0</v>
      </c>
      <c r="S76" s="507">
        <f t="shared" si="37"/>
        <v>0</v>
      </c>
      <c r="T76" s="507">
        <f t="shared" si="37"/>
        <v>0</v>
      </c>
      <c r="U76" s="507">
        <f t="shared" si="37"/>
        <v>0</v>
      </c>
      <c r="V76" s="507">
        <f t="shared" si="37"/>
        <v>0</v>
      </c>
      <c r="W76" s="507">
        <f t="shared" si="37"/>
        <v>0</v>
      </c>
      <c r="X76" s="507">
        <f t="shared" si="37"/>
        <v>0</v>
      </c>
      <c r="Y76" s="507">
        <f t="shared" si="37"/>
        <v>0</v>
      </c>
      <c r="Z76" s="507">
        <f t="shared" si="37"/>
        <v>0</v>
      </c>
      <c r="AA76" s="507">
        <f t="shared" si="37"/>
        <v>0</v>
      </c>
      <c r="AB76" s="507">
        <f t="shared" si="37"/>
        <v>0</v>
      </c>
      <c r="AC76" s="507">
        <f t="shared" si="37"/>
        <v>0</v>
      </c>
      <c r="AD76" s="2669">
        <f t="shared" si="37"/>
        <v>0</v>
      </c>
      <c r="AE76" s="2669">
        <f t="shared" si="37"/>
        <v>0</v>
      </c>
      <c r="AF76" s="2669">
        <f t="shared" si="37"/>
        <v>0</v>
      </c>
      <c r="AG76" s="2669">
        <f t="shared" si="37"/>
        <v>0</v>
      </c>
    </row>
    <row r="77" spans="1:33" s="522" customFormat="1">
      <c r="A77" s="2668" t="s">
        <v>1722</v>
      </c>
      <c r="B77" s="542"/>
      <c r="C77" s="2670">
        <f t="shared" ref="C77:AG77" si="38">IFERROR(C78/C76,0)</f>
        <v>0</v>
      </c>
      <c r="D77" s="2670">
        <f t="shared" si="38"/>
        <v>0</v>
      </c>
      <c r="E77" s="2670">
        <f t="shared" si="38"/>
        <v>0</v>
      </c>
      <c r="F77" s="2670">
        <f t="shared" si="38"/>
        <v>0</v>
      </c>
      <c r="G77" s="2670">
        <f t="shared" si="38"/>
        <v>0</v>
      </c>
      <c r="H77" s="2670">
        <f t="shared" si="38"/>
        <v>0</v>
      </c>
      <c r="I77" s="2670">
        <f t="shared" si="38"/>
        <v>0</v>
      </c>
      <c r="J77" s="2670">
        <f t="shared" si="38"/>
        <v>0</v>
      </c>
      <c r="K77" s="2670">
        <f t="shared" si="38"/>
        <v>0</v>
      </c>
      <c r="L77" s="2670">
        <f t="shared" si="38"/>
        <v>0</v>
      </c>
      <c r="M77" s="2670">
        <f t="shared" si="38"/>
        <v>0</v>
      </c>
      <c r="N77" s="2670">
        <f t="shared" si="38"/>
        <v>0</v>
      </c>
      <c r="O77" s="2670">
        <f t="shared" si="38"/>
        <v>0</v>
      </c>
      <c r="P77" s="2670">
        <f t="shared" si="38"/>
        <v>0</v>
      </c>
      <c r="Q77" s="2670">
        <f t="shared" si="38"/>
        <v>0</v>
      </c>
      <c r="R77" s="2670">
        <f t="shared" si="38"/>
        <v>0</v>
      </c>
      <c r="S77" s="2670">
        <f t="shared" si="38"/>
        <v>0</v>
      </c>
      <c r="T77" s="2670">
        <f t="shared" si="38"/>
        <v>0</v>
      </c>
      <c r="U77" s="2670">
        <f t="shared" si="38"/>
        <v>0</v>
      </c>
      <c r="V77" s="2670">
        <f t="shared" si="38"/>
        <v>0</v>
      </c>
      <c r="W77" s="2670">
        <f t="shared" si="38"/>
        <v>0</v>
      </c>
      <c r="X77" s="2670">
        <f t="shared" si="38"/>
        <v>0</v>
      </c>
      <c r="Y77" s="2670">
        <f t="shared" si="38"/>
        <v>0</v>
      </c>
      <c r="Z77" s="2670">
        <f t="shared" si="38"/>
        <v>0</v>
      </c>
      <c r="AA77" s="2670">
        <f t="shared" si="38"/>
        <v>0</v>
      </c>
      <c r="AB77" s="2670">
        <f t="shared" si="38"/>
        <v>0</v>
      </c>
      <c r="AC77" s="2670">
        <f t="shared" si="38"/>
        <v>0</v>
      </c>
      <c r="AD77" s="2670">
        <f t="shared" si="38"/>
        <v>0</v>
      </c>
      <c r="AE77" s="2670">
        <f t="shared" si="38"/>
        <v>0</v>
      </c>
      <c r="AF77" s="2670">
        <f t="shared" si="38"/>
        <v>0</v>
      </c>
      <c r="AG77" s="2670">
        <f t="shared" si="38"/>
        <v>0</v>
      </c>
    </row>
    <row r="78" spans="1:33" s="518" customFormat="1">
      <c r="A78" s="2671" t="s">
        <v>1723</v>
      </c>
      <c r="B78" s="543">
        <f>B76*B77</f>
        <v>0</v>
      </c>
      <c r="C78" s="2669">
        <f>B78-C118</f>
        <v>0</v>
      </c>
      <c r="D78" s="2669">
        <f>C78-D118</f>
        <v>0</v>
      </c>
      <c r="E78" s="2669">
        <f t="shared" ref="E78:AG78" si="39">D78-E118</f>
        <v>0</v>
      </c>
      <c r="F78" s="2669">
        <f t="shared" si="39"/>
        <v>0</v>
      </c>
      <c r="G78" s="2669">
        <f t="shared" si="39"/>
        <v>0</v>
      </c>
      <c r="H78" s="2669">
        <f t="shared" si="39"/>
        <v>0</v>
      </c>
      <c r="I78" s="2669">
        <f t="shared" si="39"/>
        <v>0</v>
      </c>
      <c r="J78" s="2669">
        <f t="shared" si="39"/>
        <v>0</v>
      </c>
      <c r="K78" s="2669">
        <f t="shared" si="39"/>
        <v>0</v>
      </c>
      <c r="L78" s="2669">
        <f t="shared" si="39"/>
        <v>0</v>
      </c>
      <c r="M78" s="2669">
        <f t="shared" si="39"/>
        <v>0</v>
      </c>
      <c r="N78" s="2669">
        <f t="shared" si="39"/>
        <v>0</v>
      </c>
      <c r="O78" s="2669">
        <f t="shared" si="39"/>
        <v>0</v>
      </c>
      <c r="P78" s="2669">
        <f t="shared" si="39"/>
        <v>0</v>
      </c>
      <c r="Q78" s="2669">
        <f t="shared" si="39"/>
        <v>0</v>
      </c>
      <c r="R78" s="2669">
        <f t="shared" si="39"/>
        <v>0</v>
      </c>
      <c r="S78" s="2669">
        <f t="shared" si="39"/>
        <v>0</v>
      </c>
      <c r="T78" s="2669">
        <f t="shared" si="39"/>
        <v>0</v>
      </c>
      <c r="U78" s="2669">
        <f t="shared" si="39"/>
        <v>0</v>
      </c>
      <c r="V78" s="2669">
        <f t="shared" si="39"/>
        <v>0</v>
      </c>
      <c r="W78" s="2669">
        <f t="shared" si="39"/>
        <v>0</v>
      </c>
      <c r="X78" s="2669">
        <f t="shared" si="39"/>
        <v>0</v>
      </c>
      <c r="Y78" s="2669">
        <f t="shared" si="39"/>
        <v>0</v>
      </c>
      <c r="Z78" s="2669">
        <f t="shared" si="39"/>
        <v>0</v>
      </c>
      <c r="AA78" s="2669">
        <f t="shared" si="39"/>
        <v>0</v>
      </c>
      <c r="AB78" s="2669">
        <f t="shared" si="39"/>
        <v>0</v>
      </c>
      <c r="AC78" s="2669">
        <f t="shared" si="39"/>
        <v>0</v>
      </c>
      <c r="AD78" s="2669">
        <f t="shared" si="39"/>
        <v>0</v>
      </c>
      <c r="AE78" s="2669">
        <f t="shared" si="39"/>
        <v>0</v>
      </c>
      <c r="AF78" s="2669">
        <f t="shared" si="39"/>
        <v>0</v>
      </c>
      <c r="AG78" s="2669">
        <f t="shared" si="39"/>
        <v>0</v>
      </c>
    </row>
    <row r="79" spans="1:33">
      <c r="A79" s="218" t="s">
        <v>1731</v>
      </c>
      <c r="B79" s="500"/>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row>
    <row r="80" spans="1:33">
      <c r="A80" s="231" t="s">
        <v>1719</v>
      </c>
      <c r="B80" s="525"/>
      <c r="C80" s="232">
        <v>0.2</v>
      </c>
      <c r="D80" s="232">
        <v>0.2</v>
      </c>
      <c r="E80" s="232">
        <v>0.2</v>
      </c>
      <c r="F80" s="232">
        <v>0.2</v>
      </c>
      <c r="G80" s="232">
        <v>0.2</v>
      </c>
      <c r="H80" s="232">
        <v>0.2</v>
      </c>
      <c r="I80" s="232">
        <v>0.2</v>
      </c>
      <c r="J80" s="232">
        <v>0.2</v>
      </c>
      <c r="K80" s="232">
        <v>0.2</v>
      </c>
      <c r="L80" s="232">
        <v>0.2</v>
      </c>
      <c r="M80" s="232">
        <v>0.2</v>
      </c>
      <c r="N80" s="232">
        <v>0.2</v>
      </c>
      <c r="O80" s="232">
        <v>0.2</v>
      </c>
      <c r="P80" s="232">
        <v>0.2</v>
      </c>
      <c r="Q80" s="232">
        <v>0.2</v>
      </c>
      <c r="R80" s="232">
        <v>0.2</v>
      </c>
      <c r="S80" s="232">
        <v>0.2</v>
      </c>
      <c r="T80" s="232">
        <v>0.2</v>
      </c>
      <c r="U80" s="232">
        <v>0.2</v>
      </c>
      <c r="V80" s="232">
        <v>0.2</v>
      </c>
      <c r="W80" s="232">
        <v>0.2</v>
      </c>
      <c r="X80" s="232">
        <v>0.2</v>
      </c>
      <c r="Y80" s="232">
        <v>0</v>
      </c>
      <c r="Z80" s="232">
        <v>0</v>
      </c>
      <c r="AA80" s="232">
        <v>0</v>
      </c>
      <c r="AB80" s="232">
        <v>0</v>
      </c>
      <c r="AC80" s="232">
        <v>0</v>
      </c>
      <c r="AD80" s="232">
        <v>0</v>
      </c>
      <c r="AE80" s="232">
        <v>0</v>
      </c>
      <c r="AF80" s="232">
        <v>0</v>
      </c>
      <c r="AG80" s="232">
        <v>0</v>
      </c>
    </row>
    <row r="81" spans="1:33">
      <c r="A81" s="233" t="s">
        <v>1732</v>
      </c>
      <c r="B81" s="539">
        <f>SUM(C81:AG81)</f>
        <v>0</v>
      </c>
      <c r="C81" s="507">
        <f>MIN(C$130,(B50),C$130*C80)</f>
        <v>0</v>
      </c>
      <c r="D81" s="507">
        <f t="shared" ref="D81:AG81" si="40">MIN(D$130,(C50),D$130*D80)</f>
        <v>0</v>
      </c>
      <c r="E81" s="507">
        <f t="shared" si="40"/>
        <v>0</v>
      </c>
      <c r="F81" s="507">
        <f t="shared" si="40"/>
        <v>0</v>
      </c>
      <c r="G81" s="507">
        <f t="shared" si="40"/>
        <v>0</v>
      </c>
      <c r="H81" s="507">
        <f t="shared" si="40"/>
        <v>0</v>
      </c>
      <c r="I81" s="507">
        <f t="shared" si="40"/>
        <v>0</v>
      </c>
      <c r="J81" s="507">
        <f t="shared" si="40"/>
        <v>0</v>
      </c>
      <c r="K81" s="507">
        <f t="shared" si="40"/>
        <v>0</v>
      </c>
      <c r="L81" s="507">
        <f t="shared" si="40"/>
        <v>0</v>
      </c>
      <c r="M81" s="507">
        <f t="shared" si="40"/>
        <v>0</v>
      </c>
      <c r="N81" s="507">
        <f t="shared" si="40"/>
        <v>0</v>
      </c>
      <c r="O81" s="507">
        <f t="shared" si="40"/>
        <v>0</v>
      </c>
      <c r="P81" s="507">
        <f t="shared" si="40"/>
        <v>0</v>
      </c>
      <c r="Q81" s="507">
        <f t="shared" si="40"/>
        <v>0</v>
      </c>
      <c r="R81" s="507">
        <f t="shared" si="40"/>
        <v>0</v>
      </c>
      <c r="S81" s="507">
        <f t="shared" si="40"/>
        <v>0</v>
      </c>
      <c r="T81" s="507">
        <f t="shared" si="40"/>
        <v>0</v>
      </c>
      <c r="U81" s="507">
        <f t="shared" si="40"/>
        <v>0</v>
      </c>
      <c r="V81" s="507">
        <f t="shared" si="40"/>
        <v>0</v>
      </c>
      <c r="W81" s="507">
        <f t="shared" si="40"/>
        <v>0</v>
      </c>
      <c r="X81" s="507">
        <f t="shared" si="40"/>
        <v>0</v>
      </c>
      <c r="Y81" s="507">
        <f t="shared" si="40"/>
        <v>0</v>
      </c>
      <c r="Z81" s="507">
        <f t="shared" si="40"/>
        <v>0</v>
      </c>
      <c r="AA81" s="507">
        <f t="shared" si="40"/>
        <v>0</v>
      </c>
      <c r="AB81" s="507">
        <f t="shared" si="40"/>
        <v>0</v>
      </c>
      <c r="AC81" s="507">
        <f t="shared" si="40"/>
        <v>0</v>
      </c>
      <c r="AD81" s="507">
        <f t="shared" si="40"/>
        <v>0</v>
      </c>
      <c r="AE81" s="507">
        <f t="shared" si="40"/>
        <v>0</v>
      </c>
      <c r="AF81" s="507">
        <f t="shared" si="40"/>
        <v>0</v>
      </c>
      <c r="AG81" s="507">
        <f t="shared" si="40"/>
        <v>0</v>
      </c>
    </row>
    <row r="82" spans="1:33">
      <c r="A82" s="233" t="s">
        <v>1733</v>
      </c>
      <c r="B82" s="506">
        <f>IFERROR(B83/B81,0)</f>
        <v>0</v>
      </c>
      <c r="C82" s="508">
        <f>IFERROR(IF(NOT(C81),0,(B52)/(B50)),0)</f>
        <v>0</v>
      </c>
      <c r="D82" s="508">
        <f>IF(NOT(D81),0,(C52)/(C50))</f>
        <v>0</v>
      </c>
      <c r="E82" s="508">
        <f t="shared" ref="E82:AG82" si="41">IF(NOT(E81),0,(D52)/(D50))</f>
        <v>0</v>
      </c>
      <c r="F82" s="508">
        <f t="shared" si="41"/>
        <v>0</v>
      </c>
      <c r="G82" s="508">
        <f t="shared" si="41"/>
        <v>0</v>
      </c>
      <c r="H82" s="508">
        <f t="shared" si="41"/>
        <v>0</v>
      </c>
      <c r="I82" s="508">
        <f t="shared" si="41"/>
        <v>0</v>
      </c>
      <c r="J82" s="508">
        <f t="shared" si="41"/>
        <v>0</v>
      </c>
      <c r="K82" s="508">
        <f t="shared" si="41"/>
        <v>0</v>
      </c>
      <c r="L82" s="508">
        <f t="shared" si="41"/>
        <v>0</v>
      </c>
      <c r="M82" s="508">
        <f t="shared" si="41"/>
        <v>0</v>
      </c>
      <c r="N82" s="508">
        <f t="shared" si="41"/>
        <v>0</v>
      </c>
      <c r="O82" s="508">
        <f t="shared" si="41"/>
        <v>0</v>
      </c>
      <c r="P82" s="508">
        <f t="shared" si="41"/>
        <v>0</v>
      </c>
      <c r="Q82" s="508">
        <f t="shared" si="41"/>
        <v>0</v>
      </c>
      <c r="R82" s="508">
        <f t="shared" si="41"/>
        <v>0</v>
      </c>
      <c r="S82" s="508">
        <f t="shared" si="41"/>
        <v>0</v>
      </c>
      <c r="T82" s="508">
        <f t="shared" si="41"/>
        <v>0</v>
      </c>
      <c r="U82" s="508">
        <f t="shared" si="41"/>
        <v>0</v>
      </c>
      <c r="V82" s="508">
        <f t="shared" si="41"/>
        <v>0</v>
      </c>
      <c r="W82" s="508">
        <f t="shared" si="41"/>
        <v>0</v>
      </c>
      <c r="X82" s="508">
        <f t="shared" si="41"/>
        <v>0</v>
      </c>
      <c r="Y82" s="508">
        <f t="shared" si="41"/>
        <v>0</v>
      </c>
      <c r="Z82" s="508">
        <f t="shared" si="41"/>
        <v>0</v>
      </c>
      <c r="AA82" s="508">
        <f t="shared" si="41"/>
        <v>0</v>
      </c>
      <c r="AB82" s="508">
        <f t="shared" si="41"/>
        <v>0</v>
      </c>
      <c r="AC82" s="508">
        <f t="shared" si="41"/>
        <v>0</v>
      </c>
      <c r="AD82" s="508">
        <f t="shared" si="41"/>
        <v>0</v>
      </c>
      <c r="AE82" s="508">
        <f t="shared" si="41"/>
        <v>0</v>
      </c>
      <c r="AF82" s="508">
        <f t="shared" si="41"/>
        <v>0</v>
      </c>
      <c r="AG82" s="508">
        <f t="shared" si="41"/>
        <v>0</v>
      </c>
    </row>
    <row r="83" spans="1:33">
      <c r="A83" s="233" t="s">
        <v>1734</v>
      </c>
      <c r="B83" s="539">
        <f>SUM(C83:AG83)</f>
        <v>0</v>
      </c>
      <c r="C83" s="507">
        <f t="shared" ref="C83:AG83" si="42">C81*C82</f>
        <v>0</v>
      </c>
      <c r="D83" s="507">
        <f t="shared" si="42"/>
        <v>0</v>
      </c>
      <c r="E83" s="507">
        <f t="shared" si="42"/>
        <v>0</v>
      </c>
      <c r="F83" s="507">
        <f t="shared" si="42"/>
        <v>0</v>
      </c>
      <c r="G83" s="507">
        <f t="shared" si="42"/>
        <v>0</v>
      </c>
      <c r="H83" s="507">
        <f t="shared" si="42"/>
        <v>0</v>
      </c>
      <c r="I83" s="507">
        <f t="shared" si="42"/>
        <v>0</v>
      </c>
      <c r="J83" s="507">
        <f t="shared" si="42"/>
        <v>0</v>
      </c>
      <c r="K83" s="507">
        <f t="shared" si="42"/>
        <v>0</v>
      </c>
      <c r="L83" s="507">
        <f t="shared" si="42"/>
        <v>0</v>
      </c>
      <c r="M83" s="507">
        <f t="shared" si="42"/>
        <v>0</v>
      </c>
      <c r="N83" s="507">
        <f t="shared" si="42"/>
        <v>0</v>
      </c>
      <c r="O83" s="507">
        <f t="shared" si="42"/>
        <v>0</v>
      </c>
      <c r="P83" s="507">
        <f t="shared" si="42"/>
        <v>0</v>
      </c>
      <c r="Q83" s="507">
        <f t="shared" si="42"/>
        <v>0</v>
      </c>
      <c r="R83" s="507">
        <f t="shared" si="42"/>
        <v>0</v>
      </c>
      <c r="S83" s="507">
        <f t="shared" si="42"/>
        <v>0</v>
      </c>
      <c r="T83" s="507">
        <f t="shared" si="42"/>
        <v>0</v>
      </c>
      <c r="U83" s="507">
        <f t="shared" si="42"/>
        <v>0</v>
      </c>
      <c r="V83" s="507">
        <f t="shared" si="42"/>
        <v>0</v>
      </c>
      <c r="W83" s="507">
        <f t="shared" si="42"/>
        <v>0</v>
      </c>
      <c r="X83" s="507">
        <f t="shared" si="42"/>
        <v>0</v>
      </c>
      <c r="Y83" s="507">
        <f t="shared" si="42"/>
        <v>0</v>
      </c>
      <c r="Z83" s="507">
        <f t="shared" si="42"/>
        <v>0</v>
      </c>
      <c r="AA83" s="507">
        <f t="shared" si="42"/>
        <v>0</v>
      </c>
      <c r="AB83" s="507">
        <f t="shared" si="42"/>
        <v>0</v>
      </c>
      <c r="AC83" s="507">
        <f t="shared" si="42"/>
        <v>0</v>
      </c>
      <c r="AD83" s="507">
        <f t="shared" si="42"/>
        <v>0</v>
      </c>
      <c r="AE83" s="507">
        <f t="shared" si="42"/>
        <v>0</v>
      </c>
      <c r="AF83" s="507">
        <f t="shared" si="42"/>
        <v>0</v>
      </c>
      <c r="AG83" s="507">
        <f t="shared" si="42"/>
        <v>0</v>
      </c>
    </row>
    <row r="84" spans="1:33">
      <c r="A84" s="233" t="s">
        <v>1735</v>
      </c>
      <c r="B84" s="545">
        <f>IFERROR(B86*1000/B81,0)</f>
        <v>0</v>
      </c>
      <c r="C84" s="234">
        <f>C85*C82</f>
        <v>0</v>
      </c>
      <c r="D84" s="234">
        <f t="shared" ref="D84:AG84" si="43">D85*D82</f>
        <v>0</v>
      </c>
      <c r="E84" s="234">
        <f t="shared" si="43"/>
        <v>0</v>
      </c>
      <c r="F84" s="234">
        <f t="shared" si="43"/>
        <v>0</v>
      </c>
      <c r="G84" s="234">
        <f t="shared" si="43"/>
        <v>0</v>
      </c>
      <c r="H84" s="234">
        <f t="shared" si="43"/>
        <v>0</v>
      </c>
      <c r="I84" s="234">
        <f t="shared" si="43"/>
        <v>0</v>
      </c>
      <c r="J84" s="234">
        <f t="shared" si="43"/>
        <v>0</v>
      </c>
      <c r="K84" s="234">
        <f t="shared" si="43"/>
        <v>0</v>
      </c>
      <c r="L84" s="234">
        <f t="shared" si="43"/>
        <v>0</v>
      </c>
      <c r="M84" s="234">
        <f t="shared" si="43"/>
        <v>0</v>
      </c>
      <c r="N84" s="234">
        <f t="shared" si="43"/>
        <v>0</v>
      </c>
      <c r="O84" s="234">
        <f t="shared" si="43"/>
        <v>0</v>
      </c>
      <c r="P84" s="234">
        <f t="shared" si="43"/>
        <v>0</v>
      </c>
      <c r="Q84" s="234">
        <f t="shared" si="43"/>
        <v>0</v>
      </c>
      <c r="R84" s="234">
        <f t="shared" si="43"/>
        <v>0</v>
      </c>
      <c r="S84" s="234">
        <f t="shared" si="43"/>
        <v>0</v>
      </c>
      <c r="T84" s="234">
        <f t="shared" si="43"/>
        <v>0</v>
      </c>
      <c r="U84" s="234">
        <f t="shared" si="43"/>
        <v>0</v>
      </c>
      <c r="V84" s="234">
        <f t="shared" si="43"/>
        <v>0</v>
      </c>
      <c r="W84" s="234">
        <f t="shared" si="43"/>
        <v>0</v>
      </c>
      <c r="X84" s="234">
        <f t="shared" si="43"/>
        <v>0</v>
      </c>
      <c r="Y84" s="234">
        <f t="shared" si="43"/>
        <v>0</v>
      </c>
      <c r="Z84" s="234">
        <f t="shared" si="43"/>
        <v>0</v>
      </c>
      <c r="AA84" s="234">
        <f t="shared" si="43"/>
        <v>0</v>
      </c>
      <c r="AB84" s="234">
        <f t="shared" si="43"/>
        <v>0</v>
      </c>
      <c r="AC84" s="234">
        <f t="shared" si="43"/>
        <v>0</v>
      </c>
      <c r="AD84" s="234">
        <f t="shared" si="43"/>
        <v>0</v>
      </c>
      <c r="AE84" s="234">
        <f t="shared" si="43"/>
        <v>0</v>
      </c>
      <c r="AF84" s="234">
        <f t="shared" si="43"/>
        <v>0</v>
      </c>
      <c r="AG84" s="234">
        <f t="shared" si="43"/>
        <v>0</v>
      </c>
    </row>
    <row r="85" spans="1:33">
      <c r="A85" s="233" t="s">
        <v>1736</v>
      </c>
      <c r="B85" s="235">
        <f>IFERROR(B84/B82,0)</f>
        <v>0</v>
      </c>
      <c r="C85" s="236">
        <v>0.88</v>
      </c>
      <c r="D85" s="236">
        <v>0.88</v>
      </c>
      <c r="E85" s="236">
        <v>0.88</v>
      </c>
      <c r="F85" s="236">
        <v>0.88</v>
      </c>
      <c r="G85" s="236">
        <v>0.88</v>
      </c>
      <c r="H85" s="236">
        <v>0.88</v>
      </c>
      <c r="I85" s="236">
        <v>0.88</v>
      </c>
      <c r="J85" s="236">
        <v>0.88</v>
      </c>
      <c r="K85" s="236">
        <v>0.88</v>
      </c>
      <c r="L85" s="236">
        <v>0.88</v>
      </c>
      <c r="M85" s="236">
        <v>0.88</v>
      </c>
      <c r="N85" s="236">
        <v>0.88</v>
      </c>
      <c r="O85" s="236">
        <v>0.88</v>
      </c>
      <c r="P85" s="236">
        <v>0.88</v>
      </c>
      <c r="Q85" s="236">
        <v>0.88</v>
      </c>
      <c r="R85" s="236">
        <v>0.88</v>
      </c>
      <c r="S85" s="236">
        <v>0.88</v>
      </c>
      <c r="T85" s="236">
        <v>0.88</v>
      </c>
      <c r="U85" s="236">
        <v>0.88</v>
      </c>
      <c r="V85" s="236">
        <v>0.88</v>
      </c>
      <c r="W85" s="236">
        <v>0.88</v>
      </c>
      <c r="X85" s="236">
        <v>0.88</v>
      </c>
      <c r="Y85" s="236">
        <v>0.88</v>
      </c>
      <c r="Z85" s="236">
        <v>0.88</v>
      </c>
      <c r="AA85" s="236">
        <v>0.88</v>
      </c>
      <c r="AB85" s="236">
        <v>0.88</v>
      </c>
      <c r="AC85" s="236">
        <v>0.88</v>
      </c>
      <c r="AD85" s="236">
        <v>0.88</v>
      </c>
      <c r="AE85" s="236">
        <v>0.88</v>
      </c>
      <c r="AF85" s="236">
        <v>0.88</v>
      </c>
      <c r="AG85" s="236">
        <v>0.88</v>
      </c>
    </row>
    <row r="86" spans="1:33">
      <c r="A86" s="233" t="s">
        <v>1737</v>
      </c>
      <c r="B86" s="545">
        <f>SUM(C86:AG86)</f>
        <v>0</v>
      </c>
      <c r="C86" s="508">
        <f>C81*C84/1000</f>
        <v>0</v>
      </c>
      <c r="D86" s="508">
        <f t="shared" ref="D86:AG86" si="44">D81*D84/1000</f>
        <v>0</v>
      </c>
      <c r="E86" s="508">
        <f t="shared" si="44"/>
        <v>0</v>
      </c>
      <c r="F86" s="508">
        <f t="shared" si="44"/>
        <v>0</v>
      </c>
      <c r="G86" s="508">
        <f t="shared" si="44"/>
        <v>0</v>
      </c>
      <c r="H86" s="508">
        <f t="shared" si="44"/>
        <v>0</v>
      </c>
      <c r="I86" s="508">
        <f t="shared" si="44"/>
        <v>0</v>
      </c>
      <c r="J86" s="508">
        <f t="shared" si="44"/>
        <v>0</v>
      </c>
      <c r="K86" s="508">
        <f t="shared" si="44"/>
        <v>0</v>
      </c>
      <c r="L86" s="508">
        <f t="shared" si="44"/>
        <v>0</v>
      </c>
      <c r="M86" s="508">
        <f t="shared" si="44"/>
        <v>0</v>
      </c>
      <c r="N86" s="508">
        <f t="shared" si="44"/>
        <v>0</v>
      </c>
      <c r="O86" s="508">
        <f t="shared" si="44"/>
        <v>0</v>
      </c>
      <c r="P86" s="508">
        <f t="shared" si="44"/>
        <v>0</v>
      </c>
      <c r="Q86" s="508">
        <f t="shared" si="44"/>
        <v>0</v>
      </c>
      <c r="R86" s="508">
        <f t="shared" si="44"/>
        <v>0</v>
      </c>
      <c r="S86" s="508">
        <f t="shared" si="44"/>
        <v>0</v>
      </c>
      <c r="T86" s="508">
        <f t="shared" si="44"/>
        <v>0</v>
      </c>
      <c r="U86" s="508">
        <f t="shared" si="44"/>
        <v>0</v>
      </c>
      <c r="V86" s="508">
        <f t="shared" si="44"/>
        <v>0</v>
      </c>
      <c r="W86" s="508">
        <f t="shared" si="44"/>
        <v>0</v>
      </c>
      <c r="X86" s="508">
        <f t="shared" si="44"/>
        <v>0</v>
      </c>
      <c r="Y86" s="508">
        <f t="shared" si="44"/>
        <v>0</v>
      </c>
      <c r="Z86" s="508">
        <f t="shared" si="44"/>
        <v>0</v>
      </c>
      <c r="AA86" s="508">
        <f t="shared" si="44"/>
        <v>0</v>
      </c>
      <c r="AB86" s="508">
        <f t="shared" si="44"/>
        <v>0</v>
      </c>
      <c r="AC86" s="508">
        <f t="shared" si="44"/>
        <v>0</v>
      </c>
      <c r="AD86" s="508">
        <f t="shared" si="44"/>
        <v>0</v>
      </c>
      <c r="AE86" s="508">
        <f t="shared" si="44"/>
        <v>0</v>
      </c>
      <c r="AF86" s="508">
        <f t="shared" si="44"/>
        <v>0</v>
      </c>
      <c r="AG86" s="508">
        <f t="shared" si="44"/>
        <v>0</v>
      </c>
    </row>
    <row r="87" spans="1:33">
      <c r="A87" s="231" t="s">
        <v>1738</v>
      </c>
      <c r="B87" s="525"/>
      <c r="C87" s="232">
        <v>0</v>
      </c>
      <c r="D87" s="232">
        <v>0</v>
      </c>
      <c r="E87" s="232">
        <v>0</v>
      </c>
      <c r="F87" s="232">
        <v>1</v>
      </c>
      <c r="G87" s="232">
        <v>1</v>
      </c>
      <c r="H87" s="232">
        <v>1</v>
      </c>
      <c r="I87" s="232">
        <v>1</v>
      </c>
      <c r="J87" s="232">
        <v>0</v>
      </c>
      <c r="K87" s="232">
        <v>0</v>
      </c>
      <c r="L87" s="232">
        <v>0</v>
      </c>
      <c r="M87" s="232">
        <v>1</v>
      </c>
      <c r="N87" s="232">
        <v>1</v>
      </c>
      <c r="O87" s="232">
        <v>1</v>
      </c>
      <c r="P87" s="232">
        <v>1</v>
      </c>
      <c r="Q87" s="232">
        <v>1</v>
      </c>
      <c r="R87" s="232">
        <v>1</v>
      </c>
      <c r="S87" s="232">
        <v>1</v>
      </c>
      <c r="T87" s="232">
        <v>1</v>
      </c>
      <c r="U87" s="232">
        <v>0</v>
      </c>
      <c r="V87" s="232">
        <v>0</v>
      </c>
      <c r="W87" s="232">
        <v>1</v>
      </c>
      <c r="X87" s="232">
        <v>1</v>
      </c>
      <c r="Y87" s="232">
        <v>1</v>
      </c>
      <c r="Z87" s="232">
        <v>1</v>
      </c>
      <c r="AA87" s="232">
        <v>1</v>
      </c>
      <c r="AB87" s="232">
        <v>1</v>
      </c>
      <c r="AC87" s="232">
        <v>1</v>
      </c>
      <c r="AD87" s="232">
        <v>1</v>
      </c>
      <c r="AE87" s="232">
        <v>1</v>
      </c>
      <c r="AF87" s="232">
        <v>1</v>
      </c>
      <c r="AG87" s="232">
        <v>1</v>
      </c>
    </row>
    <row r="88" spans="1:33">
      <c r="A88" s="233" t="s">
        <v>1732</v>
      </c>
      <c r="B88" s="539">
        <f>SUM(C88:AG88)</f>
        <v>24905.000000000004</v>
      </c>
      <c r="C88" s="507">
        <f>MIN(C$130-C81,(B56+C12),C$130*C87)</f>
        <v>0</v>
      </c>
      <c r="D88" s="507">
        <f>MIN(D$130-D81,(C56+D12),D$130*D87)</f>
        <v>0</v>
      </c>
      <c r="E88" s="507">
        <f t="shared" ref="E88:AG88" si="45">MIN(E$130-E81,(D56+E12),E$130*E87)</f>
        <v>0</v>
      </c>
      <c r="F88" s="507">
        <f t="shared" si="45"/>
        <v>1173.8711999999996</v>
      </c>
      <c r="G88" s="507">
        <f t="shared" si="45"/>
        <v>586.93559999999979</v>
      </c>
      <c r="H88" s="507">
        <f>MIN(H$130-H81,(G56+H12),H$130*H87)</f>
        <v>1173.8711999999996</v>
      </c>
      <c r="I88" s="507">
        <f t="shared" si="45"/>
        <v>1173.8711999999996</v>
      </c>
      <c r="J88" s="507">
        <f t="shared" si="45"/>
        <v>0</v>
      </c>
      <c r="K88" s="507">
        <f t="shared" si="45"/>
        <v>0</v>
      </c>
      <c r="L88" s="507">
        <f t="shared" si="45"/>
        <v>0</v>
      </c>
      <c r="M88" s="507">
        <f t="shared" si="45"/>
        <v>1173.8711999999996</v>
      </c>
      <c r="N88" s="507">
        <f t="shared" si="45"/>
        <v>1072.802714432582</v>
      </c>
      <c r="O88" s="507">
        <f>MIN(O$130-O81,(N56+O12),O$130*O87)</f>
        <v>1072.802714432582</v>
      </c>
      <c r="P88" s="507">
        <f t="shared" si="45"/>
        <v>1173.8711999999996</v>
      </c>
      <c r="Q88" s="507">
        <f t="shared" si="45"/>
        <v>1173.8711999999996</v>
      </c>
      <c r="R88" s="507">
        <f t="shared" si="45"/>
        <v>1173.8711999999996</v>
      </c>
      <c r="S88" s="507">
        <f t="shared" si="45"/>
        <v>1173.8711999999996</v>
      </c>
      <c r="T88" s="507">
        <f t="shared" si="45"/>
        <v>1006.4893711348395</v>
      </c>
      <c r="U88" s="507">
        <f t="shared" si="45"/>
        <v>0</v>
      </c>
      <c r="V88" s="507">
        <f t="shared" si="45"/>
        <v>0</v>
      </c>
      <c r="W88" s="507">
        <f t="shared" si="45"/>
        <v>1173.8711999999996</v>
      </c>
      <c r="X88" s="507">
        <f t="shared" si="45"/>
        <v>1173.8711999999996</v>
      </c>
      <c r="Y88" s="507">
        <f t="shared" si="45"/>
        <v>1173.8711999999996</v>
      </c>
      <c r="Z88" s="507">
        <f t="shared" si="45"/>
        <v>1173.8711999999996</v>
      </c>
      <c r="AA88" s="507">
        <f t="shared" si="45"/>
        <v>1173.8711999999996</v>
      </c>
      <c r="AB88" s="507">
        <f t="shared" si="45"/>
        <v>586.93559999999979</v>
      </c>
      <c r="AC88" s="507">
        <f>MIN(AC$130-AC81,(AB56+AC12),AC$130*AC87)</f>
        <v>1173.8711999999996</v>
      </c>
      <c r="AD88" s="507">
        <f t="shared" si="45"/>
        <v>1173.8711999999996</v>
      </c>
      <c r="AE88" s="507">
        <f t="shared" si="45"/>
        <v>1060.9660000000031</v>
      </c>
      <c r="AF88" s="507">
        <f t="shared" si="45"/>
        <v>955</v>
      </c>
      <c r="AG88" s="507">
        <f t="shared" si="45"/>
        <v>955</v>
      </c>
    </row>
    <row r="89" spans="1:33">
      <c r="A89" s="233" t="s">
        <v>1733</v>
      </c>
      <c r="B89" s="506">
        <f>IFERROR(B90/B88,0)</f>
        <v>2.2261660313865583</v>
      </c>
      <c r="C89" s="508">
        <f t="shared" ref="C89:AG89" si="46">IF(NOT(C88),0,(C14+B58)/(C12+B56))</f>
        <v>0</v>
      </c>
      <c r="D89" s="508">
        <f t="shared" si="46"/>
        <v>0</v>
      </c>
      <c r="E89" s="508">
        <f t="shared" si="46"/>
        <v>0</v>
      </c>
      <c r="F89" s="508">
        <f t="shared" si="46"/>
        <v>2.2315352207198247</v>
      </c>
      <c r="G89" s="508">
        <f t="shared" si="46"/>
        <v>2.2339308325453358</v>
      </c>
      <c r="H89" s="508">
        <f t="shared" si="46"/>
        <v>2.2355007055332963</v>
      </c>
      <c r="I89" s="508">
        <f t="shared" si="46"/>
        <v>2.2367862880394069</v>
      </c>
      <c r="J89" s="508">
        <f t="shared" si="46"/>
        <v>0</v>
      </c>
      <c r="K89" s="508">
        <f t="shared" si="46"/>
        <v>0</v>
      </c>
      <c r="L89" s="508">
        <f t="shared" si="46"/>
        <v>0</v>
      </c>
      <c r="M89" s="508">
        <f t="shared" si="46"/>
        <v>2.2320113791542178</v>
      </c>
      <c r="N89" s="508">
        <f t="shared" si="46"/>
        <v>2.2320113791542178</v>
      </c>
      <c r="O89" s="508">
        <f t="shared" si="46"/>
        <v>2.2344263331618319</v>
      </c>
      <c r="P89" s="508">
        <f t="shared" si="46"/>
        <v>2.236247765253951</v>
      </c>
      <c r="Q89" s="508">
        <f t="shared" si="46"/>
        <v>2.2285452959685137</v>
      </c>
      <c r="R89" s="508">
        <f t="shared" si="46"/>
        <v>2.239064107381235</v>
      </c>
      <c r="S89" s="508">
        <f t="shared" si="46"/>
        <v>2.2460688779401745</v>
      </c>
      <c r="T89" s="508">
        <f t="shared" si="46"/>
        <v>2.249899171270684</v>
      </c>
      <c r="U89" s="508">
        <f t="shared" si="46"/>
        <v>0</v>
      </c>
      <c r="V89" s="508">
        <f t="shared" si="46"/>
        <v>0</v>
      </c>
      <c r="W89" s="508">
        <f t="shared" si="46"/>
        <v>2.2395341361644214</v>
      </c>
      <c r="X89" s="508">
        <f t="shared" si="46"/>
        <v>2.2270980161074938</v>
      </c>
      <c r="Y89" s="508">
        <f t="shared" si="46"/>
        <v>2.2194870637737898</v>
      </c>
      <c r="Z89" s="508">
        <f t="shared" si="46"/>
        <v>2.2152142230979655</v>
      </c>
      <c r="AA89" s="508">
        <f t="shared" si="46"/>
        <v>2.2130964549279195</v>
      </c>
      <c r="AB89" s="508">
        <f t="shared" si="46"/>
        <v>2.2122352520108342</v>
      </c>
      <c r="AC89" s="508">
        <f t="shared" si="46"/>
        <v>2.2120823358912642</v>
      </c>
      <c r="AD89" s="508">
        <f t="shared" si="46"/>
        <v>2.2120104119624338</v>
      </c>
      <c r="AE89" s="508">
        <f t="shared" si="46"/>
        <v>2.1831670964554157</v>
      </c>
      <c r="AF89" s="508">
        <f t="shared" si="46"/>
        <v>2.2119776630620933</v>
      </c>
      <c r="AG89" s="508">
        <f t="shared" si="46"/>
        <v>2.2119776630620933</v>
      </c>
    </row>
    <row r="90" spans="1:33">
      <c r="A90" s="233" t="s">
        <v>1734</v>
      </c>
      <c r="B90" s="539">
        <f>SUM(C90:AG90)</f>
        <v>55442.665011682242</v>
      </c>
      <c r="C90" s="507">
        <f t="shared" ref="C90:AG90" si="47">C88*C89</f>
        <v>0</v>
      </c>
      <c r="D90" s="507">
        <f t="shared" si="47"/>
        <v>0</v>
      </c>
      <c r="E90" s="507">
        <f t="shared" si="47"/>
        <v>0</v>
      </c>
      <c r="F90" s="507">
        <f t="shared" si="47"/>
        <v>2619.5349273886445</v>
      </c>
      <c r="G90" s="507">
        <f t="shared" si="47"/>
        <v>1311.1735335584958</v>
      </c>
      <c r="H90" s="507">
        <f t="shared" si="47"/>
        <v>2624.1898958052161</v>
      </c>
      <c r="I90" s="507">
        <f t="shared" si="47"/>
        <v>2625.6990040843634</v>
      </c>
      <c r="J90" s="507">
        <f t="shared" si="47"/>
        <v>0</v>
      </c>
      <c r="K90" s="507">
        <f t="shared" si="47"/>
        <v>0</v>
      </c>
      <c r="L90" s="507">
        <f t="shared" si="47"/>
        <v>0</v>
      </c>
      <c r="M90" s="507">
        <f t="shared" si="47"/>
        <v>2620.0938760614158</v>
      </c>
      <c r="N90" s="507">
        <f t="shared" si="47"/>
        <v>2394.5078662010555</v>
      </c>
      <c r="O90" s="507">
        <f t="shared" si="47"/>
        <v>2397.0986354156539</v>
      </c>
      <c r="P90" s="507">
        <f t="shared" si="47"/>
        <v>2625.0668476959727</v>
      </c>
      <c r="Q90" s="507">
        <f t="shared" si="47"/>
        <v>2616.0251408329136</v>
      </c>
      <c r="R90" s="507">
        <f t="shared" si="47"/>
        <v>2628.3728706085381</v>
      </c>
      <c r="S90" s="507">
        <f t="shared" si="47"/>
        <v>2636.5955690302853</v>
      </c>
      <c r="T90" s="507">
        <f t="shared" si="47"/>
        <v>2264.4996020090275</v>
      </c>
      <c r="U90" s="507">
        <f t="shared" si="47"/>
        <v>0</v>
      </c>
      <c r="V90" s="507">
        <f t="shared" si="47"/>
        <v>0</v>
      </c>
      <c r="W90" s="507">
        <f t="shared" si="47"/>
        <v>2628.9246238602918</v>
      </c>
      <c r="X90" s="507">
        <f t="shared" si="47"/>
        <v>2614.3262206857221</v>
      </c>
      <c r="Y90" s="507">
        <f t="shared" si="47"/>
        <v>2605.3919429366142</v>
      </c>
      <c r="Z90" s="507">
        <f t="shared" si="47"/>
        <v>2600.3761783250757</v>
      </c>
      <c r="AA90" s="507">
        <f t="shared" si="47"/>
        <v>2597.8901912619817</v>
      </c>
      <c r="AB90" s="507">
        <f t="shared" si="47"/>
        <v>1298.4396249801298</v>
      </c>
      <c r="AC90" s="507">
        <f t="shared" si="47"/>
        <v>2596.6997461314804</v>
      </c>
      <c r="AD90" s="507">
        <f t="shared" si="47"/>
        <v>2596.6153167028356</v>
      </c>
      <c r="AE90" s="507">
        <f t="shared" si="47"/>
        <v>2316.2660616579233</v>
      </c>
      <c r="AF90" s="507">
        <f t="shared" si="47"/>
        <v>2112.4386682242989</v>
      </c>
      <c r="AG90" s="507">
        <f t="shared" si="47"/>
        <v>2112.4386682242989</v>
      </c>
    </row>
    <row r="91" spans="1:33">
      <c r="A91" s="233" t="s">
        <v>1735</v>
      </c>
      <c r="B91" s="545">
        <f>IFERROR(B93*1000/B88,0)</f>
        <v>1.9633448697210603</v>
      </c>
      <c r="C91" s="234">
        <f>C92*C89</f>
        <v>0</v>
      </c>
      <c r="D91" s="234">
        <f t="shared" ref="D91:AG91" si="48">D92*D89</f>
        <v>0</v>
      </c>
      <c r="E91" s="234">
        <f t="shared" si="48"/>
        <v>0</v>
      </c>
      <c r="F91" s="234">
        <f t="shared" si="48"/>
        <v>1.9680801725616421</v>
      </c>
      <c r="G91" s="234">
        <f t="shared" si="48"/>
        <v>1.9701929584550333</v>
      </c>
      <c r="H91" s="234">
        <f t="shared" si="48"/>
        <v>1.9715774922380351</v>
      </c>
      <c r="I91" s="234">
        <f t="shared" si="48"/>
        <v>1.9727112988734745</v>
      </c>
      <c r="J91" s="234">
        <f t="shared" si="48"/>
        <v>0</v>
      </c>
      <c r="K91" s="234">
        <f t="shared" si="48"/>
        <v>0</v>
      </c>
      <c r="L91" s="234">
        <f t="shared" si="48"/>
        <v>0</v>
      </c>
      <c r="M91" s="234">
        <f t="shared" si="48"/>
        <v>1.9685001157312707</v>
      </c>
      <c r="N91" s="234">
        <f t="shared" si="48"/>
        <v>1.9685001157312707</v>
      </c>
      <c r="O91" s="234">
        <f t="shared" si="48"/>
        <v>1.9706299602687458</v>
      </c>
      <c r="P91" s="234">
        <f t="shared" si="48"/>
        <v>1.9722363540880694</v>
      </c>
      <c r="Q91" s="234">
        <f t="shared" si="48"/>
        <v>1.9654432383264708</v>
      </c>
      <c r="R91" s="234">
        <f t="shared" si="48"/>
        <v>1.9747201988638063</v>
      </c>
      <c r="S91" s="234">
        <f t="shared" si="48"/>
        <v>1.9808979862105573</v>
      </c>
      <c r="T91" s="234">
        <f t="shared" si="48"/>
        <v>1.9842760751104669</v>
      </c>
      <c r="U91" s="234">
        <f t="shared" si="48"/>
        <v>0</v>
      </c>
      <c r="V91" s="234">
        <f t="shared" si="48"/>
        <v>0</v>
      </c>
      <c r="W91" s="234">
        <f t="shared" si="48"/>
        <v>1.9751347360488498</v>
      </c>
      <c r="X91" s="234">
        <f t="shared" si="48"/>
        <v>1.964166824325843</v>
      </c>
      <c r="Y91" s="234">
        <f t="shared" si="48"/>
        <v>1.9574544210246561</v>
      </c>
      <c r="Z91" s="234">
        <f t="shared" si="48"/>
        <v>1.9536860319190195</v>
      </c>
      <c r="AA91" s="234">
        <f t="shared" si="48"/>
        <v>1.9518182874591292</v>
      </c>
      <c r="AB91" s="234">
        <f t="shared" si="48"/>
        <v>1.9510587581584349</v>
      </c>
      <c r="AC91" s="234">
        <f t="shared" si="48"/>
        <v>1.9509238953159416</v>
      </c>
      <c r="AD91" s="234">
        <f t="shared" si="48"/>
        <v>1.9508604627261488</v>
      </c>
      <c r="AE91" s="234">
        <f t="shared" si="48"/>
        <v>1.9254223890478892</v>
      </c>
      <c r="AF91" s="234">
        <f t="shared" si="48"/>
        <v>1.9508315801609823</v>
      </c>
      <c r="AG91" s="234">
        <f t="shared" si="48"/>
        <v>1.9508315801609823</v>
      </c>
    </row>
    <row r="92" spans="1:33">
      <c r="A92" s="233" t="s">
        <v>1736</v>
      </c>
      <c r="B92" s="235">
        <f>IFERROR(B91/B89,0)</f>
        <v>0.8819399999999995</v>
      </c>
      <c r="C92" s="2327">
        <v>0.88193999999999995</v>
      </c>
      <c r="D92" s="2327">
        <v>0.88193999999999995</v>
      </c>
      <c r="E92" s="2327">
        <v>0.88193999999999995</v>
      </c>
      <c r="F92" s="2327">
        <v>0.88193999999999995</v>
      </c>
      <c r="G92" s="2327">
        <v>0.88193999999999995</v>
      </c>
      <c r="H92" s="2327">
        <v>0.88193999999999995</v>
      </c>
      <c r="I92" s="2327">
        <v>0.88193999999999995</v>
      </c>
      <c r="J92" s="2327">
        <v>0.88193999999999995</v>
      </c>
      <c r="K92" s="2327">
        <v>0.88193999999999995</v>
      </c>
      <c r="L92" s="2327">
        <v>0.88193999999999995</v>
      </c>
      <c r="M92" s="2327">
        <v>0.88193999999999995</v>
      </c>
      <c r="N92" s="2327">
        <v>0.88193999999999995</v>
      </c>
      <c r="O92" s="2327">
        <v>0.88193999999999995</v>
      </c>
      <c r="P92" s="2327">
        <v>0.88193999999999995</v>
      </c>
      <c r="Q92" s="2327">
        <v>0.88193999999999995</v>
      </c>
      <c r="R92" s="2327">
        <v>0.88193999999999995</v>
      </c>
      <c r="S92" s="2327">
        <v>0.88193999999999995</v>
      </c>
      <c r="T92" s="2327">
        <v>0.88193999999999995</v>
      </c>
      <c r="U92" s="2327">
        <v>0.88193999999999995</v>
      </c>
      <c r="V92" s="2327">
        <v>0.88193999999999995</v>
      </c>
      <c r="W92" s="2327">
        <v>0.88193999999999995</v>
      </c>
      <c r="X92" s="2327">
        <v>0.88193999999999995</v>
      </c>
      <c r="Y92" s="2327">
        <v>0.88193999999999995</v>
      </c>
      <c r="Z92" s="2327">
        <v>0.88193999999999995</v>
      </c>
      <c r="AA92" s="2327">
        <v>0.88193999999999995</v>
      </c>
      <c r="AB92" s="2327">
        <v>0.88193999999999995</v>
      </c>
      <c r="AC92" s="2327">
        <v>0.88193999999999995</v>
      </c>
      <c r="AD92" s="2327">
        <v>0.88193999999999995</v>
      </c>
      <c r="AE92" s="2327">
        <v>0.88193999999999995</v>
      </c>
      <c r="AF92" s="2327">
        <v>0.88193999999999995</v>
      </c>
      <c r="AG92" s="2327">
        <v>0.88193999999999995</v>
      </c>
    </row>
    <row r="93" spans="1:33">
      <c r="A93" s="233" t="s">
        <v>1737</v>
      </c>
      <c r="B93" s="545">
        <f>SUM(C93:AG93)</f>
        <v>48.897103980403017</v>
      </c>
      <c r="C93" s="508">
        <f>C88*C91/1000</f>
        <v>0</v>
      </c>
      <c r="D93" s="508">
        <f>D88*D91/1000</f>
        <v>0</v>
      </c>
      <c r="E93" s="508">
        <f t="shared" ref="E93:AG93" si="49">E88*E91/1000</f>
        <v>0</v>
      </c>
      <c r="F93" s="508">
        <f t="shared" si="49"/>
        <v>2.3102726338611408</v>
      </c>
      <c r="G93" s="508">
        <f t="shared" si="49"/>
        <v>1.1563763861865797</v>
      </c>
      <c r="H93" s="508">
        <f t="shared" si="49"/>
        <v>2.3143780367064521</v>
      </c>
      <c r="I93" s="508">
        <f t="shared" si="49"/>
        <v>2.3157089796621637</v>
      </c>
      <c r="J93" s="508">
        <f t="shared" si="49"/>
        <v>0</v>
      </c>
      <c r="K93" s="508">
        <f t="shared" si="49"/>
        <v>0</v>
      </c>
      <c r="L93" s="508">
        <f t="shared" si="49"/>
        <v>0</v>
      </c>
      <c r="M93" s="508">
        <f t="shared" si="49"/>
        <v>2.3107655930536048</v>
      </c>
      <c r="N93" s="508">
        <f t="shared" si="49"/>
        <v>2.111812267517359</v>
      </c>
      <c r="O93" s="508">
        <f t="shared" si="49"/>
        <v>2.1140971705184817</v>
      </c>
      <c r="P93" s="508">
        <f t="shared" si="49"/>
        <v>2.3151514556569861</v>
      </c>
      <c r="Q93" s="508">
        <f t="shared" si="49"/>
        <v>2.3071772127061796</v>
      </c>
      <c r="R93" s="508">
        <f t="shared" si="49"/>
        <v>2.3180671695044945</v>
      </c>
      <c r="S93" s="508">
        <f t="shared" si="49"/>
        <v>2.3253190961505696</v>
      </c>
      <c r="T93" s="508">
        <f t="shared" si="49"/>
        <v>1.9971527789958414</v>
      </c>
      <c r="U93" s="508">
        <f t="shared" si="49"/>
        <v>0</v>
      </c>
      <c r="V93" s="508">
        <f t="shared" si="49"/>
        <v>0</v>
      </c>
      <c r="W93" s="508">
        <f t="shared" si="49"/>
        <v>2.3185537827673457</v>
      </c>
      <c r="X93" s="508">
        <f t="shared" si="49"/>
        <v>2.3056788670715656</v>
      </c>
      <c r="Y93" s="508">
        <f t="shared" si="49"/>
        <v>2.2977993701535175</v>
      </c>
      <c r="Z93" s="508">
        <f t="shared" si="49"/>
        <v>2.2933757667120167</v>
      </c>
      <c r="AA93" s="508">
        <f t="shared" si="49"/>
        <v>2.2911832752815924</v>
      </c>
      <c r="AB93" s="508">
        <f t="shared" si="49"/>
        <v>1.1451458428549754</v>
      </c>
      <c r="AC93" s="508">
        <f t="shared" si="49"/>
        <v>2.2901333741031982</v>
      </c>
      <c r="AD93" s="508">
        <f t="shared" si="49"/>
        <v>2.2900589124128987</v>
      </c>
      <c r="AE93" s="508">
        <f t="shared" si="49"/>
        <v>2.0428076904185888</v>
      </c>
      <c r="AF93" s="508">
        <f t="shared" si="49"/>
        <v>1.8630441590537381</v>
      </c>
      <c r="AG93" s="508">
        <f t="shared" si="49"/>
        <v>1.8630441590537381</v>
      </c>
    </row>
    <row r="94" spans="1:33">
      <c r="A94" s="524" t="s">
        <v>1726</v>
      </c>
      <c r="B94" s="525"/>
      <c r="C94" s="232">
        <v>1</v>
      </c>
      <c r="D94" s="232">
        <v>1</v>
      </c>
      <c r="E94" s="232">
        <v>0.7</v>
      </c>
      <c r="F94" s="232">
        <v>1</v>
      </c>
      <c r="G94" s="232">
        <v>1</v>
      </c>
      <c r="H94" s="232">
        <v>1</v>
      </c>
      <c r="I94" s="232">
        <v>1</v>
      </c>
      <c r="J94" s="232">
        <v>1</v>
      </c>
      <c r="K94" s="232">
        <v>1</v>
      </c>
      <c r="L94" s="232">
        <v>1</v>
      </c>
      <c r="M94" s="232">
        <v>1</v>
      </c>
      <c r="N94" s="232">
        <v>0</v>
      </c>
      <c r="O94" s="232">
        <v>0</v>
      </c>
      <c r="P94" s="232">
        <v>0</v>
      </c>
      <c r="Q94" s="232">
        <v>0</v>
      </c>
      <c r="R94" s="232">
        <v>0</v>
      </c>
      <c r="S94" s="232">
        <v>0</v>
      </c>
      <c r="T94" s="232">
        <v>0</v>
      </c>
      <c r="U94" s="232">
        <v>1</v>
      </c>
      <c r="V94" s="232">
        <v>1</v>
      </c>
      <c r="W94" s="232">
        <v>0</v>
      </c>
      <c r="X94" s="232">
        <v>0</v>
      </c>
      <c r="Y94" s="232">
        <v>0</v>
      </c>
      <c r="Z94" s="232">
        <v>0</v>
      </c>
      <c r="AA94" s="232">
        <v>0</v>
      </c>
      <c r="AB94" s="232">
        <v>0</v>
      </c>
      <c r="AC94" s="232">
        <v>0</v>
      </c>
      <c r="AD94" s="232">
        <v>0</v>
      </c>
      <c r="AE94" s="232">
        <v>0</v>
      </c>
      <c r="AF94" s="232">
        <v>0</v>
      </c>
      <c r="AG94" s="232">
        <v>0</v>
      </c>
    </row>
    <row r="95" spans="1:33">
      <c r="A95" s="233" t="s">
        <v>1732</v>
      </c>
      <c r="B95" s="539">
        <f>SUM(C95:AG95)</f>
        <v>9038.8082399999967</v>
      </c>
      <c r="C95" s="507">
        <f>MIN(C$130-C81-C88,(B60+C22),C$130*C94)</f>
        <v>1173.8711999999996</v>
      </c>
      <c r="D95" s="507">
        <f t="shared" ref="D95:AG95" si="50">MIN(D$130-D81-D88,(C60+D22),D$130*D94)</f>
        <v>1173.8711999999996</v>
      </c>
      <c r="E95" s="507">
        <f t="shared" si="50"/>
        <v>821.70983999999964</v>
      </c>
      <c r="F95" s="507">
        <f t="shared" si="50"/>
        <v>0</v>
      </c>
      <c r="G95" s="507">
        <f t="shared" si="50"/>
        <v>0</v>
      </c>
      <c r="H95" s="507">
        <f t="shared" si="50"/>
        <v>0</v>
      </c>
      <c r="I95" s="507">
        <f t="shared" si="50"/>
        <v>0</v>
      </c>
      <c r="J95" s="507">
        <f t="shared" si="50"/>
        <v>1173.8711999999996</v>
      </c>
      <c r="K95" s="507">
        <f t="shared" si="50"/>
        <v>1173.8711999999996</v>
      </c>
      <c r="L95" s="507">
        <f>MIN(L$130-L81-L88,(K60+L22),L$130*L94)</f>
        <v>1173.8711999999996</v>
      </c>
      <c r="M95" s="507">
        <f t="shared" si="50"/>
        <v>0</v>
      </c>
      <c r="N95" s="507">
        <f t="shared" si="50"/>
        <v>0</v>
      </c>
      <c r="O95" s="507">
        <f t="shared" si="50"/>
        <v>0</v>
      </c>
      <c r="P95" s="507">
        <f t="shared" si="50"/>
        <v>0</v>
      </c>
      <c r="Q95" s="507">
        <f t="shared" si="50"/>
        <v>0</v>
      </c>
      <c r="R95" s="507">
        <f t="shared" si="50"/>
        <v>0</v>
      </c>
      <c r="S95" s="507">
        <f t="shared" si="50"/>
        <v>0</v>
      </c>
      <c r="T95" s="507">
        <f t="shared" si="50"/>
        <v>0</v>
      </c>
      <c r="U95" s="507">
        <f t="shared" si="50"/>
        <v>1173.8711999999996</v>
      </c>
      <c r="V95" s="507">
        <f>MIN(V$130-V81-V88,(U60+V22),V$130*V94)</f>
        <v>1173.8711999999996</v>
      </c>
      <c r="W95" s="507">
        <f>MIN(W$130-W81-W88,(V60+W22),W$130*W94)</f>
        <v>0</v>
      </c>
      <c r="X95" s="507">
        <f t="shared" si="50"/>
        <v>0</v>
      </c>
      <c r="Y95" s="507">
        <f t="shared" si="50"/>
        <v>0</v>
      </c>
      <c r="Z95" s="507">
        <f>MIN(Z$130-Z81-Z88,(Y60+Z22),Z$130*Z94)</f>
        <v>0</v>
      </c>
      <c r="AA95" s="507">
        <f t="shared" si="50"/>
        <v>0</v>
      </c>
      <c r="AB95" s="507">
        <f t="shared" si="50"/>
        <v>0</v>
      </c>
      <c r="AC95" s="507">
        <f t="shared" si="50"/>
        <v>0</v>
      </c>
      <c r="AD95" s="507">
        <f t="shared" si="50"/>
        <v>0</v>
      </c>
      <c r="AE95" s="507">
        <f t="shared" si="50"/>
        <v>0</v>
      </c>
      <c r="AF95" s="507">
        <f t="shared" si="50"/>
        <v>0</v>
      </c>
      <c r="AG95" s="507">
        <f t="shared" si="50"/>
        <v>0</v>
      </c>
    </row>
    <row r="96" spans="1:33">
      <c r="A96" s="233" t="s">
        <v>1733</v>
      </c>
      <c r="B96" s="506">
        <f>IFERROR(B97/B95,0)</f>
        <v>2.2999999999999998</v>
      </c>
      <c r="C96" s="508">
        <f t="shared" ref="C96:AG96" si="51">IF(NOT(C95),0,(C24+B62)/(C22+B60))</f>
        <v>2.2999999999999998</v>
      </c>
      <c r="D96" s="508">
        <f t="shared" si="51"/>
        <v>2.3000000000000003</v>
      </c>
      <c r="E96" s="508">
        <f t="shared" si="51"/>
        <v>2.3000000000000003</v>
      </c>
      <c r="F96" s="508">
        <f t="shared" si="51"/>
        <v>0</v>
      </c>
      <c r="G96" s="508">
        <f t="shared" si="51"/>
        <v>0</v>
      </c>
      <c r="H96" s="508">
        <f t="shared" si="51"/>
        <v>0</v>
      </c>
      <c r="I96" s="508">
        <f t="shared" si="51"/>
        <v>0</v>
      </c>
      <c r="J96" s="508">
        <f t="shared" si="51"/>
        <v>2.3000000000000003</v>
      </c>
      <c r="K96" s="508">
        <f t="shared" si="51"/>
        <v>2.2999999999999998</v>
      </c>
      <c r="L96" s="508">
        <f t="shared" si="51"/>
        <v>2.2999999999999998</v>
      </c>
      <c r="M96" s="508">
        <f>IF(NOT(M95),0,(M24+L62)/(M22+L60))</f>
        <v>0</v>
      </c>
      <c r="N96" s="508">
        <f t="shared" si="51"/>
        <v>0</v>
      </c>
      <c r="O96" s="508">
        <f t="shared" si="51"/>
        <v>0</v>
      </c>
      <c r="P96" s="508">
        <f t="shared" si="51"/>
        <v>0</v>
      </c>
      <c r="Q96" s="508">
        <f t="shared" si="51"/>
        <v>0</v>
      </c>
      <c r="R96" s="508">
        <f t="shared" si="51"/>
        <v>0</v>
      </c>
      <c r="S96" s="508">
        <f t="shared" si="51"/>
        <v>0</v>
      </c>
      <c r="T96" s="508">
        <f t="shared" si="51"/>
        <v>0</v>
      </c>
      <c r="U96" s="508">
        <f t="shared" si="51"/>
        <v>2.2999999999999998</v>
      </c>
      <c r="V96" s="508">
        <f>IF(NOT(V95),0,(V24+U62)/(V22+U60))</f>
        <v>2.3000000000000003</v>
      </c>
      <c r="W96" s="508">
        <f t="shared" si="51"/>
        <v>0</v>
      </c>
      <c r="X96" s="508">
        <f t="shared" si="51"/>
        <v>0</v>
      </c>
      <c r="Y96" s="508">
        <f t="shared" si="51"/>
        <v>0</v>
      </c>
      <c r="Z96" s="508">
        <f t="shared" si="51"/>
        <v>0</v>
      </c>
      <c r="AA96" s="508">
        <f t="shared" si="51"/>
        <v>0</v>
      </c>
      <c r="AB96" s="508">
        <f t="shared" si="51"/>
        <v>0</v>
      </c>
      <c r="AC96" s="508">
        <f t="shared" si="51"/>
        <v>0</v>
      </c>
      <c r="AD96" s="508">
        <f t="shared" si="51"/>
        <v>0</v>
      </c>
      <c r="AE96" s="508">
        <f t="shared" si="51"/>
        <v>0</v>
      </c>
      <c r="AF96" s="508">
        <f t="shared" si="51"/>
        <v>0</v>
      </c>
      <c r="AG96" s="508">
        <f t="shared" si="51"/>
        <v>0</v>
      </c>
    </row>
    <row r="97" spans="1:33">
      <c r="A97" s="233" t="s">
        <v>1734</v>
      </c>
      <c r="B97" s="539">
        <f>SUM(C97:AG97)</f>
        <v>20789.258951999989</v>
      </c>
      <c r="C97" s="507">
        <f>C95*C96</f>
        <v>2699.9037599999988</v>
      </c>
      <c r="D97" s="507">
        <f t="shared" ref="D97:AG97" si="52">D95*D96</f>
        <v>2699.9037599999992</v>
      </c>
      <c r="E97" s="507">
        <f t="shared" si="52"/>
        <v>1889.9326319999993</v>
      </c>
      <c r="F97" s="507">
        <f t="shared" si="52"/>
        <v>0</v>
      </c>
      <c r="G97" s="507">
        <f t="shared" si="52"/>
        <v>0</v>
      </c>
      <c r="H97" s="507">
        <f t="shared" si="52"/>
        <v>0</v>
      </c>
      <c r="I97" s="507">
        <f t="shared" si="52"/>
        <v>0</v>
      </c>
      <c r="J97" s="507">
        <f t="shared" si="52"/>
        <v>2699.9037599999992</v>
      </c>
      <c r="K97" s="507">
        <f t="shared" si="52"/>
        <v>2699.9037599999988</v>
      </c>
      <c r="L97" s="507">
        <f t="shared" si="52"/>
        <v>2699.9037599999988</v>
      </c>
      <c r="M97" s="507">
        <f>M95*M96</f>
        <v>0</v>
      </c>
      <c r="N97" s="507">
        <f t="shared" si="52"/>
        <v>0</v>
      </c>
      <c r="O97" s="507">
        <f t="shared" si="52"/>
        <v>0</v>
      </c>
      <c r="P97" s="507">
        <f t="shared" si="52"/>
        <v>0</v>
      </c>
      <c r="Q97" s="507">
        <f t="shared" si="52"/>
        <v>0</v>
      </c>
      <c r="R97" s="507">
        <f t="shared" si="52"/>
        <v>0</v>
      </c>
      <c r="S97" s="507">
        <f t="shared" si="52"/>
        <v>0</v>
      </c>
      <c r="T97" s="507">
        <f t="shared" si="52"/>
        <v>0</v>
      </c>
      <c r="U97" s="507">
        <f t="shared" si="52"/>
        <v>2699.9037599999988</v>
      </c>
      <c r="V97" s="507">
        <f t="shared" si="52"/>
        <v>2699.9037599999992</v>
      </c>
      <c r="W97" s="507">
        <f t="shared" si="52"/>
        <v>0</v>
      </c>
      <c r="X97" s="507">
        <f t="shared" si="52"/>
        <v>0</v>
      </c>
      <c r="Y97" s="507">
        <f t="shared" si="52"/>
        <v>0</v>
      </c>
      <c r="Z97" s="507">
        <f t="shared" si="52"/>
        <v>0</v>
      </c>
      <c r="AA97" s="507">
        <f t="shared" si="52"/>
        <v>0</v>
      </c>
      <c r="AB97" s="507">
        <f t="shared" si="52"/>
        <v>0</v>
      </c>
      <c r="AC97" s="507">
        <f t="shared" si="52"/>
        <v>0</v>
      </c>
      <c r="AD97" s="507">
        <f t="shared" si="52"/>
        <v>0</v>
      </c>
      <c r="AE97" s="507">
        <f t="shared" si="52"/>
        <v>0</v>
      </c>
      <c r="AF97" s="507">
        <f t="shared" si="52"/>
        <v>0</v>
      </c>
      <c r="AG97" s="507">
        <f t="shared" si="52"/>
        <v>0</v>
      </c>
    </row>
    <row r="98" spans="1:33">
      <c r="A98" s="233" t="s">
        <v>1735</v>
      </c>
      <c r="B98" s="545">
        <f>IFERROR(B100*1000/B95,0)</f>
        <v>2.0240000000000005</v>
      </c>
      <c r="C98" s="234">
        <f t="shared" ref="C98:AG98" si="53">C99*C96</f>
        <v>2.024</v>
      </c>
      <c r="D98" s="234">
        <f t="shared" si="53"/>
        <v>2.0240000000000005</v>
      </c>
      <c r="E98" s="234">
        <f t="shared" si="53"/>
        <v>2.0240000000000005</v>
      </c>
      <c r="F98" s="234">
        <f t="shared" si="53"/>
        <v>0</v>
      </c>
      <c r="G98" s="234">
        <f t="shared" si="53"/>
        <v>0</v>
      </c>
      <c r="H98" s="234">
        <f t="shared" si="53"/>
        <v>0</v>
      </c>
      <c r="I98" s="234">
        <f t="shared" si="53"/>
        <v>0</v>
      </c>
      <c r="J98" s="234">
        <f t="shared" si="53"/>
        <v>2.0240000000000005</v>
      </c>
      <c r="K98" s="234">
        <f t="shared" si="53"/>
        <v>2.024</v>
      </c>
      <c r="L98" s="234">
        <f t="shared" si="53"/>
        <v>2.024</v>
      </c>
      <c r="M98" s="234">
        <f t="shared" si="53"/>
        <v>0</v>
      </c>
      <c r="N98" s="234">
        <f t="shared" si="53"/>
        <v>0</v>
      </c>
      <c r="O98" s="234">
        <f t="shared" si="53"/>
        <v>0</v>
      </c>
      <c r="P98" s="234">
        <f t="shared" si="53"/>
        <v>0</v>
      </c>
      <c r="Q98" s="234">
        <f t="shared" si="53"/>
        <v>0</v>
      </c>
      <c r="R98" s="234">
        <f t="shared" si="53"/>
        <v>0</v>
      </c>
      <c r="S98" s="234">
        <f t="shared" si="53"/>
        <v>0</v>
      </c>
      <c r="T98" s="234">
        <f t="shared" si="53"/>
        <v>0</v>
      </c>
      <c r="U98" s="234">
        <f t="shared" si="53"/>
        <v>2.024</v>
      </c>
      <c r="V98" s="234">
        <f t="shared" si="53"/>
        <v>2.0240000000000005</v>
      </c>
      <c r="W98" s="234">
        <f t="shared" si="53"/>
        <v>0</v>
      </c>
      <c r="X98" s="234">
        <f t="shared" si="53"/>
        <v>0</v>
      </c>
      <c r="Y98" s="234">
        <f t="shared" si="53"/>
        <v>0</v>
      </c>
      <c r="Z98" s="234">
        <f t="shared" si="53"/>
        <v>0</v>
      </c>
      <c r="AA98" s="234">
        <f t="shared" si="53"/>
        <v>0</v>
      </c>
      <c r="AB98" s="234">
        <f t="shared" si="53"/>
        <v>0</v>
      </c>
      <c r="AC98" s="234">
        <f t="shared" si="53"/>
        <v>0</v>
      </c>
      <c r="AD98" s="234">
        <f t="shared" si="53"/>
        <v>0</v>
      </c>
      <c r="AE98" s="234">
        <f t="shared" si="53"/>
        <v>0</v>
      </c>
      <c r="AF98" s="234">
        <f t="shared" si="53"/>
        <v>0</v>
      </c>
      <c r="AG98" s="234">
        <f t="shared" si="53"/>
        <v>0</v>
      </c>
    </row>
    <row r="99" spans="1:33">
      <c r="A99" s="233" t="s">
        <v>1736</v>
      </c>
      <c r="B99" s="235">
        <f>IFERROR(B98/B96,0)</f>
        <v>0.88000000000000023</v>
      </c>
      <c r="C99" s="236">
        <v>0.88</v>
      </c>
      <c r="D99" s="236">
        <v>0.88</v>
      </c>
      <c r="E99" s="236">
        <v>0.88</v>
      </c>
      <c r="F99" s="236">
        <v>0.88</v>
      </c>
      <c r="G99" s="236">
        <v>0.88</v>
      </c>
      <c r="H99" s="236">
        <v>0.88</v>
      </c>
      <c r="I99" s="236">
        <v>0.88</v>
      </c>
      <c r="J99" s="236">
        <v>0.88</v>
      </c>
      <c r="K99" s="236">
        <v>0.88</v>
      </c>
      <c r="L99" s="236">
        <v>0.88</v>
      </c>
      <c r="M99" s="236">
        <v>0.88</v>
      </c>
      <c r="N99" s="236">
        <v>0.88</v>
      </c>
      <c r="O99" s="236">
        <v>0.88</v>
      </c>
      <c r="P99" s="236">
        <v>0.88</v>
      </c>
      <c r="Q99" s="236">
        <v>0.88</v>
      </c>
      <c r="R99" s="236">
        <v>0.88</v>
      </c>
      <c r="S99" s="236">
        <v>0.88</v>
      </c>
      <c r="T99" s="236">
        <v>0.88</v>
      </c>
      <c r="U99" s="236">
        <v>0.88</v>
      </c>
      <c r="V99" s="236">
        <v>0.88</v>
      </c>
      <c r="W99" s="236">
        <v>0.88</v>
      </c>
      <c r="X99" s="236">
        <v>0.88</v>
      </c>
      <c r="Y99" s="236">
        <v>0.88</v>
      </c>
      <c r="Z99" s="236">
        <v>0.88</v>
      </c>
      <c r="AA99" s="236">
        <v>0.88</v>
      </c>
      <c r="AB99" s="236">
        <v>0.88</v>
      </c>
      <c r="AC99" s="236">
        <v>0.88</v>
      </c>
      <c r="AD99" s="236">
        <v>0.88</v>
      </c>
      <c r="AE99" s="236">
        <v>0.88</v>
      </c>
      <c r="AF99" s="236">
        <v>0.88</v>
      </c>
      <c r="AG99" s="236">
        <v>0.88</v>
      </c>
    </row>
    <row r="100" spans="1:33">
      <c r="A100" s="233" t="s">
        <v>1737</v>
      </c>
      <c r="B100" s="545">
        <f>SUM(C100:AG100)</f>
        <v>18.294547877759996</v>
      </c>
      <c r="C100" s="508">
        <f t="shared" ref="C100:AG100" si="54">C95*C98/1000</f>
        <v>2.3759153087999993</v>
      </c>
      <c r="D100" s="508">
        <f t="shared" si="54"/>
        <v>2.3759153087999998</v>
      </c>
      <c r="E100" s="508">
        <f t="shared" si="54"/>
        <v>1.6631407161599996</v>
      </c>
      <c r="F100" s="508">
        <f t="shared" si="54"/>
        <v>0</v>
      </c>
      <c r="G100" s="508">
        <f t="shared" si="54"/>
        <v>0</v>
      </c>
      <c r="H100" s="508">
        <f t="shared" si="54"/>
        <v>0</v>
      </c>
      <c r="I100" s="508">
        <f t="shared" si="54"/>
        <v>0</v>
      </c>
      <c r="J100" s="508">
        <f t="shared" si="54"/>
        <v>2.3759153087999998</v>
      </c>
      <c r="K100" s="508">
        <f t="shared" si="54"/>
        <v>2.3759153087999993</v>
      </c>
      <c r="L100" s="508">
        <f t="shared" si="54"/>
        <v>2.3759153087999993</v>
      </c>
      <c r="M100" s="508">
        <f t="shared" si="54"/>
        <v>0</v>
      </c>
      <c r="N100" s="508">
        <f t="shared" si="54"/>
        <v>0</v>
      </c>
      <c r="O100" s="508">
        <f t="shared" si="54"/>
        <v>0</v>
      </c>
      <c r="P100" s="508">
        <f t="shared" si="54"/>
        <v>0</v>
      </c>
      <c r="Q100" s="508">
        <f t="shared" si="54"/>
        <v>0</v>
      </c>
      <c r="R100" s="508">
        <f t="shared" si="54"/>
        <v>0</v>
      </c>
      <c r="S100" s="508">
        <f t="shared" si="54"/>
        <v>0</v>
      </c>
      <c r="T100" s="508">
        <f t="shared" si="54"/>
        <v>0</v>
      </c>
      <c r="U100" s="508">
        <f t="shared" si="54"/>
        <v>2.3759153087999993</v>
      </c>
      <c r="V100" s="508">
        <f t="shared" si="54"/>
        <v>2.3759153087999998</v>
      </c>
      <c r="W100" s="508">
        <f t="shared" si="54"/>
        <v>0</v>
      </c>
      <c r="X100" s="508">
        <f t="shared" si="54"/>
        <v>0</v>
      </c>
      <c r="Y100" s="508">
        <f t="shared" si="54"/>
        <v>0</v>
      </c>
      <c r="Z100" s="508">
        <f t="shared" si="54"/>
        <v>0</v>
      </c>
      <c r="AA100" s="508">
        <f t="shared" si="54"/>
        <v>0</v>
      </c>
      <c r="AB100" s="508">
        <f t="shared" si="54"/>
        <v>0</v>
      </c>
      <c r="AC100" s="508">
        <f t="shared" si="54"/>
        <v>0</v>
      </c>
      <c r="AD100" s="508">
        <f t="shared" si="54"/>
        <v>0</v>
      </c>
      <c r="AE100" s="508">
        <f t="shared" si="54"/>
        <v>0</v>
      </c>
      <c r="AF100" s="508">
        <f t="shared" si="54"/>
        <v>0</v>
      </c>
      <c r="AG100" s="508">
        <f t="shared" si="54"/>
        <v>0</v>
      </c>
    </row>
    <row r="101" spans="1:33">
      <c r="A101" s="231" t="s">
        <v>1727</v>
      </c>
      <c r="B101" s="525"/>
      <c r="C101" s="232">
        <v>0</v>
      </c>
      <c r="D101" s="232">
        <v>0</v>
      </c>
      <c r="E101" s="232">
        <v>0</v>
      </c>
      <c r="F101" s="232">
        <v>0</v>
      </c>
      <c r="G101" s="232">
        <v>0</v>
      </c>
      <c r="H101" s="232">
        <v>0</v>
      </c>
      <c r="I101" s="232">
        <v>0</v>
      </c>
      <c r="J101" s="232">
        <v>0</v>
      </c>
      <c r="K101" s="232">
        <v>0</v>
      </c>
      <c r="L101" s="232">
        <v>0</v>
      </c>
      <c r="M101" s="232">
        <v>0</v>
      </c>
      <c r="N101" s="232">
        <v>0</v>
      </c>
      <c r="O101" s="232">
        <v>0</v>
      </c>
      <c r="P101" s="232">
        <v>0</v>
      </c>
      <c r="Q101" s="232">
        <v>0</v>
      </c>
      <c r="R101" s="232">
        <v>0</v>
      </c>
      <c r="S101" s="232">
        <v>0</v>
      </c>
      <c r="T101" s="232">
        <v>0</v>
      </c>
      <c r="U101" s="232">
        <v>0</v>
      </c>
      <c r="V101" s="232">
        <v>0</v>
      </c>
      <c r="W101" s="232">
        <v>0</v>
      </c>
      <c r="X101" s="232">
        <v>0</v>
      </c>
      <c r="Y101" s="232">
        <v>0</v>
      </c>
      <c r="Z101" s="232">
        <v>0</v>
      </c>
      <c r="AA101" s="232">
        <v>0</v>
      </c>
      <c r="AB101" s="232">
        <v>0</v>
      </c>
      <c r="AC101" s="232">
        <v>0</v>
      </c>
      <c r="AD101" s="232">
        <v>0</v>
      </c>
      <c r="AE101" s="232">
        <v>0</v>
      </c>
      <c r="AF101" s="232">
        <v>0</v>
      </c>
      <c r="AG101" s="232">
        <v>0</v>
      </c>
    </row>
    <row r="102" spans="1:33">
      <c r="A102" s="233" t="s">
        <v>1732</v>
      </c>
      <c r="B102" s="539">
        <f>SUM(C102:AG102)</f>
        <v>0</v>
      </c>
      <c r="C102" s="507">
        <f>MIN(C$130-C81-C88-C95,B64,C$130*C101)</f>
        <v>0</v>
      </c>
      <c r="D102" s="507">
        <f t="shared" ref="D102:AG102" si="55">MIN(D$130-D81-D88-D95,C64,D$130*D101)</f>
        <v>0</v>
      </c>
      <c r="E102" s="507">
        <f t="shared" si="55"/>
        <v>0</v>
      </c>
      <c r="F102" s="507">
        <f t="shared" si="55"/>
        <v>0</v>
      </c>
      <c r="G102" s="507">
        <f t="shared" si="55"/>
        <v>0</v>
      </c>
      <c r="H102" s="507">
        <f t="shared" si="55"/>
        <v>0</v>
      </c>
      <c r="I102" s="507">
        <f t="shared" si="55"/>
        <v>0</v>
      </c>
      <c r="J102" s="507">
        <f t="shared" si="55"/>
        <v>0</v>
      </c>
      <c r="K102" s="507">
        <f t="shared" si="55"/>
        <v>0</v>
      </c>
      <c r="L102" s="507">
        <f>MIN(L$130-L81-L88-L95,K64,L$130*L101)</f>
        <v>0</v>
      </c>
      <c r="M102" s="507">
        <f t="shared" si="55"/>
        <v>0</v>
      </c>
      <c r="N102" s="507">
        <f t="shared" si="55"/>
        <v>0</v>
      </c>
      <c r="O102" s="507">
        <f t="shared" si="55"/>
        <v>0</v>
      </c>
      <c r="P102" s="507">
        <f t="shared" si="55"/>
        <v>0</v>
      </c>
      <c r="Q102" s="507">
        <f t="shared" si="55"/>
        <v>0</v>
      </c>
      <c r="R102" s="507">
        <f t="shared" si="55"/>
        <v>0</v>
      </c>
      <c r="S102" s="507">
        <f t="shared" si="55"/>
        <v>0</v>
      </c>
      <c r="T102" s="507">
        <f t="shared" si="55"/>
        <v>0</v>
      </c>
      <c r="U102" s="507">
        <f t="shared" si="55"/>
        <v>0</v>
      </c>
      <c r="V102" s="507">
        <f t="shared" si="55"/>
        <v>0</v>
      </c>
      <c r="W102" s="507">
        <f t="shared" si="55"/>
        <v>0</v>
      </c>
      <c r="X102" s="507">
        <f t="shared" si="55"/>
        <v>0</v>
      </c>
      <c r="Y102" s="507">
        <f t="shared" si="55"/>
        <v>0</v>
      </c>
      <c r="Z102" s="507">
        <f t="shared" si="55"/>
        <v>0</v>
      </c>
      <c r="AA102" s="507">
        <f t="shared" si="55"/>
        <v>0</v>
      </c>
      <c r="AB102" s="507">
        <f t="shared" si="55"/>
        <v>0</v>
      </c>
      <c r="AC102" s="507">
        <f t="shared" si="55"/>
        <v>0</v>
      </c>
      <c r="AD102" s="507">
        <f t="shared" si="55"/>
        <v>0</v>
      </c>
      <c r="AE102" s="507">
        <f t="shared" si="55"/>
        <v>0</v>
      </c>
      <c r="AF102" s="507">
        <f t="shared" si="55"/>
        <v>0</v>
      </c>
      <c r="AG102" s="507">
        <f t="shared" si="55"/>
        <v>0</v>
      </c>
    </row>
    <row r="103" spans="1:33">
      <c r="A103" s="233" t="s">
        <v>1733</v>
      </c>
      <c r="B103" s="506">
        <f>IFERROR(B104/B102,0)</f>
        <v>0</v>
      </c>
      <c r="C103" s="508">
        <f t="shared" ref="C103:AG103" si="56">IF(NOT(C102),0,(C33+B66)/(C31+B64))</f>
        <v>0</v>
      </c>
      <c r="D103" s="508">
        <f t="shared" si="56"/>
        <v>0</v>
      </c>
      <c r="E103" s="508">
        <f t="shared" si="56"/>
        <v>0</v>
      </c>
      <c r="F103" s="508">
        <f t="shared" si="56"/>
        <v>0</v>
      </c>
      <c r="G103" s="508">
        <f t="shared" si="56"/>
        <v>0</v>
      </c>
      <c r="H103" s="508">
        <f t="shared" si="56"/>
        <v>0</v>
      </c>
      <c r="I103" s="508">
        <f t="shared" si="56"/>
        <v>0</v>
      </c>
      <c r="J103" s="508">
        <f t="shared" si="56"/>
        <v>0</v>
      </c>
      <c r="K103" s="508">
        <f t="shared" si="56"/>
        <v>0</v>
      </c>
      <c r="L103" s="508">
        <f t="shared" si="56"/>
        <v>0</v>
      </c>
      <c r="M103" s="508">
        <f t="shared" si="56"/>
        <v>0</v>
      </c>
      <c r="N103" s="508">
        <f t="shared" si="56"/>
        <v>0</v>
      </c>
      <c r="O103" s="508">
        <f t="shared" si="56"/>
        <v>0</v>
      </c>
      <c r="P103" s="508">
        <f>IF(NOT(P102),0,(P33+O66)/(P31+O64))</f>
        <v>0</v>
      </c>
      <c r="Q103" s="508">
        <f t="shared" si="56"/>
        <v>0</v>
      </c>
      <c r="R103" s="508">
        <f t="shared" si="56"/>
        <v>0</v>
      </c>
      <c r="S103" s="508">
        <f t="shared" si="56"/>
        <v>0</v>
      </c>
      <c r="T103" s="508">
        <f t="shared" si="56"/>
        <v>0</v>
      </c>
      <c r="U103" s="508">
        <f t="shared" si="56"/>
        <v>0</v>
      </c>
      <c r="V103" s="508">
        <f t="shared" si="56"/>
        <v>0</v>
      </c>
      <c r="W103" s="508">
        <f t="shared" si="56"/>
        <v>0</v>
      </c>
      <c r="X103" s="508">
        <f t="shared" si="56"/>
        <v>0</v>
      </c>
      <c r="Y103" s="508">
        <f t="shared" si="56"/>
        <v>0</v>
      </c>
      <c r="Z103" s="508">
        <f t="shared" si="56"/>
        <v>0</v>
      </c>
      <c r="AA103" s="508">
        <f t="shared" si="56"/>
        <v>0</v>
      </c>
      <c r="AB103" s="508">
        <f t="shared" si="56"/>
        <v>0</v>
      </c>
      <c r="AC103" s="508">
        <f t="shared" si="56"/>
        <v>0</v>
      </c>
      <c r="AD103" s="508">
        <f t="shared" si="56"/>
        <v>0</v>
      </c>
      <c r="AE103" s="508">
        <f t="shared" si="56"/>
        <v>0</v>
      </c>
      <c r="AF103" s="508">
        <f t="shared" si="56"/>
        <v>0</v>
      </c>
      <c r="AG103" s="508">
        <f t="shared" si="56"/>
        <v>0</v>
      </c>
    </row>
    <row r="104" spans="1:33">
      <c r="A104" s="233" t="s">
        <v>1734</v>
      </c>
      <c r="B104" s="539">
        <f>SUM(C104:AG104)</f>
        <v>0</v>
      </c>
      <c r="C104" s="507">
        <f>C102*C103</f>
        <v>0</v>
      </c>
      <c r="D104" s="507">
        <f t="shared" ref="D104:AG104" si="57">D102*D103</f>
        <v>0</v>
      </c>
      <c r="E104" s="507">
        <f t="shared" si="57"/>
        <v>0</v>
      </c>
      <c r="F104" s="507">
        <f t="shared" si="57"/>
        <v>0</v>
      </c>
      <c r="G104" s="507">
        <f t="shared" si="57"/>
        <v>0</v>
      </c>
      <c r="H104" s="507">
        <f t="shared" si="57"/>
        <v>0</v>
      </c>
      <c r="I104" s="507">
        <f t="shared" si="57"/>
        <v>0</v>
      </c>
      <c r="J104" s="507">
        <f t="shared" si="57"/>
        <v>0</v>
      </c>
      <c r="K104" s="507">
        <f t="shared" si="57"/>
        <v>0</v>
      </c>
      <c r="L104" s="507">
        <f t="shared" si="57"/>
        <v>0</v>
      </c>
      <c r="M104" s="507">
        <f t="shared" si="57"/>
        <v>0</v>
      </c>
      <c r="N104" s="507">
        <f t="shared" si="57"/>
        <v>0</v>
      </c>
      <c r="O104" s="507">
        <f t="shared" si="57"/>
        <v>0</v>
      </c>
      <c r="P104" s="507">
        <f t="shared" si="57"/>
        <v>0</v>
      </c>
      <c r="Q104" s="507">
        <f t="shared" si="57"/>
        <v>0</v>
      </c>
      <c r="R104" s="507">
        <f t="shared" si="57"/>
        <v>0</v>
      </c>
      <c r="S104" s="507">
        <f t="shared" si="57"/>
        <v>0</v>
      </c>
      <c r="T104" s="507">
        <f t="shared" si="57"/>
        <v>0</v>
      </c>
      <c r="U104" s="507">
        <f t="shared" si="57"/>
        <v>0</v>
      </c>
      <c r="V104" s="507">
        <f t="shared" si="57"/>
        <v>0</v>
      </c>
      <c r="W104" s="507">
        <f t="shared" si="57"/>
        <v>0</v>
      </c>
      <c r="X104" s="507">
        <f t="shared" si="57"/>
        <v>0</v>
      </c>
      <c r="Y104" s="507">
        <f t="shared" si="57"/>
        <v>0</v>
      </c>
      <c r="Z104" s="507">
        <f t="shared" si="57"/>
        <v>0</v>
      </c>
      <c r="AA104" s="507">
        <f t="shared" si="57"/>
        <v>0</v>
      </c>
      <c r="AB104" s="507">
        <f t="shared" si="57"/>
        <v>0</v>
      </c>
      <c r="AC104" s="507">
        <f t="shared" si="57"/>
        <v>0</v>
      </c>
      <c r="AD104" s="507">
        <f t="shared" si="57"/>
        <v>0</v>
      </c>
      <c r="AE104" s="507">
        <f t="shared" si="57"/>
        <v>0</v>
      </c>
      <c r="AF104" s="507">
        <f t="shared" si="57"/>
        <v>0</v>
      </c>
      <c r="AG104" s="507">
        <f t="shared" si="57"/>
        <v>0</v>
      </c>
    </row>
    <row r="105" spans="1:33">
      <c r="A105" s="233" t="s">
        <v>1735</v>
      </c>
      <c r="B105" s="545">
        <f>IFERROR(B107*1000/B102,0)</f>
        <v>0</v>
      </c>
      <c r="C105" s="234">
        <f t="shared" ref="C105:AG105" si="58">C106*C103</f>
        <v>0</v>
      </c>
      <c r="D105" s="234">
        <f t="shared" si="58"/>
        <v>0</v>
      </c>
      <c r="E105" s="234">
        <f t="shared" si="58"/>
        <v>0</v>
      </c>
      <c r="F105" s="234">
        <f t="shared" si="58"/>
        <v>0</v>
      </c>
      <c r="G105" s="234">
        <f t="shared" si="58"/>
        <v>0</v>
      </c>
      <c r="H105" s="234">
        <f t="shared" si="58"/>
        <v>0</v>
      </c>
      <c r="I105" s="234">
        <f t="shared" si="58"/>
        <v>0</v>
      </c>
      <c r="J105" s="234">
        <f t="shared" si="58"/>
        <v>0</v>
      </c>
      <c r="K105" s="234">
        <f t="shared" si="58"/>
        <v>0</v>
      </c>
      <c r="L105" s="234">
        <f t="shared" si="58"/>
        <v>0</v>
      </c>
      <c r="M105" s="234">
        <f t="shared" si="58"/>
        <v>0</v>
      </c>
      <c r="N105" s="234">
        <f t="shared" si="58"/>
        <v>0</v>
      </c>
      <c r="O105" s="234">
        <f t="shared" si="58"/>
        <v>0</v>
      </c>
      <c r="P105" s="234">
        <f t="shared" si="58"/>
        <v>0</v>
      </c>
      <c r="Q105" s="234">
        <f t="shared" si="58"/>
        <v>0</v>
      </c>
      <c r="R105" s="234">
        <f t="shared" si="58"/>
        <v>0</v>
      </c>
      <c r="S105" s="234">
        <f t="shared" si="58"/>
        <v>0</v>
      </c>
      <c r="T105" s="234">
        <f t="shared" si="58"/>
        <v>0</v>
      </c>
      <c r="U105" s="234">
        <f t="shared" si="58"/>
        <v>0</v>
      </c>
      <c r="V105" s="234">
        <f t="shared" si="58"/>
        <v>0</v>
      </c>
      <c r="W105" s="234">
        <f t="shared" si="58"/>
        <v>0</v>
      </c>
      <c r="X105" s="234">
        <f t="shared" si="58"/>
        <v>0</v>
      </c>
      <c r="Y105" s="234">
        <f t="shared" si="58"/>
        <v>0</v>
      </c>
      <c r="Z105" s="234">
        <f t="shared" si="58"/>
        <v>0</v>
      </c>
      <c r="AA105" s="234">
        <f t="shared" si="58"/>
        <v>0</v>
      </c>
      <c r="AB105" s="234">
        <f t="shared" si="58"/>
        <v>0</v>
      </c>
      <c r="AC105" s="234">
        <f t="shared" si="58"/>
        <v>0</v>
      </c>
      <c r="AD105" s="234">
        <f t="shared" si="58"/>
        <v>0</v>
      </c>
      <c r="AE105" s="234">
        <f t="shared" si="58"/>
        <v>0</v>
      </c>
      <c r="AF105" s="234">
        <f t="shared" si="58"/>
        <v>0</v>
      </c>
      <c r="AG105" s="234">
        <f t="shared" si="58"/>
        <v>0</v>
      </c>
    </row>
    <row r="106" spans="1:33">
      <c r="A106" s="233" t="s">
        <v>1736</v>
      </c>
      <c r="B106" s="235">
        <f>IFERROR(B105/B103,0)</f>
        <v>0</v>
      </c>
      <c r="C106" s="236">
        <v>0.88</v>
      </c>
      <c r="D106" s="236">
        <v>0.88</v>
      </c>
      <c r="E106" s="236">
        <v>0.88</v>
      </c>
      <c r="F106" s="236">
        <v>0.88</v>
      </c>
      <c r="G106" s="236">
        <v>0.88</v>
      </c>
      <c r="H106" s="236">
        <v>0.88</v>
      </c>
      <c r="I106" s="236">
        <v>0.88</v>
      </c>
      <c r="J106" s="236">
        <v>0.88</v>
      </c>
      <c r="K106" s="236">
        <v>0.88</v>
      </c>
      <c r="L106" s="236">
        <v>0.88</v>
      </c>
      <c r="M106" s="236">
        <v>0.88</v>
      </c>
      <c r="N106" s="236">
        <v>0.88</v>
      </c>
      <c r="O106" s="236">
        <v>0.88</v>
      </c>
      <c r="P106" s="236">
        <v>0.88</v>
      </c>
      <c r="Q106" s="236">
        <v>0.88</v>
      </c>
      <c r="R106" s="236">
        <v>0.88</v>
      </c>
      <c r="S106" s="236">
        <v>0.88</v>
      </c>
      <c r="T106" s="236">
        <v>0.88</v>
      </c>
      <c r="U106" s="236">
        <v>0.88</v>
      </c>
      <c r="V106" s="236">
        <v>0.88</v>
      </c>
      <c r="W106" s="236">
        <v>0.88</v>
      </c>
      <c r="X106" s="236">
        <v>0.88</v>
      </c>
      <c r="Y106" s="236">
        <v>0.88</v>
      </c>
      <c r="Z106" s="236">
        <v>0.88</v>
      </c>
      <c r="AA106" s="236">
        <v>0.88</v>
      </c>
      <c r="AB106" s="236">
        <v>0.88</v>
      </c>
      <c r="AC106" s="236">
        <v>0.88</v>
      </c>
      <c r="AD106" s="236">
        <v>0.88</v>
      </c>
      <c r="AE106" s="236">
        <v>0.88</v>
      </c>
      <c r="AF106" s="236">
        <v>0.88</v>
      </c>
      <c r="AG106" s="236">
        <v>0.88</v>
      </c>
    </row>
    <row r="107" spans="1:33">
      <c r="A107" s="233" t="s">
        <v>1737</v>
      </c>
      <c r="B107" s="545">
        <f>SUM(C107:AG107)</f>
        <v>0</v>
      </c>
      <c r="C107" s="508">
        <f t="shared" ref="C107:AG107" si="59">C102*C105/1000</f>
        <v>0</v>
      </c>
      <c r="D107" s="508">
        <f t="shared" si="59"/>
        <v>0</v>
      </c>
      <c r="E107" s="508">
        <f t="shared" si="59"/>
        <v>0</v>
      </c>
      <c r="F107" s="508">
        <f t="shared" si="59"/>
        <v>0</v>
      </c>
      <c r="G107" s="508">
        <f t="shared" si="59"/>
        <v>0</v>
      </c>
      <c r="H107" s="508">
        <f t="shared" si="59"/>
        <v>0</v>
      </c>
      <c r="I107" s="508">
        <f t="shared" si="59"/>
        <v>0</v>
      </c>
      <c r="J107" s="508">
        <f t="shared" si="59"/>
        <v>0</v>
      </c>
      <c r="K107" s="508">
        <f t="shared" si="59"/>
        <v>0</v>
      </c>
      <c r="L107" s="508">
        <f t="shared" si="59"/>
        <v>0</v>
      </c>
      <c r="M107" s="508">
        <f t="shared" si="59"/>
        <v>0</v>
      </c>
      <c r="N107" s="508">
        <f t="shared" si="59"/>
        <v>0</v>
      </c>
      <c r="O107" s="508">
        <f t="shared" si="59"/>
        <v>0</v>
      </c>
      <c r="P107" s="508">
        <f t="shared" si="59"/>
        <v>0</v>
      </c>
      <c r="Q107" s="508">
        <f t="shared" si="59"/>
        <v>0</v>
      </c>
      <c r="R107" s="508">
        <f t="shared" si="59"/>
        <v>0</v>
      </c>
      <c r="S107" s="508">
        <f t="shared" si="59"/>
        <v>0</v>
      </c>
      <c r="T107" s="508">
        <f t="shared" si="59"/>
        <v>0</v>
      </c>
      <c r="U107" s="508">
        <f t="shared" si="59"/>
        <v>0</v>
      </c>
      <c r="V107" s="508">
        <f t="shared" si="59"/>
        <v>0</v>
      </c>
      <c r="W107" s="508">
        <f t="shared" si="59"/>
        <v>0</v>
      </c>
      <c r="X107" s="508">
        <f t="shared" si="59"/>
        <v>0</v>
      </c>
      <c r="Y107" s="508">
        <f t="shared" si="59"/>
        <v>0</v>
      </c>
      <c r="Z107" s="508">
        <f t="shared" si="59"/>
        <v>0</v>
      </c>
      <c r="AA107" s="508">
        <f t="shared" si="59"/>
        <v>0</v>
      </c>
      <c r="AB107" s="508">
        <f t="shared" si="59"/>
        <v>0</v>
      </c>
      <c r="AC107" s="508">
        <f t="shared" si="59"/>
        <v>0</v>
      </c>
      <c r="AD107" s="508">
        <f t="shared" si="59"/>
        <v>0</v>
      </c>
      <c r="AE107" s="508">
        <f t="shared" si="59"/>
        <v>0</v>
      </c>
      <c r="AF107" s="508">
        <f t="shared" si="59"/>
        <v>0</v>
      </c>
      <c r="AG107" s="508">
        <f t="shared" si="59"/>
        <v>0</v>
      </c>
    </row>
    <row r="108" spans="1:33">
      <c r="A108" s="231" t="s">
        <v>1728</v>
      </c>
      <c r="B108" s="525"/>
      <c r="C108" s="232">
        <v>1</v>
      </c>
      <c r="D108" s="232">
        <v>1</v>
      </c>
      <c r="E108" s="232">
        <v>1</v>
      </c>
      <c r="F108" s="232">
        <v>1</v>
      </c>
      <c r="G108" s="232">
        <v>1</v>
      </c>
      <c r="H108" s="232">
        <v>1</v>
      </c>
      <c r="I108" s="232">
        <v>1</v>
      </c>
      <c r="J108" s="232">
        <v>1</v>
      </c>
      <c r="K108" s="232">
        <v>1</v>
      </c>
      <c r="L108" s="232">
        <v>1</v>
      </c>
      <c r="M108" s="232">
        <v>1</v>
      </c>
      <c r="N108" s="232">
        <v>1</v>
      </c>
      <c r="O108" s="232">
        <v>1</v>
      </c>
      <c r="P108" s="232">
        <v>1</v>
      </c>
      <c r="Q108" s="232">
        <v>1</v>
      </c>
      <c r="R108" s="232">
        <v>1</v>
      </c>
      <c r="S108" s="232">
        <v>1</v>
      </c>
      <c r="T108" s="232">
        <v>1</v>
      </c>
      <c r="U108" s="232">
        <v>1</v>
      </c>
      <c r="V108" s="232">
        <v>1</v>
      </c>
      <c r="W108" s="232">
        <v>1</v>
      </c>
      <c r="X108" s="232">
        <v>1</v>
      </c>
      <c r="Y108" s="232">
        <v>1</v>
      </c>
      <c r="Z108" s="232">
        <v>1</v>
      </c>
      <c r="AA108" s="232">
        <v>1</v>
      </c>
      <c r="AB108" s="232">
        <v>1</v>
      </c>
      <c r="AC108" s="232">
        <v>1</v>
      </c>
      <c r="AD108" s="232">
        <v>1</v>
      </c>
      <c r="AE108" s="232">
        <v>1</v>
      </c>
      <c r="AF108" s="232">
        <v>1</v>
      </c>
      <c r="AG108" s="232">
        <v>1</v>
      </c>
    </row>
    <row r="109" spans="1:33">
      <c r="A109" s="233" t="s">
        <v>1732</v>
      </c>
      <c r="B109" s="539">
        <f>SUM(C109:AG109)</f>
        <v>1070.1907888651558</v>
      </c>
      <c r="C109" s="1700">
        <v>0</v>
      </c>
      <c r="D109" s="507">
        <f t="shared" ref="D109:AG109" si="60">MIN(D$130-D81-D88-D95-D102,C68,D$130*D108)</f>
        <v>0</v>
      </c>
      <c r="E109" s="507">
        <f t="shared" si="60"/>
        <v>352.16135999999995</v>
      </c>
      <c r="F109" s="507">
        <f t="shared" si="60"/>
        <v>0</v>
      </c>
      <c r="G109" s="507">
        <f t="shared" si="60"/>
        <v>0</v>
      </c>
      <c r="H109" s="507">
        <f t="shared" si="60"/>
        <v>0</v>
      </c>
      <c r="I109" s="507">
        <f t="shared" si="60"/>
        <v>0</v>
      </c>
      <c r="J109" s="507">
        <f t="shared" si="60"/>
        <v>0</v>
      </c>
      <c r="K109" s="507">
        <f t="shared" si="60"/>
        <v>0</v>
      </c>
      <c r="L109" s="507">
        <f t="shared" si="60"/>
        <v>0</v>
      </c>
      <c r="M109" s="507">
        <f t="shared" si="60"/>
        <v>0</v>
      </c>
      <c r="N109" s="507">
        <f t="shared" si="60"/>
        <v>0</v>
      </c>
      <c r="O109" s="507">
        <f t="shared" si="60"/>
        <v>0</v>
      </c>
      <c r="P109" s="507">
        <f t="shared" si="60"/>
        <v>0</v>
      </c>
      <c r="Q109" s="507">
        <f t="shared" si="60"/>
        <v>0</v>
      </c>
      <c r="R109" s="507">
        <f t="shared" si="60"/>
        <v>0</v>
      </c>
      <c r="S109" s="507">
        <f t="shared" si="60"/>
        <v>0</v>
      </c>
      <c r="T109" s="507">
        <f t="shared" si="60"/>
        <v>167.38182886516006</v>
      </c>
      <c r="U109" s="507">
        <f t="shared" si="60"/>
        <v>0</v>
      </c>
      <c r="V109" s="507">
        <f t="shared" si="60"/>
        <v>0</v>
      </c>
      <c r="W109" s="507">
        <f t="shared" si="60"/>
        <v>0</v>
      </c>
      <c r="X109" s="507">
        <f t="shared" si="60"/>
        <v>0</v>
      </c>
      <c r="Y109" s="507">
        <f t="shared" si="60"/>
        <v>0</v>
      </c>
      <c r="Z109" s="507">
        <f t="shared" si="60"/>
        <v>0</v>
      </c>
      <c r="AA109" s="507">
        <f t="shared" si="60"/>
        <v>0</v>
      </c>
      <c r="AB109" s="507">
        <f t="shared" si="60"/>
        <v>0</v>
      </c>
      <c r="AC109" s="507">
        <f t="shared" si="60"/>
        <v>0</v>
      </c>
      <c r="AD109" s="507">
        <f t="shared" si="60"/>
        <v>0</v>
      </c>
      <c r="AE109" s="507">
        <f t="shared" si="60"/>
        <v>112.90519999999651</v>
      </c>
      <c r="AF109" s="507">
        <f t="shared" si="60"/>
        <v>218.87119999999959</v>
      </c>
      <c r="AG109" s="507">
        <f t="shared" si="60"/>
        <v>218.87119999999959</v>
      </c>
    </row>
    <row r="110" spans="1:33">
      <c r="A110" s="233" t="s">
        <v>1733</v>
      </c>
      <c r="B110" s="545">
        <f>IFERROR(B111/B109,0)</f>
        <v>0.74</v>
      </c>
      <c r="C110" s="508">
        <f>IFERROR(IF(NOT(C109),0,(B70)/(B68)),0)</f>
        <v>0</v>
      </c>
      <c r="D110" s="508">
        <f t="shared" ref="D110:AG110" si="61">IF(NOT(D109),0,(C70)/(C68))</f>
        <v>0</v>
      </c>
      <c r="E110" s="508">
        <f t="shared" si="61"/>
        <v>0.74</v>
      </c>
      <c r="F110" s="508">
        <f t="shared" si="61"/>
        <v>0</v>
      </c>
      <c r="G110" s="508">
        <f t="shared" si="61"/>
        <v>0</v>
      </c>
      <c r="H110" s="508">
        <f t="shared" si="61"/>
        <v>0</v>
      </c>
      <c r="I110" s="508">
        <f t="shared" si="61"/>
        <v>0</v>
      </c>
      <c r="J110" s="508">
        <f t="shared" si="61"/>
        <v>0</v>
      </c>
      <c r="K110" s="508">
        <f t="shared" si="61"/>
        <v>0</v>
      </c>
      <c r="L110" s="508">
        <f t="shared" si="61"/>
        <v>0</v>
      </c>
      <c r="M110" s="508">
        <f t="shared" si="61"/>
        <v>0</v>
      </c>
      <c r="N110" s="508">
        <f t="shared" si="61"/>
        <v>0</v>
      </c>
      <c r="O110" s="508">
        <f t="shared" si="61"/>
        <v>0</v>
      </c>
      <c r="P110" s="508">
        <f t="shared" si="61"/>
        <v>0</v>
      </c>
      <c r="Q110" s="508">
        <f t="shared" si="61"/>
        <v>0</v>
      </c>
      <c r="R110" s="508">
        <f t="shared" si="61"/>
        <v>0</v>
      </c>
      <c r="S110" s="508">
        <f t="shared" si="61"/>
        <v>0</v>
      </c>
      <c r="T110" s="508">
        <f t="shared" si="61"/>
        <v>0.74</v>
      </c>
      <c r="U110" s="508">
        <f t="shared" si="61"/>
        <v>0</v>
      </c>
      <c r="V110" s="508">
        <f t="shared" si="61"/>
        <v>0</v>
      </c>
      <c r="W110" s="508">
        <f t="shared" si="61"/>
        <v>0</v>
      </c>
      <c r="X110" s="508">
        <f t="shared" si="61"/>
        <v>0</v>
      </c>
      <c r="Y110" s="508">
        <f t="shared" si="61"/>
        <v>0</v>
      </c>
      <c r="Z110" s="508">
        <f t="shared" si="61"/>
        <v>0</v>
      </c>
      <c r="AA110" s="508">
        <f t="shared" si="61"/>
        <v>0</v>
      </c>
      <c r="AB110" s="508">
        <f t="shared" si="61"/>
        <v>0</v>
      </c>
      <c r="AC110" s="508">
        <f t="shared" si="61"/>
        <v>0</v>
      </c>
      <c r="AD110" s="508">
        <f t="shared" si="61"/>
        <v>0</v>
      </c>
      <c r="AE110" s="508">
        <f t="shared" si="61"/>
        <v>0.7400000000000001</v>
      </c>
      <c r="AF110" s="508">
        <f t="shared" si="61"/>
        <v>0.74</v>
      </c>
      <c r="AG110" s="508">
        <f t="shared" si="61"/>
        <v>0.73999999999999988</v>
      </c>
    </row>
    <row r="111" spans="1:33">
      <c r="A111" s="233" t="s">
        <v>1734</v>
      </c>
      <c r="B111" s="539">
        <f>SUM(C111:AG111)</f>
        <v>791.94118376021527</v>
      </c>
      <c r="C111" s="507">
        <f t="shared" ref="C111:AG111" si="62">C109*C110</f>
        <v>0</v>
      </c>
      <c r="D111" s="507">
        <f t="shared" si="62"/>
        <v>0</v>
      </c>
      <c r="E111" s="507">
        <f t="shared" si="62"/>
        <v>260.59940639999996</v>
      </c>
      <c r="F111" s="507">
        <f t="shared" si="62"/>
        <v>0</v>
      </c>
      <c r="G111" s="507">
        <f t="shared" si="62"/>
        <v>0</v>
      </c>
      <c r="H111" s="507">
        <f t="shared" si="62"/>
        <v>0</v>
      </c>
      <c r="I111" s="507">
        <f t="shared" si="62"/>
        <v>0</v>
      </c>
      <c r="J111" s="507">
        <f t="shared" si="62"/>
        <v>0</v>
      </c>
      <c r="K111" s="507">
        <f t="shared" si="62"/>
        <v>0</v>
      </c>
      <c r="L111" s="507">
        <f t="shared" si="62"/>
        <v>0</v>
      </c>
      <c r="M111" s="507">
        <f t="shared" si="62"/>
        <v>0</v>
      </c>
      <c r="N111" s="507">
        <f t="shared" si="62"/>
        <v>0</v>
      </c>
      <c r="O111" s="507">
        <f t="shared" si="62"/>
        <v>0</v>
      </c>
      <c r="P111" s="507">
        <f t="shared" si="62"/>
        <v>0</v>
      </c>
      <c r="Q111" s="507">
        <f t="shared" si="62"/>
        <v>0</v>
      </c>
      <c r="R111" s="507">
        <f t="shared" si="62"/>
        <v>0</v>
      </c>
      <c r="S111" s="507">
        <f t="shared" si="62"/>
        <v>0</v>
      </c>
      <c r="T111" s="507">
        <f t="shared" si="62"/>
        <v>123.86255336021844</v>
      </c>
      <c r="U111" s="507">
        <f t="shared" si="62"/>
        <v>0</v>
      </c>
      <c r="V111" s="507">
        <f t="shared" si="62"/>
        <v>0</v>
      </c>
      <c r="W111" s="507">
        <f t="shared" si="62"/>
        <v>0</v>
      </c>
      <c r="X111" s="507">
        <f t="shared" si="62"/>
        <v>0</v>
      </c>
      <c r="Y111" s="507">
        <f t="shared" si="62"/>
        <v>0</v>
      </c>
      <c r="Z111" s="507">
        <f t="shared" si="62"/>
        <v>0</v>
      </c>
      <c r="AA111" s="507">
        <f t="shared" si="62"/>
        <v>0</v>
      </c>
      <c r="AB111" s="507">
        <f t="shared" si="62"/>
        <v>0</v>
      </c>
      <c r="AC111" s="507">
        <f t="shared" si="62"/>
        <v>0</v>
      </c>
      <c r="AD111" s="507">
        <f t="shared" si="62"/>
        <v>0</v>
      </c>
      <c r="AE111" s="507">
        <f t="shared" si="62"/>
        <v>83.549847999997425</v>
      </c>
      <c r="AF111" s="507">
        <f t="shared" si="62"/>
        <v>161.96468799999968</v>
      </c>
      <c r="AG111" s="507">
        <f t="shared" si="62"/>
        <v>161.96468799999968</v>
      </c>
    </row>
    <row r="112" spans="1:33">
      <c r="A112" s="233" t="s">
        <v>1735</v>
      </c>
      <c r="B112" s="545">
        <f>IFERROR(B114*1000/B109,0)</f>
        <v>0.5326784227896233</v>
      </c>
      <c r="C112" s="234">
        <f>C113*C110</f>
        <v>0</v>
      </c>
      <c r="D112" s="234">
        <f t="shared" ref="D112:AG112" si="63">D113*D110</f>
        <v>0</v>
      </c>
      <c r="E112" s="234">
        <f t="shared" si="63"/>
        <v>0.5326784227896233</v>
      </c>
      <c r="F112" s="234">
        <f t="shared" si="63"/>
        <v>0</v>
      </c>
      <c r="G112" s="234">
        <f t="shared" si="63"/>
        <v>0</v>
      </c>
      <c r="H112" s="234">
        <f t="shared" si="63"/>
        <v>0</v>
      </c>
      <c r="I112" s="234">
        <f t="shared" si="63"/>
        <v>0</v>
      </c>
      <c r="J112" s="234">
        <f t="shared" si="63"/>
        <v>0</v>
      </c>
      <c r="K112" s="234">
        <f t="shared" si="63"/>
        <v>0</v>
      </c>
      <c r="L112" s="234">
        <f t="shared" si="63"/>
        <v>0</v>
      </c>
      <c r="M112" s="234">
        <f t="shared" si="63"/>
        <v>0</v>
      </c>
      <c r="N112" s="234">
        <f t="shared" si="63"/>
        <v>0</v>
      </c>
      <c r="O112" s="234">
        <f t="shared" si="63"/>
        <v>0</v>
      </c>
      <c r="P112" s="234">
        <f t="shared" si="63"/>
        <v>0</v>
      </c>
      <c r="Q112" s="234">
        <f t="shared" si="63"/>
        <v>0</v>
      </c>
      <c r="R112" s="234">
        <f t="shared" si="63"/>
        <v>0</v>
      </c>
      <c r="S112" s="234">
        <f t="shared" si="63"/>
        <v>0</v>
      </c>
      <c r="T112" s="234">
        <f t="shared" si="63"/>
        <v>0.5326784227896233</v>
      </c>
      <c r="U112" s="234">
        <f t="shared" si="63"/>
        <v>0</v>
      </c>
      <c r="V112" s="234">
        <f t="shared" si="63"/>
        <v>0</v>
      </c>
      <c r="W112" s="234">
        <f t="shared" si="63"/>
        <v>0</v>
      </c>
      <c r="X112" s="234">
        <f t="shared" si="63"/>
        <v>0</v>
      </c>
      <c r="Y112" s="234">
        <f t="shared" si="63"/>
        <v>0</v>
      </c>
      <c r="Z112" s="234">
        <f t="shared" si="63"/>
        <v>0</v>
      </c>
      <c r="AA112" s="234">
        <f t="shared" si="63"/>
        <v>0</v>
      </c>
      <c r="AB112" s="234">
        <f t="shared" si="63"/>
        <v>0</v>
      </c>
      <c r="AC112" s="234">
        <f t="shared" si="63"/>
        <v>0</v>
      </c>
      <c r="AD112" s="234">
        <f t="shared" si="63"/>
        <v>0</v>
      </c>
      <c r="AE112" s="234">
        <f t="shared" si="63"/>
        <v>0.5326784227896233</v>
      </c>
      <c r="AF112" s="234">
        <f t="shared" si="63"/>
        <v>0.5326784227896233</v>
      </c>
      <c r="AG112" s="234">
        <f t="shared" si="63"/>
        <v>0.53267842278962318</v>
      </c>
    </row>
    <row r="113" spans="1:33">
      <c r="A113" s="233" t="s">
        <v>1736</v>
      </c>
      <c r="B113" s="545">
        <f>IFERROR(B112/B110,0)</f>
        <v>0.71983570647246398</v>
      </c>
      <c r="C113" s="2327">
        <v>0.71983570647246387</v>
      </c>
      <c r="D113" s="2327">
        <v>0.71983570647246387</v>
      </c>
      <c r="E113" s="2327">
        <v>0.71983570647246387</v>
      </c>
      <c r="F113" s="2327">
        <v>0.71983570647246387</v>
      </c>
      <c r="G113" s="2327">
        <v>0.71983570647246387</v>
      </c>
      <c r="H113" s="2327">
        <v>0.71983570647246387</v>
      </c>
      <c r="I113" s="2327">
        <v>0.71983570647246387</v>
      </c>
      <c r="J113" s="2327">
        <v>0.71983570647246387</v>
      </c>
      <c r="K113" s="2327">
        <v>0.71983570647246387</v>
      </c>
      <c r="L113" s="2327">
        <v>0.71983570647246387</v>
      </c>
      <c r="M113" s="2327">
        <v>0.71983570647246387</v>
      </c>
      <c r="N113" s="2327">
        <v>0.71983570647246387</v>
      </c>
      <c r="O113" s="2327">
        <v>0.71983570647246387</v>
      </c>
      <c r="P113" s="2327">
        <v>0.71983570647246387</v>
      </c>
      <c r="Q113" s="2327">
        <v>0.71983570647246387</v>
      </c>
      <c r="R113" s="2327">
        <v>0.71983570647246387</v>
      </c>
      <c r="S113" s="2327">
        <v>0.71983570647246387</v>
      </c>
      <c r="T113" s="2327">
        <v>0.71983570647246387</v>
      </c>
      <c r="U113" s="2327">
        <v>0.71983570647246387</v>
      </c>
      <c r="V113" s="2327">
        <v>0.71983570647246387</v>
      </c>
      <c r="W113" s="2327">
        <v>0.71983570647246387</v>
      </c>
      <c r="X113" s="2327">
        <v>0.71983570647246387</v>
      </c>
      <c r="Y113" s="2327">
        <v>0.71983570647246387</v>
      </c>
      <c r="Z113" s="2327">
        <v>0.71983570647246387</v>
      </c>
      <c r="AA113" s="2327">
        <v>0.71983570647246387</v>
      </c>
      <c r="AB113" s="2327">
        <v>0.71983570647246387</v>
      </c>
      <c r="AC113" s="2327">
        <v>0.71983570647246387</v>
      </c>
      <c r="AD113" s="2327">
        <v>0.71983570647246387</v>
      </c>
      <c r="AE113" s="2327">
        <v>0.71983570647246387</v>
      </c>
      <c r="AF113" s="2327">
        <v>0.71983570647246387</v>
      </c>
      <c r="AG113" s="2327">
        <v>0.71983570647246387</v>
      </c>
    </row>
    <row r="114" spans="1:33">
      <c r="A114" s="233" t="s">
        <v>1737</v>
      </c>
      <c r="B114" s="545">
        <f>SUM(C114:AG114)</f>
        <v>0.57006754149667394</v>
      </c>
      <c r="C114" s="508">
        <f t="shared" ref="C114:AG114" si="64">C109*C112/1000</f>
        <v>0</v>
      </c>
      <c r="D114" s="508">
        <f t="shared" si="64"/>
        <v>0</v>
      </c>
      <c r="E114" s="508">
        <f t="shared" si="64"/>
        <v>0.18758875781224871</v>
      </c>
      <c r="F114" s="508">
        <f t="shared" si="64"/>
        <v>0</v>
      </c>
      <c r="G114" s="508">
        <f t="shared" si="64"/>
        <v>0</v>
      </c>
      <c r="H114" s="508">
        <f t="shared" si="64"/>
        <v>0</v>
      </c>
      <c r="I114" s="508">
        <f t="shared" si="64"/>
        <v>0</v>
      </c>
      <c r="J114" s="508">
        <f t="shared" si="64"/>
        <v>0</v>
      </c>
      <c r="K114" s="508">
        <f t="shared" si="64"/>
        <v>0</v>
      </c>
      <c r="L114" s="508">
        <f t="shared" si="64"/>
        <v>0</v>
      </c>
      <c r="M114" s="508">
        <f t="shared" si="64"/>
        <v>0</v>
      </c>
      <c r="N114" s="508">
        <f t="shared" si="64"/>
        <v>0</v>
      </c>
      <c r="O114" s="508">
        <f t="shared" si="64"/>
        <v>0</v>
      </c>
      <c r="P114" s="508">
        <f t="shared" si="64"/>
        <v>0</v>
      </c>
      <c r="Q114" s="508">
        <f t="shared" si="64"/>
        <v>0</v>
      </c>
      <c r="R114" s="508">
        <f t="shared" si="64"/>
        <v>0</v>
      </c>
      <c r="S114" s="508">
        <f t="shared" si="64"/>
        <v>0</v>
      </c>
      <c r="T114" s="508">
        <f t="shared" si="64"/>
        <v>8.9160688603536098E-2</v>
      </c>
      <c r="U114" s="508">
        <f t="shared" si="64"/>
        <v>0</v>
      </c>
      <c r="V114" s="508">
        <f t="shared" si="64"/>
        <v>0</v>
      </c>
      <c r="W114" s="508">
        <f t="shared" si="64"/>
        <v>0</v>
      </c>
      <c r="X114" s="508">
        <f t="shared" si="64"/>
        <v>0</v>
      </c>
      <c r="Y114" s="508">
        <f t="shared" si="64"/>
        <v>0</v>
      </c>
      <c r="Z114" s="508">
        <f t="shared" si="64"/>
        <v>0</v>
      </c>
      <c r="AA114" s="508">
        <f t="shared" si="64"/>
        <v>0</v>
      </c>
      <c r="AB114" s="508">
        <f t="shared" si="64"/>
        <v>0</v>
      </c>
      <c r="AC114" s="508">
        <f t="shared" si="64"/>
        <v>0</v>
      </c>
      <c r="AD114" s="508">
        <f t="shared" si="64"/>
        <v>0</v>
      </c>
      <c r="AE114" s="508">
        <f t="shared" si="64"/>
        <v>6.0142163860745119E-2</v>
      </c>
      <c r="AF114" s="508">
        <f t="shared" si="64"/>
        <v>0.11658796561007198</v>
      </c>
      <c r="AG114" s="508">
        <f t="shared" si="64"/>
        <v>0.11658796561007197</v>
      </c>
    </row>
    <row r="115" spans="1:33">
      <c r="A115" s="231" t="s">
        <v>1730</v>
      </c>
      <c r="B115" s="525"/>
      <c r="C115" s="232">
        <v>1</v>
      </c>
      <c r="D115" s="232">
        <v>1</v>
      </c>
      <c r="E115" s="232">
        <v>1</v>
      </c>
      <c r="F115" s="232">
        <v>1</v>
      </c>
      <c r="G115" s="232">
        <v>1</v>
      </c>
      <c r="H115" s="232">
        <v>1</v>
      </c>
      <c r="I115" s="232">
        <v>1</v>
      </c>
      <c r="J115" s="232">
        <v>1</v>
      </c>
      <c r="K115" s="232">
        <v>1</v>
      </c>
      <c r="L115" s="232">
        <v>1</v>
      </c>
      <c r="M115" s="232">
        <v>1</v>
      </c>
      <c r="N115" s="232">
        <v>1</v>
      </c>
      <c r="O115" s="232">
        <v>1</v>
      </c>
      <c r="P115" s="232">
        <v>1</v>
      </c>
      <c r="Q115" s="232">
        <v>1</v>
      </c>
      <c r="R115" s="232">
        <v>1</v>
      </c>
      <c r="S115" s="232">
        <v>1</v>
      </c>
      <c r="T115" s="232">
        <v>1</v>
      </c>
      <c r="U115" s="232">
        <v>1</v>
      </c>
      <c r="V115" s="232">
        <v>1</v>
      </c>
      <c r="W115" s="232">
        <v>1</v>
      </c>
      <c r="X115" s="232">
        <v>1</v>
      </c>
      <c r="Y115" s="232">
        <v>1</v>
      </c>
      <c r="Z115" s="232">
        <v>1</v>
      </c>
      <c r="AA115" s="232">
        <v>1</v>
      </c>
      <c r="AB115" s="232">
        <v>1</v>
      </c>
      <c r="AC115" s="232">
        <v>1</v>
      </c>
      <c r="AD115" s="232">
        <v>1</v>
      </c>
      <c r="AE115" s="232">
        <v>1</v>
      </c>
      <c r="AF115" s="232">
        <v>1</v>
      </c>
      <c r="AG115" s="232">
        <v>1</v>
      </c>
    </row>
    <row r="116" spans="1:33">
      <c r="A116" s="233" t="s">
        <v>1732</v>
      </c>
      <c r="B116" s="539">
        <f>SUM(C116:AG116)</f>
        <v>0</v>
      </c>
      <c r="C116" s="507">
        <f>MIN(C$130-C81-C88-C95-C102-C109,B76,C$130*C115)</f>
        <v>0</v>
      </c>
      <c r="D116" s="507">
        <f t="shared" ref="D116:AG116" si="65">MIN(D$130-D81-D88-D95-D102-D109,C76,D$130*D115)</f>
        <v>0</v>
      </c>
      <c r="E116" s="507">
        <f t="shared" si="65"/>
        <v>0</v>
      </c>
      <c r="F116" s="507">
        <f t="shared" si="65"/>
        <v>0</v>
      </c>
      <c r="G116" s="507">
        <f>MIN(G$130-G81-G88-G95-G102-G109,F76,G$130*G115)</f>
        <v>0</v>
      </c>
      <c r="H116" s="507">
        <f t="shared" si="65"/>
        <v>0</v>
      </c>
      <c r="I116" s="507">
        <f t="shared" si="65"/>
        <v>0</v>
      </c>
      <c r="J116" s="507">
        <f t="shared" si="65"/>
        <v>0</v>
      </c>
      <c r="K116" s="507">
        <f t="shared" si="65"/>
        <v>0</v>
      </c>
      <c r="L116" s="507">
        <f t="shared" si="65"/>
        <v>0</v>
      </c>
      <c r="M116" s="507">
        <f t="shared" si="65"/>
        <v>0</v>
      </c>
      <c r="N116" s="507">
        <f t="shared" si="65"/>
        <v>0</v>
      </c>
      <c r="O116" s="507">
        <f t="shared" si="65"/>
        <v>0</v>
      </c>
      <c r="P116" s="507">
        <f t="shared" si="65"/>
        <v>0</v>
      </c>
      <c r="Q116" s="507">
        <f t="shared" si="65"/>
        <v>0</v>
      </c>
      <c r="R116" s="507">
        <f t="shared" si="65"/>
        <v>0</v>
      </c>
      <c r="S116" s="507">
        <f t="shared" si="65"/>
        <v>0</v>
      </c>
      <c r="T116" s="507">
        <f t="shared" si="65"/>
        <v>0</v>
      </c>
      <c r="U116" s="507">
        <f t="shared" si="65"/>
        <v>0</v>
      </c>
      <c r="V116" s="507">
        <f t="shared" si="65"/>
        <v>0</v>
      </c>
      <c r="W116" s="507">
        <f t="shared" si="65"/>
        <v>0</v>
      </c>
      <c r="X116" s="507">
        <f t="shared" si="65"/>
        <v>0</v>
      </c>
      <c r="Y116" s="507">
        <f t="shared" si="65"/>
        <v>0</v>
      </c>
      <c r="Z116" s="507">
        <f t="shared" si="65"/>
        <v>0</v>
      </c>
      <c r="AA116" s="507">
        <f t="shared" si="65"/>
        <v>0</v>
      </c>
      <c r="AB116" s="507">
        <f t="shared" si="65"/>
        <v>0</v>
      </c>
      <c r="AC116" s="507">
        <f t="shared" si="65"/>
        <v>0</v>
      </c>
      <c r="AD116" s="507">
        <f t="shared" si="65"/>
        <v>0</v>
      </c>
      <c r="AE116" s="507">
        <f t="shared" si="65"/>
        <v>0</v>
      </c>
      <c r="AF116" s="507">
        <f t="shared" si="65"/>
        <v>0</v>
      </c>
      <c r="AG116" s="507">
        <f t="shared" si="65"/>
        <v>0</v>
      </c>
    </row>
    <row r="117" spans="1:33">
      <c r="A117" s="233" t="s">
        <v>1733</v>
      </c>
      <c r="B117" s="545">
        <f>IFERROR(B118/B116,0)</f>
        <v>0</v>
      </c>
      <c r="C117" s="508">
        <f>IF(NOT(C116),0,(B78)/(B76))</f>
        <v>0</v>
      </c>
      <c r="D117" s="508">
        <f t="shared" ref="D117:AG117" si="66">IF(NOT(D116),0,(C78)/(C76))</f>
        <v>0</v>
      </c>
      <c r="E117" s="508">
        <f t="shared" si="66"/>
        <v>0</v>
      </c>
      <c r="F117" s="508">
        <f t="shared" si="66"/>
        <v>0</v>
      </c>
      <c r="G117" s="508">
        <f t="shared" si="66"/>
        <v>0</v>
      </c>
      <c r="H117" s="508">
        <f t="shared" si="66"/>
        <v>0</v>
      </c>
      <c r="I117" s="508">
        <f t="shared" si="66"/>
        <v>0</v>
      </c>
      <c r="J117" s="508">
        <f t="shared" si="66"/>
        <v>0</v>
      </c>
      <c r="K117" s="508">
        <f t="shared" si="66"/>
        <v>0</v>
      </c>
      <c r="L117" s="508">
        <f t="shared" si="66"/>
        <v>0</v>
      </c>
      <c r="M117" s="508">
        <f t="shared" si="66"/>
        <v>0</v>
      </c>
      <c r="N117" s="508">
        <f t="shared" si="66"/>
        <v>0</v>
      </c>
      <c r="O117" s="508">
        <f t="shared" si="66"/>
        <v>0</v>
      </c>
      <c r="P117" s="508">
        <f t="shared" si="66"/>
        <v>0</v>
      </c>
      <c r="Q117" s="508">
        <f t="shared" si="66"/>
        <v>0</v>
      </c>
      <c r="R117" s="508">
        <f t="shared" si="66"/>
        <v>0</v>
      </c>
      <c r="S117" s="508">
        <f t="shared" si="66"/>
        <v>0</v>
      </c>
      <c r="T117" s="508">
        <f t="shared" si="66"/>
        <v>0</v>
      </c>
      <c r="U117" s="508">
        <f t="shared" si="66"/>
        <v>0</v>
      </c>
      <c r="V117" s="508">
        <f t="shared" si="66"/>
        <v>0</v>
      </c>
      <c r="W117" s="508">
        <f t="shared" si="66"/>
        <v>0</v>
      </c>
      <c r="X117" s="508">
        <f t="shared" si="66"/>
        <v>0</v>
      </c>
      <c r="Y117" s="508">
        <f t="shared" si="66"/>
        <v>0</v>
      </c>
      <c r="Z117" s="508">
        <f t="shared" si="66"/>
        <v>0</v>
      </c>
      <c r="AA117" s="508">
        <f t="shared" si="66"/>
        <v>0</v>
      </c>
      <c r="AB117" s="508">
        <f t="shared" si="66"/>
        <v>0</v>
      </c>
      <c r="AC117" s="508">
        <f t="shared" si="66"/>
        <v>0</v>
      </c>
      <c r="AD117" s="508">
        <f t="shared" si="66"/>
        <v>0</v>
      </c>
      <c r="AE117" s="508">
        <f t="shared" si="66"/>
        <v>0</v>
      </c>
      <c r="AF117" s="508">
        <f t="shared" si="66"/>
        <v>0</v>
      </c>
      <c r="AG117" s="508">
        <f t="shared" si="66"/>
        <v>0</v>
      </c>
    </row>
    <row r="118" spans="1:33">
      <c r="A118" s="233" t="s">
        <v>1734</v>
      </c>
      <c r="B118" s="539">
        <f>SUM(C118:AG118)</f>
        <v>0</v>
      </c>
      <c r="C118" s="507">
        <f>C116*C117</f>
        <v>0</v>
      </c>
      <c r="D118" s="507">
        <f t="shared" ref="D118:AG118" si="67">D116*D117</f>
        <v>0</v>
      </c>
      <c r="E118" s="507">
        <f t="shared" si="67"/>
        <v>0</v>
      </c>
      <c r="F118" s="507">
        <f t="shared" si="67"/>
        <v>0</v>
      </c>
      <c r="G118" s="507">
        <f t="shared" si="67"/>
        <v>0</v>
      </c>
      <c r="H118" s="507">
        <f t="shared" si="67"/>
        <v>0</v>
      </c>
      <c r="I118" s="507">
        <f t="shared" si="67"/>
        <v>0</v>
      </c>
      <c r="J118" s="507">
        <f t="shared" si="67"/>
        <v>0</v>
      </c>
      <c r="K118" s="507">
        <f t="shared" si="67"/>
        <v>0</v>
      </c>
      <c r="L118" s="507">
        <f t="shared" si="67"/>
        <v>0</v>
      </c>
      <c r="M118" s="507">
        <f t="shared" si="67"/>
        <v>0</v>
      </c>
      <c r="N118" s="507">
        <f t="shared" si="67"/>
        <v>0</v>
      </c>
      <c r="O118" s="507">
        <f t="shared" si="67"/>
        <v>0</v>
      </c>
      <c r="P118" s="507">
        <f t="shared" si="67"/>
        <v>0</v>
      </c>
      <c r="Q118" s="507">
        <f t="shared" si="67"/>
        <v>0</v>
      </c>
      <c r="R118" s="507">
        <f t="shared" si="67"/>
        <v>0</v>
      </c>
      <c r="S118" s="507">
        <f t="shared" si="67"/>
        <v>0</v>
      </c>
      <c r="T118" s="507">
        <f t="shared" si="67"/>
        <v>0</v>
      </c>
      <c r="U118" s="507">
        <f t="shared" si="67"/>
        <v>0</v>
      </c>
      <c r="V118" s="507">
        <f t="shared" si="67"/>
        <v>0</v>
      </c>
      <c r="W118" s="507">
        <f t="shared" si="67"/>
        <v>0</v>
      </c>
      <c r="X118" s="507">
        <f t="shared" si="67"/>
        <v>0</v>
      </c>
      <c r="Y118" s="507">
        <f t="shared" si="67"/>
        <v>0</v>
      </c>
      <c r="Z118" s="507">
        <f t="shared" si="67"/>
        <v>0</v>
      </c>
      <c r="AA118" s="507">
        <f t="shared" si="67"/>
        <v>0</v>
      </c>
      <c r="AB118" s="507">
        <f t="shared" si="67"/>
        <v>0</v>
      </c>
      <c r="AC118" s="507">
        <f t="shared" si="67"/>
        <v>0</v>
      </c>
      <c r="AD118" s="507">
        <f t="shared" si="67"/>
        <v>0</v>
      </c>
      <c r="AE118" s="507">
        <f t="shared" si="67"/>
        <v>0</v>
      </c>
      <c r="AF118" s="507">
        <f t="shared" si="67"/>
        <v>0</v>
      </c>
      <c r="AG118" s="507">
        <f t="shared" si="67"/>
        <v>0</v>
      </c>
    </row>
    <row r="119" spans="1:33">
      <c r="A119" s="233" t="s">
        <v>1735</v>
      </c>
      <c r="B119" s="545">
        <f>IFERROR(B121*1000/B116,0)</f>
        <v>0</v>
      </c>
      <c r="C119" s="234">
        <f t="shared" ref="C119:AG119" si="68">C120*C117</f>
        <v>0</v>
      </c>
      <c r="D119" s="234">
        <f t="shared" si="68"/>
        <v>0</v>
      </c>
      <c r="E119" s="234">
        <f t="shared" si="68"/>
        <v>0</v>
      </c>
      <c r="F119" s="234">
        <f t="shared" si="68"/>
        <v>0</v>
      </c>
      <c r="G119" s="234">
        <f t="shared" si="68"/>
        <v>0</v>
      </c>
      <c r="H119" s="234">
        <f t="shared" si="68"/>
        <v>0</v>
      </c>
      <c r="I119" s="234">
        <f t="shared" si="68"/>
        <v>0</v>
      </c>
      <c r="J119" s="234">
        <f t="shared" si="68"/>
        <v>0</v>
      </c>
      <c r="K119" s="234">
        <f t="shared" si="68"/>
        <v>0</v>
      </c>
      <c r="L119" s="234">
        <f t="shared" si="68"/>
        <v>0</v>
      </c>
      <c r="M119" s="234">
        <f t="shared" si="68"/>
        <v>0</v>
      </c>
      <c r="N119" s="234">
        <f t="shared" si="68"/>
        <v>0</v>
      </c>
      <c r="O119" s="234">
        <f t="shared" si="68"/>
        <v>0</v>
      </c>
      <c r="P119" s="234">
        <f t="shared" si="68"/>
        <v>0</v>
      </c>
      <c r="Q119" s="234">
        <f t="shared" si="68"/>
        <v>0</v>
      </c>
      <c r="R119" s="234">
        <f t="shared" si="68"/>
        <v>0</v>
      </c>
      <c r="S119" s="234">
        <f t="shared" si="68"/>
        <v>0</v>
      </c>
      <c r="T119" s="234">
        <f t="shared" si="68"/>
        <v>0</v>
      </c>
      <c r="U119" s="234">
        <f t="shared" si="68"/>
        <v>0</v>
      </c>
      <c r="V119" s="234">
        <f t="shared" si="68"/>
        <v>0</v>
      </c>
      <c r="W119" s="234">
        <f t="shared" si="68"/>
        <v>0</v>
      </c>
      <c r="X119" s="234">
        <f t="shared" si="68"/>
        <v>0</v>
      </c>
      <c r="Y119" s="234">
        <f t="shared" si="68"/>
        <v>0</v>
      </c>
      <c r="Z119" s="234">
        <f t="shared" si="68"/>
        <v>0</v>
      </c>
      <c r="AA119" s="234">
        <f t="shared" si="68"/>
        <v>0</v>
      </c>
      <c r="AB119" s="234">
        <f t="shared" si="68"/>
        <v>0</v>
      </c>
      <c r="AC119" s="234">
        <f t="shared" si="68"/>
        <v>0</v>
      </c>
      <c r="AD119" s="234">
        <f t="shared" si="68"/>
        <v>0</v>
      </c>
      <c r="AE119" s="234">
        <f t="shared" si="68"/>
        <v>0</v>
      </c>
      <c r="AF119" s="234">
        <f t="shared" si="68"/>
        <v>0</v>
      </c>
      <c r="AG119" s="234">
        <f t="shared" si="68"/>
        <v>0</v>
      </c>
    </row>
    <row r="120" spans="1:33">
      <c r="A120" s="233" t="s">
        <v>1736</v>
      </c>
      <c r="B120" s="545">
        <f>IFERROR(B119/B117,0)</f>
        <v>0</v>
      </c>
      <c r="C120" s="236">
        <v>0.88</v>
      </c>
      <c r="D120" s="236">
        <v>0.88</v>
      </c>
      <c r="E120" s="236">
        <v>0.88</v>
      </c>
      <c r="F120" s="236">
        <v>0.88</v>
      </c>
      <c r="G120" s="236">
        <v>0.88</v>
      </c>
      <c r="H120" s="236">
        <v>0.88</v>
      </c>
      <c r="I120" s="236">
        <v>0.88</v>
      </c>
      <c r="J120" s="236">
        <v>0.88</v>
      </c>
      <c r="K120" s="236">
        <v>0.88</v>
      </c>
      <c r="L120" s="236">
        <v>0.88</v>
      </c>
      <c r="M120" s="236">
        <v>0.88</v>
      </c>
      <c r="N120" s="236">
        <v>0.88</v>
      </c>
      <c r="O120" s="236">
        <v>0.88</v>
      </c>
      <c r="P120" s="236">
        <v>0.88</v>
      </c>
      <c r="Q120" s="236">
        <v>0.88</v>
      </c>
      <c r="R120" s="236">
        <v>0.88</v>
      </c>
      <c r="S120" s="236">
        <v>0.88</v>
      </c>
      <c r="T120" s="236">
        <v>0.88</v>
      </c>
      <c r="U120" s="236">
        <v>0.88</v>
      </c>
      <c r="V120" s="236">
        <v>0.88</v>
      </c>
      <c r="W120" s="236">
        <v>0.88</v>
      </c>
      <c r="X120" s="236">
        <v>0.88</v>
      </c>
      <c r="Y120" s="236">
        <v>0.88</v>
      </c>
      <c r="Z120" s="236">
        <v>0.88</v>
      </c>
      <c r="AA120" s="236">
        <v>0.88</v>
      </c>
      <c r="AB120" s="236">
        <v>0.88</v>
      </c>
      <c r="AC120" s="236">
        <v>0.88</v>
      </c>
      <c r="AD120" s="236">
        <v>0.88</v>
      </c>
      <c r="AE120" s="236">
        <v>0.88</v>
      </c>
      <c r="AF120" s="236">
        <v>0.88</v>
      </c>
      <c r="AG120" s="236">
        <v>0.88</v>
      </c>
    </row>
    <row r="121" spans="1:33">
      <c r="A121" s="233" t="s">
        <v>1737</v>
      </c>
      <c r="B121" s="545">
        <f>SUM(C121:AG121)</f>
        <v>0</v>
      </c>
      <c r="C121" s="508">
        <f t="shared" ref="C121:AG121" si="69">C116*C119/1000</f>
        <v>0</v>
      </c>
      <c r="D121" s="508">
        <f t="shared" si="69"/>
        <v>0</v>
      </c>
      <c r="E121" s="508">
        <f t="shared" si="69"/>
        <v>0</v>
      </c>
      <c r="F121" s="508">
        <f t="shared" si="69"/>
        <v>0</v>
      </c>
      <c r="G121" s="508">
        <f t="shared" si="69"/>
        <v>0</v>
      </c>
      <c r="H121" s="508">
        <f t="shared" si="69"/>
        <v>0</v>
      </c>
      <c r="I121" s="508">
        <f t="shared" si="69"/>
        <v>0</v>
      </c>
      <c r="J121" s="508">
        <f t="shared" si="69"/>
        <v>0</v>
      </c>
      <c r="K121" s="508">
        <f t="shared" si="69"/>
        <v>0</v>
      </c>
      <c r="L121" s="508">
        <f t="shared" si="69"/>
        <v>0</v>
      </c>
      <c r="M121" s="508">
        <f t="shared" si="69"/>
        <v>0</v>
      </c>
      <c r="N121" s="508">
        <f t="shared" si="69"/>
        <v>0</v>
      </c>
      <c r="O121" s="508">
        <f t="shared" si="69"/>
        <v>0</v>
      </c>
      <c r="P121" s="508">
        <f t="shared" si="69"/>
        <v>0</v>
      </c>
      <c r="Q121" s="508">
        <f t="shared" si="69"/>
        <v>0</v>
      </c>
      <c r="R121" s="508">
        <f t="shared" si="69"/>
        <v>0</v>
      </c>
      <c r="S121" s="508">
        <f t="shared" si="69"/>
        <v>0</v>
      </c>
      <c r="T121" s="508">
        <f t="shared" si="69"/>
        <v>0</v>
      </c>
      <c r="U121" s="508">
        <f t="shared" si="69"/>
        <v>0</v>
      </c>
      <c r="V121" s="508">
        <f t="shared" si="69"/>
        <v>0</v>
      </c>
      <c r="W121" s="508">
        <f t="shared" si="69"/>
        <v>0</v>
      </c>
      <c r="X121" s="508">
        <f t="shared" si="69"/>
        <v>0</v>
      </c>
      <c r="Y121" s="508">
        <f t="shared" si="69"/>
        <v>0</v>
      </c>
      <c r="Z121" s="508">
        <f t="shared" si="69"/>
        <v>0</v>
      </c>
      <c r="AA121" s="508">
        <f t="shared" si="69"/>
        <v>0</v>
      </c>
      <c r="AB121" s="508">
        <f t="shared" si="69"/>
        <v>0</v>
      </c>
      <c r="AC121" s="508">
        <f t="shared" si="69"/>
        <v>0</v>
      </c>
      <c r="AD121" s="508">
        <f t="shared" si="69"/>
        <v>0</v>
      </c>
      <c r="AE121" s="508">
        <f t="shared" si="69"/>
        <v>0</v>
      </c>
      <c r="AF121" s="508">
        <f t="shared" si="69"/>
        <v>0</v>
      </c>
      <c r="AG121" s="508">
        <f t="shared" si="69"/>
        <v>0</v>
      </c>
    </row>
    <row r="122" spans="1:33">
      <c r="A122" s="231" t="s">
        <v>1739</v>
      </c>
      <c r="B122" s="525"/>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c r="AA122" s="237"/>
      <c r="AB122" s="237"/>
      <c r="AC122" s="237"/>
      <c r="AD122" s="237"/>
      <c r="AE122" s="237"/>
      <c r="AF122" s="237"/>
      <c r="AG122" s="237"/>
    </row>
    <row r="123" spans="1:33">
      <c r="A123" s="238" t="s">
        <v>1732</v>
      </c>
      <c r="B123" s="539">
        <f>SUM(C123:AG123)</f>
        <v>35013.999028865175</v>
      </c>
      <c r="C123" s="520">
        <f>C81+C116+C102+C109+C88+C95</f>
        <v>1173.8711999999996</v>
      </c>
      <c r="D123" s="520">
        <f t="shared" ref="D123:AE123" si="70">D81+D116+D102+D109+D88+D95</f>
        <v>1173.8711999999996</v>
      </c>
      <c r="E123" s="520">
        <f>E81+E116+E102+E109+E88+E95</f>
        <v>1173.8711999999996</v>
      </c>
      <c r="F123" s="520">
        <f>F81+F116+F102+F109+F88+F95</f>
        <v>1173.8711999999996</v>
      </c>
      <c r="G123" s="520">
        <f t="shared" si="70"/>
        <v>586.93559999999979</v>
      </c>
      <c r="H123" s="520">
        <f t="shared" si="70"/>
        <v>1173.8711999999996</v>
      </c>
      <c r="I123" s="520">
        <f t="shared" si="70"/>
        <v>1173.8711999999996</v>
      </c>
      <c r="J123" s="520">
        <f>J81+J116+J102+J109+J88+J95</f>
        <v>1173.8711999999996</v>
      </c>
      <c r="K123" s="520">
        <f t="shared" si="70"/>
        <v>1173.8711999999996</v>
      </c>
      <c r="L123" s="520">
        <f t="shared" si="70"/>
        <v>1173.8711999999996</v>
      </c>
      <c r="M123" s="520">
        <f t="shared" si="70"/>
        <v>1173.8711999999996</v>
      </c>
      <c r="N123" s="520">
        <f t="shared" si="70"/>
        <v>1072.802714432582</v>
      </c>
      <c r="O123" s="520">
        <f t="shared" si="70"/>
        <v>1072.802714432582</v>
      </c>
      <c r="P123" s="520">
        <f t="shared" si="70"/>
        <v>1173.8711999999996</v>
      </c>
      <c r="Q123" s="520">
        <f t="shared" si="70"/>
        <v>1173.8711999999996</v>
      </c>
      <c r="R123" s="520">
        <f t="shared" si="70"/>
        <v>1173.8711999999996</v>
      </c>
      <c r="S123" s="520">
        <f t="shared" si="70"/>
        <v>1173.8711999999996</v>
      </c>
      <c r="T123" s="520">
        <f t="shared" si="70"/>
        <v>1173.8711999999996</v>
      </c>
      <c r="U123" s="520">
        <f t="shared" si="70"/>
        <v>1173.8711999999996</v>
      </c>
      <c r="V123" s="520">
        <f t="shared" si="70"/>
        <v>1173.8711999999996</v>
      </c>
      <c r="W123" s="520">
        <f>W81+W116+W102+W109+W88+W95</f>
        <v>1173.8711999999996</v>
      </c>
      <c r="X123" s="520">
        <f>X81+X116+X102+X109+X88+X95</f>
        <v>1173.8711999999996</v>
      </c>
      <c r="Y123" s="520">
        <f t="shared" si="70"/>
        <v>1173.8711999999996</v>
      </c>
      <c r="Z123" s="520">
        <f t="shared" si="70"/>
        <v>1173.8711999999996</v>
      </c>
      <c r="AA123" s="520">
        <f t="shared" si="70"/>
        <v>1173.8711999999996</v>
      </c>
      <c r="AB123" s="520">
        <f t="shared" si="70"/>
        <v>586.93559999999979</v>
      </c>
      <c r="AC123" s="520">
        <f t="shared" si="70"/>
        <v>1173.8711999999996</v>
      </c>
      <c r="AD123" s="520">
        <f t="shared" si="70"/>
        <v>1173.8711999999996</v>
      </c>
      <c r="AE123" s="520">
        <f t="shared" si="70"/>
        <v>1173.8711999999996</v>
      </c>
      <c r="AF123" s="520">
        <f>AF81+AF116+AF102+AF109+AF88+AF95</f>
        <v>1173.8711999999996</v>
      </c>
      <c r="AG123" s="520">
        <f>AG81+AG116+AG102+AG109+AG88+AG95</f>
        <v>1173.8711999999996</v>
      </c>
    </row>
    <row r="124" spans="1:33">
      <c r="A124" s="238" t="s">
        <v>1733</v>
      </c>
      <c r="B124" s="545">
        <f>IFERROR(B125/B123,0)</f>
        <v>2.1998020015921282</v>
      </c>
      <c r="C124" s="521">
        <f>IFERROR(C125/C123,0)</f>
        <v>2.2999999999999998</v>
      </c>
      <c r="D124" s="521">
        <f t="shared" ref="D124:AG124" si="71">IFERROR(D125/D123,0)</f>
        <v>2.3000000000000003</v>
      </c>
      <c r="E124" s="521">
        <f t="shared" si="71"/>
        <v>1.8320000000000001</v>
      </c>
      <c r="F124" s="521">
        <f t="shared" si="71"/>
        <v>2.2315352207198247</v>
      </c>
      <c r="G124" s="521">
        <f t="shared" si="71"/>
        <v>2.2339308325453358</v>
      </c>
      <c r="H124" s="521">
        <f t="shared" si="71"/>
        <v>2.2355007055332963</v>
      </c>
      <c r="I124" s="521">
        <f t="shared" si="71"/>
        <v>2.2367862880394069</v>
      </c>
      <c r="J124" s="521">
        <f t="shared" si="71"/>
        <v>2.3000000000000003</v>
      </c>
      <c r="K124" s="521">
        <f t="shared" si="71"/>
        <v>2.2999999999999998</v>
      </c>
      <c r="L124" s="521">
        <f t="shared" si="71"/>
        <v>2.2999999999999998</v>
      </c>
      <c r="M124" s="521">
        <f t="shared" si="71"/>
        <v>2.2320113791542178</v>
      </c>
      <c r="N124" s="521">
        <f t="shared" si="71"/>
        <v>2.2320113791542178</v>
      </c>
      <c r="O124" s="521">
        <f t="shared" si="71"/>
        <v>2.2344263331618319</v>
      </c>
      <c r="P124" s="521">
        <f t="shared" si="71"/>
        <v>2.236247765253951</v>
      </c>
      <c r="Q124" s="521">
        <f t="shared" si="71"/>
        <v>2.2285452959685137</v>
      </c>
      <c r="R124" s="521">
        <f t="shared" si="71"/>
        <v>2.239064107381235</v>
      </c>
      <c r="S124" s="521">
        <f t="shared" si="71"/>
        <v>2.2460688779401745</v>
      </c>
      <c r="T124" s="521">
        <f t="shared" si="71"/>
        <v>2.034603247246586</v>
      </c>
      <c r="U124" s="521">
        <f t="shared" si="71"/>
        <v>2.2999999999999998</v>
      </c>
      <c r="V124" s="521">
        <f t="shared" si="71"/>
        <v>2.3000000000000003</v>
      </c>
      <c r="W124" s="521">
        <f t="shared" si="71"/>
        <v>2.2395341361644214</v>
      </c>
      <c r="X124" s="521">
        <f t="shared" si="71"/>
        <v>2.2270980161074938</v>
      </c>
      <c r="Y124" s="521">
        <f t="shared" si="71"/>
        <v>2.2194870637737898</v>
      </c>
      <c r="Z124" s="521">
        <f t="shared" si="71"/>
        <v>2.2152142230979655</v>
      </c>
      <c r="AA124" s="521">
        <f t="shared" si="71"/>
        <v>2.2130964549279195</v>
      </c>
      <c r="AB124" s="521">
        <f t="shared" si="71"/>
        <v>2.2122352520108342</v>
      </c>
      <c r="AC124" s="521">
        <f t="shared" si="71"/>
        <v>2.2120823358912642</v>
      </c>
      <c r="AD124" s="521">
        <f t="shared" si="71"/>
        <v>2.2120104119624338</v>
      </c>
      <c r="AE124" s="521">
        <f t="shared" si="71"/>
        <v>2.0443604968397908</v>
      </c>
      <c r="AF124" s="521">
        <f t="shared" si="71"/>
        <v>1.9375237728162165</v>
      </c>
      <c r="AG124" s="521">
        <f t="shared" si="71"/>
        <v>1.9375237728162165</v>
      </c>
    </row>
    <row r="125" spans="1:33">
      <c r="A125" s="238" t="s">
        <v>1734</v>
      </c>
      <c r="B125" s="539">
        <f>SUM(C125:AG125)</f>
        <v>77023.865147442441</v>
      </c>
      <c r="C125" s="520">
        <f>C83+C118+C104+C111+C90+C97</f>
        <v>2699.9037599999988</v>
      </c>
      <c r="D125" s="520">
        <f t="shared" ref="D125:AG125" si="72">D83+D118+D104+D111+D90+D97</f>
        <v>2699.9037599999992</v>
      </c>
      <c r="E125" s="520">
        <f t="shared" si="72"/>
        <v>2150.5320383999992</v>
      </c>
      <c r="F125" s="520">
        <f t="shared" si="72"/>
        <v>2619.5349273886445</v>
      </c>
      <c r="G125" s="520">
        <f t="shared" si="72"/>
        <v>1311.1735335584958</v>
      </c>
      <c r="H125" s="520">
        <f t="shared" si="72"/>
        <v>2624.1898958052161</v>
      </c>
      <c r="I125" s="520">
        <f t="shared" si="72"/>
        <v>2625.6990040843634</v>
      </c>
      <c r="J125" s="520">
        <f t="shared" si="72"/>
        <v>2699.9037599999992</v>
      </c>
      <c r="K125" s="520">
        <f t="shared" si="72"/>
        <v>2699.9037599999988</v>
      </c>
      <c r="L125" s="520">
        <f t="shared" si="72"/>
        <v>2699.9037599999988</v>
      </c>
      <c r="M125" s="520">
        <f t="shared" si="72"/>
        <v>2620.0938760614158</v>
      </c>
      <c r="N125" s="520">
        <f t="shared" si="72"/>
        <v>2394.5078662010555</v>
      </c>
      <c r="O125" s="520">
        <f t="shared" si="72"/>
        <v>2397.0986354156539</v>
      </c>
      <c r="P125" s="520">
        <f t="shared" si="72"/>
        <v>2625.0668476959727</v>
      </c>
      <c r="Q125" s="520">
        <f t="shared" si="72"/>
        <v>2616.0251408329136</v>
      </c>
      <c r="R125" s="520">
        <f t="shared" si="72"/>
        <v>2628.3728706085381</v>
      </c>
      <c r="S125" s="520">
        <f t="shared" si="72"/>
        <v>2636.5955690302853</v>
      </c>
      <c r="T125" s="520">
        <f t="shared" si="72"/>
        <v>2388.362155369246</v>
      </c>
      <c r="U125" s="520">
        <f>U83+U118+U104+U111+U90+U97</f>
        <v>2699.9037599999988</v>
      </c>
      <c r="V125" s="520">
        <f t="shared" si="72"/>
        <v>2699.9037599999992</v>
      </c>
      <c r="W125" s="520">
        <f>W83+W118+W104+W111+W90+W97</f>
        <v>2628.9246238602918</v>
      </c>
      <c r="X125" s="520">
        <f t="shared" si="72"/>
        <v>2614.3262206857221</v>
      </c>
      <c r="Y125" s="520">
        <f t="shared" si="72"/>
        <v>2605.3919429366142</v>
      </c>
      <c r="Z125" s="520">
        <f t="shared" si="72"/>
        <v>2600.3761783250757</v>
      </c>
      <c r="AA125" s="520">
        <f t="shared" si="72"/>
        <v>2597.8901912619817</v>
      </c>
      <c r="AB125" s="520">
        <f t="shared" si="72"/>
        <v>1298.4396249801298</v>
      </c>
      <c r="AC125" s="520">
        <f t="shared" si="72"/>
        <v>2596.6997461314804</v>
      </c>
      <c r="AD125" s="520">
        <f t="shared" si="72"/>
        <v>2596.6153167028356</v>
      </c>
      <c r="AE125" s="520">
        <f t="shared" si="72"/>
        <v>2399.8159096579207</v>
      </c>
      <c r="AF125" s="520">
        <f t="shared" si="72"/>
        <v>2274.4033562242985</v>
      </c>
      <c r="AG125" s="520">
        <f t="shared" si="72"/>
        <v>2274.4033562242985</v>
      </c>
    </row>
    <row r="126" spans="1:33">
      <c r="A126" s="238" t="s">
        <v>1735</v>
      </c>
      <c r="B126" s="545">
        <f>IFERROR(B128*1000/B123,0)</f>
        <v>1.9363683635252971</v>
      </c>
      <c r="C126" s="521">
        <f>IFERROR(C128*1000/C123,0)</f>
        <v>2.024</v>
      </c>
      <c r="D126" s="521">
        <f t="shared" ref="D126:AE126" si="73">IFERROR(D128*1000/D123,0)</f>
        <v>2.0240000000000005</v>
      </c>
      <c r="E126" s="521">
        <f t="shared" si="73"/>
        <v>1.5766035268368872</v>
      </c>
      <c r="F126" s="521">
        <f t="shared" si="73"/>
        <v>1.9680801725616421</v>
      </c>
      <c r="G126" s="521">
        <f t="shared" si="73"/>
        <v>1.9701929584550333</v>
      </c>
      <c r="H126" s="521">
        <f t="shared" si="73"/>
        <v>1.9715774922380354</v>
      </c>
      <c r="I126" s="521">
        <f t="shared" si="73"/>
        <v>1.9727112988734747</v>
      </c>
      <c r="J126" s="521">
        <f t="shared" si="73"/>
        <v>2.0240000000000005</v>
      </c>
      <c r="K126" s="521">
        <f t="shared" si="73"/>
        <v>2.024</v>
      </c>
      <c r="L126" s="521">
        <f t="shared" si="73"/>
        <v>2.024</v>
      </c>
      <c r="M126" s="521">
        <f t="shared" si="73"/>
        <v>1.9685001157312707</v>
      </c>
      <c r="N126" s="521">
        <f t="shared" si="73"/>
        <v>1.9685001157312707</v>
      </c>
      <c r="O126" s="521">
        <f t="shared" si="73"/>
        <v>1.9706299602687456</v>
      </c>
      <c r="P126" s="521">
        <f t="shared" si="73"/>
        <v>1.9722363540880692</v>
      </c>
      <c r="Q126" s="521">
        <f t="shared" si="73"/>
        <v>1.9654432383264708</v>
      </c>
      <c r="R126" s="521">
        <f t="shared" si="73"/>
        <v>1.9747201988638066</v>
      </c>
      <c r="S126" s="521">
        <f t="shared" si="73"/>
        <v>1.9808979862105576</v>
      </c>
      <c r="T126" s="521">
        <f t="shared" si="73"/>
        <v>1.7772933415517631</v>
      </c>
      <c r="U126" s="521">
        <f t="shared" si="73"/>
        <v>2.024</v>
      </c>
      <c r="V126" s="521">
        <f t="shared" si="73"/>
        <v>2.0240000000000005</v>
      </c>
      <c r="W126" s="521">
        <f t="shared" si="73"/>
        <v>1.9751347360488496</v>
      </c>
      <c r="X126" s="521">
        <f>IFERROR(X128*1000/X123,0)</f>
        <v>1.9641668243258428</v>
      </c>
      <c r="Y126" s="521">
        <f t="shared" si="73"/>
        <v>1.9574544210246561</v>
      </c>
      <c r="Z126" s="521">
        <f t="shared" si="73"/>
        <v>1.9536860319190192</v>
      </c>
      <c r="AA126" s="521">
        <f t="shared" si="73"/>
        <v>1.9518182874591292</v>
      </c>
      <c r="AB126" s="521">
        <f t="shared" si="73"/>
        <v>1.9510587581584347</v>
      </c>
      <c r="AC126" s="521">
        <f t="shared" si="73"/>
        <v>1.9509238953159418</v>
      </c>
      <c r="AD126" s="521">
        <f t="shared" si="73"/>
        <v>1.9508604627261488</v>
      </c>
      <c r="AE126" s="521">
        <f t="shared" si="73"/>
        <v>1.7914655835148989</v>
      </c>
      <c r="AF126" s="521">
        <f>IFERROR(AF128*1000/AF123,0)</f>
        <v>1.6864134026491242</v>
      </c>
      <c r="AG126" s="521">
        <f>IFERROR(AG128*1000/AG123,0)</f>
        <v>1.6864134026491242</v>
      </c>
    </row>
    <row r="127" spans="1:33">
      <c r="A127" s="238" t="s">
        <v>1736</v>
      </c>
      <c r="B127" s="235">
        <f>IFERROR(B126/B124,0)</f>
        <v>0.88024665952837189</v>
      </c>
      <c r="C127" s="239">
        <f>IFERROR(C126/C124,0)</f>
        <v>0.88000000000000012</v>
      </c>
      <c r="D127" s="239">
        <f>IFERROR(D126/D124,0)</f>
        <v>0.88000000000000012</v>
      </c>
      <c r="E127" s="239">
        <f t="shared" ref="E127:AE127" si="74">IFERROR(E126/E124,0)</f>
        <v>0.86059144477996019</v>
      </c>
      <c r="F127" s="239">
        <f t="shared" si="74"/>
        <v>0.88193999999999995</v>
      </c>
      <c r="G127" s="239">
        <f t="shared" si="74"/>
        <v>0.88193999999999995</v>
      </c>
      <c r="H127" s="239">
        <f t="shared" si="74"/>
        <v>0.88194000000000006</v>
      </c>
      <c r="I127" s="239">
        <f t="shared" si="74"/>
        <v>0.88194000000000006</v>
      </c>
      <c r="J127" s="239">
        <f>IFERROR(J126/J124,0)</f>
        <v>0.88000000000000012</v>
      </c>
      <c r="K127" s="239">
        <f t="shared" si="74"/>
        <v>0.88000000000000012</v>
      </c>
      <c r="L127" s="239">
        <f t="shared" si="74"/>
        <v>0.88000000000000012</v>
      </c>
      <c r="M127" s="239">
        <f t="shared" si="74"/>
        <v>0.88193999999999995</v>
      </c>
      <c r="N127" s="239">
        <f t="shared" si="74"/>
        <v>0.88193999999999995</v>
      </c>
      <c r="O127" s="239">
        <f t="shared" si="74"/>
        <v>0.88193999999999984</v>
      </c>
      <c r="P127" s="239">
        <f t="shared" si="74"/>
        <v>0.88193999999999984</v>
      </c>
      <c r="Q127" s="239">
        <f t="shared" si="74"/>
        <v>0.88193999999999995</v>
      </c>
      <c r="R127" s="239">
        <f t="shared" si="74"/>
        <v>0.88194000000000006</v>
      </c>
      <c r="S127" s="239">
        <f t="shared" si="74"/>
        <v>0.88194000000000006</v>
      </c>
      <c r="T127" s="239">
        <f t="shared" si="74"/>
        <v>0.87353312934940086</v>
      </c>
      <c r="U127" s="239">
        <f t="shared" si="74"/>
        <v>0.88000000000000012</v>
      </c>
      <c r="V127" s="239">
        <f t="shared" si="74"/>
        <v>0.88000000000000012</v>
      </c>
      <c r="W127" s="239">
        <f t="shared" si="74"/>
        <v>0.88193999999999995</v>
      </c>
      <c r="X127" s="239">
        <f>IFERROR(X126/X124,0)</f>
        <v>0.88193999999999984</v>
      </c>
      <c r="Y127" s="239">
        <f t="shared" si="74"/>
        <v>0.88193999999999995</v>
      </c>
      <c r="Z127" s="239">
        <f t="shared" si="74"/>
        <v>0.88193999999999984</v>
      </c>
      <c r="AA127" s="239">
        <f t="shared" si="74"/>
        <v>0.88193999999999995</v>
      </c>
      <c r="AB127" s="239">
        <f t="shared" si="74"/>
        <v>0.88193999999999984</v>
      </c>
      <c r="AC127" s="239">
        <f t="shared" si="74"/>
        <v>0.88194000000000006</v>
      </c>
      <c r="AD127" s="239">
        <f t="shared" si="74"/>
        <v>0.88193999999999995</v>
      </c>
      <c r="AE127" s="239">
        <f t="shared" si="74"/>
        <v>0.87629632165372917</v>
      </c>
      <c r="AF127" s="239">
        <f>IFERROR(AF126/AF124,0)</f>
        <v>0.87039623787320042</v>
      </c>
      <c r="AG127" s="239">
        <f>IFERROR(AG126/AG124,0)</f>
        <v>0.87039623787320042</v>
      </c>
    </row>
    <row r="128" spans="1:33">
      <c r="A128" s="238" t="s">
        <v>1737</v>
      </c>
      <c r="B128" s="546">
        <f>ROUND(SUM(C128:AG128),1)</f>
        <v>67.8</v>
      </c>
      <c r="C128" s="240">
        <f>C86+C121+C114+C107+C93+C100</f>
        <v>2.3759153087999993</v>
      </c>
      <c r="D128" s="240">
        <f>D86+D121+D114+D107+D93+D100</f>
        <v>2.3759153087999998</v>
      </c>
      <c r="E128" s="240">
        <f>E86+E121+E114+E107+E93+E100</f>
        <v>1.8507294739722484</v>
      </c>
      <c r="F128" s="240">
        <f t="shared" ref="F128:AG128" si="75">F86+F121+F114+F107+F93+F100</f>
        <v>2.3102726338611408</v>
      </c>
      <c r="G128" s="240">
        <f t="shared" si="75"/>
        <v>1.1563763861865797</v>
      </c>
      <c r="H128" s="240">
        <f t="shared" si="75"/>
        <v>2.3143780367064521</v>
      </c>
      <c r="I128" s="240">
        <f t="shared" si="75"/>
        <v>2.3157089796621637</v>
      </c>
      <c r="J128" s="240">
        <f t="shared" si="75"/>
        <v>2.3759153087999998</v>
      </c>
      <c r="K128" s="240">
        <f t="shared" si="75"/>
        <v>2.3759153087999993</v>
      </c>
      <c r="L128" s="2328">
        <f>L86+L121+L114+L107+L93+L100</f>
        <v>2.3759153087999993</v>
      </c>
      <c r="M128" s="933">
        <f t="shared" si="75"/>
        <v>2.3107655930536048</v>
      </c>
      <c r="N128" s="240">
        <f t="shared" si="75"/>
        <v>2.111812267517359</v>
      </c>
      <c r="O128" s="240">
        <f t="shared" si="75"/>
        <v>2.1140971705184817</v>
      </c>
      <c r="P128" s="240">
        <f t="shared" si="75"/>
        <v>2.3151514556569861</v>
      </c>
      <c r="Q128" s="240">
        <f t="shared" si="75"/>
        <v>2.3071772127061796</v>
      </c>
      <c r="R128" s="240">
        <f t="shared" si="75"/>
        <v>2.3180671695044945</v>
      </c>
      <c r="S128" s="240">
        <f t="shared" si="75"/>
        <v>2.3253190961505696</v>
      </c>
      <c r="T128" s="240">
        <f t="shared" si="75"/>
        <v>2.0863134675993775</v>
      </c>
      <c r="U128" s="240">
        <f t="shared" si="75"/>
        <v>2.3759153087999993</v>
      </c>
      <c r="V128" s="240">
        <f t="shared" si="75"/>
        <v>2.3759153087999998</v>
      </c>
      <c r="W128" s="240">
        <f t="shared" si="75"/>
        <v>2.3185537827673457</v>
      </c>
      <c r="X128" s="240">
        <f>X86+X121+X114+X107+X93+X100</f>
        <v>2.3056788670715656</v>
      </c>
      <c r="Y128" s="2328">
        <f t="shared" si="75"/>
        <v>2.2977993701535175</v>
      </c>
      <c r="Z128" s="240">
        <f t="shared" si="75"/>
        <v>2.2933757667120167</v>
      </c>
      <c r="AA128" s="240">
        <f t="shared" si="75"/>
        <v>2.2911832752815924</v>
      </c>
      <c r="AB128" s="240">
        <f t="shared" si="75"/>
        <v>1.1451458428549754</v>
      </c>
      <c r="AC128" s="240">
        <f t="shared" si="75"/>
        <v>2.2901333741031982</v>
      </c>
      <c r="AD128" s="240">
        <f t="shared" si="75"/>
        <v>2.2900589124128987</v>
      </c>
      <c r="AE128" s="240">
        <f t="shared" si="75"/>
        <v>2.1029498542793341</v>
      </c>
      <c r="AF128" s="240">
        <f t="shared" si="75"/>
        <v>1.97963212466381</v>
      </c>
      <c r="AG128" s="240">
        <f t="shared" si="75"/>
        <v>1.97963212466381</v>
      </c>
    </row>
    <row r="129" spans="1:33" ht="15" thickBot="1">
      <c r="A129" s="238" t="s">
        <v>1740</v>
      </c>
      <c r="B129" s="240">
        <f>(1-B127)*B124</f>
        <v>0.26343363806683112</v>
      </c>
      <c r="C129" s="240">
        <f>(1-C127)*C124</f>
        <v>0.27599999999999969</v>
      </c>
      <c r="D129" s="240">
        <f t="shared" ref="D129:AG129" si="76">(1-D127)*D124</f>
        <v>0.27599999999999975</v>
      </c>
      <c r="E129" s="240">
        <f t="shared" si="76"/>
        <v>0.25539647316311292</v>
      </c>
      <c r="F129" s="240">
        <f t="shared" si="76"/>
        <v>0.2634550481581826</v>
      </c>
      <c r="G129" s="240">
        <f t="shared" si="76"/>
        <v>0.26373787409030247</v>
      </c>
      <c r="H129" s="240">
        <f t="shared" si="76"/>
        <v>0.26392321329526081</v>
      </c>
      <c r="I129" s="240">
        <f t="shared" si="76"/>
        <v>0.26407498916593225</v>
      </c>
      <c r="J129" s="240">
        <f t="shared" si="76"/>
        <v>0.27599999999999975</v>
      </c>
      <c r="K129" s="240">
        <f t="shared" si="76"/>
        <v>0.27599999999999969</v>
      </c>
      <c r="L129" s="240">
        <f t="shared" si="76"/>
        <v>0.27599999999999969</v>
      </c>
      <c r="M129" s="240">
        <f t="shared" si="76"/>
        <v>0.26351126342294706</v>
      </c>
      <c r="N129" s="240">
        <f t="shared" si="76"/>
        <v>0.26351126342294706</v>
      </c>
      <c r="O129" s="240">
        <f t="shared" si="76"/>
        <v>0.26379637289308627</v>
      </c>
      <c r="P129" s="240">
        <f t="shared" si="76"/>
        <v>0.26401141116588184</v>
      </c>
      <c r="Q129" s="240">
        <f t="shared" si="76"/>
        <v>0.26310205764204286</v>
      </c>
      <c r="R129" s="240">
        <f t="shared" si="76"/>
        <v>0.26434390851742845</v>
      </c>
      <c r="S129" s="240">
        <f t="shared" si="76"/>
        <v>0.26517089172961689</v>
      </c>
      <c r="T129" s="240">
        <f t="shared" si="76"/>
        <v>0.25730990569482298</v>
      </c>
      <c r="U129" s="240">
        <f t="shared" si="76"/>
        <v>0.27599999999999969</v>
      </c>
      <c r="V129" s="240">
        <f t="shared" si="76"/>
        <v>0.27599999999999975</v>
      </c>
      <c r="W129" s="240">
        <f t="shared" si="76"/>
        <v>0.26439940011557173</v>
      </c>
      <c r="X129" s="240">
        <f t="shared" si="76"/>
        <v>0.26293119178165109</v>
      </c>
      <c r="Y129" s="240">
        <f t="shared" si="76"/>
        <v>0.26203264274913374</v>
      </c>
      <c r="Z129" s="240">
        <f t="shared" si="76"/>
        <v>0.26152819117894616</v>
      </c>
      <c r="AA129" s="240">
        <f t="shared" si="76"/>
        <v>0.26127816746879029</v>
      </c>
      <c r="AB129" s="240">
        <f t="shared" si="76"/>
        <v>0.26117649385239944</v>
      </c>
      <c r="AC129" s="240">
        <f t="shared" si="76"/>
        <v>0.2611584405753225</v>
      </c>
      <c r="AD129" s="240">
        <f t="shared" si="76"/>
        <v>0.26114994923628504</v>
      </c>
      <c r="AE129" s="240">
        <f t="shared" si="76"/>
        <v>0.25289491332489189</v>
      </c>
      <c r="AF129" s="240">
        <f t="shared" si="76"/>
        <v>0.2511103701670922</v>
      </c>
      <c r="AG129" s="240">
        <f t="shared" si="76"/>
        <v>0.2511103701670922</v>
      </c>
    </row>
    <row r="130" spans="1:33" s="936" customFormat="1">
      <c r="A130" s="934"/>
      <c r="B130" s="935">
        <f>SUM(C130:AG130)</f>
        <v>35013.999028865175</v>
      </c>
      <c r="C130" s="1379">
        <v>1173.8711999999996</v>
      </c>
      <c r="D130" s="1379">
        <v>1173.8711999999996</v>
      </c>
      <c r="E130" s="1379">
        <v>1173.8711999999996</v>
      </c>
      <c r="F130" s="1379">
        <v>1173.8711999999996</v>
      </c>
      <c r="G130" s="1405">
        <v>586.93559999999979</v>
      </c>
      <c r="H130" s="1404">
        <v>1173.8711999999996</v>
      </c>
      <c r="I130" s="1379">
        <v>1173.8711999999996</v>
      </c>
      <c r="J130" s="1379">
        <v>1173.8711999999996</v>
      </c>
      <c r="K130" s="1379">
        <v>1173.8711999999996</v>
      </c>
      <c r="L130" s="1379">
        <v>1173.8711999999996</v>
      </c>
      <c r="M130" s="1379">
        <v>1173.8711999999996</v>
      </c>
      <c r="N130" s="1379">
        <v>1072.802714432582</v>
      </c>
      <c r="O130" s="1379">
        <v>1072.802714432582</v>
      </c>
      <c r="P130" s="1379">
        <v>1173.8711999999996</v>
      </c>
      <c r="Q130" s="1379">
        <v>1173.8711999999996</v>
      </c>
      <c r="R130" s="1379">
        <v>1173.8711999999996</v>
      </c>
      <c r="S130" s="1379">
        <v>1173.8711999999996</v>
      </c>
      <c r="T130" s="1379">
        <v>1173.8711999999996</v>
      </c>
      <c r="U130" s="1379">
        <v>1173.8711999999996</v>
      </c>
      <c r="V130" s="1404">
        <v>1173.8711999999996</v>
      </c>
      <c r="W130" s="1379">
        <v>1173.8711999999996</v>
      </c>
      <c r="X130" s="1379">
        <v>1173.8711999999996</v>
      </c>
      <c r="Y130" s="1379">
        <v>1173.8711999999996</v>
      </c>
      <c r="Z130" s="1379">
        <v>1173.8711999999996</v>
      </c>
      <c r="AA130" s="1379">
        <v>1173.8711999999996</v>
      </c>
      <c r="AB130" s="1405">
        <v>586.93559999999979</v>
      </c>
      <c r="AC130" s="1379">
        <v>1173.8711999999996</v>
      </c>
      <c r="AD130" s="1379">
        <v>1173.8711999999996</v>
      </c>
      <c r="AE130" s="1379">
        <v>1173.8711999999996</v>
      </c>
      <c r="AF130" s="1379">
        <v>1173.8711999999996</v>
      </c>
      <c r="AG130" s="1379">
        <v>1173.8711999999996</v>
      </c>
    </row>
    <row r="132" spans="1:33">
      <c r="A132" s="208" t="s">
        <v>1741</v>
      </c>
      <c r="B132" s="209">
        <f>B128</f>
        <v>67.8</v>
      </c>
      <c r="C132" s="241"/>
      <c r="D132" s="241"/>
      <c r="E132" s="241"/>
      <c r="F132" s="241"/>
      <c r="G132" s="241"/>
      <c r="H132" s="241"/>
      <c r="I132" s="241"/>
      <c r="J132" s="241"/>
      <c r="K132" s="241"/>
      <c r="L132" s="241"/>
      <c r="M132" s="241"/>
      <c r="N132" s="241"/>
      <c r="O132" s="241"/>
      <c r="P132" s="241"/>
      <c r="Q132" s="241"/>
      <c r="R132" s="241"/>
      <c r="S132" s="241"/>
      <c r="T132" s="241"/>
      <c r="U132" s="241"/>
      <c r="V132" s="241"/>
      <c r="W132" s="241"/>
      <c r="X132" s="241"/>
      <c r="Y132" s="241"/>
      <c r="Z132" s="241"/>
      <c r="AA132" s="241"/>
      <c r="AB132" s="241"/>
      <c r="AC132" s="241"/>
      <c r="AD132" s="241"/>
      <c r="AE132" s="241"/>
      <c r="AF132" s="241"/>
    </row>
    <row r="133" spans="1:33">
      <c r="B133" s="243"/>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c r="AA133" s="210"/>
      <c r="AB133" s="210"/>
      <c r="AC133" s="210"/>
      <c r="AD133" s="210"/>
      <c r="AE133" s="210"/>
      <c r="AF133" s="210"/>
      <c r="AG133" s="210"/>
    </row>
  </sheetData>
  <sheetProtection algorithmName="SHA-512" hashValue="SeNvdy8Nuq47hBhLQGqEKVQ1S44qJAtWvMTeXHe9ULpIrFiXmnNa42dEdfkiUE7vPiie148jNzc/djRezNtdOg==" saltValue="1y5IUZyoUWw5MgFbuc/qjg==" spinCount="100000" sheet="1" objects="1" scenarios="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4785D-4641-4F05-A312-269AB8C9EC2B}">
  <sheetPr>
    <tabColor theme="0" tint="-0.14999847407452621"/>
  </sheetPr>
  <dimension ref="A1:AH325"/>
  <sheetViews>
    <sheetView showGridLines="0" topLeftCell="A9" workbookViewId="0">
      <selection sqref="A1:XFD1048576"/>
    </sheetView>
  </sheetViews>
  <sheetFormatPr defaultRowHeight="14.4"/>
  <cols>
    <col min="1" max="1" width="16.21875" customWidth="1"/>
    <col min="2" max="2" width="11.21875" bestFit="1" customWidth="1"/>
    <col min="3" max="3" width="8" customWidth="1"/>
    <col min="4" max="13" width="12.21875" bestFit="1" customWidth="1"/>
    <col min="14" max="15" width="12.21875" style="873" bestFit="1" customWidth="1"/>
    <col min="16" max="32" width="12.21875" bestFit="1" customWidth="1"/>
    <col min="33" max="34" width="12.21875" customWidth="1"/>
  </cols>
  <sheetData>
    <row r="1" spans="1:34">
      <c r="D1" s="583" t="s">
        <v>1694</v>
      </c>
      <c r="E1" s="583" t="s">
        <v>1695</v>
      </c>
      <c r="F1" s="583" t="s">
        <v>1696</v>
      </c>
      <c r="G1" s="583" t="s">
        <v>1697</v>
      </c>
      <c r="H1" s="583" t="s">
        <v>1698</v>
      </c>
      <c r="I1" s="583" t="s">
        <v>1699</v>
      </c>
      <c r="J1" s="583" t="s">
        <v>1700</v>
      </c>
      <c r="K1" s="583" t="s">
        <v>1694</v>
      </c>
      <c r="L1" s="583" t="s">
        <v>1695</v>
      </c>
      <c r="M1" s="583" t="s">
        <v>1696</v>
      </c>
      <c r="N1" s="2329" t="s">
        <v>1697</v>
      </c>
      <c r="O1" s="2329" t="s">
        <v>1698</v>
      </c>
      <c r="P1" s="583" t="s">
        <v>1699</v>
      </c>
      <c r="Q1" s="583" t="s">
        <v>1700</v>
      </c>
      <c r="R1" s="583" t="s">
        <v>1694</v>
      </c>
      <c r="S1" s="583" t="s">
        <v>1695</v>
      </c>
      <c r="T1" s="583" t="s">
        <v>1696</v>
      </c>
      <c r="U1" s="583" t="s">
        <v>1697</v>
      </c>
      <c r="V1" s="583" t="s">
        <v>1698</v>
      </c>
      <c r="W1" s="583" t="s">
        <v>1699</v>
      </c>
      <c r="X1" s="583" t="s">
        <v>1700</v>
      </c>
      <c r="Y1" s="583" t="s">
        <v>1694</v>
      </c>
      <c r="Z1" s="583" t="s">
        <v>1695</v>
      </c>
      <c r="AA1" s="583" t="s">
        <v>1696</v>
      </c>
      <c r="AB1" s="583" t="s">
        <v>1697</v>
      </c>
      <c r="AC1" s="583" t="s">
        <v>1698</v>
      </c>
      <c r="AD1" s="583" t="s">
        <v>1699</v>
      </c>
      <c r="AE1" s="583" t="s">
        <v>1700</v>
      </c>
      <c r="AF1" s="583" t="s">
        <v>1694</v>
      </c>
      <c r="AG1" s="583" t="s">
        <v>1695</v>
      </c>
      <c r="AH1" s="583" t="s">
        <v>1696</v>
      </c>
    </row>
    <row r="2" spans="1:34">
      <c r="A2" s="1"/>
      <c r="B2" s="2"/>
      <c r="C2" s="548" t="s">
        <v>63</v>
      </c>
      <c r="D2" s="3">
        <v>45870</v>
      </c>
      <c r="E2" s="3">
        <v>45871</v>
      </c>
      <c r="F2" s="3">
        <v>45872</v>
      </c>
      <c r="G2" s="3">
        <v>45873</v>
      </c>
      <c r="H2" s="3">
        <v>45874</v>
      </c>
      <c r="I2" s="3">
        <v>45875</v>
      </c>
      <c r="J2" s="3">
        <v>45876</v>
      </c>
      <c r="K2" s="3">
        <v>45877</v>
      </c>
      <c r="L2" s="3">
        <v>45878</v>
      </c>
      <c r="M2" s="3">
        <v>45879</v>
      </c>
      <c r="N2" s="2289">
        <v>45880</v>
      </c>
      <c r="O2" s="2289">
        <v>45881</v>
      </c>
      <c r="P2" s="3">
        <v>45882</v>
      </c>
      <c r="Q2" s="3">
        <v>45883</v>
      </c>
      <c r="R2" s="3">
        <v>45884</v>
      </c>
      <c r="S2" s="3">
        <v>45885</v>
      </c>
      <c r="T2" s="3">
        <v>45886</v>
      </c>
      <c r="U2" s="3">
        <v>45887</v>
      </c>
      <c r="V2" s="3">
        <v>45888</v>
      </c>
      <c r="W2" s="3">
        <v>45889</v>
      </c>
      <c r="X2" s="3">
        <v>45890</v>
      </c>
      <c r="Y2" s="3">
        <v>45891</v>
      </c>
      <c r="Z2" s="3">
        <v>45892</v>
      </c>
      <c r="AA2" s="3">
        <v>45893</v>
      </c>
      <c r="AB2" s="3">
        <v>45894</v>
      </c>
      <c r="AC2" s="3">
        <v>45895</v>
      </c>
      <c r="AD2" s="3">
        <v>45896</v>
      </c>
      <c r="AE2" s="3">
        <v>45897</v>
      </c>
      <c r="AF2" s="3">
        <v>45898</v>
      </c>
      <c r="AG2" s="3">
        <v>45899</v>
      </c>
      <c r="AH2" s="3">
        <v>45900</v>
      </c>
    </row>
    <row r="3" spans="1:34">
      <c r="A3" s="584" t="s">
        <v>1742</v>
      </c>
      <c r="B3" s="585"/>
      <c r="C3" s="586">
        <f>SUM(D3:AH3)</f>
        <v>34800</v>
      </c>
      <c r="D3" s="587">
        <v>1200</v>
      </c>
      <c r="E3" s="587">
        <v>1200</v>
      </c>
      <c r="F3" s="587">
        <v>1200</v>
      </c>
      <c r="G3" s="587">
        <v>1200</v>
      </c>
      <c r="H3" s="587">
        <v>1200</v>
      </c>
      <c r="I3" s="587">
        <v>1200</v>
      </c>
      <c r="J3" s="587">
        <v>1200</v>
      </c>
      <c r="K3" s="587">
        <v>1200</v>
      </c>
      <c r="L3" s="587">
        <v>1200</v>
      </c>
      <c r="M3" s="587">
        <v>1200</v>
      </c>
      <c r="N3" s="2330">
        <v>0</v>
      </c>
      <c r="O3" s="2330">
        <v>0</v>
      </c>
      <c r="P3" s="587">
        <v>1200</v>
      </c>
      <c r="Q3" s="587">
        <v>1200</v>
      </c>
      <c r="R3" s="587">
        <v>1200</v>
      </c>
      <c r="S3" s="587">
        <v>1200</v>
      </c>
      <c r="T3" s="587">
        <v>1200</v>
      </c>
      <c r="U3" s="587">
        <v>1200</v>
      </c>
      <c r="V3" s="587">
        <v>1200</v>
      </c>
      <c r="W3" s="587">
        <v>1200</v>
      </c>
      <c r="X3" s="587">
        <v>1200</v>
      </c>
      <c r="Y3" s="587">
        <v>1200</v>
      </c>
      <c r="Z3" s="587">
        <v>1200</v>
      </c>
      <c r="AA3" s="587">
        <v>1200</v>
      </c>
      <c r="AB3" s="587">
        <v>1200</v>
      </c>
      <c r="AC3" s="587">
        <v>1200</v>
      </c>
      <c r="AD3" s="587">
        <v>1200</v>
      </c>
      <c r="AE3" s="587">
        <v>1200</v>
      </c>
      <c r="AF3" s="587">
        <v>1200</v>
      </c>
      <c r="AG3" s="587">
        <v>1200</v>
      </c>
      <c r="AH3" s="587">
        <v>1200</v>
      </c>
    </row>
    <row r="4" spans="1:34">
      <c r="A4" s="207"/>
      <c r="C4" s="549"/>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c r="A5" s="3159" t="s">
        <v>48</v>
      </c>
      <c r="B5" s="4" t="s">
        <v>1640</v>
      </c>
      <c r="C5" s="562">
        <f>SUM(D5:AH5)</f>
        <v>24905</v>
      </c>
      <c r="D5" s="5">
        <f t="shared" ref="D5:AH5" si="0">MIN(D3,D17+D25)</f>
        <v>740</v>
      </c>
      <c r="E5" s="5">
        <f t="shared" si="0"/>
        <v>850</v>
      </c>
      <c r="F5" s="5">
        <f t="shared" si="0"/>
        <v>850</v>
      </c>
      <c r="G5" s="5">
        <f t="shared" si="0"/>
        <v>850</v>
      </c>
      <c r="H5" s="5">
        <f t="shared" si="0"/>
        <v>850</v>
      </c>
      <c r="I5" s="5">
        <f t="shared" si="0"/>
        <v>850</v>
      </c>
      <c r="J5" s="5">
        <f t="shared" si="0"/>
        <v>850</v>
      </c>
      <c r="K5" s="5">
        <f t="shared" si="0"/>
        <v>740</v>
      </c>
      <c r="L5" s="5">
        <f t="shared" si="0"/>
        <v>850</v>
      </c>
      <c r="M5" s="5">
        <f t="shared" si="0"/>
        <v>850</v>
      </c>
      <c r="N5" s="2290">
        <f t="shared" si="0"/>
        <v>0</v>
      </c>
      <c r="O5" s="2290">
        <f t="shared" si="0"/>
        <v>0</v>
      </c>
      <c r="P5" s="5">
        <f t="shared" si="0"/>
        <v>850</v>
      </c>
      <c r="Q5" s="5">
        <f t="shared" si="0"/>
        <v>850</v>
      </c>
      <c r="R5" s="5">
        <f t="shared" si="0"/>
        <v>705</v>
      </c>
      <c r="S5" s="5">
        <f t="shared" si="0"/>
        <v>815</v>
      </c>
      <c r="T5" s="5">
        <f t="shared" si="0"/>
        <v>815</v>
      </c>
      <c r="U5" s="5">
        <f t="shared" si="0"/>
        <v>815</v>
      </c>
      <c r="V5" s="5">
        <f t="shared" si="0"/>
        <v>705</v>
      </c>
      <c r="W5" s="5">
        <f t="shared" si="0"/>
        <v>815</v>
      </c>
      <c r="X5" s="5">
        <f t="shared" si="0"/>
        <v>815</v>
      </c>
      <c r="Y5" s="5">
        <f t="shared" si="0"/>
        <v>955</v>
      </c>
      <c r="Z5" s="5">
        <f t="shared" si="0"/>
        <v>955</v>
      </c>
      <c r="AA5" s="5">
        <f t="shared" si="0"/>
        <v>955</v>
      </c>
      <c r="AB5" s="5">
        <f t="shared" si="0"/>
        <v>955</v>
      </c>
      <c r="AC5" s="5">
        <f t="shared" si="0"/>
        <v>955</v>
      </c>
      <c r="AD5" s="5">
        <f t="shared" si="0"/>
        <v>955</v>
      </c>
      <c r="AE5" s="5">
        <f t="shared" si="0"/>
        <v>955</v>
      </c>
      <c r="AF5" s="5">
        <f t="shared" si="0"/>
        <v>845</v>
      </c>
      <c r="AG5" s="5">
        <f t="shared" si="0"/>
        <v>955</v>
      </c>
      <c r="AH5" s="5">
        <f t="shared" si="0"/>
        <v>955</v>
      </c>
    </row>
    <row r="6" spans="1:34" ht="15" thickBot="1">
      <c r="A6" s="3160"/>
      <c r="B6" s="495" t="s">
        <v>1641</v>
      </c>
      <c r="C6" s="588">
        <f>SUMPRODUCT(D5:AH5,D6:AH6)/C5</f>
        <v>2.2261660313865588</v>
      </c>
      <c r="D6" s="589">
        <f>IFERROR((D17*D18+D25*D26)/D5,0)</f>
        <v>2.2027283562768369</v>
      </c>
      <c r="E6" s="589">
        <f t="shared" ref="E6:AF6" si="1">(E17*E18+E25*E26)/E5</f>
        <v>2.2398948598130839</v>
      </c>
      <c r="F6" s="589">
        <f t="shared" si="1"/>
        <v>2.2398948598130839</v>
      </c>
      <c r="G6" s="589">
        <f t="shared" si="1"/>
        <v>2.2398948598130839</v>
      </c>
      <c r="H6" s="589">
        <f t="shared" si="1"/>
        <v>2.2398948598130839</v>
      </c>
      <c r="I6" s="589">
        <f>(I17*I18+I25*I26)/I5</f>
        <v>2.2398948598130839</v>
      </c>
      <c r="J6" s="589">
        <f>(J17*J18+J25*J26)/J5</f>
        <v>2.2398948598130839</v>
      </c>
      <c r="K6" s="589">
        <f>IFERROR((K17*K18+K25*K26)/K5,0)</f>
        <v>2.2027283562768369</v>
      </c>
      <c r="L6" s="589">
        <f t="shared" si="1"/>
        <v>2.2398948598130839</v>
      </c>
      <c r="M6" s="589">
        <f t="shared" si="1"/>
        <v>2.2398948598130839</v>
      </c>
      <c r="N6" s="2331">
        <f>IFERROR((N17*N18+N25*N26)/N5,0)</f>
        <v>0</v>
      </c>
      <c r="O6" s="2331">
        <f>IFERROR((O17*O18+O25*O26)/O5,0)</f>
        <v>0</v>
      </c>
      <c r="P6" s="589">
        <f t="shared" si="1"/>
        <v>2.2398948598130839</v>
      </c>
      <c r="Q6" s="589">
        <f t="shared" si="1"/>
        <v>2.2398948598130839</v>
      </c>
      <c r="R6" s="589">
        <f t="shared" si="1"/>
        <v>2.2134888480148471</v>
      </c>
      <c r="S6" s="589">
        <f t="shared" si="1"/>
        <v>2.2507991227567223</v>
      </c>
      <c r="T6" s="589">
        <f t="shared" si="1"/>
        <v>2.2507991227567223</v>
      </c>
      <c r="U6" s="589">
        <f t="shared" si="1"/>
        <v>2.2507991227567223</v>
      </c>
      <c r="V6" s="589">
        <f>IFERROR((V17*V18+V25*V26)/V5,0)</f>
        <v>2.2134888480148471</v>
      </c>
      <c r="W6" s="589">
        <f t="shared" ref="W6:X6" si="2">IFERROR((W17*W18+W25*W26)/W5,0)</f>
        <v>2.2507991227567223</v>
      </c>
      <c r="X6" s="589">
        <f t="shared" si="2"/>
        <v>2.2507991227567223</v>
      </c>
      <c r="Y6" s="589">
        <f t="shared" si="1"/>
        <v>2.2119776630620933</v>
      </c>
      <c r="Z6" s="589">
        <f t="shared" si="1"/>
        <v>2.2119776630620933</v>
      </c>
      <c r="AA6" s="589">
        <f t="shared" si="1"/>
        <v>2.2119776630620933</v>
      </c>
      <c r="AB6" s="589">
        <f>IFERROR((AB17*AB18+AB25*AB26)/AB5,0)</f>
        <v>2.2119776630620933</v>
      </c>
      <c r="AC6" s="589">
        <f>IFERROR((AC17*AC18+AC25*AC26)/AC5,0)</f>
        <v>2.2119776630620933</v>
      </c>
      <c r="AD6" s="589">
        <f t="shared" si="1"/>
        <v>2.2119776630620933</v>
      </c>
      <c r="AE6" s="589">
        <f t="shared" si="1"/>
        <v>2.2119776630620933</v>
      </c>
      <c r="AF6" s="589">
        <f t="shared" si="1"/>
        <v>2.1757952911574407</v>
      </c>
      <c r="AG6" s="589">
        <f>(AG17*AG18+AG25*AG26)/AG5</f>
        <v>2.2119776630620933</v>
      </c>
      <c r="AH6" s="589">
        <f>IFERROR((AH17*AH18+AH25*AH26)/AH5,0)</f>
        <v>2.2119776630620933</v>
      </c>
    </row>
    <row r="7" spans="1:34" s="1706" customFormat="1" ht="15" thickTop="1">
      <c r="A7" s="1508"/>
      <c r="B7" s="1509"/>
      <c r="C7" s="1510"/>
      <c r="D7" s="1511"/>
      <c r="E7" s="1511"/>
      <c r="F7" s="1511"/>
      <c r="G7" s="1511"/>
      <c r="H7" s="1511"/>
      <c r="I7" s="1511"/>
      <c r="J7" s="1511"/>
      <c r="K7" s="1511"/>
      <c r="L7" s="1511"/>
      <c r="M7" s="1511"/>
      <c r="N7" s="1511"/>
      <c r="O7" s="1511"/>
      <c r="P7" s="1511"/>
      <c r="Q7" s="1511"/>
      <c r="R7" s="1511"/>
      <c r="S7" s="1511"/>
      <c r="T7" s="1511"/>
      <c r="U7" s="1511"/>
      <c r="V7" s="1511"/>
      <c r="W7" s="1511"/>
      <c r="X7" s="1511"/>
      <c r="Y7" s="1511"/>
      <c r="Z7" s="1511"/>
      <c r="AA7" s="1511"/>
      <c r="AB7" s="1511"/>
      <c r="AC7" s="1511"/>
      <c r="AD7" s="1511"/>
      <c r="AE7" s="1511"/>
      <c r="AF7" s="1511"/>
      <c r="AG7" s="1511"/>
      <c r="AH7" s="1511"/>
    </row>
    <row r="8" spans="1:34">
      <c r="N8"/>
      <c r="O8"/>
      <c r="U8" s="204"/>
      <c r="V8" s="204"/>
      <c r="W8" s="204"/>
      <c r="X8" s="204"/>
    </row>
    <row r="9" spans="1:34">
      <c r="A9" s="3159" t="s">
        <v>1743</v>
      </c>
      <c r="B9" s="4" t="s">
        <v>1640</v>
      </c>
      <c r="C9" s="562">
        <f>AH9</f>
        <v>0</v>
      </c>
      <c r="D9" s="5">
        <f>+MAX(D13-D5,0)</f>
        <v>170</v>
      </c>
      <c r="E9" s="5">
        <f t="shared" ref="E9:AH9" si="3">+MAX(D9+E13-E3,0)</f>
        <v>0</v>
      </c>
      <c r="F9" s="5">
        <f t="shared" si="3"/>
        <v>0</v>
      </c>
      <c r="G9" s="5">
        <f t="shared" si="3"/>
        <v>0</v>
      </c>
      <c r="H9" s="5">
        <f t="shared" si="3"/>
        <v>0</v>
      </c>
      <c r="I9" s="5">
        <f t="shared" si="3"/>
        <v>0</v>
      </c>
      <c r="J9" s="5">
        <f t="shared" si="3"/>
        <v>0</v>
      </c>
      <c r="K9" s="5">
        <f t="shared" si="3"/>
        <v>0</v>
      </c>
      <c r="L9" s="5">
        <f t="shared" si="3"/>
        <v>0</v>
      </c>
      <c r="M9" s="5">
        <f t="shared" si="3"/>
        <v>0</v>
      </c>
      <c r="N9" s="2290">
        <f t="shared" si="3"/>
        <v>0</v>
      </c>
      <c r="O9" s="2290">
        <f t="shared" si="3"/>
        <v>0</v>
      </c>
      <c r="P9" s="5">
        <f t="shared" si="3"/>
        <v>0</v>
      </c>
      <c r="Q9" s="5">
        <f t="shared" si="3"/>
        <v>0</v>
      </c>
      <c r="R9" s="5">
        <f t="shared" si="3"/>
        <v>0</v>
      </c>
      <c r="S9" s="5">
        <f t="shared" si="3"/>
        <v>0</v>
      </c>
      <c r="T9" s="5">
        <f t="shared" si="3"/>
        <v>0</v>
      </c>
      <c r="U9" s="5">
        <f t="shared" si="3"/>
        <v>0</v>
      </c>
      <c r="V9" s="5">
        <f t="shared" si="3"/>
        <v>0</v>
      </c>
      <c r="W9" s="5">
        <f t="shared" si="3"/>
        <v>0</v>
      </c>
      <c r="X9" s="5">
        <f t="shared" si="3"/>
        <v>0</v>
      </c>
      <c r="Y9" s="5">
        <f t="shared" si="3"/>
        <v>0</v>
      </c>
      <c r="Z9" s="5">
        <f t="shared" si="3"/>
        <v>0</v>
      </c>
      <c r="AA9" s="5">
        <f t="shared" si="3"/>
        <v>0</v>
      </c>
      <c r="AB9" s="5">
        <f t="shared" si="3"/>
        <v>0</v>
      </c>
      <c r="AC9" s="5">
        <f t="shared" si="3"/>
        <v>0</v>
      </c>
      <c r="AD9" s="5">
        <f t="shared" si="3"/>
        <v>0</v>
      </c>
      <c r="AE9" s="5">
        <f t="shared" si="3"/>
        <v>0</v>
      </c>
      <c r="AF9" s="5">
        <f t="shared" si="3"/>
        <v>0</v>
      </c>
      <c r="AG9" s="5">
        <f t="shared" si="3"/>
        <v>0</v>
      </c>
      <c r="AH9" s="5">
        <f t="shared" si="3"/>
        <v>0</v>
      </c>
    </row>
    <row r="10" spans="1:34" ht="15" thickBot="1">
      <c r="A10" s="3160"/>
      <c r="B10" s="6" t="s">
        <v>1641</v>
      </c>
      <c r="C10" s="563">
        <f>AH10</f>
        <v>2.2284079922655491</v>
      </c>
      <c r="D10" s="7">
        <f>+D14</f>
        <v>2.2563803019410491</v>
      </c>
      <c r="E10" s="590">
        <f>(D9*D10+'[3]Underground Breaking Plan'!E2*'[3]Underground Breaking Plan'!E3)/('[3]Underground Breaking Plan'!E2+D9)</f>
        <v>2.2563803019410495</v>
      </c>
      <c r="F10" s="590">
        <f>(E9*E10+'[3]Underground Breaking Plan'!F2*'[3]Underground Breaking Plan'!F3)/('[3]Underground Breaking Plan'!F2+E9)</f>
        <v>2.2563803019410491</v>
      </c>
      <c r="G10" s="590">
        <f>(F9*F10+'[3]Underground Breaking Plan'!G2*'[3]Underground Breaking Plan'!G3)/('[3]Underground Breaking Plan'!G2+F9)</f>
        <v>2.2563803019410491</v>
      </c>
      <c r="H10" s="590">
        <f>(G9*G10+'[3]Underground Breaking Plan'!H2*'[3]Underground Breaking Plan'!H3)/('[3]Underground Breaking Plan'!H2+G9)</f>
        <v>2.2563803019410491</v>
      </c>
      <c r="I10" s="590">
        <f>(H9*H10+'[3]Underground Breaking Plan'!I2*'[3]Underground Breaking Plan'!I3)/('[3]Underground Breaking Plan'!I2+H9)</f>
        <v>2.2563803019410491</v>
      </c>
      <c r="J10" s="590">
        <f>(I9*I10+'[3]Underground Breaking Plan'!J2*'[3]Underground Breaking Plan'!J3)/('[3]Underground Breaking Plan'!J2+I9)</f>
        <v>2.2563803019410491</v>
      </c>
      <c r="K10" s="590">
        <f>(J9*J10+'[3]Underground Breaking Plan'!K2*'[3]Underground Breaking Plan'!K3)/('[3]Underground Breaking Plan'!K2+J9)</f>
        <v>2.2563803019410491</v>
      </c>
      <c r="L10" s="590">
        <f>(K9*K10+'[3]Underground Breaking Plan'!L2*'[3]Underground Breaking Plan'!L3)/('[3]Underground Breaking Plan'!L2+K9)</f>
        <v>2.2563803019410491</v>
      </c>
      <c r="M10" s="590">
        <f>(L9*L10+'[3]Underground Breaking Plan'!M2*'[3]Underground Breaking Plan'!M3)/('[3]Underground Breaking Plan'!M2+L9)</f>
        <v>2.2563803019410491</v>
      </c>
      <c r="N10" s="2332">
        <f>IFERROR((M9*M10+'[3]Underground Breaking Plan'!N2*'[3]Underground Breaking Plan'!N3)/('[3]Underground Breaking Plan'!N2+M9),0)</f>
        <v>0</v>
      </c>
      <c r="O10" s="2332">
        <f>IFERROR((N9*N10+'[3]Underground Breaking Plan'!O2*'[3]Underground Breaking Plan'!O3)/('[3]Underground Breaking Plan'!O2+N9),0)</f>
        <v>0</v>
      </c>
      <c r="P10" s="590">
        <f>(O9*O10+'[3]Underground Breaking Plan'!P2*'[3]Underground Breaking Plan'!P3)/('[3]Underground Breaking Plan'!P2+O9)</f>
        <v>2.2563803019410491</v>
      </c>
      <c r="Q10" s="590">
        <f>(P9*P10+'[3]Underground Breaking Plan'!Q2*'[3]Underground Breaking Plan'!Q3)/('[3]Underground Breaking Plan'!Q2+P9)</f>
        <v>2.2563803019410491</v>
      </c>
      <c r="R10" s="590">
        <f>(Q9*Q10+'[3]Underground Breaking Plan'!R2*'[3]Underground Breaking Plan'!R3)/('[3]Underground Breaking Plan'!R2+Q9)</f>
        <v>2.2671962616822428</v>
      </c>
      <c r="S10" s="590">
        <f>(R9*R10+'[3]Underground Breaking Plan'!S2*'[3]Underground Breaking Plan'!S3)/('[3]Underground Breaking Plan'!S2+R9)</f>
        <v>2.2671962616822428</v>
      </c>
      <c r="T10" s="590">
        <f>(S9*S10+'[3]Underground Breaking Plan'!T2*'[3]Underground Breaking Plan'!T3)/('[3]Underground Breaking Plan'!T2+S9)</f>
        <v>2.2671962616822428</v>
      </c>
      <c r="U10" s="590">
        <f>(T9*T10+'[3]Underground Breaking Plan'!U2*'[3]Underground Breaking Plan'!U3)/('[3]Underground Breaking Plan'!U2+T9)</f>
        <v>2.2671962616822428</v>
      </c>
      <c r="V10" s="590">
        <f>(U9*U10+'[3]Underground Breaking Plan'!V2*'[3]Underground Breaking Plan'!V3)/('[3]Underground Breaking Plan'!V2+U9)</f>
        <v>2.2671962616822428</v>
      </c>
      <c r="W10" s="590">
        <f>(V9*V10+'[3]Underground Breaking Plan'!W2*'[3]Underground Breaking Plan'!W3)/('[3]Underground Breaking Plan'!W2+V9)</f>
        <v>2.2671962616822428</v>
      </c>
      <c r="X10" s="590">
        <f>(W9*W10+'[3]Underground Breaking Plan'!X2*'[3]Underground Breaking Plan'!X3)/('[3]Underground Breaking Plan'!X2+W9)</f>
        <v>2.2671962616822428</v>
      </c>
      <c r="Y10" s="590">
        <f>(X9*X10+'[3]Underground Breaking Plan'!Y2*'[3]Underground Breaking Plan'!Y3)/('[3]Underground Breaking Plan'!Y2+X9)</f>
        <v>2.2284079922655491</v>
      </c>
      <c r="Z10" s="590">
        <f>(Y9*Y10+'[3]Underground Breaking Plan'!Z2*'[3]Underground Breaking Plan'!Z3)/('[3]Underground Breaking Plan'!Z2+Y9)</f>
        <v>2.2284079922655491</v>
      </c>
      <c r="AA10" s="590">
        <f>(Z9*Z10+'[3]Underground Breaking Plan'!AA2*'[3]Underground Breaking Plan'!AA3)/('[3]Underground Breaking Plan'!AA2+Z9)</f>
        <v>2.2284079922655491</v>
      </c>
      <c r="AB10" s="590">
        <f>(AA9*AA10+'[3]Underground Breaking Plan'!AB2*'[3]Underground Breaking Plan'!AB3)/('[3]Underground Breaking Plan'!AB2+AA9)</f>
        <v>2.2284079922655491</v>
      </c>
      <c r="AC10" s="590">
        <f>(AB9*AB10+'[3]Underground Breaking Plan'!AC2*'[3]Underground Breaking Plan'!AC3)/('[3]Underground Breaking Plan'!AC2+AB9)</f>
        <v>2.2284079922655491</v>
      </c>
      <c r="AD10" s="590">
        <f>(AC9*AC10+'[3]Underground Breaking Plan'!AD2*'[3]Underground Breaking Plan'!AD3)/('[3]Underground Breaking Plan'!AD2+AC9)</f>
        <v>2.2284079922655491</v>
      </c>
      <c r="AE10" s="590">
        <f>(AD9*AD10+'[3]Underground Breaking Plan'!AE2*'[3]Underground Breaking Plan'!AE3)/('[3]Underground Breaking Plan'!AE2+AD9)</f>
        <v>2.2284079922655491</v>
      </c>
      <c r="AF10" s="590">
        <f>(AE9*AE10+'[3]Underground Breaking Plan'!AF2*'[3]Underground Breaking Plan'!AF3)/('[3]Underground Breaking Plan'!AF2+AE9)</f>
        <v>2.2284079922655491</v>
      </c>
      <c r="AG10" s="590">
        <f>(AF9*AF10+'[3]Underground Breaking Plan'!AG2*'[3]Underground Breaking Plan'!AG3)/('[3]Underground Breaking Plan'!AG2+AF9)</f>
        <v>2.2284079922655491</v>
      </c>
      <c r="AH10" s="590">
        <f>IFERROR((AG9*AG10+'[3]Underground Breaking Plan'!AH2*'[3]Underground Breaking Plan'!AH3)/('[3]Underground Breaking Plan'!AH2+AG9),0)</f>
        <v>2.2284079922655491</v>
      </c>
    </row>
    <row r="11" spans="1:34" ht="15" thickTop="1">
      <c r="N11"/>
      <c r="O11"/>
      <c r="U11" s="204"/>
      <c r="V11" s="204"/>
      <c r="W11" s="204"/>
      <c r="X11" s="204"/>
    </row>
    <row r="12" spans="1:34">
      <c r="N12"/>
      <c r="O12"/>
      <c r="U12" s="204"/>
      <c r="V12" s="204"/>
      <c r="W12" s="204"/>
      <c r="X12" s="204"/>
    </row>
    <row r="13" spans="1:34">
      <c r="A13" s="3159" t="s">
        <v>1744</v>
      </c>
      <c r="B13" s="4" t="s">
        <v>1640</v>
      </c>
      <c r="C13" s="562">
        <f>SUM(D13:AH13)</f>
        <v>27195</v>
      </c>
      <c r="D13" s="5">
        <f>+'[3]Underground Breaking Plan'!D2</f>
        <v>910</v>
      </c>
      <c r="E13" s="5">
        <f>+'[3]Underground Breaking Plan'!E2</f>
        <v>910</v>
      </c>
      <c r="F13" s="5">
        <f>+'[3]Underground Breaking Plan'!F2</f>
        <v>910</v>
      </c>
      <c r="G13" s="5">
        <f>+'[3]Underground Breaking Plan'!G2</f>
        <v>910</v>
      </c>
      <c r="H13" s="5">
        <f>+'[3]Underground Breaking Plan'!H2</f>
        <v>910</v>
      </c>
      <c r="I13" s="5">
        <f>+'[3]Underground Breaking Plan'!I2</f>
        <v>910</v>
      </c>
      <c r="J13" s="5">
        <f>+'[3]Underground Breaking Plan'!J2</f>
        <v>910</v>
      </c>
      <c r="K13" s="5">
        <f>+'[3]Underground Breaking Plan'!K2</f>
        <v>910</v>
      </c>
      <c r="L13" s="5">
        <f>+'[3]Underground Breaking Plan'!L2</f>
        <v>910</v>
      </c>
      <c r="M13" s="5">
        <f>+'[3]Underground Breaking Plan'!M2</f>
        <v>910</v>
      </c>
      <c r="N13" s="2290">
        <f>+'[3]Underground Breaking Plan'!N2</f>
        <v>0</v>
      </c>
      <c r="O13" s="2290">
        <f>+'[3]Underground Breaking Plan'!O2</f>
        <v>0</v>
      </c>
      <c r="P13" s="5">
        <f>+'[3]Underground Breaking Plan'!P2</f>
        <v>910</v>
      </c>
      <c r="Q13" s="5">
        <f>+'[3]Underground Breaking Plan'!Q2</f>
        <v>910</v>
      </c>
      <c r="R13" s="5">
        <f>+'[3]Underground Breaking Plan'!R2</f>
        <v>875</v>
      </c>
      <c r="S13" s="5">
        <f>+'[3]Underground Breaking Plan'!S2</f>
        <v>875</v>
      </c>
      <c r="T13" s="5">
        <f>+'[3]Underground Breaking Plan'!T2</f>
        <v>875</v>
      </c>
      <c r="U13" s="5">
        <f>+'[3]Underground Breaking Plan'!U2</f>
        <v>875</v>
      </c>
      <c r="V13" s="5">
        <f>+'[3]Underground Breaking Plan'!V2</f>
        <v>875</v>
      </c>
      <c r="W13" s="5">
        <f>+'[3]Underground Breaking Plan'!W2</f>
        <v>875</v>
      </c>
      <c r="X13" s="5">
        <f>+'[3]Underground Breaking Plan'!X2</f>
        <v>875</v>
      </c>
      <c r="Y13" s="5">
        <f>+'[3]Underground Breaking Plan'!Y2</f>
        <v>1015</v>
      </c>
      <c r="Z13" s="5">
        <f>+'[3]Underground Breaking Plan'!Z2</f>
        <v>1015</v>
      </c>
      <c r="AA13" s="5">
        <f>+'[3]Underground Breaking Plan'!AA2</f>
        <v>1015</v>
      </c>
      <c r="AB13" s="5">
        <f>+'[3]Underground Breaking Plan'!AB2</f>
        <v>1015</v>
      </c>
      <c r="AC13" s="5">
        <f>+'[3]Underground Breaking Plan'!AC2</f>
        <v>1015</v>
      </c>
      <c r="AD13" s="5">
        <f>+'[3]Underground Breaking Plan'!AD2</f>
        <v>1015</v>
      </c>
      <c r="AE13" s="5">
        <f>+'[3]Underground Breaking Plan'!AE2</f>
        <v>1015</v>
      </c>
      <c r="AF13" s="5">
        <f>+'[3]Underground Breaking Plan'!AF2</f>
        <v>1015</v>
      </c>
      <c r="AG13" s="5">
        <f>+'[3]Underground Breaking Plan'!AG2</f>
        <v>1015</v>
      </c>
      <c r="AH13" s="5">
        <f>+'[3]Underground Breaking Plan'!AH2</f>
        <v>1015</v>
      </c>
    </row>
    <row r="14" spans="1:34" ht="15" thickBot="1">
      <c r="A14" s="3160"/>
      <c r="B14" s="6" t="s">
        <v>1641</v>
      </c>
      <c r="C14" s="563">
        <f>SUMPRODUCT(D13:AH13,D14:AH14)/C13</f>
        <v>2.2483762133294838</v>
      </c>
      <c r="D14" s="7">
        <f>+'[3]Underground Breaking Plan'!D3</f>
        <v>2.2563803019410491</v>
      </c>
      <c r="E14" s="7">
        <f>+'[3]Underground Breaking Plan'!E3</f>
        <v>2.2563803019410491</v>
      </c>
      <c r="F14" s="7">
        <f>+'[3]Underground Breaking Plan'!F3</f>
        <v>2.2563803019410491</v>
      </c>
      <c r="G14" s="7">
        <f>+'[3]Underground Breaking Plan'!G3</f>
        <v>2.2563803019410491</v>
      </c>
      <c r="H14" s="7">
        <f>+'[3]Underground Breaking Plan'!H3</f>
        <v>2.2563803019410491</v>
      </c>
      <c r="I14" s="7">
        <f>+'[3]Underground Breaking Plan'!I3</f>
        <v>2.2563803019410491</v>
      </c>
      <c r="J14" s="7">
        <f>+'[3]Underground Breaking Plan'!J3</f>
        <v>2.2563803019410491</v>
      </c>
      <c r="K14" s="7">
        <f>+'[3]Underground Breaking Plan'!K3</f>
        <v>2.2563803019410491</v>
      </c>
      <c r="L14" s="7">
        <f>+'[3]Underground Breaking Plan'!L3</f>
        <v>2.2563803019410491</v>
      </c>
      <c r="M14" s="7">
        <f>+'[3]Underground Breaking Plan'!M3</f>
        <v>2.2563803019410491</v>
      </c>
      <c r="N14" s="2291">
        <f>+'[3]Underground Breaking Plan'!N3</f>
        <v>0</v>
      </c>
      <c r="O14" s="2291">
        <f>+'[3]Underground Breaking Plan'!O3</f>
        <v>0</v>
      </c>
      <c r="P14" s="7">
        <f>+'[3]Underground Breaking Plan'!P3</f>
        <v>2.2563803019410491</v>
      </c>
      <c r="Q14" s="7">
        <f>+'[3]Underground Breaking Plan'!Q3</f>
        <v>2.2563803019410491</v>
      </c>
      <c r="R14" s="7">
        <f>+'[3]Underground Breaking Plan'!R3</f>
        <v>2.2671962616822428</v>
      </c>
      <c r="S14" s="7">
        <f>+'[3]Underground Breaking Plan'!S3</f>
        <v>2.2671962616822428</v>
      </c>
      <c r="T14" s="7">
        <f>+'[3]Underground Breaking Plan'!T3</f>
        <v>2.2671962616822428</v>
      </c>
      <c r="U14" s="7">
        <f>+'[3]Underground Breaking Plan'!U3</f>
        <v>2.2671962616822428</v>
      </c>
      <c r="V14" s="7">
        <f>+'[3]Underground Breaking Plan'!V3</f>
        <v>2.2671962616822428</v>
      </c>
      <c r="W14" s="7">
        <f>+'[3]Underground Breaking Plan'!W3</f>
        <v>2.2671962616822428</v>
      </c>
      <c r="X14" s="7">
        <f>+'[3]Underground Breaking Plan'!X3</f>
        <v>2.2671962616822428</v>
      </c>
      <c r="Y14" s="7">
        <f>+'[3]Underground Breaking Plan'!Y3</f>
        <v>2.2284079922655491</v>
      </c>
      <c r="Z14" s="7">
        <f>+'[3]Underground Breaking Plan'!Z3</f>
        <v>2.2284079922655491</v>
      </c>
      <c r="AA14" s="7">
        <f>+'[3]Underground Breaking Plan'!AA3</f>
        <v>2.2284079922655491</v>
      </c>
      <c r="AB14" s="7">
        <f>+'[3]Underground Breaking Plan'!AB3</f>
        <v>2.2284079922655491</v>
      </c>
      <c r="AC14" s="7">
        <f>+'[3]Underground Breaking Plan'!AC3</f>
        <v>2.2284079922655491</v>
      </c>
      <c r="AD14" s="7">
        <f>+'[3]Underground Breaking Plan'!AD3</f>
        <v>2.2284079922655491</v>
      </c>
      <c r="AE14" s="7">
        <f>+'[3]Underground Breaking Plan'!AE3</f>
        <v>2.2284079922655491</v>
      </c>
      <c r="AF14" s="7">
        <f>+'[3]Underground Breaking Plan'!AF3</f>
        <v>2.2284079922655491</v>
      </c>
      <c r="AG14" s="7">
        <f>+'[3]Underground Breaking Plan'!AG3</f>
        <v>2.2284079922655491</v>
      </c>
      <c r="AH14" s="7">
        <f>+'[3]Underground Breaking Plan'!AH3</f>
        <v>2.2284079922655491</v>
      </c>
    </row>
    <row r="15" spans="1:34" ht="15" thickTop="1">
      <c r="L15" s="204"/>
      <c r="M15" s="204"/>
      <c r="N15" s="204"/>
      <c r="O15" s="204"/>
      <c r="U15" s="204"/>
      <c r="V15" s="204"/>
      <c r="W15" s="204"/>
      <c r="X15" s="204"/>
    </row>
    <row r="16" spans="1:34" s="204" customFormat="1">
      <c r="A16" s="591"/>
      <c r="B16" s="592"/>
      <c r="C16" s="593"/>
      <c r="D16" s="594"/>
      <c r="E16" s="594"/>
      <c r="F16" s="594"/>
      <c r="G16" s="594"/>
      <c r="H16" s="594"/>
      <c r="I16" s="594"/>
      <c r="J16" s="594"/>
      <c r="K16" s="594"/>
      <c r="L16" s="594"/>
      <c r="M16" s="594"/>
      <c r="N16" s="594"/>
      <c r="O16" s="594"/>
      <c r="P16" s="594"/>
      <c r="Q16" s="594"/>
      <c r="R16" s="594"/>
      <c r="S16" s="594"/>
      <c r="T16" s="594"/>
      <c r="U16" s="594"/>
      <c r="V16" s="594"/>
      <c r="W16" s="594"/>
      <c r="X16" s="594"/>
      <c r="Y16" s="594"/>
      <c r="Z16" s="594"/>
      <c r="AA16" s="594"/>
      <c r="AB16" s="594"/>
      <c r="AC16" s="594"/>
      <c r="AD16" s="594"/>
      <c r="AE16" s="594"/>
      <c r="AF16" s="594"/>
      <c r="AG16" s="594"/>
      <c r="AH16" s="594"/>
    </row>
    <row r="17" spans="1:34">
      <c r="A17" s="3163" t="s">
        <v>1745</v>
      </c>
      <c r="B17" s="4" t="s">
        <v>1640</v>
      </c>
      <c r="C17" s="562">
        <f>SUM(D17:AH17)</f>
        <v>10955</v>
      </c>
      <c r="D17" s="5">
        <f>'[3]Underground Breaking Plan'!D6+'[3]Underground Breaking Plan'!D169</f>
        <v>350</v>
      </c>
      <c r="E17" s="5">
        <f>'[3]Underground Breaking Plan'!E6+'[3]Underground Breaking Plan'!E169</f>
        <v>350</v>
      </c>
      <c r="F17" s="5">
        <f>'[3]Underground Breaking Plan'!F6+'[3]Underground Breaking Plan'!F169</f>
        <v>350</v>
      </c>
      <c r="G17" s="5">
        <f>'[3]Underground Breaking Plan'!G6+'[3]Underground Breaking Plan'!G169</f>
        <v>350</v>
      </c>
      <c r="H17" s="5">
        <f>'[3]Underground Breaking Plan'!H6+'[3]Underground Breaking Plan'!H169</f>
        <v>350</v>
      </c>
      <c r="I17" s="5">
        <f>'[3]Underground Breaking Plan'!I6+'[3]Underground Breaking Plan'!I169</f>
        <v>350</v>
      </c>
      <c r="J17" s="5">
        <f>'[3]Underground Breaking Plan'!J6+'[3]Underground Breaking Plan'!J169</f>
        <v>350</v>
      </c>
      <c r="K17" s="5">
        <f>'[3]Underground Breaking Plan'!K6+'[3]Underground Breaking Plan'!K169</f>
        <v>350</v>
      </c>
      <c r="L17" s="5">
        <f>'[3]Underground Breaking Plan'!L6+'[3]Underground Breaking Plan'!L169</f>
        <v>350</v>
      </c>
      <c r="M17" s="5">
        <f>'[3]Underground Breaking Plan'!M6+'[3]Underground Breaking Plan'!M169</f>
        <v>350</v>
      </c>
      <c r="N17" s="2290">
        <f>'[3]Underground Breaking Plan'!N6+'[3]Underground Breaking Plan'!N169</f>
        <v>0</v>
      </c>
      <c r="O17" s="2290">
        <f>'[3]Underground Breaking Plan'!O6+'[3]Underground Breaking Plan'!O169</f>
        <v>0</v>
      </c>
      <c r="P17" s="5">
        <f>'[3]Underground Breaking Plan'!P6+'[3]Underground Breaking Plan'!P169</f>
        <v>350</v>
      </c>
      <c r="Q17" s="5">
        <f>'[3]Underground Breaking Plan'!Q6+'[3]Underground Breaking Plan'!Q169</f>
        <v>350</v>
      </c>
      <c r="R17" s="5">
        <f>'[3]Underground Breaking Plan'!R6+'[3]Underground Breaking Plan'!R169</f>
        <v>315</v>
      </c>
      <c r="S17" s="5">
        <f>'[3]Underground Breaking Plan'!S6+'[3]Underground Breaking Plan'!S169</f>
        <v>315</v>
      </c>
      <c r="T17" s="5">
        <f>'[3]Underground Breaking Plan'!T6+'[3]Underground Breaking Plan'!T169</f>
        <v>315</v>
      </c>
      <c r="U17" s="5">
        <f>'[3]Underground Breaking Plan'!U6+'[3]Underground Breaking Plan'!U169</f>
        <v>315</v>
      </c>
      <c r="V17" s="5">
        <f>'[3]Underground Breaking Plan'!V6+'[3]Underground Breaking Plan'!V169</f>
        <v>315</v>
      </c>
      <c r="W17" s="5">
        <f>'[3]Underground Breaking Plan'!W6+'[3]Underground Breaking Plan'!W169</f>
        <v>315</v>
      </c>
      <c r="X17" s="5">
        <f>'[3]Underground Breaking Plan'!X6+'[3]Underground Breaking Plan'!X169</f>
        <v>315</v>
      </c>
      <c r="Y17" s="5">
        <f>'[3]Underground Breaking Plan'!Y6+'[3]Underground Breaking Plan'!Y169</f>
        <v>455</v>
      </c>
      <c r="Z17" s="5">
        <f>'[3]Underground Breaking Plan'!Z6+'[3]Underground Breaking Plan'!Z169</f>
        <v>455</v>
      </c>
      <c r="AA17" s="5">
        <f>'[3]Underground Breaking Plan'!AA6+'[3]Underground Breaking Plan'!AA169</f>
        <v>455</v>
      </c>
      <c r="AB17" s="5">
        <f>'[3]Underground Breaking Plan'!AB6+'[3]Underground Breaking Plan'!AB169</f>
        <v>455</v>
      </c>
      <c r="AC17" s="5">
        <f>'[3]Underground Breaking Plan'!AC6+'[3]Underground Breaking Plan'!AC169</f>
        <v>455</v>
      </c>
      <c r="AD17" s="5">
        <f>'[3]Underground Breaking Plan'!AD6+'[3]Underground Breaking Plan'!AD169</f>
        <v>455</v>
      </c>
      <c r="AE17" s="5">
        <f>'[3]Underground Breaking Plan'!AE6+'[3]Underground Breaking Plan'!AE169</f>
        <v>455</v>
      </c>
      <c r="AF17" s="5">
        <f>'[3]Underground Breaking Plan'!AF6+'[3]Underground Breaking Plan'!AF169</f>
        <v>455</v>
      </c>
      <c r="AG17" s="5">
        <f>'[3]Underground Breaking Plan'!AG6+'[3]Underground Breaking Plan'!AG169</f>
        <v>455</v>
      </c>
      <c r="AH17" s="5">
        <f>'[3]Underground Breaking Plan'!AH6+'[3]Underground Breaking Plan'!AH169</f>
        <v>455</v>
      </c>
    </row>
    <row r="18" spans="1:34" ht="15" thickBot="1">
      <c r="A18" s="3164"/>
      <c r="B18" s="6" t="s">
        <v>1641</v>
      </c>
      <c r="C18" s="563">
        <f>SUMPRODUCT(D17:AH17,D18:AH18)/C17</f>
        <v>1.8902988862679522</v>
      </c>
      <c r="D18" s="7">
        <f>IFERROR(('[3]Underground Breaking Plan'!D7*'[3]Underground Breaking Plan'!D6+'[3]Underground Breaking Plan'!D169*'[3]Underground Breaking Plan'!D170)/D17,0)</f>
        <v>1.8827102803738314</v>
      </c>
      <c r="E18" s="7">
        <f>('[3]Underground Breaking Plan'!E7*'[3]Underground Breaking Plan'!E6+'[3]Underground Breaking Plan'!E169*'[3]Underground Breaking Plan'!E170)/E17</f>
        <v>1.8827102803738314</v>
      </c>
      <c r="F18" s="7">
        <f>('[3]Underground Breaking Plan'!F7*'[3]Underground Breaking Plan'!F6+'[3]Underground Breaking Plan'!F169*'[3]Underground Breaking Plan'!F170)/F17</f>
        <v>1.8827102803738314</v>
      </c>
      <c r="G18" s="7">
        <f>('[3]Underground Breaking Plan'!G7*'[3]Underground Breaking Plan'!G6+'[3]Underground Breaking Plan'!G169*'[3]Underground Breaking Plan'!G170)/G17</f>
        <v>1.8827102803738314</v>
      </c>
      <c r="H18" s="7">
        <f>('[3]Underground Breaking Plan'!H7*'[3]Underground Breaking Plan'!H6+'[3]Underground Breaking Plan'!H169*'[3]Underground Breaking Plan'!H170)/H17</f>
        <v>1.8827102803738314</v>
      </c>
      <c r="I18" s="7">
        <f>('[3]Underground Breaking Plan'!I7*'[3]Underground Breaking Plan'!I6+'[3]Underground Breaking Plan'!I169*'[3]Underground Breaking Plan'!I170)/I17</f>
        <v>1.8827102803738314</v>
      </c>
      <c r="J18" s="7">
        <f>('[3]Underground Breaking Plan'!J7*'[3]Underground Breaking Plan'!J6+'[3]Underground Breaking Plan'!J169*'[3]Underground Breaking Plan'!J170)/J17</f>
        <v>1.8827102803738314</v>
      </c>
      <c r="K18" s="7">
        <f>('[3]Underground Breaking Plan'!K7*'[3]Underground Breaking Plan'!K6+'[3]Underground Breaking Plan'!K169*'[3]Underground Breaking Plan'!K170)/K17</f>
        <v>1.8827102803738314</v>
      </c>
      <c r="L18" s="7">
        <f>('[3]Underground Breaking Plan'!L7*'[3]Underground Breaking Plan'!L6+'[3]Underground Breaking Plan'!L169*'[3]Underground Breaking Plan'!L170)/L17</f>
        <v>1.8827102803738314</v>
      </c>
      <c r="M18" s="7">
        <f>('[3]Underground Breaking Plan'!M7*'[3]Underground Breaking Plan'!M6+'[3]Underground Breaking Plan'!M169*'[3]Underground Breaking Plan'!M170)/M17</f>
        <v>1.8827102803738314</v>
      </c>
      <c r="N18" s="2291">
        <f>IFERROR(('[3]Underground Breaking Plan'!N7*'[3]Underground Breaking Plan'!N6+'[3]Underground Breaking Plan'!N169*'[3]Underground Breaking Plan'!N170)/N17,0)</f>
        <v>0</v>
      </c>
      <c r="O18" s="2291">
        <f>IFERROR(('[3]Underground Breaking Plan'!O7*'[3]Underground Breaking Plan'!O6+'[3]Underground Breaking Plan'!O169*'[3]Underground Breaking Plan'!O170)/O17,0)</f>
        <v>0</v>
      </c>
      <c r="P18" s="7">
        <f>('[3]Underground Breaking Plan'!P7*'[3]Underground Breaking Plan'!P6+'[3]Underground Breaking Plan'!P169*'[3]Underground Breaking Plan'!P170)/P17</f>
        <v>1.8827102803738314</v>
      </c>
      <c r="Q18" s="7">
        <f>('[3]Underground Breaking Plan'!Q7*'[3]Underground Breaking Plan'!Q6+'[3]Underground Breaking Plan'!Q169*'[3]Underground Breaking Plan'!Q170)/Q17</f>
        <v>1.8827102803738314</v>
      </c>
      <c r="R18" s="7">
        <f>('[3]Underground Breaking Plan'!R7*'[3]Underground Breaking Plan'!R6+'[3]Underground Breaking Plan'!R169*'[3]Underground Breaking Plan'!R170)/R17</f>
        <v>1.8712357217030113</v>
      </c>
      <c r="S18" s="7">
        <f>('[3]Underground Breaking Plan'!S7*'[3]Underground Breaking Plan'!S6+'[3]Underground Breaking Plan'!S169*'[3]Underground Breaking Plan'!S170)/S17</f>
        <v>1.8712357217030113</v>
      </c>
      <c r="T18" s="7">
        <f>('[3]Underground Breaking Plan'!T7*'[3]Underground Breaking Plan'!T6+'[3]Underground Breaking Plan'!T169*'[3]Underground Breaking Plan'!T170)/T17</f>
        <v>1.8712357217030113</v>
      </c>
      <c r="U18" s="7">
        <f>('[3]Underground Breaking Plan'!U7*'[3]Underground Breaking Plan'!U6+'[3]Underground Breaking Plan'!U169*'[3]Underground Breaking Plan'!U170)/U17</f>
        <v>1.8712357217030113</v>
      </c>
      <c r="V18" s="7">
        <f>('[3]Underground Breaking Plan'!V7*'[3]Underground Breaking Plan'!V6+'[3]Underground Breaking Plan'!V169*'[3]Underground Breaking Plan'!V170)/V17</f>
        <v>1.8712357217030113</v>
      </c>
      <c r="W18" s="7">
        <f>IFERROR(('[3]Underground Breaking Plan'!W7*'[3]Underground Breaking Plan'!W6+'[3]Underground Breaking Plan'!W169*'[3]Underground Breaking Plan'!W170)/W17,0)</f>
        <v>1.8712357217030113</v>
      </c>
      <c r="X18" s="7">
        <f>IFERROR(('[3]Underground Breaking Plan'!X7*'[3]Underground Breaking Plan'!X6+'[3]Underground Breaking Plan'!X169*'[3]Underground Breaking Plan'!X170)/X17,0)</f>
        <v>1.8712357217030113</v>
      </c>
      <c r="Y18" s="7">
        <f>('[3]Underground Breaking Plan'!Y7*'[3]Underground Breaking Plan'!Y6+'[3]Underground Breaking Plan'!Y169*'[3]Underground Breaking Plan'!Y170)/Y17</f>
        <v>1.9065420560747663</v>
      </c>
      <c r="Z18" s="7">
        <f>('[3]Underground Breaking Plan'!Z7*'[3]Underground Breaking Plan'!Z6+'[3]Underground Breaking Plan'!Z169*'[3]Underground Breaking Plan'!Z170)/Z17</f>
        <v>1.9065420560747663</v>
      </c>
      <c r="AA18" s="7">
        <f>('[3]Underground Breaking Plan'!AA7*'[3]Underground Breaking Plan'!AA6+'[3]Underground Breaking Plan'!AA169*'[3]Underground Breaking Plan'!AA170)/AA17</f>
        <v>1.9065420560747663</v>
      </c>
      <c r="AB18" s="7">
        <f>IFERROR(('[3]Underground Breaking Plan'!AB7*'[3]Underground Breaking Plan'!AB6+'[3]Underground Breaking Plan'!AB169*'[3]Underground Breaking Plan'!AB170)/AB17,0)</f>
        <v>1.9065420560747663</v>
      </c>
      <c r="AC18" s="7">
        <f>IFERROR(('[3]Underground Breaking Plan'!AC7*'[3]Underground Breaking Plan'!AC6+'[3]Underground Breaking Plan'!AC169*'[3]Underground Breaking Plan'!AC170)/AC17,0)</f>
        <v>1.9065420560747663</v>
      </c>
      <c r="AD18" s="7">
        <f>('[3]Underground Breaking Plan'!AD7*'[3]Underground Breaking Plan'!AD6+'[3]Underground Breaking Plan'!AD169*'[3]Underground Breaking Plan'!AD170)/AD17</f>
        <v>1.9065420560747663</v>
      </c>
      <c r="AE18" s="7">
        <f>('[3]Underground Breaking Plan'!AE7*'[3]Underground Breaking Plan'!AE6+'[3]Underground Breaking Plan'!AE169*'[3]Underground Breaking Plan'!AE170)/AE17</f>
        <v>1.9065420560747663</v>
      </c>
      <c r="AF18" s="7">
        <f>('[3]Underground Breaking Plan'!AF7*'[3]Underground Breaking Plan'!AF6+'[3]Underground Breaking Plan'!AF169*'[3]Underground Breaking Plan'!AF170)/AF17</f>
        <v>1.9065420560747663</v>
      </c>
      <c r="AG18" s="7">
        <f>('[3]Underground Breaking Plan'!AG7*'[3]Underground Breaking Plan'!AG6+'[3]Underground Breaking Plan'!AG169*'[3]Underground Breaking Plan'!AG170)/AG17</f>
        <v>1.9065420560747663</v>
      </c>
      <c r="AH18" s="7">
        <f>IFERROR(('[3]Underground Breaking Plan'!AH7*'[3]Underground Breaking Plan'!AH6+'[3]Underground Breaking Plan'!AH169*'[3]Underground Breaking Plan'!AH170)/AH17,0)</f>
        <v>1.9065420560747663</v>
      </c>
    </row>
    <row r="19" spans="1:34" ht="15" thickTop="1">
      <c r="N19"/>
      <c r="O19"/>
      <c r="U19" s="204"/>
      <c r="V19" s="204"/>
      <c r="W19" s="204"/>
      <c r="X19" s="204"/>
    </row>
    <row r="20" spans="1:34" s="1707" customFormat="1">
      <c r="A20" s="1512" t="s">
        <v>1746</v>
      </c>
      <c r="B20" s="1513"/>
      <c r="C20" s="1514"/>
      <c r="D20" s="1515"/>
      <c r="E20" s="1515"/>
      <c r="F20" s="1515"/>
      <c r="G20" s="1515"/>
      <c r="H20" s="1515"/>
      <c r="I20" s="1515"/>
      <c r="J20" s="1515"/>
      <c r="K20" s="1515"/>
      <c r="L20" s="1515"/>
      <c r="M20" s="1515"/>
      <c r="N20" s="1515"/>
      <c r="O20" s="1515"/>
      <c r="P20" s="1515"/>
      <c r="Q20" s="1515"/>
      <c r="R20" s="1515"/>
      <c r="S20" s="1515"/>
      <c r="T20" s="1515"/>
      <c r="U20" s="1515"/>
      <c r="V20" s="1515"/>
      <c r="W20" s="1515"/>
      <c r="X20" s="1515"/>
      <c r="Y20" s="1515"/>
      <c r="Z20" s="1515"/>
      <c r="AA20" s="1515"/>
      <c r="AB20" s="1515"/>
      <c r="AC20" s="1515"/>
      <c r="AD20" s="1515"/>
      <c r="AE20" s="1515"/>
      <c r="AF20" s="1515"/>
      <c r="AG20" s="1515"/>
      <c r="AH20" s="1515"/>
    </row>
    <row r="21" spans="1:34" s="204" customFormat="1">
      <c r="A21" s="591"/>
      <c r="B21" s="592"/>
      <c r="C21" s="593"/>
      <c r="D21" s="594"/>
      <c r="E21" s="594"/>
      <c r="F21" s="594"/>
      <c r="G21" s="594"/>
      <c r="H21" s="594"/>
      <c r="I21" s="594"/>
      <c r="J21" s="594"/>
      <c r="K21" s="594"/>
      <c r="L21" s="594"/>
      <c r="M21" s="594"/>
      <c r="N21" s="594"/>
      <c r="O21" s="594"/>
      <c r="P21" s="594"/>
      <c r="Q21" s="594"/>
      <c r="R21" s="594"/>
      <c r="S21" s="594"/>
      <c r="T21" s="594"/>
      <c r="U21" s="594"/>
      <c r="V21" s="594"/>
      <c r="W21" s="594"/>
      <c r="X21" s="594"/>
      <c r="Y21" s="594"/>
      <c r="Z21" s="594"/>
      <c r="AA21" s="594"/>
      <c r="AB21" s="594"/>
      <c r="AC21" s="594"/>
      <c r="AD21" s="594"/>
      <c r="AE21" s="594"/>
      <c r="AF21" s="594"/>
      <c r="AG21" s="594"/>
      <c r="AH21" s="594"/>
    </row>
    <row r="22" spans="1:34">
      <c r="C22" s="548" t="s">
        <v>63</v>
      </c>
      <c r="D22" s="3">
        <f>D2</f>
        <v>45870</v>
      </c>
      <c r="E22" s="3">
        <f t="shared" ref="E22:AH22" si="4">E2</f>
        <v>45871</v>
      </c>
      <c r="F22" s="3">
        <f t="shared" si="4"/>
        <v>45872</v>
      </c>
      <c r="G22" s="3">
        <f t="shared" si="4"/>
        <v>45873</v>
      </c>
      <c r="H22" s="3">
        <f t="shared" si="4"/>
        <v>45874</v>
      </c>
      <c r="I22" s="3">
        <f t="shared" si="4"/>
        <v>45875</v>
      </c>
      <c r="J22" s="3">
        <f t="shared" si="4"/>
        <v>45876</v>
      </c>
      <c r="K22" s="3">
        <f t="shared" si="4"/>
        <v>45877</v>
      </c>
      <c r="L22" s="3">
        <f t="shared" si="4"/>
        <v>45878</v>
      </c>
      <c r="M22" s="3">
        <f t="shared" si="4"/>
        <v>45879</v>
      </c>
      <c r="N22" s="2289">
        <f t="shared" si="4"/>
        <v>45880</v>
      </c>
      <c r="O22" s="2289">
        <f t="shared" si="4"/>
        <v>45881</v>
      </c>
      <c r="P22" s="3">
        <f t="shared" si="4"/>
        <v>45882</v>
      </c>
      <c r="Q22" s="3">
        <f t="shared" si="4"/>
        <v>45883</v>
      </c>
      <c r="R22" s="3">
        <f t="shared" si="4"/>
        <v>45884</v>
      </c>
      <c r="S22" s="3">
        <f t="shared" si="4"/>
        <v>45885</v>
      </c>
      <c r="T22" s="3">
        <f t="shared" si="4"/>
        <v>45886</v>
      </c>
      <c r="U22" s="3">
        <f t="shared" si="4"/>
        <v>45887</v>
      </c>
      <c r="V22" s="3">
        <f t="shared" si="4"/>
        <v>45888</v>
      </c>
      <c r="W22" s="3">
        <f t="shared" si="4"/>
        <v>45889</v>
      </c>
      <c r="X22" s="3">
        <f t="shared" si="4"/>
        <v>45890</v>
      </c>
      <c r="Y22" s="3">
        <f t="shared" si="4"/>
        <v>45891</v>
      </c>
      <c r="Z22" s="3">
        <f t="shared" si="4"/>
        <v>45892</v>
      </c>
      <c r="AA22" s="3">
        <f t="shared" si="4"/>
        <v>45893</v>
      </c>
      <c r="AB22" s="3">
        <f t="shared" si="4"/>
        <v>45894</v>
      </c>
      <c r="AC22" s="3">
        <f t="shared" si="4"/>
        <v>45895</v>
      </c>
      <c r="AD22" s="3">
        <f t="shared" si="4"/>
        <v>45896</v>
      </c>
      <c r="AE22" s="3">
        <f t="shared" si="4"/>
        <v>45897</v>
      </c>
      <c r="AF22" s="3">
        <f t="shared" si="4"/>
        <v>45898</v>
      </c>
      <c r="AG22" s="3">
        <f t="shared" si="4"/>
        <v>45899</v>
      </c>
      <c r="AH22" s="3">
        <f t="shared" si="4"/>
        <v>45900</v>
      </c>
    </row>
    <row r="23" spans="1:34">
      <c r="A23" s="1254" t="s">
        <v>1747</v>
      </c>
      <c r="B23" s="1254"/>
      <c r="C23" s="1255">
        <f>SUM(D23:AH23)</f>
        <v>13950</v>
      </c>
      <c r="D23" s="1407">
        <v>390</v>
      </c>
      <c r="E23" s="1254">
        <v>500</v>
      </c>
      <c r="F23" s="1254">
        <v>500</v>
      </c>
      <c r="G23" s="1254">
        <v>500</v>
      </c>
      <c r="H23" s="1254">
        <v>500</v>
      </c>
      <c r="I23" s="1254">
        <v>500</v>
      </c>
      <c r="J23" s="1254">
        <v>500</v>
      </c>
      <c r="K23" s="1407">
        <v>390</v>
      </c>
      <c r="L23" s="1254">
        <v>500</v>
      </c>
      <c r="M23" s="1254">
        <v>500</v>
      </c>
      <c r="N23" s="1702">
        <v>0</v>
      </c>
      <c r="O23" s="1702">
        <v>0</v>
      </c>
      <c r="P23" s="1254">
        <v>500</v>
      </c>
      <c r="Q23" s="1254">
        <v>500</v>
      </c>
      <c r="R23" s="1407">
        <v>390</v>
      </c>
      <c r="S23" s="1254">
        <v>500</v>
      </c>
      <c r="T23" s="1254">
        <v>500</v>
      </c>
      <c r="U23" s="1254">
        <v>500</v>
      </c>
      <c r="V23" s="1407">
        <v>390</v>
      </c>
      <c r="W23" s="1254">
        <v>500</v>
      </c>
      <c r="X23" s="1254">
        <v>500</v>
      </c>
      <c r="Y23" s="1701">
        <v>500</v>
      </c>
      <c r="Z23" s="1254">
        <v>500</v>
      </c>
      <c r="AA23" s="1254">
        <v>500</v>
      </c>
      <c r="AB23" s="1254">
        <v>500</v>
      </c>
      <c r="AC23" s="1254">
        <v>500</v>
      </c>
      <c r="AD23" s="1254">
        <v>500</v>
      </c>
      <c r="AE23" s="1254">
        <v>500</v>
      </c>
      <c r="AF23" s="1407">
        <v>390</v>
      </c>
      <c r="AG23" s="1254">
        <v>500</v>
      </c>
      <c r="AH23" s="1254">
        <v>500</v>
      </c>
    </row>
    <row r="24" spans="1:34">
      <c r="U24" s="204"/>
      <c r="V24" s="204"/>
      <c r="W24" s="204"/>
      <c r="X24" s="204"/>
    </row>
    <row r="25" spans="1:34">
      <c r="A25" s="3159" t="s">
        <v>1748</v>
      </c>
      <c r="B25" s="4" t="s">
        <v>1640</v>
      </c>
      <c r="C25" s="562">
        <f>SUM(D25:AH25)</f>
        <v>13950</v>
      </c>
      <c r="D25" s="5">
        <f>+MIN(D23,D28)</f>
        <v>390</v>
      </c>
      <c r="E25" s="5">
        <f t="shared" ref="E25:AH25" si="5">+MIN(E23,E28)</f>
        <v>500</v>
      </c>
      <c r="F25" s="5">
        <f t="shared" si="5"/>
        <v>500</v>
      </c>
      <c r="G25" s="5">
        <f t="shared" si="5"/>
        <v>500</v>
      </c>
      <c r="H25" s="5">
        <f t="shared" si="5"/>
        <v>500</v>
      </c>
      <c r="I25" s="5">
        <f t="shared" si="5"/>
        <v>500</v>
      </c>
      <c r="J25" s="5">
        <f t="shared" si="5"/>
        <v>500</v>
      </c>
      <c r="K25" s="5">
        <f t="shared" si="5"/>
        <v>390</v>
      </c>
      <c r="L25" s="5">
        <f t="shared" si="5"/>
        <v>500</v>
      </c>
      <c r="M25" s="5">
        <f t="shared" si="5"/>
        <v>500</v>
      </c>
      <c r="N25" s="2290">
        <f t="shared" si="5"/>
        <v>0</v>
      </c>
      <c r="O25" s="2290">
        <f t="shared" si="5"/>
        <v>0</v>
      </c>
      <c r="P25" s="5">
        <f t="shared" si="5"/>
        <v>500</v>
      </c>
      <c r="Q25" s="5">
        <f t="shared" si="5"/>
        <v>500</v>
      </c>
      <c r="R25" s="5">
        <f t="shared" si="5"/>
        <v>390</v>
      </c>
      <c r="S25" s="5">
        <f t="shared" si="5"/>
        <v>500</v>
      </c>
      <c r="T25" s="5">
        <f t="shared" si="5"/>
        <v>500</v>
      </c>
      <c r="U25" s="5">
        <f t="shared" si="5"/>
        <v>500</v>
      </c>
      <c r="V25" s="5">
        <f t="shared" si="5"/>
        <v>390</v>
      </c>
      <c r="W25" s="5">
        <f t="shared" si="5"/>
        <v>500</v>
      </c>
      <c r="X25" s="5">
        <f t="shared" si="5"/>
        <v>500</v>
      </c>
      <c r="Y25" s="5">
        <f t="shared" si="5"/>
        <v>500</v>
      </c>
      <c r="Z25" s="5">
        <f t="shared" si="5"/>
        <v>500</v>
      </c>
      <c r="AA25" s="5">
        <f t="shared" si="5"/>
        <v>500</v>
      </c>
      <c r="AB25" s="5">
        <f t="shared" si="5"/>
        <v>500</v>
      </c>
      <c r="AC25" s="5">
        <f t="shared" si="5"/>
        <v>500</v>
      </c>
      <c r="AD25" s="5">
        <f t="shared" si="5"/>
        <v>500</v>
      </c>
      <c r="AE25" s="5">
        <f t="shared" si="5"/>
        <v>500</v>
      </c>
      <c r="AF25" s="5">
        <f t="shared" si="5"/>
        <v>390</v>
      </c>
      <c r="AG25" s="5">
        <f t="shared" si="5"/>
        <v>500</v>
      </c>
      <c r="AH25" s="5">
        <f t="shared" si="5"/>
        <v>500</v>
      </c>
    </row>
    <row r="26" spans="1:34" ht="15" thickBot="1">
      <c r="A26" s="3160"/>
      <c r="B26" s="6" t="s">
        <v>1641</v>
      </c>
      <c r="C26" s="563">
        <f>SUMPRODUCT(D25:AH25,D26:AH26)/C25</f>
        <v>2.4899240654205617</v>
      </c>
      <c r="D26" s="7">
        <f t="shared" ref="D26:AH26" si="6">+D29</f>
        <v>2.4899240654205603</v>
      </c>
      <c r="E26" s="7">
        <f t="shared" si="6"/>
        <v>2.4899240654205603</v>
      </c>
      <c r="F26" s="7">
        <f t="shared" si="6"/>
        <v>2.4899240654205603</v>
      </c>
      <c r="G26" s="7">
        <f t="shared" si="6"/>
        <v>2.4899240654205603</v>
      </c>
      <c r="H26" s="7">
        <f t="shared" si="6"/>
        <v>2.4899240654205603</v>
      </c>
      <c r="I26" s="7">
        <f t="shared" si="6"/>
        <v>2.4899240654205603</v>
      </c>
      <c r="J26" s="7">
        <f t="shared" si="6"/>
        <v>2.4899240654205603</v>
      </c>
      <c r="K26" s="7">
        <f t="shared" si="6"/>
        <v>2.4899240654205603</v>
      </c>
      <c r="L26" s="7">
        <f t="shared" si="6"/>
        <v>2.4899240654205603</v>
      </c>
      <c r="M26" s="7">
        <f t="shared" si="6"/>
        <v>2.4899240654205603</v>
      </c>
      <c r="N26" s="2291">
        <f t="shared" si="6"/>
        <v>0</v>
      </c>
      <c r="O26" s="2291">
        <f t="shared" si="6"/>
        <v>0</v>
      </c>
      <c r="P26" s="7">
        <f t="shared" si="6"/>
        <v>2.4899240654205603</v>
      </c>
      <c r="Q26" s="7">
        <f t="shared" si="6"/>
        <v>2.4899240654205603</v>
      </c>
      <c r="R26" s="7">
        <f t="shared" si="6"/>
        <v>2.4899240654205603</v>
      </c>
      <c r="S26" s="7">
        <f t="shared" si="6"/>
        <v>2.4899240654205603</v>
      </c>
      <c r="T26" s="7">
        <f t="shared" si="6"/>
        <v>2.4899240654205603</v>
      </c>
      <c r="U26" s="7">
        <f t="shared" si="6"/>
        <v>2.4899240654205603</v>
      </c>
      <c r="V26" s="7">
        <f t="shared" si="6"/>
        <v>2.4899240654205603</v>
      </c>
      <c r="W26" s="7">
        <f t="shared" si="6"/>
        <v>2.4899240654205603</v>
      </c>
      <c r="X26" s="7">
        <f t="shared" si="6"/>
        <v>2.4899240654205603</v>
      </c>
      <c r="Y26" s="7">
        <f t="shared" si="6"/>
        <v>2.4899240654205603</v>
      </c>
      <c r="Z26" s="7">
        <f t="shared" si="6"/>
        <v>2.4899240654205603</v>
      </c>
      <c r="AA26" s="7">
        <f t="shared" si="6"/>
        <v>2.4899240654205603</v>
      </c>
      <c r="AB26" s="7">
        <f t="shared" si="6"/>
        <v>2.4899240654205603</v>
      </c>
      <c r="AC26" s="7">
        <f t="shared" si="6"/>
        <v>2.4899240654205603</v>
      </c>
      <c r="AD26" s="7">
        <f t="shared" si="6"/>
        <v>2.4899240654205603</v>
      </c>
      <c r="AE26" s="7">
        <f t="shared" si="6"/>
        <v>2.4899240654205603</v>
      </c>
      <c r="AF26" s="7">
        <f t="shared" si="6"/>
        <v>2.4899240654205603</v>
      </c>
      <c r="AG26" s="7">
        <f t="shared" si="6"/>
        <v>2.4899240654205603</v>
      </c>
      <c r="AH26" s="7">
        <f t="shared" si="6"/>
        <v>2.4899240654205603</v>
      </c>
    </row>
    <row r="27" spans="1:34" ht="15" thickTop="1">
      <c r="U27" s="204"/>
      <c r="V27" s="204"/>
      <c r="W27" s="204"/>
      <c r="X27" s="204"/>
    </row>
    <row r="28" spans="1:34">
      <c r="A28" s="3163" t="s">
        <v>1749</v>
      </c>
      <c r="B28" s="4" t="s">
        <v>1640</v>
      </c>
      <c r="C28" s="562">
        <f>SUM(D28:AH28)</f>
        <v>16240</v>
      </c>
      <c r="D28" s="5">
        <f>+'[3]Underground Breaking Plan'!D83</f>
        <v>560</v>
      </c>
      <c r="E28" s="5">
        <f>+'[3]Underground Breaking Plan'!E83</f>
        <v>560</v>
      </c>
      <c r="F28" s="5">
        <f>+'[3]Underground Breaking Plan'!F83</f>
        <v>560</v>
      </c>
      <c r="G28" s="5">
        <f>+'[3]Underground Breaking Plan'!G83</f>
        <v>560</v>
      </c>
      <c r="H28" s="5">
        <f>+'[3]Underground Breaking Plan'!H83</f>
        <v>560</v>
      </c>
      <c r="I28" s="5">
        <f>+'[3]Underground Breaking Plan'!I83</f>
        <v>560</v>
      </c>
      <c r="J28" s="5">
        <f>+'[3]Underground Breaking Plan'!J83</f>
        <v>560</v>
      </c>
      <c r="K28" s="5">
        <f>+'[3]Underground Breaking Plan'!K83</f>
        <v>560</v>
      </c>
      <c r="L28" s="5">
        <f>+'[3]Underground Breaking Plan'!L83</f>
        <v>560</v>
      </c>
      <c r="M28" s="5">
        <f>+'[3]Underground Breaking Plan'!M83</f>
        <v>560</v>
      </c>
      <c r="N28" s="2290">
        <f>+'[3]Underground Breaking Plan'!N83</f>
        <v>0</v>
      </c>
      <c r="O28" s="2290">
        <f>+'[3]Underground Breaking Plan'!O83</f>
        <v>0</v>
      </c>
      <c r="P28" s="5">
        <f>+'[3]Underground Breaking Plan'!P83</f>
        <v>560</v>
      </c>
      <c r="Q28" s="5">
        <f>+'[3]Underground Breaking Plan'!Q83</f>
        <v>560</v>
      </c>
      <c r="R28" s="5">
        <f>+'[3]Underground Breaking Plan'!R83</f>
        <v>560</v>
      </c>
      <c r="S28" s="5">
        <f>+'[3]Underground Breaking Plan'!S83</f>
        <v>560</v>
      </c>
      <c r="T28" s="5">
        <f>+'[3]Underground Breaking Plan'!T83</f>
        <v>560</v>
      </c>
      <c r="U28" s="5">
        <f>+'[3]Underground Breaking Plan'!U83</f>
        <v>560</v>
      </c>
      <c r="V28" s="5">
        <f>+'[3]Underground Breaking Plan'!V83</f>
        <v>560</v>
      </c>
      <c r="W28" s="5">
        <f>+'[3]Underground Breaking Plan'!W83</f>
        <v>560</v>
      </c>
      <c r="X28" s="5">
        <f>+'[3]Underground Breaking Plan'!X83</f>
        <v>560</v>
      </c>
      <c r="Y28" s="5">
        <f>+'[3]Underground Breaking Plan'!Y83</f>
        <v>560</v>
      </c>
      <c r="Z28" s="5">
        <f>+'[3]Underground Breaking Plan'!Z83</f>
        <v>560</v>
      </c>
      <c r="AA28" s="5">
        <f>+'[3]Underground Breaking Plan'!AA83</f>
        <v>560</v>
      </c>
      <c r="AB28" s="5">
        <f>+'[3]Underground Breaking Plan'!AB83</f>
        <v>560</v>
      </c>
      <c r="AC28" s="5">
        <f>+'[3]Underground Breaking Plan'!AC83</f>
        <v>560</v>
      </c>
      <c r="AD28" s="5">
        <f>+'[3]Underground Breaking Plan'!AD83</f>
        <v>560</v>
      </c>
      <c r="AE28" s="5">
        <f>+'[3]Underground Breaking Plan'!AE83</f>
        <v>560</v>
      </c>
      <c r="AF28" s="5">
        <f>+'[3]Underground Breaking Plan'!AF83</f>
        <v>560</v>
      </c>
      <c r="AG28" s="5">
        <f>+'[3]Underground Breaking Plan'!AG83</f>
        <v>560</v>
      </c>
      <c r="AH28" s="5">
        <f>+'[3]Underground Breaking Plan'!AH83</f>
        <v>560</v>
      </c>
    </row>
    <row r="29" spans="1:34" ht="15" thickBot="1">
      <c r="A29" s="3164"/>
      <c r="B29" s="6" t="s">
        <v>1641</v>
      </c>
      <c r="C29" s="563">
        <f>SUMPRODUCT(D28:AH28,D29:AH29)/C28</f>
        <v>2.4899240654205603</v>
      </c>
      <c r="D29" s="7">
        <f>+'[3]Underground Breaking Plan'!D84</f>
        <v>2.4899240654205603</v>
      </c>
      <c r="E29" s="7">
        <f>+'[3]Underground Breaking Plan'!E84</f>
        <v>2.4899240654205603</v>
      </c>
      <c r="F29" s="7">
        <f>+'[3]Underground Breaking Plan'!F84</f>
        <v>2.4899240654205603</v>
      </c>
      <c r="G29" s="7">
        <f>+'[3]Underground Breaking Plan'!G84</f>
        <v>2.4899240654205603</v>
      </c>
      <c r="H29" s="7">
        <f>+'[3]Underground Breaking Plan'!H84</f>
        <v>2.4899240654205603</v>
      </c>
      <c r="I29" s="7">
        <f>+'[3]Underground Breaking Plan'!I84</f>
        <v>2.4899240654205603</v>
      </c>
      <c r="J29" s="7">
        <f>+'[3]Underground Breaking Plan'!J84</f>
        <v>2.4899240654205603</v>
      </c>
      <c r="K29" s="7">
        <f>+'[3]Underground Breaking Plan'!K84</f>
        <v>2.4899240654205603</v>
      </c>
      <c r="L29" s="7">
        <f>+'[3]Underground Breaking Plan'!L84</f>
        <v>2.4899240654205603</v>
      </c>
      <c r="M29" s="7">
        <f>+'[3]Underground Breaking Plan'!M84</f>
        <v>2.4899240654205603</v>
      </c>
      <c r="N29" s="2291">
        <f>+'[3]Underground Breaking Plan'!N84</f>
        <v>0</v>
      </c>
      <c r="O29" s="2291">
        <f>+'[3]Underground Breaking Plan'!O84</f>
        <v>0</v>
      </c>
      <c r="P29" s="7">
        <f>+'[3]Underground Breaking Plan'!P84</f>
        <v>2.4899240654205603</v>
      </c>
      <c r="Q29" s="7">
        <f>+'[3]Underground Breaking Plan'!Q84</f>
        <v>2.4899240654205603</v>
      </c>
      <c r="R29" s="7">
        <f>+'[3]Underground Breaking Plan'!R84</f>
        <v>2.4899240654205603</v>
      </c>
      <c r="S29" s="7">
        <f>+'[3]Underground Breaking Plan'!S84</f>
        <v>2.4899240654205603</v>
      </c>
      <c r="T29" s="7">
        <f>+'[3]Underground Breaking Plan'!T84</f>
        <v>2.4899240654205603</v>
      </c>
      <c r="U29" s="7">
        <f>+'[3]Underground Breaking Plan'!U84</f>
        <v>2.4899240654205603</v>
      </c>
      <c r="V29" s="7">
        <f>+'[3]Underground Breaking Plan'!V84</f>
        <v>2.4899240654205603</v>
      </c>
      <c r="W29" s="7">
        <f>+'[3]Underground Breaking Plan'!W84</f>
        <v>2.4899240654205603</v>
      </c>
      <c r="X29" s="7">
        <f>+'[3]Underground Breaking Plan'!X84</f>
        <v>2.4899240654205603</v>
      </c>
      <c r="Y29" s="7">
        <f>+'[3]Underground Breaking Plan'!Y84</f>
        <v>2.4899240654205603</v>
      </c>
      <c r="Z29" s="7">
        <f>+'[3]Underground Breaking Plan'!Z84</f>
        <v>2.4899240654205603</v>
      </c>
      <c r="AA29" s="7">
        <f>+'[3]Underground Breaking Plan'!AA84</f>
        <v>2.4899240654205603</v>
      </c>
      <c r="AB29" s="7">
        <f>+'[3]Underground Breaking Plan'!AB84</f>
        <v>2.4899240654205603</v>
      </c>
      <c r="AC29" s="7">
        <f>+'[3]Underground Breaking Plan'!AC84</f>
        <v>2.4899240654205603</v>
      </c>
      <c r="AD29" s="7">
        <f>+'[3]Underground Breaking Plan'!AD84</f>
        <v>2.4899240654205603</v>
      </c>
      <c r="AE29" s="7">
        <f>+'[3]Underground Breaking Plan'!AE84</f>
        <v>2.4899240654205603</v>
      </c>
      <c r="AF29" s="7">
        <f>+'[3]Underground Breaking Plan'!AF84</f>
        <v>2.4899240654205603</v>
      </c>
      <c r="AG29" s="7">
        <f>+'[3]Underground Breaking Plan'!AG84</f>
        <v>2.4899240654205603</v>
      </c>
      <c r="AH29" s="7">
        <f>+'[3]Underground Breaking Plan'!AH84</f>
        <v>2.4899240654205603</v>
      </c>
    </row>
    <row r="30" spans="1:34" ht="15" thickTop="1">
      <c r="N30" s="204"/>
      <c r="O30" s="204"/>
    </row>
    <row r="31" spans="1:34">
      <c r="N31" s="204"/>
      <c r="O31" s="204"/>
    </row>
    <row r="32" spans="1:34">
      <c r="N32" s="204"/>
      <c r="O32" s="204"/>
    </row>
    <row r="33" spans="14:15">
      <c r="N33" s="204"/>
      <c r="O33" s="204"/>
    </row>
    <row r="34" spans="14:15">
      <c r="N34" s="204"/>
      <c r="O34" s="204"/>
    </row>
    <row r="35" spans="14:15">
      <c r="N35" s="204"/>
      <c r="O35" s="204"/>
    </row>
    <row r="36" spans="14:15">
      <c r="N36" s="204"/>
      <c r="O36" s="204"/>
    </row>
    <row r="37" spans="14:15">
      <c r="N37" s="204"/>
      <c r="O37" s="204"/>
    </row>
    <row r="38" spans="14:15">
      <c r="N38" s="204"/>
      <c r="O38" s="204"/>
    </row>
    <row r="39" spans="14:15">
      <c r="N39" s="204"/>
      <c r="O39" s="204"/>
    </row>
    <row r="40" spans="14:15">
      <c r="N40" s="204"/>
      <c r="O40" s="204"/>
    </row>
    <row r="41" spans="14:15">
      <c r="N41" s="204"/>
      <c r="O41" s="204"/>
    </row>
    <row r="42" spans="14:15">
      <c r="N42" s="204"/>
      <c r="O42" s="204"/>
    </row>
    <row r="43" spans="14:15">
      <c r="N43" s="204"/>
      <c r="O43" s="204"/>
    </row>
    <row r="44" spans="14:15">
      <c r="N44" s="204"/>
      <c r="O44" s="204"/>
    </row>
    <row r="45" spans="14:15">
      <c r="N45" s="204"/>
      <c r="O45" s="204"/>
    </row>
    <row r="46" spans="14:15">
      <c r="N46" s="204"/>
      <c r="O46" s="204"/>
    </row>
    <row r="47" spans="14:15">
      <c r="N47" s="204"/>
      <c r="O47" s="204"/>
    </row>
    <row r="48" spans="14:15">
      <c r="N48" s="204"/>
      <c r="O48" s="204"/>
    </row>
    <row r="49" spans="14:15">
      <c r="N49" s="204"/>
      <c r="O49" s="204"/>
    </row>
    <row r="50" spans="14:15">
      <c r="N50" s="204"/>
      <c r="O50" s="204"/>
    </row>
    <row r="51" spans="14:15">
      <c r="N51" s="204"/>
      <c r="O51" s="204"/>
    </row>
    <row r="52" spans="14:15">
      <c r="N52" s="204"/>
      <c r="O52" s="204"/>
    </row>
    <row r="53" spans="14:15">
      <c r="N53" s="204"/>
      <c r="O53" s="204"/>
    </row>
    <row r="54" spans="14:15">
      <c r="N54" s="204"/>
      <c r="O54" s="204"/>
    </row>
    <row r="55" spans="14:15">
      <c r="N55" s="204"/>
      <c r="O55" s="204"/>
    </row>
    <row r="56" spans="14:15">
      <c r="N56" s="204"/>
      <c r="O56" s="204"/>
    </row>
    <row r="57" spans="14:15">
      <c r="N57" s="204"/>
      <c r="O57" s="204"/>
    </row>
    <row r="58" spans="14:15">
      <c r="N58" s="204"/>
      <c r="O58" s="204"/>
    </row>
    <row r="59" spans="14:15">
      <c r="N59" s="204"/>
      <c r="O59" s="204"/>
    </row>
    <row r="60" spans="14:15">
      <c r="N60" s="204"/>
      <c r="O60" s="204"/>
    </row>
    <row r="61" spans="14:15">
      <c r="N61" s="204"/>
      <c r="O61" s="204"/>
    </row>
    <row r="62" spans="14:15">
      <c r="N62" s="204"/>
      <c r="O62" s="204"/>
    </row>
    <row r="63" spans="14:15">
      <c r="N63" s="204"/>
      <c r="O63" s="204"/>
    </row>
    <row r="64" spans="14:15">
      <c r="N64" s="204"/>
      <c r="O64" s="204"/>
    </row>
    <row r="65" spans="14:15">
      <c r="N65" s="204"/>
      <c r="O65" s="204"/>
    </row>
    <row r="66" spans="14:15">
      <c r="N66" s="204"/>
      <c r="O66" s="204"/>
    </row>
    <row r="67" spans="14:15">
      <c r="N67" s="204"/>
      <c r="O67" s="204"/>
    </row>
    <row r="68" spans="14:15">
      <c r="N68" s="204"/>
      <c r="O68" s="204"/>
    </row>
    <row r="69" spans="14:15">
      <c r="N69" s="204"/>
      <c r="O69" s="204"/>
    </row>
    <row r="70" spans="14:15">
      <c r="N70" s="204"/>
      <c r="O70" s="204"/>
    </row>
    <row r="71" spans="14:15">
      <c r="N71" s="204"/>
      <c r="O71" s="204"/>
    </row>
    <row r="72" spans="14:15">
      <c r="N72" s="204"/>
      <c r="O72" s="204"/>
    </row>
    <row r="73" spans="14:15">
      <c r="N73" s="204"/>
      <c r="O73" s="204"/>
    </row>
    <row r="74" spans="14:15">
      <c r="N74" s="204"/>
      <c r="O74" s="204"/>
    </row>
    <row r="75" spans="14:15">
      <c r="N75" s="204"/>
      <c r="O75" s="204"/>
    </row>
    <row r="76" spans="14:15">
      <c r="N76" s="204"/>
      <c r="O76" s="204"/>
    </row>
    <row r="77" spans="14:15">
      <c r="N77" s="204"/>
      <c r="O77" s="204"/>
    </row>
    <row r="78" spans="14:15">
      <c r="N78" s="204"/>
      <c r="O78" s="204"/>
    </row>
    <row r="79" spans="14:15">
      <c r="N79" s="204"/>
      <c r="O79" s="204"/>
    </row>
    <row r="80" spans="14:15">
      <c r="N80" s="204"/>
      <c r="O80" s="204"/>
    </row>
    <row r="81" spans="14:15">
      <c r="N81" s="204"/>
      <c r="O81" s="204"/>
    </row>
    <row r="82" spans="14:15">
      <c r="N82" s="204"/>
      <c r="O82" s="204"/>
    </row>
    <row r="83" spans="14:15">
      <c r="N83" s="204"/>
      <c r="O83" s="204"/>
    </row>
    <row r="84" spans="14:15">
      <c r="N84" s="204"/>
      <c r="O84" s="204"/>
    </row>
    <row r="85" spans="14:15">
      <c r="N85" s="204"/>
      <c r="O85" s="204"/>
    </row>
    <row r="86" spans="14:15">
      <c r="N86" s="204"/>
      <c r="O86" s="204"/>
    </row>
    <row r="87" spans="14:15">
      <c r="N87" s="204"/>
      <c r="O87" s="204"/>
    </row>
    <row r="88" spans="14:15">
      <c r="N88" s="204"/>
      <c r="O88" s="204"/>
    </row>
    <row r="89" spans="14:15">
      <c r="N89" s="204"/>
      <c r="O89" s="204"/>
    </row>
    <row r="90" spans="14:15">
      <c r="N90" s="204"/>
      <c r="O90" s="204"/>
    </row>
    <row r="91" spans="14:15">
      <c r="N91" s="204"/>
      <c r="O91" s="204"/>
    </row>
    <row r="92" spans="14:15">
      <c r="N92" s="204"/>
      <c r="O92" s="204"/>
    </row>
    <row r="93" spans="14:15">
      <c r="N93" s="204"/>
      <c r="O93" s="204"/>
    </row>
    <row r="94" spans="14:15">
      <c r="N94" s="204"/>
      <c r="O94" s="204"/>
    </row>
    <row r="95" spans="14:15">
      <c r="N95" s="204"/>
      <c r="O95" s="204"/>
    </row>
    <row r="96" spans="14:15">
      <c r="N96" s="204"/>
      <c r="O96" s="204"/>
    </row>
    <row r="97" spans="14:15">
      <c r="N97" s="204"/>
      <c r="O97" s="204"/>
    </row>
    <row r="98" spans="14:15">
      <c r="N98" s="204"/>
      <c r="O98" s="204"/>
    </row>
    <row r="99" spans="14:15">
      <c r="N99" s="204"/>
      <c r="O99" s="204"/>
    </row>
    <row r="100" spans="14:15">
      <c r="N100" s="204"/>
      <c r="O100" s="204"/>
    </row>
    <row r="101" spans="14:15">
      <c r="N101" s="204"/>
      <c r="O101" s="204"/>
    </row>
    <row r="102" spans="14:15">
      <c r="N102" s="204"/>
      <c r="O102" s="204"/>
    </row>
    <row r="103" spans="14:15">
      <c r="N103" s="204"/>
      <c r="O103" s="204"/>
    </row>
    <row r="104" spans="14:15">
      <c r="N104" s="204"/>
      <c r="O104" s="204"/>
    </row>
    <row r="105" spans="14:15">
      <c r="N105" s="204"/>
      <c r="O105" s="204"/>
    </row>
    <row r="106" spans="14:15">
      <c r="N106" s="204"/>
      <c r="O106" s="204"/>
    </row>
    <row r="107" spans="14:15">
      <c r="N107" s="204"/>
      <c r="O107" s="204"/>
    </row>
    <row r="108" spans="14:15">
      <c r="N108" s="204"/>
      <c r="O108" s="204"/>
    </row>
    <row r="109" spans="14:15">
      <c r="N109" s="204"/>
      <c r="O109" s="204"/>
    </row>
    <row r="110" spans="14:15">
      <c r="N110" s="204"/>
      <c r="O110" s="204"/>
    </row>
    <row r="111" spans="14:15">
      <c r="N111" s="204"/>
      <c r="O111" s="204"/>
    </row>
    <row r="112" spans="14:15">
      <c r="N112" s="204"/>
      <c r="O112" s="204"/>
    </row>
    <row r="113" spans="14:15">
      <c r="N113" s="204"/>
      <c r="O113" s="204"/>
    </row>
    <row r="114" spans="14:15">
      <c r="N114" s="204"/>
      <c r="O114" s="204"/>
    </row>
    <row r="115" spans="14:15">
      <c r="N115" s="204"/>
      <c r="O115" s="204"/>
    </row>
    <row r="116" spans="14:15">
      <c r="N116" s="204"/>
      <c r="O116" s="204"/>
    </row>
    <row r="117" spans="14:15">
      <c r="N117" s="204"/>
      <c r="O117" s="204"/>
    </row>
    <row r="118" spans="14:15">
      <c r="N118" s="204"/>
      <c r="O118" s="204"/>
    </row>
    <row r="119" spans="14:15">
      <c r="N119" s="204"/>
      <c r="O119" s="204"/>
    </row>
    <row r="120" spans="14:15">
      <c r="N120" s="204"/>
      <c r="O120" s="204"/>
    </row>
    <row r="121" spans="14:15">
      <c r="N121" s="204"/>
      <c r="O121" s="204"/>
    </row>
    <row r="122" spans="14:15">
      <c r="N122" s="204"/>
      <c r="O122" s="204"/>
    </row>
    <row r="123" spans="14:15">
      <c r="N123" s="204"/>
      <c r="O123" s="204"/>
    </row>
    <row r="124" spans="14:15">
      <c r="N124" s="204"/>
      <c r="O124" s="204"/>
    </row>
    <row r="125" spans="14:15">
      <c r="N125" s="204"/>
      <c r="O125" s="204"/>
    </row>
    <row r="126" spans="14:15">
      <c r="N126" s="204"/>
      <c r="O126" s="204"/>
    </row>
    <row r="127" spans="14:15">
      <c r="N127" s="204"/>
      <c r="O127" s="204"/>
    </row>
    <row r="128" spans="14:15">
      <c r="N128" s="204"/>
      <c r="O128" s="204"/>
    </row>
    <row r="129" spans="14:15">
      <c r="N129" s="204"/>
      <c r="O129" s="204"/>
    </row>
    <row r="130" spans="14:15">
      <c r="N130" s="204"/>
      <c r="O130" s="204"/>
    </row>
    <row r="131" spans="14:15">
      <c r="N131" s="204"/>
      <c r="O131" s="204"/>
    </row>
    <row r="132" spans="14:15">
      <c r="N132" s="204"/>
      <c r="O132" s="204"/>
    </row>
    <row r="133" spans="14:15">
      <c r="N133" s="204"/>
      <c r="O133" s="204"/>
    </row>
    <row r="134" spans="14:15">
      <c r="N134" s="204"/>
      <c r="O134" s="204"/>
    </row>
    <row r="135" spans="14:15">
      <c r="N135" s="204"/>
      <c r="O135" s="204"/>
    </row>
    <row r="136" spans="14:15">
      <c r="N136" s="204"/>
      <c r="O136" s="204"/>
    </row>
    <row r="137" spans="14:15">
      <c r="N137" s="204"/>
      <c r="O137" s="204"/>
    </row>
    <row r="138" spans="14:15">
      <c r="N138" s="204"/>
      <c r="O138" s="204"/>
    </row>
    <row r="139" spans="14:15">
      <c r="N139" s="204"/>
      <c r="O139" s="204"/>
    </row>
    <row r="140" spans="14:15">
      <c r="N140" s="204"/>
      <c r="O140" s="204"/>
    </row>
    <row r="141" spans="14:15">
      <c r="N141" s="204"/>
      <c r="O141" s="204"/>
    </row>
    <row r="142" spans="14:15">
      <c r="N142" s="204"/>
      <c r="O142" s="204"/>
    </row>
    <row r="143" spans="14:15">
      <c r="N143" s="204"/>
      <c r="O143" s="204"/>
    </row>
    <row r="144" spans="14:15">
      <c r="N144" s="204"/>
      <c r="O144" s="204"/>
    </row>
    <row r="145" spans="14:15">
      <c r="N145" s="204"/>
      <c r="O145" s="204"/>
    </row>
    <row r="146" spans="14:15">
      <c r="N146" s="204"/>
      <c r="O146" s="204"/>
    </row>
    <row r="147" spans="14:15">
      <c r="N147" s="204"/>
      <c r="O147" s="204"/>
    </row>
    <row r="148" spans="14:15">
      <c r="N148" s="204"/>
      <c r="O148" s="204"/>
    </row>
    <row r="149" spans="14:15">
      <c r="N149" s="204"/>
      <c r="O149" s="204"/>
    </row>
    <row r="150" spans="14:15">
      <c r="N150" s="204"/>
      <c r="O150" s="204"/>
    </row>
    <row r="151" spans="14:15">
      <c r="N151" s="204"/>
      <c r="O151" s="204"/>
    </row>
    <row r="152" spans="14:15">
      <c r="N152" s="204"/>
      <c r="O152" s="204"/>
    </row>
    <row r="153" spans="14:15">
      <c r="N153" s="204"/>
      <c r="O153" s="204"/>
    </row>
    <row r="154" spans="14:15">
      <c r="N154" s="204"/>
      <c r="O154" s="204"/>
    </row>
    <row r="155" spans="14:15">
      <c r="N155" s="204"/>
      <c r="O155" s="204"/>
    </row>
    <row r="156" spans="14:15">
      <c r="N156" s="204"/>
      <c r="O156" s="204"/>
    </row>
    <row r="157" spans="14:15">
      <c r="N157" s="204"/>
      <c r="O157" s="204"/>
    </row>
    <row r="158" spans="14:15">
      <c r="N158" s="204"/>
      <c r="O158" s="204"/>
    </row>
    <row r="159" spans="14:15">
      <c r="N159" s="204"/>
      <c r="O159" s="204"/>
    </row>
    <row r="160" spans="14:15">
      <c r="N160" s="204"/>
      <c r="O160" s="204"/>
    </row>
    <row r="161" spans="14:15">
      <c r="N161" s="204"/>
      <c r="O161" s="204"/>
    </row>
    <row r="162" spans="14:15">
      <c r="N162" s="204"/>
      <c r="O162" s="204"/>
    </row>
    <row r="163" spans="14:15">
      <c r="N163" s="204"/>
      <c r="O163" s="204"/>
    </row>
    <row r="164" spans="14:15">
      <c r="N164" s="204"/>
      <c r="O164" s="204"/>
    </row>
    <row r="165" spans="14:15">
      <c r="N165" s="204"/>
      <c r="O165" s="204"/>
    </row>
    <row r="166" spans="14:15">
      <c r="N166" s="204"/>
      <c r="O166" s="204"/>
    </row>
    <row r="167" spans="14:15">
      <c r="N167" s="204"/>
      <c r="O167" s="204"/>
    </row>
    <row r="168" spans="14:15">
      <c r="N168" s="204"/>
      <c r="O168" s="204"/>
    </row>
    <row r="169" spans="14:15">
      <c r="N169" s="204"/>
      <c r="O169" s="204"/>
    </row>
    <row r="170" spans="14:15">
      <c r="N170" s="204"/>
      <c r="O170" s="204"/>
    </row>
    <row r="171" spans="14:15">
      <c r="N171" s="204"/>
      <c r="O171" s="204"/>
    </row>
    <row r="172" spans="14:15">
      <c r="N172" s="204"/>
      <c r="O172" s="204"/>
    </row>
    <row r="173" spans="14:15">
      <c r="N173" s="204"/>
      <c r="O173" s="204"/>
    </row>
    <row r="174" spans="14:15">
      <c r="N174" s="204"/>
      <c r="O174" s="204"/>
    </row>
    <row r="175" spans="14:15">
      <c r="N175" s="204"/>
      <c r="O175" s="204"/>
    </row>
    <row r="176" spans="14:15">
      <c r="N176" s="204"/>
      <c r="O176" s="204"/>
    </row>
    <row r="177" spans="14:15">
      <c r="N177" s="204"/>
      <c r="O177" s="204"/>
    </row>
    <row r="178" spans="14:15">
      <c r="N178" s="204"/>
      <c r="O178" s="204"/>
    </row>
    <row r="179" spans="14:15">
      <c r="N179" s="204"/>
      <c r="O179" s="204"/>
    </row>
    <row r="180" spans="14:15">
      <c r="N180" s="204"/>
      <c r="O180" s="204"/>
    </row>
    <row r="181" spans="14:15">
      <c r="N181" s="204"/>
      <c r="O181" s="204"/>
    </row>
    <row r="182" spans="14:15">
      <c r="N182" s="204"/>
      <c r="O182" s="204"/>
    </row>
    <row r="183" spans="14:15">
      <c r="N183" s="204"/>
      <c r="O183" s="204"/>
    </row>
    <row r="184" spans="14:15">
      <c r="N184" s="204"/>
      <c r="O184" s="204"/>
    </row>
    <row r="185" spans="14:15">
      <c r="N185" s="204"/>
      <c r="O185" s="204"/>
    </row>
    <row r="186" spans="14:15">
      <c r="N186" s="204"/>
      <c r="O186" s="204"/>
    </row>
    <row r="187" spans="14:15">
      <c r="N187" s="204"/>
      <c r="O187" s="204"/>
    </row>
    <row r="188" spans="14:15">
      <c r="N188" s="204"/>
      <c r="O188" s="204"/>
    </row>
    <row r="189" spans="14:15">
      <c r="N189" s="204"/>
      <c r="O189" s="204"/>
    </row>
    <row r="190" spans="14:15">
      <c r="N190" s="204"/>
      <c r="O190" s="204"/>
    </row>
    <row r="191" spans="14:15">
      <c r="N191" s="204"/>
      <c r="O191" s="204"/>
    </row>
    <row r="192" spans="14:15">
      <c r="N192" s="204"/>
      <c r="O192" s="204"/>
    </row>
    <row r="193" spans="14:15">
      <c r="N193" s="204"/>
      <c r="O193" s="204"/>
    </row>
    <row r="194" spans="14:15">
      <c r="N194" s="204"/>
      <c r="O194" s="204"/>
    </row>
    <row r="195" spans="14:15">
      <c r="N195" s="204"/>
      <c r="O195" s="204"/>
    </row>
    <row r="196" spans="14:15">
      <c r="N196" s="204"/>
      <c r="O196" s="204"/>
    </row>
    <row r="197" spans="14:15">
      <c r="N197" s="204"/>
      <c r="O197" s="204"/>
    </row>
    <row r="198" spans="14:15">
      <c r="N198" s="204"/>
      <c r="O198" s="204"/>
    </row>
    <row r="199" spans="14:15">
      <c r="N199" s="204"/>
      <c r="O199" s="204"/>
    </row>
    <row r="200" spans="14:15">
      <c r="N200" s="204"/>
      <c r="O200" s="204"/>
    </row>
    <row r="201" spans="14:15">
      <c r="N201" s="204"/>
      <c r="O201" s="204"/>
    </row>
    <row r="202" spans="14:15">
      <c r="N202" s="204"/>
      <c r="O202" s="204"/>
    </row>
    <row r="203" spans="14:15">
      <c r="N203" s="204"/>
      <c r="O203" s="204"/>
    </row>
    <row r="204" spans="14:15">
      <c r="N204" s="204"/>
      <c r="O204" s="204"/>
    </row>
    <row r="205" spans="14:15">
      <c r="N205" s="204"/>
      <c r="O205" s="204"/>
    </row>
    <row r="206" spans="14:15">
      <c r="N206" s="204"/>
      <c r="O206" s="204"/>
    </row>
    <row r="207" spans="14:15">
      <c r="N207" s="204"/>
      <c r="O207" s="204"/>
    </row>
    <row r="208" spans="14:15">
      <c r="N208" s="204"/>
      <c r="O208" s="204"/>
    </row>
    <row r="209" spans="14:15">
      <c r="N209" s="204"/>
      <c r="O209" s="204"/>
    </row>
    <row r="210" spans="14:15">
      <c r="N210" s="204"/>
      <c r="O210" s="204"/>
    </row>
    <row r="211" spans="14:15">
      <c r="N211" s="204"/>
      <c r="O211" s="204"/>
    </row>
    <row r="212" spans="14:15">
      <c r="N212" s="204"/>
      <c r="O212" s="204"/>
    </row>
    <row r="213" spans="14:15">
      <c r="N213" s="204"/>
      <c r="O213" s="204"/>
    </row>
    <row r="214" spans="14:15">
      <c r="N214" s="204"/>
      <c r="O214" s="204"/>
    </row>
    <row r="215" spans="14:15">
      <c r="N215" s="204"/>
      <c r="O215" s="204"/>
    </row>
    <row r="216" spans="14:15">
      <c r="N216" s="204"/>
      <c r="O216" s="204"/>
    </row>
    <row r="217" spans="14:15">
      <c r="N217" s="204"/>
      <c r="O217" s="204"/>
    </row>
    <row r="218" spans="14:15">
      <c r="N218" s="204"/>
      <c r="O218" s="204"/>
    </row>
    <row r="219" spans="14:15">
      <c r="N219" s="204"/>
      <c r="O219" s="204"/>
    </row>
    <row r="220" spans="14:15">
      <c r="N220" s="204"/>
      <c r="O220" s="204"/>
    </row>
    <row r="221" spans="14:15">
      <c r="N221" s="204"/>
      <c r="O221" s="204"/>
    </row>
    <row r="222" spans="14:15">
      <c r="N222" s="204"/>
      <c r="O222" s="204"/>
    </row>
    <row r="223" spans="14:15">
      <c r="N223" s="204"/>
      <c r="O223" s="204"/>
    </row>
    <row r="224" spans="14:15">
      <c r="N224" s="204"/>
      <c r="O224" s="204"/>
    </row>
    <row r="225" spans="14:15">
      <c r="N225" s="204"/>
      <c r="O225" s="204"/>
    </row>
    <row r="226" spans="14:15">
      <c r="N226" s="204"/>
      <c r="O226" s="204"/>
    </row>
    <row r="227" spans="14:15">
      <c r="N227" s="204"/>
      <c r="O227" s="204"/>
    </row>
    <row r="228" spans="14:15">
      <c r="N228" s="204"/>
      <c r="O228" s="204"/>
    </row>
    <row r="229" spans="14:15">
      <c r="N229" s="204"/>
      <c r="O229" s="204"/>
    </row>
    <row r="230" spans="14:15">
      <c r="N230" s="204"/>
      <c r="O230" s="204"/>
    </row>
    <row r="231" spans="14:15">
      <c r="N231" s="204"/>
      <c r="O231" s="204"/>
    </row>
    <row r="232" spans="14:15">
      <c r="N232" s="204"/>
      <c r="O232" s="204"/>
    </row>
    <row r="233" spans="14:15">
      <c r="N233" s="204"/>
      <c r="O233" s="204"/>
    </row>
    <row r="234" spans="14:15">
      <c r="N234" s="204"/>
      <c r="O234" s="204"/>
    </row>
    <row r="235" spans="14:15">
      <c r="N235" s="204"/>
      <c r="O235" s="204"/>
    </row>
    <row r="236" spans="14:15">
      <c r="N236" s="204"/>
      <c r="O236" s="204"/>
    </row>
    <row r="237" spans="14:15">
      <c r="N237" s="204"/>
      <c r="O237" s="204"/>
    </row>
    <row r="238" spans="14:15">
      <c r="N238" s="204"/>
      <c r="O238" s="204"/>
    </row>
    <row r="239" spans="14:15">
      <c r="N239" s="204"/>
      <c r="O239" s="204"/>
    </row>
    <row r="240" spans="14:15">
      <c r="N240" s="204"/>
      <c r="O240" s="204"/>
    </row>
    <row r="241" spans="14:15">
      <c r="N241" s="204"/>
      <c r="O241" s="204"/>
    </row>
    <row r="242" spans="14:15">
      <c r="N242" s="204"/>
      <c r="O242" s="204"/>
    </row>
    <row r="243" spans="14:15">
      <c r="N243" s="204"/>
      <c r="O243" s="204"/>
    </row>
    <row r="244" spans="14:15">
      <c r="N244" s="204"/>
      <c r="O244" s="204"/>
    </row>
    <row r="245" spans="14:15">
      <c r="N245" s="204"/>
      <c r="O245" s="204"/>
    </row>
    <row r="246" spans="14:15">
      <c r="N246" s="204"/>
      <c r="O246" s="204"/>
    </row>
    <row r="247" spans="14:15">
      <c r="N247" s="204"/>
      <c r="O247" s="204"/>
    </row>
    <row r="248" spans="14:15">
      <c r="N248" s="204"/>
      <c r="O248" s="204"/>
    </row>
    <row r="249" spans="14:15">
      <c r="N249" s="204"/>
      <c r="O249" s="204"/>
    </row>
    <row r="250" spans="14:15">
      <c r="N250" s="204"/>
      <c r="O250" s="204"/>
    </row>
    <row r="251" spans="14:15">
      <c r="N251" s="204"/>
      <c r="O251" s="204"/>
    </row>
    <row r="252" spans="14:15">
      <c r="N252" s="204"/>
      <c r="O252" s="204"/>
    </row>
    <row r="253" spans="14:15">
      <c r="N253" s="204"/>
      <c r="O253" s="204"/>
    </row>
    <row r="254" spans="14:15">
      <c r="N254" s="204"/>
      <c r="O254" s="204"/>
    </row>
    <row r="255" spans="14:15">
      <c r="N255" s="204"/>
      <c r="O255" s="204"/>
    </row>
    <row r="256" spans="14:15">
      <c r="N256" s="204"/>
      <c r="O256" s="204"/>
    </row>
    <row r="257" spans="14:15">
      <c r="N257" s="204"/>
      <c r="O257" s="204"/>
    </row>
    <row r="258" spans="14:15">
      <c r="N258" s="204"/>
      <c r="O258" s="204"/>
    </row>
    <row r="259" spans="14:15">
      <c r="N259" s="204"/>
      <c r="O259" s="204"/>
    </row>
    <row r="260" spans="14:15">
      <c r="N260" s="204"/>
      <c r="O260" s="204"/>
    </row>
    <row r="261" spans="14:15">
      <c r="N261" s="204"/>
      <c r="O261" s="204"/>
    </row>
    <row r="262" spans="14:15">
      <c r="N262" s="204"/>
      <c r="O262" s="204"/>
    </row>
    <row r="263" spans="14:15">
      <c r="N263" s="204"/>
      <c r="O263" s="204"/>
    </row>
    <row r="264" spans="14:15">
      <c r="N264" s="204"/>
      <c r="O264" s="204"/>
    </row>
    <row r="265" spans="14:15">
      <c r="N265" s="204"/>
      <c r="O265" s="204"/>
    </row>
    <row r="266" spans="14:15">
      <c r="N266" s="204"/>
      <c r="O266" s="204"/>
    </row>
    <row r="267" spans="14:15">
      <c r="N267" s="204"/>
      <c r="O267" s="204"/>
    </row>
    <row r="268" spans="14:15">
      <c r="N268" s="204"/>
      <c r="O268" s="204"/>
    </row>
    <row r="269" spans="14:15">
      <c r="N269" s="204"/>
      <c r="O269" s="204"/>
    </row>
    <row r="270" spans="14:15">
      <c r="N270" s="204"/>
      <c r="O270" s="204"/>
    </row>
    <row r="271" spans="14:15">
      <c r="N271" s="204"/>
      <c r="O271" s="204"/>
    </row>
    <row r="272" spans="14:15">
      <c r="N272" s="204"/>
      <c r="O272" s="204"/>
    </row>
    <row r="273" spans="14:15">
      <c r="N273" s="204"/>
      <c r="O273" s="204"/>
    </row>
    <row r="274" spans="14:15">
      <c r="N274" s="204"/>
      <c r="O274" s="204"/>
    </row>
    <row r="275" spans="14:15">
      <c r="N275" s="204"/>
      <c r="O275" s="204"/>
    </row>
    <row r="276" spans="14:15">
      <c r="N276" s="204"/>
      <c r="O276" s="204"/>
    </row>
    <row r="277" spans="14:15">
      <c r="N277" s="204"/>
      <c r="O277" s="204"/>
    </row>
    <row r="278" spans="14:15">
      <c r="N278" s="204"/>
      <c r="O278" s="204"/>
    </row>
    <row r="279" spans="14:15">
      <c r="N279" s="204"/>
      <c r="O279" s="204"/>
    </row>
    <row r="280" spans="14:15">
      <c r="N280" s="204"/>
      <c r="O280" s="204"/>
    </row>
    <row r="281" spans="14:15">
      <c r="N281" s="204"/>
      <c r="O281" s="204"/>
    </row>
    <row r="282" spans="14:15">
      <c r="N282" s="204"/>
      <c r="O282" s="204"/>
    </row>
    <row r="283" spans="14:15">
      <c r="N283" s="204"/>
      <c r="O283" s="204"/>
    </row>
    <row r="284" spans="14:15">
      <c r="N284" s="204"/>
      <c r="O284" s="204"/>
    </row>
    <row r="285" spans="14:15">
      <c r="N285" s="204"/>
      <c r="O285" s="204"/>
    </row>
    <row r="286" spans="14:15">
      <c r="N286" s="204"/>
      <c r="O286" s="204"/>
    </row>
    <row r="287" spans="14:15">
      <c r="N287" s="204"/>
      <c r="O287" s="204"/>
    </row>
    <row r="288" spans="14:15">
      <c r="N288" s="204"/>
      <c r="O288" s="204"/>
    </row>
    <row r="289" spans="14:15">
      <c r="N289" s="204"/>
      <c r="O289" s="204"/>
    </row>
    <row r="290" spans="14:15">
      <c r="N290" s="204"/>
      <c r="O290" s="204"/>
    </row>
    <row r="291" spans="14:15">
      <c r="N291" s="204"/>
      <c r="O291" s="204"/>
    </row>
    <row r="292" spans="14:15">
      <c r="N292" s="204"/>
      <c r="O292" s="204"/>
    </row>
    <row r="293" spans="14:15">
      <c r="N293" s="204"/>
      <c r="O293" s="204"/>
    </row>
    <row r="294" spans="14:15">
      <c r="N294" s="204"/>
      <c r="O294" s="204"/>
    </row>
    <row r="295" spans="14:15">
      <c r="N295" s="204"/>
      <c r="O295" s="204"/>
    </row>
    <row r="296" spans="14:15">
      <c r="N296" s="204"/>
      <c r="O296" s="204"/>
    </row>
    <row r="297" spans="14:15">
      <c r="N297" s="204"/>
      <c r="O297" s="204"/>
    </row>
    <row r="298" spans="14:15">
      <c r="N298" s="204"/>
      <c r="O298" s="204"/>
    </row>
    <row r="299" spans="14:15">
      <c r="N299" s="204"/>
      <c r="O299" s="204"/>
    </row>
    <row r="300" spans="14:15">
      <c r="N300" s="204"/>
      <c r="O300" s="204"/>
    </row>
    <row r="301" spans="14:15">
      <c r="N301" s="204"/>
      <c r="O301" s="204"/>
    </row>
    <row r="302" spans="14:15">
      <c r="N302" s="204"/>
      <c r="O302" s="204"/>
    </row>
    <row r="303" spans="14:15">
      <c r="N303" s="204"/>
      <c r="O303" s="204"/>
    </row>
    <row r="304" spans="14:15">
      <c r="N304" s="204"/>
      <c r="O304" s="204"/>
    </row>
    <row r="305" spans="14:15">
      <c r="N305" s="204"/>
      <c r="O305" s="204"/>
    </row>
    <row r="306" spans="14:15">
      <c r="N306" s="204"/>
      <c r="O306" s="204"/>
    </row>
    <row r="307" spans="14:15">
      <c r="N307" s="204"/>
      <c r="O307" s="204"/>
    </row>
    <row r="308" spans="14:15">
      <c r="N308" s="204"/>
      <c r="O308" s="204"/>
    </row>
    <row r="309" spans="14:15">
      <c r="N309" s="204"/>
      <c r="O309" s="204"/>
    </row>
    <row r="310" spans="14:15">
      <c r="N310" s="204"/>
      <c r="O310" s="204"/>
    </row>
    <row r="311" spans="14:15">
      <c r="N311" s="204"/>
      <c r="O311" s="204"/>
    </row>
    <row r="312" spans="14:15">
      <c r="N312" s="204"/>
      <c r="O312" s="204"/>
    </row>
    <row r="313" spans="14:15">
      <c r="N313" s="204"/>
      <c r="O313" s="204"/>
    </row>
    <row r="314" spans="14:15">
      <c r="N314" s="204"/>
      <c r="O314" s="204"/>
    </row>
    <row r="315" spans="14:15">
      <c r="N315" s="204"/>
      <c r="O315" s="204"/>
    </row>
    <row r="316" spans="14:15">
      <c r="N316" s="204"/>
      <c r="O316" s="204"/>
    </row>
    <row r="317" spans="14:15">
      <c r="N317" s="204"/>
      <c r="O317" s="204"/>
    </row>
    <row r="318" spans="14:15">
      <c r="N318" s="204"/>
      <c r="O318" s="204"/>
    </row>
    <row r="319" spans="14:15">
      <c r="N319" s="204"/>
      <c r="O319" s="204"/>
    </row>
    <row r="320" spans="14:15">
      <c r="N320" s="204"/>
      <c r="O320" s="204"/>
    </row>
    <row r="321" spans="14:15">
      <c r="N321" s="204"/>
      <c r="O321" s="204"/>
    </row>
    <row r="322" spans="14:15">
      <c r="N322" s="204"/>
      <c r="O322" s="204"/>
    </row>
    <row r="323" spans="14:15">
      <c r="N323" s="204"/>
      <c r="O323" s="204"/>
    </row>
    <row r="324" spans="14:15">
      <c r="N324" s="204"/>
      <c r="O324" s="204"/>
    </row>
    <row r="325" spans="14:15">
      <c r="N325" s="204"/>
      <c r="O325" s="204"/>
    </row>
  </sheetData>
  <sheetProtection algorithmName="SHA-512" hashValue="lpnQoJ0wRL92gsKw3u0v8iadEP6zt3WnHd+4hZN00skxUhP2YRDLSZWehCizFbIPrDrcLiPd810axyeqpzkhdw==" saltValue="4HNB9fg8YAoNTZU4ZJPIxw==" spinCount="100000" sheet="1" objects="1" scenarios="1"/>
  <mergeCells count="6">
    <mergeCell ref="A17:A18"/>
    <mergeCell ref="A25:A26"/>
    <mergeCell ref="A28:A29"/>
    <mergeCell ref="A5:A6"/>
    <mergeCell ref="A9:A10"/>
    <mergeCell ref="A13:A14"/>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DBE05-437A-4D14-9585-9C400D8EFB01}">
  <sheetPr>
    <tabColor theme="0" tint="-0.14999847407452621"/>
  </sheetPr>
  <dimension ref="A1:AN95"/>
  <sheetViews>
    <sheetView showGridLines="0" topLeftCell="F42" zoomScale="80" zoomScaleNormal="80" workbookViewId="0">
      <selection activeCell="M42" sqref="M42"/>
    </sheetView>
  </sheetViews>
  <sheetFormatPr defaultColWidth="9.109375" defaultRowHeight="14.4"/>
  <cols>
    <col min="1" max="1" width="3" style="1420" customWidth="1"/>
    <col min="2" max="2" width="38.109375" style="1420" customWidth="1"/>
    <col min="3" max="3" width="17.77734375" style="1420" customWidth="1"/>
    <col min="4" max="4" width="16.33203125" style="1420" bestFit="1" customWidth="1"/>
    <col min="5" max="5" width="11.33203125" style="1420" bestFit="1" customWidth="1"/>
    <col min="6" max="6" width="8.33203125" style="1421" bestFit="1" customWidth="1"/>
    <col min="7" max="7" width="11.88671875" style="1420" customWidth="1"/>
    <col min="8" max="8" width="14.109375" style="1420" bestFit="1" customWidth="1"/>
    <col min="9" max="9" width="9.21875" style="1420" customWidth="1"/>
    <col min="10" max="10" width="8.33203125" style="1420" bestFit="1" customWidth="1"/>
    <col min="11" max="11" width="8.21875" style="1420" bestFit="1" customWidth="1"/>
    <col min="12" max="12" width="8.33203125" style="1420" customWidth="1"/>
    <col min="13" max="13" width="8.21875" style="1420" bestFit="1" customWidth="1"/>
    <col min="14" max="14" width="9" style="1420" customWidth="1"/>
    <col min="15" max="15" width="8.33203125" style="1420" bestFit="1" customWidth="1"/>
    <col min="16" max="17" width="8.21875" style="1420" bestFit="1" customWidth="1"/>
    <col min="18" max="18" width="8.33203125" style="1420" bestFit="1" customWidth="1"/>
    <col min="19" max="20" width="8.21875" style="1420" bestFit="1" customWidth="1"/>
    <col min="21" max="21" width="7.77734375" style="1420" bestFit="1" customWidth="1"/>
    <col min="22" max="23" width="8.33203125" style="1420" bestFit="1" customWidth="1"/>
    <col min="24" max="24" width="8.21875" style="1420" bestFit="1" customWidth="1"/>
    <col min="25" max="25" width="9.6640625" style="1420" bestFit="1" customWidth="1"/>
    <col min="26" max="27" width="8.21875" style="1420" bestFit="1" customWidth="1"/>
    <col min="28" max="28" width="8.33203125" style="1420" bestFit="1" customWidth="1"/>
    <col min="29" max="29" width="8.21875" style="1420" bestFit="1" customWidth="1"/>
    <col min="30" max="30" width="10.109375" style="1420" customWidth="1"/>
    <col min="31" max="31" width="7.77734375" style="1420" bestFit="1" customWidth="1"/>
    <col min="32" max="32" width="9" style="1420" customWidth="1"/>
    <col min="33" max="33" width="8.109375" style="1420" customWidth="1"/>
    <col min="34" max="34" width="7.77734375" style="1420" bestFit="1" customWidth="1"/>
    <col min="35" max="35" width="9.6640625" style="1420" bestFit="1" customWidth="1"/>
    <col min="36" max="36" width="7.77734375" style="1420" bestFit="1" customWidth="1"/>
    <col min="37" max="16384" width="9.109375" style="1420"/>
  </cols>
  <sheetData>
    <row r="1" spans="2:40">
      <c r="B1" s="1731" t="s">
        <v>1750</v>
      </c>
      <c r="C1" s="1732"/>
      <c r="D1" s="1732"/>
      <c r="E1" s="1732"/>
      <c r="F1" s="1730"/>
      <c r="G1" s="1732"/>
      <c r="H1" s="1732"/>
      <c r="I1" s="1732"/>
      <c r="J1" s="1732"/>
      <c r="K1" s="1732"/>
      <c r="L1" s="1732"/>
      <c r="M1" s="1732"/>
      <c r="N1" s="1732"/>
      <c r="O1" s="1732"/>
      <c r="P1" s="1732"/>
      <c r="Q1" s="1732"/>
      <c r="R1" s="1732"/>
      <c r="S1" s="1732"/>
      <c r="T1" s="1732"/>
      <c r="U1" s="1732"/>
      <c r="V1" s="1732"/>
      <c r="W1" s="1732"/>
      <c r="X1" s="1732"/>
      <c r="Y1" s="1732"/>
      <c r="Z1" s="1732"/>
      <c r="AA1" s="1732"/>
      <c r="AB1" s="1732"/>
      <c r="AC1" s="1732"/>
      <c r="AD1" s="1732"/>
      <c r="AE1" s="1732"/>
      <c r="AF1" s="1732"/>
      <c r="AG1" s="1732"/>
      <c r="AH1" s="1732"/>
      <c r="AI1" s="1732"/>
      <c r="AJ1" s="1732"/>
      <c r="AK1" s="1732"/>
      <c r="AL1" s="1732"/>
      <c r="AM1" s="1732"/>
      <c r="AN1" s="1732"/>
    </row>
    <row r="2" spans="2:40">
      <c r="B2" s="1733">
        <v>45870</v>
      </c>
      <c r="C2" s="1732"/>
      <c r="D2" s="1732"/>
      <c r="E2" s="1732"/>
      <c r="F2" s="1730"/>
      <c r="G2" s="1732"/>
      <c r="H2" s="1732"/>
      <c r="I2" s="1732"/>
      <c r="J2" s="1732"/>
      <c r="K2" s="1732"/>
      <c r="L2" s="1732"/>
      <c r="M2" s="1732"/>
      <c r="N2" s="1732"/>
      <c r="O2" s="1732"/>
      <c r="P2" s="1732"/>
      <c r="Q2" s="1732"/>
      <c r="R2" s="1732"/>
      <c r="S2" s="1732"/>
      <c r="T2" s="1732"/>
      <c r="U2" s="1732"/>
      <c r="V2" s="1732"/>
      <c r="W2" s="1732"/>
      <c r="X2" s="1732"/>
      <c r="Y2" s="1732"/>
      <c r="Z2" s="1732"/>
      <c r="AA2" s="1732"/>
      <c r="AB2" s="1732"/>
      <c r="AC2" s="1732"/>
      <c r="AD2" s="1732"/>
      <c r="AE2" s="1732"/>
      <c r="AF2" s="1732"/>
      <c r="AG2" s="1732"/>
      <c r="AH2" s="1732"/>
      <c r="AI2" s="1732"/>
      <c r="AJ2" s="1732"/>
      <c r="AK2" s="1732"/>
      <c r="AL2" s="1732"/>
      <c r="AM2" s="1732"/>
      <c r="AN2" s="1732"/>
    </row>
    <row r="3" spans="2:40" ht="15" thickBot="1">
      <c r="B3" s="1733"/>
      <c r="C3" s="1732"/>
      <c r="D3" s="1732"/>
      <c r="E3" s="1732"/>
      <c r="F3" s="1730"/>
      <c r="G3" s="1732"/>
      <c r="H3" s="1732"/>
      <c r="I3" s="1732"/>
      <c r="J3" s="1732"/>
      <c r="K3" s="1732"/>
      <c r="L3" s="1732"/>
      <c r="M3" s="1732"/>
      <c r="N3" s="1732"/>
      <c r="O3" s="1732"/>
      <c r="P3" s="1732"/>
      <c r="Q3" s="1732"/>
      <c r="R3" s="1732"/>
      <c r="S3" s="1732"/>
      <c r="T3" s="1732"/>
      <c r="U3" s="1732"/>
      <c r="V3" s="1732"/>
      <c r="W3" s="1732"/>
      <c r="X3" s="1732"/>
      <c r="Y3" s="1732"/>
      <c r="Z3" s="1732"/>
      <c r="AA3" s="1732"/>
      <c r="AB3" s="1732"/>
      <c r="AC3" s="1732"/>
      <c r="AD3" s="1732"/>
      <c r="AE3" s="1732"/>
      <c r="AF3" s="1732"/>
      <c r="AG3" s="1732"/>
      <c r="AH3" s="1732"/>
      <c r="AI3" s="1732"/>
      <c r="AJ3" s="1732"/>
      <c r="AK3" s="1732"/>
      <c r="AL3" s="1732"/>
      <c r="AM3" s="1732"/>
      <c r="AN3" s="1732"/>
    </row>
    <row r="4" spans="2:40">
      <c r="B4" s="3171" t="s">
        <v>1751</v>
      </c>
      <c r="C4" s="3172"/>
      <c r="D4" s="1734" t="s">
        <v>1752</v>
      </c>
      <c r="E4" s="1734" t="s">
        <v>1753</v>
      </c>
      <c r="F4" s="1735" t="s">
        <v>207</v>
      </c>
      <c r="G4" s="1732"/>
      <c r="H4" s="1732"/>
      <c r="I4" s="1732"/>
      <c r="J4" s="1732"/>
      <c r="K4" s="1732"/>
      <c r="L4" s="1732"/>
      <c r="M4" s="1732"/>
      <c r="N4" s="1732"/>
      <c r="O4" s="1732"/>
      <c r="P4" s="1732"/>
      <c r="Q4" s="1732"/>
      <c r="R4" s="1732"/>
      <c r="S4" s="1732"/>
      <c r="T4" s="1732"/>
      <c r="U4" s="1732"/>
      <c r="V4" s="1732"/>
      <c r="W4" s="1732"/>
      <c r="X4" s="1732"/>
      <c r="Y4" s="1732"/>
      <c r="Z4" s="1732"/>
      <c r="AA4" s="1732"/>
      <c r="AB4" s="1732"/>
      <c r="AC4" s="1732"/>
      <c r="AD4" s="1732"/>
      <c r="AE4" s="1732"/>
      <c r="AF4" s="1732"/>
      <c r="AG4" s="1732"/>
      <c r="AH4" s="1732"/>
      <c r="AI4" s="1732"/>
      <c r="AJ4" s="1732"/>
      <c r="AK4" s="1732"/>
      <c r="AL4" s="1732"/>
      <c r="AM4" s="1732"/>
      <c r="AN4" s="1732"/>
    </row>
    <row r="5" spans="2:40">
      <c r="B5" s="1736" t="s">
        <v>1754</v>
      </c>
      <c r="C5" s="1715" t="s">
        <v>1755</v>
      </c>
      <c r="D5" s="1711">
        <f>+F89</f>
        <v>750</v>
      </c>
      <c r="E5" s="1711">
        <f>+D5</f>
        <v>750</v>
      </c>
      <c r="F5" s="1712">
        <f>E5-D5</f>
        <v>0</v>
      </c>
      <c r="G5" s="1732"/>
      <c r="H5" s="1732"/>
      <c r="I5" s="1732"/>
      <c r="J5" s="1732"/>
      <c r="K5" s="1732"/>
      <c r="L5" s="1732"/>
      <c r="M5" s="1732"/>
      <c r="N5" s="1732"/>
      <c r="O5" s="1732"/>
      <c r="P5" s="1732"/>
      <c r="Q5" s="1732"/>
      <c r="R5" s="1732"/>
      <c r="S5" s="1732"/>
      <c r="T5" s="1732"/>
      <c r="U5" s="1732"/>
      <c r="V5" s="1732"/>
      <c r="W5" s="1732"/>
      <c r="X5" s="1732"/>
      <c r="Y5" s="1732"/>
      <c r="Z5" s="1732"/>
      <c r="AA5" s="1732"/>
      <c r="AB5" s="1732"/>
      <c r="AC5" s="1732"/>
      <c r="AD5" s="1732"/>
      <c r="AE5" s="1737"/>
      <c r="AF5" s="1732"/>
      <c r="AG5" s="1732"/>
      <c r="AH5" s="1732"/>
      <c r="AI5" s="1732"/>
      <c r="AJ5" s="1732"/>
      <c r="AK5" s="1732"/>
      <c r="AL5" s="1732"/>
      <c r="AM5" s="1732"/>
      <c r="AN5" s="1732"/>
    </row>
    <row r="6" spans="2:40">
      <c r="B6" s="1736" t="s">
        <v>1756</v>
      </c>
      <c r="C6" s="1715" t="s">
        <v>1755</v>
      </c>
      <c r="D6" s="1711">
        <f>+F90</f>
        <v>462</v>
      </c>
      <c r="E6" s="1711">
        <f>+D6</f>
        <v>462</v>
      </c>
      <c r="F6" s="1712">
        <f>E6-D6</f>
        <v>0</v>
      </c>
      <c r="G6" s="1732"/>
      <c r="H6" s="1732"/>
      <c r="I6" s="1732"/>
      <c r="J6" s="1732"/>
      <c r="K6" s="1732"/>
      <c r="L6" s="1732"/>
      <c r="M6" s="1732"/>
      <c r="N6" s="1732"/>
      <c r="O6" s="1732"/>
      <c r="P6" s="1732"/>
      <c r="Q6" s="1732"/>
      <c r="R6" s="1732"/>
      <c r="S6" s="1732"/>
      <c r="T6" s="1732"/>
      <c r="U6" s="1732"/>
      <c r="V6" s="1732"/>
      <c r="W6" s="1732"/>
      <c r="X6" s="1732"/>
      <c r="Y6" s="1732"/>
      <c r="Z6" s="1732"/>
      <c r="AA6" s="1732"/>
      <c r="AB6" s="1732"/>
      <c r="AC6" s="1732"/>
      <c r="AD6" s="1732"/>
      <c r="AE6" s="1732"/>
      <c r="AF6" s="1732"/>
      <c r="AG6" s="1732"/>
      <c r="AH6" s="1732"/>
      <c r="AI6" s="1732"/>
      <c r="AJ6" s="1732"/>
      <c r="AK6" s="1732"/>
      <c r="AL6" s="1732"/>
      <c r="AM6" s="1732"/>
      <c r="AN6" s="1732"/>
    </row>
    <row r="7" spans="2:40">
      <c r="B7" s="1736" t="s">
        <v>1756</v>
      </c>
      <c r="C7" s="1715" t="s">
        <v>1757</v>
      </c>
      <c r="D7" s="1711">
        <f>+F92</f>
        <v>424</v>
      </c>
      <c r="E7" s="1711">
        <f>+D7</f>
        <v>424</v>
      </c>
      <c r="F7" s="1712">
        <f>E7-D7</f>
        <v>0</v>
      </c>
      <c r="G7" s="1732"/>
      <c r="H7" s="1732"/>
      <c r="I7" s="1732"/>
      <c r="J7" s="1732"/>
      <c r="K7" s="1732"/>
      <c r="L7" s="1732"/>
      <c r="M7" s="1732"/>
      <c r="N7" s="1732"/>
      <c r="O7" s="1732"/>
      <c r="P7" s="1732"/>
      <c r="Q7" s="1732"/>
      <c r="R7" s="1732"/>
      <c r="S7" s="1732"/>
      <c r="T7" s="1732"/>
      <c r="U7" s="1732"/>
      <c r="V7" s="1732"/>
      <c r="W7" s="1732"/>
      <c r="X7" s="1732"/>
      <c r="Y7" s="1732"/>
      <c r="Z7" s="1732"/>
      <c r="AA7" s="1732"/>
      <c r="AB7" s="1732"/>
      <c r="AC7" s="1732"/>
      <c r="AD7" s="1732"/>
      <c r="AE7" s="1732"/>
      <c r="AF7" s="1732"/>
      <c r="AG7" s="1732"/>
      <c r="AH7" s="1732"/>
      <c r="AI7" s="1732"/>
      <c r="AJ7" s="1732"/>
      <c r="AK7" s="1732"/>
      <c r="AL7" s="1732"/>
      <c r="AM7" s="1732"/>
      <c r="AN7" s="1732"/>
    </row>
    <row r="8" spans="2:40">
      <c r="B8" s="3173" t="s">
        <v>1758</v>
      </c>
      <c r="C8" s="3174"/>
      <c r="D8" s="1738">
        <f>SUM(D5:D7)</f>
        <v>1636</v>
      </c>
      <c r="E8" s="1738">
        <f>SUM(E5:E7)</f>
        <v>1636</v>
      </c>
      <c r="F8" s="1739">
        <f>E8-D8</f>
        <v>0</v>
      </c>
      <c r="G8" s="1732"/>
      <c r="H8" s="1740"/>
      <c r="I8" s="1729"/>
      <c r="J8" s="1732"/>
      <c r="K8" s="1732"/>
      <c r="L8" s="1732"/>
      <c r="M8" s="1732"/>
      <c r="N8" s="1732"/>
      <c r="O8" s="1732"/>
      <c r="P8" s="1732"/>
      <c r="Q8" s="1732"/>
      <c r="R8" s="1732"/>
      <c r="S8" s="1732"/>
      <c r="T8" s="1732"/>
      <c r="U8" s="1732"/>
      <c r="V8" s="1732"/>
      <c r="W8" s="1732"/>
      <c r="X8" s="1732"/>
      <c r="Y8" s="1732"/>
      <c r="Z8" s="1732"/>
      <c r="AA8" s="1732"/>
      <c r="AB8" s="1732"/>
      <c r="AC8" s="1732"/>
      <c r="AD8" s="1732"/>
      <c r="AE8" s="1732"/>
      <c r="AF8" s="1732"/>
      <c r="AG8" s="1732"/>
      <c r="AH8" s="1732"/>
      <c r="AI8" s="1732"/>
      <c r="AJ8" s="1732"/>
      <c r="AK8" s="1732"/>
      <c r="AL8" s="1732"/>
      <c r="AM8" s="1732"/>
      <c r="AN8" s="1732"/>
    </row>
    <row r="9" spans="2:40" ht="15" thickBot="1">
      <c r="B9" s="3175" t="s">
        <v>1759</v>
      </c>
      <c r="C9" s="3176"/>
      <c r="D9" s="1713">
        <v>7</v>
      </c>
      <c r="E9" s="1713">
        <v>7</v>
      </c>
      <c r="F9" s="1714">
        <f>E9-D9</f>
        <v>0</v>
      </c>
      <c r="G9" s="1732"/>
      <c r="H9" s="1732"/>
      <c r="I9" s="1732"/>
      <c r="J9" s="1732"/>
      <c r="K9" s="1732"/>
      <c r="L9" s="1732"/>
      <c r="M9" s="1732"/>
      <c r="N9" s="1732"/>
      <c r="O9" s="1732"/>
      <c r="P9" s="1732"/>
      <c r="Q9" s="1732"/>
      <c r="R9" s="1732"/>
      <c r="S9" s="1732"/>
      <c r="T9" s="1732"/>
      <c r="U9" s="1732"/>
      <c r="V9" s="1732"/>
      <c r="W9" s="1732"/>
      <c r="X9" s="1732"/>
      <c r="Y9" s="1732"/>
      <c r="Z9" s="1732"/>
      <c r="AA9" s="1732"/>
      <c r="AB9" s="1732"/>
      <c r="AC9" s="1732"/>
      <c r="AD9" s="1732"/>
      <c r="AE9" s="1732"/>
      <c r="AF9" s="1732"/>
      <c r="AG9" s="1732"/>
      <c r="AH9" s="1732"/>
      <c r="AI9" s="1732"/>
      <c r="AJ9" s="1732"/>
      <c r="AK9" s="1732"/>
      <c r="AL9" s="1732"/>
      <c r="AM9" s="1732"/>
      <c r="AN9" s="1732"/>
    </row>
    <row r="10" spans="2:40" ht="15" thickBot="1">
      <c r="B10" s="1732"/>
      <c r="C10" s="1732"/>
      <c r="D10" s="1732"/>
      <c r="E10" s="1732"/>
      <c r="F10" s="1730"/>
      <c r="G10" s="1732"/>
      <c r="H10" s="1732"/>
      <c r="I10" s="1732"/>
      <c r="J10" s="1732"/>
      <c r="K10" s="1732"/>
      <c r="L10" s="1732"/>
      <c r="M10" s="1732"/>
      <c r="N10" s="1732"/>
      <c r="O10" s="1732"/>
      <c r="P10" s="1732"/>
      <c r="Q10" s="1732"/>
      <c r="R10" s="1732"/>
      <c r="S10" s="1732"/>
      <c r="T10" s="1732"/>
      <c r="U10" s="1732"/>
      <c r="V10" s="1732"/>
      <c r="W10" s="1732"/>
      <c r="X10" s="1732"/>
      <c r="Y10" s="1732"/>
      <c r="Z10" s="1732"/>
      <c r="AA10" s="1732"/>
      <c r="AB10" s="1732"/>
      <c r="AC10" s="1732"/>
      <c r="AD10" s="1732"/>
      <c r="AE10" s="1732"/>
      <c r="AF10" s="1732"/>
      <c r="AG10" s="1732"/>
      <c r="AH10" s="1732"/>
      <c r="AI10" s="1732"/>
      <c r="AJ10" s="1732"/>
      <c r="AK10" s="1732"/>
      <c r="AL10" s="1732"/>
      <c r="AM10" s="1732"/>
      <c r="AN10" s="1732"/>
    </row>
    <row r="11" spans="2:40">
      <c r="B11" s="1741" t="s">
        <v>1760</v>
      </c>
      <c r="C11" s="1742"/>
      <c r="D11" s="1742"/>
      <c r="E11" s="1742"/>
      <c r="F11" s="1742"/>
      <c r="G11" s="2430" t="s">
        <v>1761</v>
      </c>
      <c r="H11" s="1743" t="s">
        <v>1762</v>
      </c>
      <c r="I11" s="1743" t="s">
        <v>1763</v>
      </c>
      <c r="J11" s="1743" t="s">
        <v>1764</v>
      </c>
      <c r="K11" s="1743" t="s">
        <v>1765</v>
      </c>
      <c r="L11" s="1743" t="s">
        <v>1766</v>
      </c>
      <c r="M11" s="1743" t="s">
        <v>1767</v>
      </c>
      <c r="N11" s="1743" t="s">
        <v>1761</v>
      </c>
      <c r="O11" s="1743" t="s">
        <v>1762</v>
      </c>
      <c r="P11" s="1743" t="s">
        <v>1763</v>
      </c>
      <c r="Q11" s="1743" t="s">
        <v>1764</v>
      </c>
      <c r="R11" s="1743" t="s">
        <v>1765</v>
      </c>
      <c r="S11" s="1743" t="s">
        <v>1766</v>
      </c>
      <c r="T11" s="1743" t="s">
        <v>1767</v>
      </c>
      <c r="U11" s="1743" t="s">
        <v>1761</v>
      </c>
      <c r="V11" s="1743" t="s">
        <v>1762</v>
      </c>
      <c r="W11" s="1743" t="s">
        <v>1763</v>
      </c>
      <c r="X11" s="1743" t="s">
        <v>1764</v>
      </c>
      <c r="Y11" s="1743" t="s">
        <v>1765</v>
      </c>
      <c r="Z11" s="1743" t="s">
        <v>1766</v>
      </c>
      <c r="AA11" s="1743" t="s">
        <v>1767</v>
      </c>
      <c r="AB11" s="1743" t="s">
        <v>1761</v>
      </c>
      <c r="AC11" s="1743" t="s">
        <v>1762</v>
      </c>
      <c r="AD11" s="1743" t="s">
        <v>1763</v>
      </c>
      <c r="AE11" s="1743" t="s">
        <v>1764</v>
      </c>
      <c r="AF11" s="1743" t="s">
        <v>1765</v>
      </c>
      <c r="AG11" s="1743" t="s">
        <v>1766</v>
      </c>
      <c r="AH11" s="1743" t="s">
        <v>1767</v>
      </c>
      <c r="AI11" s="1743" t="s">
        <v>1761</v>
      </c>
      <c r="AJ11" s="1743" t="s">
        <v>1762</v>
      </c>
      <c r="AK11" s="1744" t="s">
        <v>1763</v>
      </c>
      <c r="AL11" s="2431"/>
      <c r="AM11" s="2431"/>
      <c r="AN11" s="2431"/>
    </row>
    <row r="12" spans="2:40" ht="15" thickBot="1">
      <c r="B12" s="1745" t="s">
        <v>1768</v>
      </c>
      <c r="C12" s="1746" t="s">
        <v>1769</v>
      </c>
      <c r="D12" s="1746" t="s">
        <v>1770</v>
      </c>
      <c r="E12" s="1747" t="s">
        <v>1771</v>
      </c>
      <c r="F12" s="1747" t="s">
        <v>1772</v>
      </c>
      <c r="G12" s="2432">
        <v>45870</v>
      </c>
      <c r="H12" s="1748">
        <v>45871</v>
      </c>
      <c r="I12" s="1748">
        <v>45872</v>
      </c>
      <c r="J12" s="1748">
        <v>45873</v>
      </c>
      <c r="K12" s="1748">
        <v>45874</v>
      </c>
      <c r="L12" s="1748">
        <v>45875</v>
      </c>
      <c r="M12" s="1748">
        <v>45876</v>
      </c>
      <c r="N12" s="1748">
        <v>45877</v>
      </c>
      <c r="O12" s="1748">
        <v>45878</v>
      </c>
      <c r="P12" s="1748">
        <v>45879</v>
      </c>
      <c r="Q12" s="1748">
        <v>45880</v>
      </c>
      <c r="R12" s="1748">
        <v>45881</v>
      </c>
      <c r="S12" s="1748">
        <v>45882</v>
      </c>
      <c r="T12" s="1748">
        <v>45883</v>
      </c>
      <c r="U12" s="1748">
        <v>45884</v>
      </c>
      <c r="V12" s="1748">
        <v>45885</v>
      </c>
      <c r="W12" s="1748">
        <v>45886</v>
      </c>
      <c r="X12" s="1748">
        <v>45887</v>
      </c>
      <c r="Y12" s="1748">
        <v>45888</v>
      </c>
      <c r="Z12" s="1748">
        <v>45889</v>
      </c>
      <c r="AA12" s="1748">
        <v>45890</v>
      </c>
      <c r="AB12" s="1748">
        <v>45891</v>
      </c>
      <c r="AC12" s="1748">
        <v>45892</v>
      </c>
      <c r="AD12" s="1748">
        <v>45893</v>
      </c>
      <c r="AE12" s="1748">
        <v>45894</v>
      </c>
      <c r="AF12" s="1748">
        <v>45895</v>
      </c>
      <c r="AG12" s="1748">
        <v>45896</v>
      </c>
      <c r="AH12" s="1748">
        <v>45897</v>
      </c>
      <c r="AI12" s="1748">
        <v>45898</v>
      </c>
      <c r="AJ12" s="1748">
        <v>45899</v>
      </c>
      <c r="AK12" s="1749">
        <v>45900</v>
      </c>
      <c r="AL12" s="2433"/>
      <c r="AM12" s="2433"/>
      <c r="AN12" s="2433"/>
    </row>
    <row r="13" spans="2:40">
      <c r="B13" s="1750" t="s">
        <v>1773</v>
      </c>
      <c r="C13" s="1721" t="s">
        <v>1774</v>
      </c>
      <c r="D13" s="1721" t="s">
        <v>1775</v>
      </c>
      <c r="E13" s="1716">
        <f>COUNT($G13:$AK13)</f>
        <v>8</v>
      </c>
      <c r="F13" s="2434">
        <f>SUM($G13:$AK13)</f>
        <v>80</v>
      </c>
      <c r="G13" s="2435">
        <v>10</v>
      </c>
      <c r="H13" s="1722">
        <v>10</v>
      </c>
      <c r="I13" s="1722">
        <v>10</v>
      </c>
      <c r="J13" s="1722">
        <v>10</v>
      </c>
      <c r="K13" s="1722">
        <v>10</v>
      </c>
      <c r="L13" s="1732">
        <v>10</v>
      </c>
      <c r="M13" s="1722">
        <v>10</v>
      </c>
      <c r="N13" s="1722">
        <v>10</v>
      </c>
      <c r="O13" s="1732"/>
      <c r="P13" s="1724"/>
      <c r="Q13" s="1724"/>
      <c r="R13" s="1724"/>
      <c r="S13" s="1724"/>
      <c r="T13" s="1724"/>
      <c r="U13" s="1724"/>
      <c r="V13" s="1724"/>
      <c r="W13" s="1732"/>
      <c r="X13" s="1724"/>
      <c r="Y13" s="1724"/>
      <c r="Z13" s="1722"/>
      <c r="AA13" s="1722"/>
      <c r="AB13" s="1722"/>
      <c r="AC13" s="1722"/>
      <c r="AD13" s="1722"/>
      <c r="AE13" s="1722"/>
      <c r="AF13" s="1721"/>
      <c r="AG13" s="1722"/>
      <c r="AH13" s="1722"/>
      <c r="AI13" s="1722"/>
      <c r="AJ13" s="1716"/>
      <c r="AK13" s="1753"/>
      <c r="AL13" s="1732"/>
      <c r="AM13" s="1732"/>
      <c r="AN13" s="1732"/>
    </row>
    <row r="14" spans="2:40">
      <c r="B14" s="1736"/>
      <c r="C14" s="1752"/>
      <c r="D14" s="1715" t="s">
        <v>1776</v>
      </c>
      <c r="E14" s="1716">
        <f>COUNT($G14:$AK14)</f>
        <v>7</v>
      </c>
      <c r="F14" s="2434">
        <f>SUM($G14:$AK14)</f>
        <v>70</v>
      </c>
      <c r="G14" s="2436"/>
      <c r="H14" s="1711"/>
      <c r="I14" s="1711"/>
      <c r="J14" s="1711"/>
      <c r="K14" s="1711"/>
      <c r="L14" s="1711"/>
      <c r="M14" s="1711"/>
      <c r="N14" s="1711"/>
      <c r="O14" s="1711" t="s">
        <v>1777</v>
      </c>
      <c r="P14" s="1715">
        <v>10</v>
      </c>
      <c r="Q14" s="1711">
        <v>10</v>
      </c>
      <c r="R14" s="1711">
        <v>10</v>
      </c>
      <c r="S14" s="1711">
        <v>10</v>
      </c>
      <c r="T14" s="1711">
        <v>10</v>
      </c>
      <c r="U14" s="1711">
        <v>10</v>
      </c>
      <c r="V14" s="1715">
        <v>10</v>
      </c>
      <c r="W14" s="1715"/>
      <c r="X14" s="1711"/>
      <c r="Y14" s="1715"/>
      <c r="Z14" s="1711"/>
      <c r="AA14" s="1711"/>
      <c r="AB14" s="1711"/>
      <c r="AC14" s="1711"/>
      <c r="AD14" s="1711"/>
      <c r="AE14" s="1711"/>
      <c r="AF14" s="1732"/>
      <c r="AG14" s="1711"/>
      <c r="AH14" s="1711"/>
      <c r="AI14" s="1732"/>
      <c r="AJ14" s="1752"/>
      <c r="AK14" s="1753"/>
      <c r="AL14" s="1732"/>
      <c r="AM14" s="1732"/>
      <c r="AN14" s="1732"/>
    </row>
    <row r="15" spans="2:40">
      <c r="B15" s="1736"/>
      <c r="C15" s="1752" t="s">
        <v>1778</v>
      </c>
      <c r="D15" s="1752" t="s">
        <v>1779</v>
      </c>
      <c r="E15" s="1716">
        <f>COUNT($G15:$AK15)</f>
        <v>1</v>
      </c>
      <c r="F15" s="2434">
        <f>SUM($G15:$AK15)</f>
        <v>10</v>
      </c>
      <c r="G15" s="2436"/>
      <c r="H15" s="1711"/>
      <c r="I15" s="1711"/>
      <c r="J15" s="1711"/>
      <c r="K15" s="1711"/>
      <c r="L15" s="1711"/>
      <c r="M15" s="1711"/>
      <c r="N15" s="1711"/>
      <c r="O15" s="1711"/>
      <c r="P15" s="1722"/>
      <c r="Q15" s="1722"/>
      <c r="R15" s="1722"/>
      <c r="S15" s="1722"/>
      <c r="T15" s="1722"/>
      <c r="U15" s="1722"/>
      <c r="V15" s="1722"/>
      <c r="W15" s="1711" t="s">
        <v>1777</v>
      </c>
      <c r="X15" s="1711" t="s">
        <v>1780</v>
      </c>
      <c r="Y15" s="1711" t="s">
        <v>1781</v>
      </c>
      <c r="Z15" s="1711" t="s">
        <v>1781</v>
      </c>
      <c r="AA15" s="1711" t="s">
        <v>1781</v>
      </c>
      <c r="AB15" s="1711" t="s">
        <v>1781</v>
      </c>
      <c r="AC15" s="1711" t="s">
        <v>1781</v>
      </c>
      <c r="AD15" s="1711" t="s">
        <v>1781</v>
      </c>
      <c r="AE15" s="1711" t="s">
        <v>1781</v>
      </c>
      <c r="AF15" s="1715">
        <v>10</v>
      </c>
      <c r="AG15" s="1711"/>
      <c r="AH15" s="1711"/>
      <c r="AI15" s="1725"/>
      <c r="AJ15" s="1715"/>
      <c r="AK15" s="1753"/>
      <c r="AL15" s="1732"/>
      <c r="AM15" s="1732"/>
      <c r="AN15" s="1732"/>
    </row>
    <row r="16" spans="2:40" ht="15" thickBot="1">
      <c r="B16" s="1736"/>
      <c r="C16" s="1752"/>
      <c r="D16" s="1752" t="s">
        <v>1782</v>
      </c>
      <c r="E16" s="1716">
        <f>COUNT($G16:$AK16)</f>
        <v>4</v>
      </c>
      <c r="F16" s="2434">
        <f>SUM($G16:$AK16)</f>
        <v>40</v>
      </c>
      <c r="G16" s="2436"/>
      <c r="H16" s="1711"/>
      <c r="I16" s="1711"/>
      <c r="J16" s="1711"/>
      <c r="K16" s="1711"/>
      <c r="L16" s="1711"/>
      <c r="M16" s="1711"/>
      <c r="N16" s="1711"/>
      <c r="O16" s="1711"/>
      <c r="P16" s="1722"/>
      <c r="Q16" s="1722"/>
      <c r="R16" s="1722"/>
      <c r="S16" s="1722"/>
      <c r="T16" s="1722"/>
      <c r="U16" s="1722"/>
      <c r="V16" s="1722"/>
      <c r="W16" s="1732"/>
      <c r="X16" s="1724"/>
      <c r="Y16" s="1722"/>
      <c r="Z16" s="1711"/>
      <c r="AA16" s="1711"/>
      <c r="AB16" s="1711"/>
      <c r="AC16" s="1711"/>
      <c r="AD16" s="1715"/>
      <c r="AE16" s="1715"/>
      <c r="AF16" s="1711"/>
      <c r="AG16" s="1724" t="s">
        <v>1777</v>
      </c>
      <c r="AH16" s="1711">
        <v>10</v>
      </c>
      <c r="AI16" s="1724">
        <v>10</v>
      </c>
      <c r="AJ16" s="1724">
        <v>10</v>
      </c>
      <c r="AK16" s="1764">
        <v>10</v>
      </c>
      <c r="AL16" s="1732"/>
      <c r="AM16" s="1732"/>
      <c r="AN16" s="1732"/>
    </row>
    <row r="17" spans="1:40" ht="15" thickBot="1">
      <c r="A17" s="1732"/>
      <c r="B17" s="1755">
        <v>250</v>
      </c>
      <c r="C17" s="1756"/>
      <c r="D17" s="1756" t="s">
        <v>63</v>
      </c>
      <c r="E17" s="2437">
        <f>+SUM(E13:E16)</f>
        <v>20</v>
      </c>
      <c r="F17" s="2438">
        <f t="shared" ref="F17:O17" si="0">SUM(F13:F16)</f>
        <v>200</v>
      </c>
      <c r="G17" s="2439">
        <f t="shared" si="0"/>
        <v>10</v>
      </c>
      <c r="H17" s="1720">
        <f t="shared" si="0"/>
        <v>10</v>
      </c>
      <c r="I17" s="1720">
        <f t="shared" si="0"/>
        <v>10</v>
      </c>
      <c r="J17" s="1720">
        <f t="shared" si="0"/>
        <v>10</v>
      </c>
      <c r="K17" s="1720">
        <f t="shared" si="0"/>
        <v>10</v>
      </c>
      <c r="L17" s="1720">
        <f t="shared" si="0"/>
        <v>10</v>
      </c>
      <c r="M17" s="1720">
        <f t="shared" si="0"/>
        <v>10</v>
      </c>
      <c r="N17" s="1720">
        <f t="shared" si="0"/>
        <v>10</v>
      </c>
      <c r="O17" s="1720">
        <f t="shared" si="0"/>
        <v>0</v>
      </c>
      <c r="P17" s="1720">
        <f>SUM(P14:P16)</f>
        <v>10</v>
      </c>
      <c r="Q17" s="1720">
        <f>SUM(Q14:Q16)</f>
        <v>10</v>
      </c>
      <c r="R17" s="1720">
        <f>SUM(R14:R16)</f>
        <v>10</v>
      </c>
      <c r="S17" s="1720">
        <f>SUM(S14:S16)</f>
        <v>10</v>
      </c>
      <c r="T17" s="1720">
        <f>SUM(T13:T16)</f>
        <v>10</v>
      </c>
      <c r="U17" s="1720">
        <f>SUM(U13:U16)</f>
        <v>10</v>
      </c>
      <c r="V17" s="1720">
        <f>SUM(V13:V16)</f>
        <v>10</v>
      </c>
      <c r="W17" s="1720">
        <f>SUM(W13:W16)</f>
        <v>0</v>
      </c>
      <c r="X17" s="1720">
        <f>SUM(X13:X16)</f>
        <v>0</v>
      </c>
      <c r="Y17" s="1720">
        <f>SUM(Y14:Y16)</f>
        <v>0</v>
      </c>
      <c r="Z17" s="1720">
        <f t="shared" ref="Z17:AK17" si="1">SUM(Z13:Z16)</f>
        <v>0</v>
      </c>
      <c r="AA17" s="1720">
        <f t="shared" si="1"/>
        <v>0</v>
      </c>
      <c r="AB17" s="1720">
        <f t="shared" si="1"/>
        <v>0</v>
      </c>
      <c r="AC17" s="1720">
        <f t="shared" si="1"/>
        <v>0</v>
      </c>
      <c r="AD17" s="1720">
        <f t="shared" si="1"/>
        <v>0</v>
      </c>
      <c r="AE17" s="1720">
        <f t="shared" si="1"/>
        <v>0</v>
      </c>
      <c r="AF17" s="1720">
        <f t="shared" si="1"/>
        <v>10</v>
      </c>
      <c r="AG17" s="1720">
        <f t="shared" si="1"/>
        <v>0</v>
      </c>
      <c r="AH17" s="1757">
        <f t="shared" si="1"/>
        <v>10</v>
      </c>
      <c r="AI17" s="2439">
        <f t="shared" si="1"/>
        <v>10</v>
      </c>
      <c r="AJ17" s="1757">
        <f t="shared" si="1"/>
        <v>10</v>
      </c>
      <c r="AK17" s="2440">
        <f t="shared" si="1"/>
        <v>10</v>
      </c>
      <c r="AL17" s="1732"/>
      <c r="AM17" s="1732"/>
      <c r="AN17" s="1732"/>
    </row>
    <row r="18" spans="1:40">
      <c r="A18" s="1732"/>
      <c r="B18" s="1750" t="s">
        <v>1783</v>
      </c>
      <c r="C18" s="1759" t="s">
        <v>1784</v>
      </c>
      <c r="D18" s="1721" t="s">
        <v>1785</v>
      </c>
      <c r="E18" s="1722">
        <f>+COUNT(G18:J18)</f>
        <v>4</v>
      </c>
      <c r="F18" s="2434">
        <f>SUM($G$18:$AJ$18)</f>
        <v>32</v>
      </c>
      <c r="G18" s="2436">
        <v>8</v>
      </c>
      <c r="H18" s="1711">
        <v>8</v>
      </c>
      <c r="I18" s="1711">
        <v>8</v>
      </c>
      <c r="J18" s="1711">
        <v>8</v>
      </c>
      <c r="K18" s="1711"/>
      <c r="L18" s="1711"/>
      <c r="M18" s="1732"/>
      <c r="N18" s="1711"/>
      <c r="O18" s="1711"/>
      <c r="P18" s="1711"/>
      <c r="Q18" s="1711"/>
      <c r="R18" s="1711"/>
      <c r="S18" s="1711"/>
      <c r="T18" s="1711"/>
      <c r="U18" s="1711"/>
      <c r="V18" s="1711"/>
      <c r="W18" s="1725"/>
      <c r="X18" s="1753"/>
      <c r="Y18" s="1722"/>
      <c r="Z18" s="1722"/>
      <c r="AA18" s="1722"/>
      <c r="AB18" s="1722"/>
      <c r="AC18" s="1722"/>
      <c r="AD18" s="1722"/>
      <c r="AE18" s="1722"/>
      <c r="AF18" s="1722"/>
      <c r="AG18" s="1722"/>
      <c r="AH18" s="1722"/>
      <c r="AI18" s="1722"/>
      <c r="AJ18" s="1716"/>
      <c r="AK18" s="1753"/>
      <c r="AL18" s="1732"/>
      <c r="AM18" s="1732"/>
      <c r="AN18" s="1732"/>
    </row>
    <row r="19" spans="1:40">
      <c r="A19" s="1732"/>
      <c r="B19" s="1736"/>
      <c r="C19" s="1759"/>
      <c r="D19" s="1721" t="s">
        <v>1786</v>
      </c>
      <c r="E19" s="1722">
        <f>+COUNT(K19:P19)</f>
        <v>4</v>
      </c>
      <c r="F19" s="2434">
        <f>SUM($G$19:$AJ$19)</f>
        <v>32</v>
      </c>
      <c r="G19" s="1736"/>
      <c r="H19" s="1711"/>
      <c r="I19" s="1711"/>
      <c r="J19" s="1711"/>
      <c r="K19" s="1711" t="s">
        <v>1780</v>
      </c>
      <c r="L19" s="1711" t="s">
        <v>1780</v>
      </c>
      <c r="M19" s="1711">
        <v>8</v>
      </c>
      <c r="N19" s="1711">
        <v>8</v>
      </c>
      <c r="O19" s="1711">
        <v>8</v>
      </c>
      <c r="P19" s="1711">
        <v>8</v>
      </c>
      <c r="Q19" s="1732"/>
      <c r="R19" s="1711"/>
      <c r="S19" s="1711"/>
      <c r="T19" s="1719"/>
      <c r="U19" s="1719"/>
      <c r="V19" s="1711"/>
      <c r="W19" s="1711"/>
      <c r="X19" s="1715"/>
      <c r="Y19" s="1715"/>
      <c r="Z19" s="1715"/>
      <c r="AA19" s="1715"/>
      <c r="AB19" s="1715"/>
      <c r="AC19" s="1715"/>
      <c r="AD19" s="1715"/>
      <c r="AE19" s="1715"/>
      <c r="AF19" s="1715"/>
      <c r="AG19" s="1715"/>
      <c r="AH19" s="1715"/>
      <c r="AI19" s="1715"/>
      <c r="AJ19" s="1715"/>
      <c r="AK19" s="1753"/>
      <c r="AL19" s="1732"/>
      <c r="AM19" s="1732"/>
      <c r="AN19" s="1732"/>
    </row>
    <row r="20" spans="1:40">
      <c r="A20" s="1732"/>
      <c r="B20" s="1736"/>
      <c r="C20" s="1759" t="s">
        <v>1787</v>
      </c>
      <c r="D20" s="1721" t="s">
        <v>1788</v>
      </c>
      <c r="E20" s="1722">
        <f>+COUNT(Q20:T20)</f>
        <v>3</v>
      </c>
      <c r="F20" s="2434">
        <f>SUM($P$20:$AF$20)</f>
        <v>24</v>
      </c>
      <c r="G20" s="1736"/>
      <c r="H20" s="1711"/>
      <c r="I20" s="1711"/>
      <c r="J20" s="1711"/>
      <c r="K20" s="1711"/>
      <c r="L20" s="1711"/>
      <c r="M20" s="1711"/>
      <c r="N20" s="1711"/>
      <c r="O20" s="1711"/>
      <c r="P20" s="1711"/>
      <c r="Q20" s="1719" t="s">
        <v>1777</v>
      </c>
      <c r="R20" s="1711">
        <v>8</v>
      </c>
      <c r="S20" s="1725">
        <v>8</v>
      </c>
      <c r="T20" s="1711">
        <v>8</v>
      </c>
      <c r="U20" s="1711"/>
      <c r="V20" s="1711"/>
      <c r="W20" s="1711"/>
      <c r="X20" s="1715"/>
      <c r="Y20" s="1715"/>
      <c r="Z20" s="1715"/>
      <c r="AA20" s="1715"/>
      <c r="AB20" s="1715"/>
      <c r="AC20" s="1715"/>
      <c r="AD20" s="1715" t="s">
        <v>195</v>
      </c>
      <c r="AE20" s="1715"/>
      <c r="AF20" s="1715"/>
      <c r="AG20" s="1715"/>
      <c r="AH20" s="1715"/>
      <c r="AI20" s="1715"/>
      <c r="AJ20" s="1715"/>
      <c r="AK20" s="1753"/>
      <c r="AL20" s="1732"/>
      <c r="AM20" s="1732"/>
      <c r="AN20" s="1732"/>
    </row>
    <row r="21" spans="1:40">
      <c r="A21" s="1732"/>
      <c r="B21" s="1736"/>
      <c r="C21" s="1759" t="s">
        <v>1789</v>
      </c>
      <c r="D21" s="1721" t="s">
        <v>1790</v>
      </c>
      <c r="E21" s="1722">
        <f>+COUNT(U21:X21)</f>
        <v>4</v>
      </c>
      <c r="F21" s="2434">
        <f>SUM($U$21:$AG$21)</f>
        <v>32</v>
      </c>
      <c r="G21" s="1736"/>
      <c r="H21" s="1719"/>
      <c r="I21" s="1719"/>
      <c r="J21" s="1719"/>
      <c r="K21" s="1719"/>
      <c r="L21" s="1719"/>
      <c r="M21" s="1719"/>
      <c r="N21" s="1719"/>
      <c r="O21" s="1719"/>
      <c r="P21" s="1719"/>
      <c r="Q21" s="1719"/>
      <c r="R21" s="1719"/>
      <c r="S21" s="1763"/>
      <c r="T21" s="1711"/>
      <c r="U21" s="1711">
        <v>8</v>
      </c>
      <c r="V21" s="1711">
        <v>8</v>
      </c>
      <c r="W21" s="1715">
        <v>8</v>
      </c>
      <c r="X21" s="1715">
        <v>8</v>
      </c>
      <c r="Y21" s="1715"/>
      <c r="Z21" s="1715"/>
      <c r="AA21" s="1715"/>
      <c r="AB21" s="1715"/>
      <c r="AC21" s="1715"/>
      <c r="AD21" s="1715"/>
      <c r="AE21" s="1715"/>
      <c r="AF21" s="1715"/>
      <c r="AG21" s="1715"/>
      <c r="AH21" s="1715"/>
      <c r="AI21" s="1715"/>
      <c r="AJ21" s="1715"/>
      <c r="AK21" s="1753"/>
      <c r="AL21" s="1732"/>
      <c r="AM21" s="1732"/>
      <c r="AN21" s="1732"/>
    </row>
    <row r="22" spans="1:40">
      <c r="A22" s="1732"/>
      <c r="B22" s="1760"/>
      <c r="C22" s="1761"/>
      <c r="D22" s="1721" t="s">
        <v>1791</v>
      </c>
      <c r="E22" s="1722">
        <f>+COUNT(Y22:AE22)</f>
        <v>4</v>
      </c>
      <c r="F22" s="2434">
        <f>SUM($Y$22:$AI$22)</f>
        <v>32</v>
      </c>
      <c r="G22" s="1736"/>
      <c r="H22" s="1719"/>
      <c r="I22" s="1719"/>
      <c r="J22" s="1719"/>
      <c r="K22" s="1719"/>
      <c r="L22" s="1719"/>
      <c r="M22" s="1719"/>
      <c r="N22" s="1719"/>
      <c r="O22" s="1719"/>
      <c r="P22" s="1719"/>
      <c r="Q22" s="1719"/>
      <c r="R22" s="1719"/>
      <c r="S22" s="1711"/>
      <c r="T22" s="1711"/>
      <c r="U22" s="1711"/>
      <c r="V22" s="1711"/>
      <c r="W22" s="1715"/>
      <c r="X22" s="1715"/>
      <c r="Y22" s="1711" t="s">
        <v>1777</v>
      </c>
      <c r="Z22" s="1711">
        <v>8</v>
      </c>
      <c r="AA22" s="1711">
        <v>8</v>
      </c>
      <c r="AB22" s="1711">
        <v>8</v>
      </c>
      <c r="AC22" s="1715">
        <v>8</v>
      </c>
      <c r="AD22" s="1715"/>
      <c r="AE22" s="1715"/>
      <c r="AF22" s="1715"/>
      <c r="AG22" s="1715"/>
      <c r="AH22" s="1715"/>
      <c r="AI22" s="1715"/>
      <c r="AJ22" s="1715"/>
      <c r="AK22" s="1753"/>
      <c r="AL22" s="1732"/>
      <c r="AM22" s="1732"/>
      <c r="AN22" s="1732"/>
    </row>
    <row r="23" spans="1:40">
      <c r="A23" s="1732"/>
      <c r="B23" s="1760"/>
      <c r="C23" s="1761"/>
      <c r="D23" s="1721" t="s">
        <v>1792</v>
      </c>
      <c r="E23" s="1722">
        <f>+COUNT(AD23:AH23)</f>
        <v>4</v>
      </c>
      <c r="F23" s="2434">
        <f>SUM($AD$23:$AK$23)</f>
        <v>32</v>
      </c>
      <c r="G23" s="1760"/>
      <c r="H23" s="1719"/>
      <c r="I23" s="1719"/>
      <c r="J23" s="1719"/>
      <c r="K23" s="1719"/>
      <c r="L23" s="1719"/>
      <c r="M23" s="1719"/>
      <c r="N23" s="1719"/>
      <c r="O23" s="1719"/>
      <c r="P23" s="1719"/>
      <c r="Q23" s="1719"/>
      <c r="R23" s="1719"/>
      <c r="S23" s="1711"/>
      <c r="T23" s="1711"/>
      <c r="U23" s="1711"/>
      <c r="V23" s="1711"/>
      <c r="W23" s="1715"/>
      <c r="X23" s="1715"/>
      <c r="Y23" s="1711"/>
      <c r="Z23" s="1711"/>
      <c r="AA23" s="1711"/>
      <c r="AB23" s="1711"/>
      <c r="AC23" s="1711"/>
      <c r="AD23" s="1711">
        <v>8</v>
      </c>
      <c r="AE23" s="1711">
        <v>8</v>
      </c>
      <c r="AF23" s="1711">
        <v>8</v>
      </c>
      <c r="AG23" s="1711">
        <v>8</v>
      </c>
      <c r="AH23" s="1715"/>
      <c r="AI23" s="1715"/>
      <c r="AJ23" s="1715"/>
      <c r="AK23" s="1715"/>
      <c r="AL23" s="1732"/>
      <c r="AM23" s="1732"/>
      <c r="AN23" s="1732"/>
    </row>
    <row r="24" spans="1:40" ht="15" thickBot="1">
      <c r="A24" s="1732"/>
      <c r="B24" s="1760"/>
      <c r="C24" s="1761"/>
      <c r="D24" s="1721" t="s">
        <v>1793</v>
      </c>
      <c r="E24" s="1722">
        <f>+COUNT(AH24:AK24)</f>
        <v>4</v>
      </c>
      <c r="F24" s="2434">
        <f>SUM($AH$24:$AK$24)</f>
        <v>32</v>
      </c>
      <c r="G24" s="2441"/>
      <c r="H24" s="1719"/>
      <c r="I24" s="1719"/>
      <c r="J24" s="1719"/>
      <c r="K24" s="1719"/>
      <c r="L24" s="1719"/>
      <c r="M24" s="1719"/>
      <c r="N24" s="1719"/>
      <c r="O24" s="1719"/>
      <c r="P24" s="1719"/>
      <c r="Q24" s="1719"/>
      <c r="R24" s="1719"/>
      <c r="S24" s="1724"/>
      <c r="T24" s="1724"/>
      <c r="U24" s="1715"/>
      <c r="V24" s="1715"/>
      <c r="W24" s="1715"/>
      <c r="X24" s="1715"/>
      <c r="Y24" s="1715"/>
      <c r="Z24" s="1715"/>
      <c r="AA24" s="1715"/>
      <c r="AB24" s="1715"/>
      <c r="AC24" s="1715"/>
      <c r="AD24" s="1715"/>
      <c r="AE24" s="1715"/>
      <c r="AF24" s="1715"/>
      <c r="AG24" s="1715"/>
      <c r="AH24" s="1711">
        <v>8</v>
      </c>
      <c r="AI24" s="1711">
        <v>8</v>
      </c>
      <c r="AJ24" s="1715">
        <v>8</v>
      </c>
      <c r="AK24" s="1715">
        <v>8</v>
      </c>
      <c r="AL24" s="1732"/>
      <c r="AM24" s="1732"/>
      <c r="AN24" s="1732"/>
    </row>
    <row r="25" spans="1:40" s="1732" customFormat="1" ht="15" thickBot="1">
      <c r="B25" s="1755">
        <v>200</v>
      </c>
      <c r="C25" s="1756"/>
      <c r="D25" s="1756" t="s">
        <v>63</v>
      </c>
      <c r="E25" s="2437">
        <f t="shared" ref="E25:T25" si="2">SUM(E18:E24)</f>
        <v>27</v>
      </c>
      <c r="F25" s="1778">
        <f t="shared" si="2"/>
        <v>216</v>
      </c>
      <c r="G25" s="2439">
        <f t="shared" si="2"/>
        <v>8</v>
      </c>
      <c r="H25" s="1720">
        <f t="shared" si="2"/>
        <v>8</v>
      </c>
      <c r="I25" s="1720">
        <f t="shared" si="2"/>
        <v>8</v>
      </c>
      <c r="J25" s="1720">
        <f t="shared" si="2"/>
        <v>8</v>
      </c>
      <c r="K25" s="1720">
        <f t="shared" si="2"/>
        <v>0</v>
      </c>
      <c r="L25" s="1720">
        <f t="shared" si="2"/>
        <v>0</v>
      </c>
      <c r="M25" s="1720">
        <f t="shared" si="2"/>
        <v>8</v>
      </c>
      <c r="N25" s="1720">
        <f t="shared" si="2"/>
        <v>8</v>
      </c>
      <c r="O25" s="1720">
        <f t="shared" si="2"/>
        <v>8</v>
      </c>
      <c r="P25" s="1720">
        <f t="shared" si="2"/>
        <v>8</v>
      </c>
      <c r="Q25" s="1720">
        <f t="shared" si="2"/>
        <v>0</v>
      </c>
      <c r="R25" s="1720">
        <f t="shared" si="2"/>
        <v>8</v>
      </c>
      <c r="S25" s="1720">
        <f t="shared" si="2"/>
        <v>8</v>
      </c>
      <c r="T25" s="1720">
        <f t="shared" si="2"/>
        <v>8</v>
      </c>
      <c r="U25" s="2442">
        <f>SUM(H18:H21)</f>
        <v>8</v>
      </c>
      <c r="V25" s="2442">
        <f>SUM(V20:V23)</f>
        <v>8</v>
      </c>
      <c r="W25" s="2442">
        <f>SUM(J18:J21)</f>
        <v>8</v>
      </c>
      <c r="X25" s="2442">
        <f t="shared" ref="X25:AK25" si="3">SUM(X18:X24)</f>
        <v>8</v>
      </c>
      <c r="Y25" s="2442">
        <f t="shared" si="3"/>
        <v>0</v>
      </c>
      <c r="Z25" s="2442">
        <f t="shared" si="3"/>
        <v>8</v>
      </c>
      <c r="AA25" s="2442">
        <f t="shared" si="3"/>
        <v>8</v>
      </c>
      <c r="AB25" s="2442">
        <f t="shared" si="3"/>
        <v>8</v>
      </c>
      <c r="AC25" s="2442">
        <f t="shared" si="3"/>
        <v>8</v>
      </c>
      <c r="AD25" s="2442">
        <f t="shared" si="3"/>
        <v>8</v>
      </c>
      <c r="AE25" s="2442">
        <f t="shared" si="3"/>
        <v>8</v>
      </c>
      <c r="AF25" s="2442">
        <f t="shared" si="3"/>
        <v>8</v>
      </c>
      <c r="AG25" s="2442">
        <f t="shared" si="3"/>
        <v>8</v>
      </c>
      <c r="AH25" s="2442">
        <f t="shared" si="3"/>
        <v>8</v>
      </c>
      <c r="AI25" s="2442">
        <f t="shared" si="3"/>
        <v>8</v>
      </c>
      <c r="AJ25" s="2442">
        <f t="shared" si="3"/>
        <v>8</v>
      </c>
      <c r="AK25" s="2443">
        <f t="shared" si="3"/>
        <v>8</v>
      </c>
      <c r="AL25" s="1729"/>
      <c r="AM25" s="1729"/>
      <c r="AN25" s="1729"/>
    </row>
    <row r="26" spans="1:40">
      <c r="A26" s="1732"/>
      <c r="B26" s="1750" t="s">
        <v>1794</v>
      </c>
      <c r="C26" s="1779" t="s">
        <v>1795</v>
      </c>
      <c r="D26" s="1721" t="s">
        <v>1796</v>
      </c>
      <c r="E26" s="1722">
        <f>+COUNT(G26:AK26)</f>
        <v>1</v>
      </c>
      <c r="F26" s="1773">
        <f>SUM(G26:AK26)</f>
        <v>10</v>
      </c>
      <c r="G26" s="2435" t="s">
        <v>1780</v>
      </c>
      <c r="H26" s="2444" t="s">
        <v>1797</v>
      </c>
      <c r="I26" s="2444" t="s">
        <v>1797</v>
      </c>
      <c r="J26" s="1722">
        <v>10</v>
      </c>
      <c r="K26" s="1722"/>
      <c r="L26" s="1722"/>
      <c r="M26" s="1722"/>
      <c r="N26" s="1722"/>
      <c r="O26" s="1722"/>
      <c r="P26" s="1722"/>
      <c r="Q26" s="1722"/>
      <c r="R26" s="1722"/>
      <c r="S26" s="1722"/>
      <c r="T26" s="1722"/>
      <c r="U26" s="1722"/>
      <c r="V26" s="1722"/>
      <c r="W26" s="1722"/>
      <c r="X26" s="1722"/>
      <c r="Y26" s="1722"/>
      <c r="Z26" s="1722"/>
      <c r="AA26" s="1722"/>
      <c r="AB26" s="1722"/>
      <c r="AC26" s="1722"/>
      <c r="AD26" s="1722"/>
      <c r="AE26" s="1722"/>
      <c r="AF26" s="1722"/>
      <c r="AG26" s="1722"/>
      <c r="AH26" s="1722"/>
      <c r="AI26" s="1722"/>
      <c r="AJ26" s="1722"/>
      <c r="AK26" s="1751"/>
      <c r="AL26" s="1732"/>
      <c r="AM26" s="1732"/>
      <c r="AN26" s="1732"/>
    </row>
    <row r="27" spans="1:40">
      <c r="A27" s="1732"/>
      <c r="B27" s="1736"/>
      <c r="C27" s="1780"/>
      <c r="D27" s="1715" t="s">
        <v>1798</v>
      </c>
      <c r="E27" s="1711">
        <f>+COUNT(G27:AK27)</f>
        <v>3</v>
      </c>
      <c r="F27" s="1773">
        <f>SUM(G27:AK27)</f>
        <v>30</v>
      </c>
      <c r="G27" s="2436"/>
      <c r="H27" s="1711"/>
      <c r="I27" s="1775"/>
      <c r="J27" s="1711"/>
      <c r="K27" s="1711">
        <v>10</v>
      </c>
      <c r="L27" s="1711">
        <v>10</v>
      </c>
      <c r="M27" s="1711">
        <v>10</v>
      </c>
      <c r="N27" s="1711"/>
      <c r="O27" s="1715"/>
      <c r="P27" s="1715"/>
      <c r="Q27" s="1715"/>
      <c r="R27" s="1715"/>
      <c r="S27" s="1711"/>
      <c r="T27" s="1711"/>
      <c r="U27" s="1711"/>
      <c r="V27" s="1711"/>
      <c r="W27" s="1711"/>
      <c r="X27" s="1711"/>
      <c r="Y27" s="1711"/>
      <c r="Z27" s="1711"/>
      <c r="AA27" s="1711"/>
      <c r="AB27" s="1711"/>
      <c r="AC27" s="1711"/>
      <c r="AD27" s="1711"/>
      <c r="AE27" s="1711"/>
      <c r="AF27" s="1711"/>
      <c r="AG27" s="1711"/>
      <c r="AH27" s="1711"/>
      <c r="AI27" s="1711"/>
      <c r="AJ27" s="1711"/>
      <c r="AK27" s="1753"/>
      <c r="AL27" s="1732"/>
      <c r="AM27" s="1732"/>
      <c r="AN27" s="1732"/>
    </row>
    <row r="28" spans="1:40">
      <c r="A28" s="1732"/>
      <c r="B28" s="1760"/>
      <c r="C28" s="1781"/>
      <c r="D28" s="1715" t="s">
        <v>1799</v>
      </c>
      <c r="E28" s="1711">
        <f>+COUNT(G28:AK28)</f>
        <v>6</v>
      </c>
      <c r="F28" s="1773">
        <f>SUM(G28:AK28)</f>
        <v>60</v>
      </c>
      <c r="G28" s="2436"/>
      <c r="H28" s="1711"/>
      <c r="I28" s="1775"/>
      <c r="J28" s="1711"/>
      <c r="K28" s="1711"/>
      <c r="L28" s="1711"/>
      <c r="M28" s="1711"/>
      <c r="N28" s="1711" t="s">
        <v>1777</v>
      </c>
      <c r="O28" s="1711">
        <v>10</v>
      </c>
      <c r="P28" s="1711">
        <v>10</v>
      </c>
      <c r="Q28" s="1711">
        <v>10</v>
      </c>
      <c r="R28" s="1711">
        <v>10</v>
      </c>
      <c r="S28" s="1711">
        <v>10</v>
      </c>
      <c r="T28" s="1711">
        <v>10</v>
      </c>
      <c r="U28" s="1715"/>
      <c r="V28" s="1711"/>
      <c r="W28" s="1711"/>
      <c r="X28" s="1711"/>
      <c r="Y28" s="1711"/>
      <c r="Z28" s="1711"/>
      <c r="AA28" s="1715"/>
      <c r="AB28" s="1711"/>
      <c r="AC28" s="1711"/>
      <c r="AD28" s="1711"/>
      <c r="AE28" s="1711"/>
      <c r="AF28" s="1711"/>
      <c r="AG28" s="1711"/>
      <c r="AH28" s="1711"/>
      <c r="AI28" s="1711"/>
      <c r="AJ28" s="1711"/>
      <c r="AK28" s="1712"/>
      <c r="AL28" s="1732"/>
      <c r="AM28" s="1732"/>
      <c r="AN28" s="1732"/>
    </row>
    <row r="29" spans="1:40">
      <c r="A29" s="1732"/>
      <c r="B29" s="1760"/>
      <c r="C29" s="1781"/>
      <c r="D29" s="1715" t="s">
        <v>1800</v>
      </c>
      <c r="E29" s="1719">
        <f>+COUNT(G29:AJ29)</f>
        <v>6</v>
      </c>
      <c r="F29" s="1782">
        <f>SUM(G29:AJ29)</f>
        <v>60</v>
      </c>
      <c r="G29" s="2436"/>
      <c r="H29" s="1711"/>
      <c r="I29" s="1775"/>
      <c r="J29" s="1711"/>
      <c r="K29" s="1711"/>
      <c r="L29" s="1711"/>
      <c r="M29" s="1711"/>
      <c r="N29" s="1711"/>
      <c r="O29" s="1711"/>
      <c r="P29" s="1711"/>
      <c r="Q29" s="1711"/>
      <c r="R29" s="1711"/>
      <c r="S29" s="1711"/>
      <c r="T29" s="1711"/>
      <c r="U29" s="1711" t="s">
        <v>1777</v>
      </c>
      <c r="V29" s="1711">
        <v>10</v>
      </c>
      <c r="W29" s="1711">
        <v>10</v>
      </c>
      <c r="X29" s="1711">
        <v>10</v>
      </c>
      <c r="Y29" s="1711">
        <v>10</v>
      </c>
      <c r="Z29" s="1711">
        <v>10</v>
      </c>
      <c r="AA29" s="1711">
        <v>10</v>
      </c>
      <c r="AB29" s="1711"/>
      <c r="AC29" s="1711"/>
      <c r="AD29" s="1711"/>
      <c r="AE29" s="1711"/>
      <c r="AF29" s="1711"/>
      <c r="AG29" s="1711"/>
      <c r="AH29" s="1711"/>
      <c r="AI29" s="1711"/>
      <c r="AJ29" s="1711"/>
      <c r="AK29" s="1753"/>
      <c r="AL29" s="1732"/>
      <c r="AM29" s="1732"/>
      <c r="AN29" s="1732"/>
    </row>
    <row r="30" spans="1:40">
      <c r="A30" s="1732"/>
      <c r="B30" s="1760"/>
      <c r="C30" s="1781"/>
      <c r="D30" s="1715" t="s">
        <v>1801</v>
      </c>
      <c r="E30" s="1719">
        <f>+COUNT(G30:AJ30)</f>
        <v>3</v>
      </c>
      <c r="F30" s="1782">
        <f>SUM(G30:AJ30)</f>
        <v>30</v>
      </c>
      <c r="G30" s="2436"/>
      <c r="H30" s="1711"/>
      <c r="I30" s="1711"/>
      <c r="J30" s="1711"/>
      <c r="K30" s="1711"/>
      <c r="L30" s="1711"/>
      <c r="M30" s="1711"/>
      <c r="N30" s="1711"/>
      <c r="O30" s="1711"/>
      <c r="P30" s="1711"/>
      <c r="Q30" s="1711"/>
      <c r="R30" s="1711"/>
      <c r="S30" s="1711"/>
      <c r="T30" s="1711"/>
      <c r="U30" s="1715"/>
      <c r="V30" s="1711"/>
      <c r="W30" s="1775"/>
      <c r="X30" s="1711"/>
      <c r="Y30" s="1715"/>
      <c r="Z30" s="1711"/>
      <c r="AA30" s="1711"/>
      <c r="AB30" s="1711">
        <v>10</v>
      </c>
      <c r="AC30" s="1775">
        <v>10</v>
      </c>
      <c r="AD30" s="1711">
        <v>10</v>
      </c>
      <c r="AE30" s="1711"/>
      <c r="AF30" s="1711"/>
      <c r="AG30" s="1711"/>
      <c r="AH30" s="1711"/>
      <c r="AI30" s="1711"/>
      <c r="AJ30" s="1711"/>
      <c r="AK30" s="1753"/>
      <c r="AL30" s="1732"/>
      <c r="AM30" s="1732"/>
      <c r="AN30" s="1732"/>
    </row>
    <row r="31" spans="1:40" ht="15" thickBot="1">
      <c r="A31" s="1732"/>
      <c r="B31" s="1736"/>
      <c r="C31" s="1715"/>
      <c r="D31" s="1715" t="s">
        <v>1802</v>
      </c>
      <c r="E31" s="1711">
        <f>+COUNT(G31:AJ31)</f>
        <v>5</v>
      </c>
      <c r="F31" s="1739">
        <f>SUM(G31:AJ31)</f>
        <v>50</v>
      </c>
      <c r="G31" s="2436"/>
      <c r="H31" s="1711"/>
      <c r="I31" s="1711"/>
      <c r="J31" s="1711"/>
      <c r="K31" s="1711"/>
      <c r="L31" s="1711"/>
      <c r="M31" s="1711"/>
      <c r="N31" s="1711"/>
      <c r="O31" s="1711"/>
      <c r="P31" s="1711"/>
      <c r="Q31" s="1711"/>
      <c r="R31" s="1711"/>
      <c r="S31" s="1711"/>
      <c r="T31" s="1711"/>
      <c r="U31" s="1711"/>
      <c r="V31" s="1711"/>
      <c r="W31" s="1711"/>
      <c r="X31" s="1711"/>
      <c r="Y31" s="1711"/>
      <c r="Z31" s="1711"/>
      <c r="AA31" s="1711"/>
      <c r="AB31" s="1711"/>
      <c r="AC31" s="1711"/>
      <c r="AD31" s="1711"/>
      <c r="AE31" s="1711">
        <v>10</v>
      </c>
      <c r="AF31" s="1711">
        <v>10</v>
      </c>
      <c r="AG31" s="1711">
        <v>10</v>
      </c>
      <c r="AH31" s="1711">
        <v>10</v>
      </c>
      <c r="AI31" s="1711">
        <v>10</v>
      </c>
      <c r="AJ31" s="1711" t="s">
        <v>1777</v>
      </c>
      <c r="AK31" s="1712" t="s">
        <v>1780</v>
      </c>
      <c r="AL31" s="1729"/>
      <c r="AM31" s="1729"/>
      <c r="AN31" s="1729"/>
    </row>
    <row r="32" spans="1:40" ht="15" thickBot="1">
      <c r="A32" s="1732"/>
      <c r="B32" s="1755">
        <v>250</v>
      </c>
      <c r="C32" s="1756"/>
      <c r="D32" s="1756" t="s">
        <v>63</v>
      </c>
      <c r="E32" s="2437">
        <f ca="1">SUM(E26:E38)</f>
        <v>0</v>
      </c>
      <c r="F32" s="1778">
        <f t="shared" ref="F32:AK32" si="4">SUM(F26:F31)</f>
        <v>240</v>
      </c>
      <c r="G32" s="2445">
        <f t="shared" si="4"/>
        <v>0</v>
      </c>
      <c r="H32" s="2442">
        <f t="shared" si="4"/>
        <v>0</v>
      </c>
      <c r="I32" s="2442">
        <f t="shared" si="4"/>
        <v>0</v>
      </c>
      <c r="J32" s="2442">
        <f t="shared" si="4"/>
        <v>10</v>
      </c>
      <c r="K32" s="2442">
        <f t="shared" si="4"/>
        <v>10</v>
      </c>
      <c r="L32" s="2442">
        <f t="shared" si="4"/>
        <v>10</v>
      </c>
      <c r="M32" s="2442">
        <f t="shared" si="4"/>
        <v>10</v>
      </c>
      <c r="N32" s="2442">
        <f t="shared" si="4"/>
        <v>0</v>
      </c>
      <c r="O32" s="2442">
        <f t="shared" si="4"/>
        <v>10</v>
      </c>
      <c r="P32" s="2442">
        <f t="shared" si="4"/>
        <v>10</v>
      </c>
      <c r="Q32" s="2442">
        <f t="shared" si="4"/>
        <v>10</v>
      </c>
      <c r="R32" s="2442">
        <f t="shared" si="4"/>
        <v>10</v>
      </c>
      <c r="S32" s="2442">
        <f t="shared" si="4"/>
        <v>10</v>
      </c>
      <c r="T32" s="2442">
        <f t="shared" si="4"/>
        <v>10</v>
      </c>
      <c r="U32" s="2442">
        <f t="shared" si="4"/>
        <v>0</v>
      </c>
      <c r="V32" s="2442">
        <f t="shared" si="4"/>
        <v>10</v>
      </c>
      <c r="W32" s="2442">
        <f t="shared" si="4"/>
        <v>10</v>
      </c>
      <c r="X32" s="2442">
        <f t="shared" si="4"/>
        <v>10</v>
      </c>
      <c r="Y32" s="2442">
        <f t="shared" si="4"/>
        <v>10</v>
      </c>
      <c r="Z32" s="2442">
        <f t="shared" si="4"/>
        <v>10</v>
      </c>
      <c r="AA32" s="2442">
        <f t="shared" si="4"/>
        <v>10</v>
      </c>
      <c r="AB32" s="2442">
        <f t="shared" si="4"/>
        <v>10</v>
      </c>
      <c r="AC32" s="2442">
        <f t="shared" si="4"/>
        <v>10</v>
      </c>
      <c r="AD32" s="2442">
        <f t="shared" si="4"/>
        <v>10</v>
      </c>
      <c r="AE32" s="2442">
        <f t="shared" si="4"/>
        <v>10</v>
      </c>
      <c r="AF32" s="2442">
        <f t="shared" si="4"/>
        <v>10</v>
      </c>
      <c r="AG32" s="2442">
        <f t="shared" si="4"/>
        <v>10</v>
      </c>
      <c r="AH32" s="2442">
        <f t="shared" si="4"/>
        <v>10</v>
      </c>
      <c r="AI32" s="2442">
        <f t="shared" si="4"/>
        <v>10</v>
      </c>
      <c r="AJ32" s="2446">
        <f t="shared" si="4"/>
        <v>0</v>
      </c>
      <c r="AK32" s="2443">
        <f t="shared" si="4"/>
        <v>0</v>
      </c>
      <c r="AL32" s="1729"/>
      <c r="AM32" s="1729"/>
      <c r="AN32" s="1729"/>
    </row>
    <row r="33" spans="1:40">
      <c r="A33" s="1732"/>
      <c r="B33" s="2447" t="s">
        <v>1803</v>
      </c>
      <c r="C33" s="1803" t="s">
        <v>1804</v>
      </c>
      <c r="D33" s="1803" t="s">
        <v>1805</v>
      </c>
      <c r="E33" s="1728">
        <f t="shared" ref="E33:E38" si="5">+COUNT(G33:AK33)</f>
        <v>2</v>
      </c>
      <c r="F33" s="2448">
        <f t="shared" ref="F33:F38" si="6">SUM(G33:AK33)</f>
        <v>20</v>
      </c>
      <c r="G33" s="1717"/>
      <c r="H33" s="1711"/>
      <c r="I33" s="1711"/>
      <c r="J33" s="1711"/>
      <c r="K33" s="1711"/>
      <c r="L33" s="1711">
        <v>10</v>
      </c>
      <c r="M33" s="1711">
        <v>10</v>
      </c>
      <c r="N33" s="1711"/>
      <c r="O33" s="1711"/>
      <c r="P33" s="1711"/>
      <c r="Q33" s="1711"/>
      <c r="R33" s="1711"/>
      <c r="S33" s="1711"/>
      <c r="T33" s="1711"/>
      <c r="U33" s="1711"/>
      <c r="V33" s="1711"/>
      <c r="W33" s="1711"/>
      <c r="X33" s="1711"/>
      <c r="Y33" s="1711"/>
      <c r="Z33" s="1711"/>
      <c r="AA33" s="1711"/>
      <c r="AB33" s="1711"/>
      <c r="AC33" s="1711"/>
      <c r="AD33" s="1711"/>
      <c r="AE33" s="1711"/>
      <c r="AF33" s="1711"/>
      <c r="AG33" s="1711"/>
      <c r="AH33" s="1711"/>
      <c r="AI33" s="1711"/>
      <c r="AJ33" s="1711"/>
      <c r="AK33" s="1712"/>
      <c r="AL33" s="1729"/>
      <c r="AM33" s="1729"/>
      <c r="AN33" s="1729"/>
    </row>
    <row r="34" spans="1:40">
      <c r="A34" s="1732"/>
      <c r="B34" s="1760"/>
      <c r="C34" s="1777"/>
      <c r="D34" s="1715" t="s">
        <v>1806</v>
      </c>
      <c r="E34" s="1719">
        <f t="shared" si="5"/>
        <v>5</v>
      </c>
      <c r="F34" s="1782">
        <f t="shared" si="6"/>
        <v>50</v>
      </c>
      <c r="G34" s="1718"/>
      <c r="H34" s="1719"/>
      <c r="I34" s="1719"/>
      <c r="J34" s="1719"/>
      <c r="K34" s="1719"/>
      <c r="L34" s="1719"/>
      <c r="M34" s="1719"/>
      <c r="N34" s="1719">
        <v>10</v>
      </c>
      <c r="O34" s="1719">
        <v>10</v>
      </c>
      <c r="P34" s="1719">
        <v>10</v>
      </c>
      <c r="Q34" s="1719">
        <v>10</v>
      </c>
      <c r="R34" s="1719">
        <v>10</v>
      </c>
      <c r="S34" s="1719"/>
      <c r="T34" s="1719"/>
      <c r="U34" s="1719"/>
      <c r="V34" s="1719"/>
      <c r="W34" s="1719"/>
      <c r="X34" s="1719"/>
      <c r="Y34" s="1719"/>
      <c r="Z34" s="1719"/>
      <c r="AA34" s="1719"/>
      <c r="AB34" s="1719"/>
      <c r="AC34" s="1719"/>
      <c r="AD34" s="1719"/>
      <c r="AE34" s="1719"/>
      <c r="AF34" s="1719"/>
      <c r="AG34" s="1719"/>
      <c r="AH34" s="1719"/>
      <c r="AI34" s="1719"/>
      <c r="AJ34" s="1719"/>
      <c r="AK34" s="2449"/>
      <c r="AL34" s="1729"/>
      <c r="AM34" s="1729"/>
      <c r="AN34" s="1729"/>
    </row>
    <row r="35" spans="1:40">
      <c r="A35" s="1732"/>
      <c r="B35" s="1760"/>
      <c r="C35" s="1777"/>
      <c r="D35" s="1715" t="s">
        <v>1807</v>
      </c>
      <c r="E35" s="1719">
        <f t="shared" si="5"/>
        <v>6</v>
      </c>
      <c r="F35" s="1782">
        <f t="shared" si="6"/>
        <v>60</v>
      </c>
      <c r="G35" s="1718"/>
      <c r="H35" s="2450"/>
      <c r="I35" s="1719"/>
      <c r="J35" s="1719"/>
      <c r="K35" s="1719"/>
      <c r="L35" s="1719"/>
      <c r="M35" s="1719"/>
      <c r="N35" s="1719"/>
      <c r="O35" s="1719"/>
      <c r="P35" s="1719"/>
      <c r="Q35" s="1719"/>
      <c r="R35" s="1719"/>
      <c r="S35" s="1719" t="s">
        <v>1777</v>
      </c>
      <c r="T35" s="1719">
        <v>10</v>
      </c>
      <c r="U35" s="1719">
        <v>10</v>
      </c>
      <c r="V35" s="1719">
        <v>10</v>
      </c>
      <c r="W35" s="1719">
        <v>10</v>
      </c>
      <c r="X35" s="1719">
        <v>10</v>
      </c>
      <c r="Y35" s="1719">
        <v>10</v>
      </c>
      <c r="Z35" s="1719"/>
      <c r="AA35" s="1719"/>
      <c r="AB35" s="1719"/>
      <c r="AC35" s="1719"/>
      <c r="AD35" s="1719"/>
      <c r="AE35" s="1719"/>
      <c r="AF35" s="1719"/>
      <c r="AG35" s="1719"/>
      <c r="AH35" s="1719"/>
      <c r="AI35" s="1719"/>
      <c r="AJ35" s="1719"/>
      <c r="AK35" s="2449"/>
      <c r="AL35" s="1729"/>
      <c r="AM35" s="1729"/>
      <c r="AN35" s="1729"/>
    </row>
    <row r="36" spans="1:40">
      <c r="A36" s="1732"/>
      <c r="B36" s="1760"/>
      <c r="C36" s="1777"/>
      <c r="D36" s="1715" t="s">
        <v>1808</v>
      </c>
      <c r="E36" s="1719">
        <f t="shared" si="5"/>
        <v>5</v>
      </c>
      <c r="F36" s="1782">
        <f t="shared" si="6"/>
        <v>50</v>
      </c>
      <c r="G36" s="1718"/>
      <c r="H36" s="1719"/>
      <c r="I36" s="1719"/>
      <c r="J36" s="1719"/>
      <c r="K36" s="1719"/>
      <c r="L36" s="1719"/>
      <c r="M36" s="1719"/>
      <c r="N36" s="1719"/>
      <c r="O36" s="1719"/>
      <c r="P36" s="1719"/>
      <c r="Q36" s="1719"/>
      <c r="R36" s="1719"/>
      <c r="S36" s="1719"/>
      <c r="T36" s="1719"/>
      <c r="U36" s="1719"/>
      <c r="V36" s="1719"/>
      <c r="W36" s="1719"/>
      <c r="X36" s="1719"/>
      <c r="Y36" s="1719"/>
      <c r="Z36" s="1719">
        <v>10</v>
      </c>
      <c r="AA36" s="1719">
        <v>10</v>
      </c>
      <c r="AB36" s="1719">
        <v>10</v>
      </c>
      <c r="AC36" s="1719">
        <v>10</v>
      </c>
      <c r="AD36" s="1719">
        <v>10</v>
      </c>
      <c r="AE36" s="1719"/>
      <c r="AF36" s="1719"/>
      <c r="AG36" s="1719"/>
      <c r="AH36" s="1719"/>
      <c r="AI36" s="1719"/>
      <c r="AJ36" s="1719"/>
      <c r="AK36" s="2449"/>
      <c r="AL36" s="1729"/>
      <c r="AM36" s="1729"/>
      <c r="AN36" s="1729"/>
    </row>
    <row r="37" spans="1:40">
      <c r="A37" s="1732"/>
      <c r="B37" s="1760"/>
      <c r="C37" s="1777"/>
      <c r="D37" s="1715" t="s">
        <v>1809</v>
      </c>
      <c r="E37" s="1719">
        <f t="shared" si="5"/>
        <v>4</v>
      </c>
      <c r="F37" s="1782">
        <f t="shared" si="6"/>
        <v>40</v>
      </c>
      <c r="G37" s="1718"/>
      <c r="H37" s="1719"/>
      <c r="I37" s="1719"/>
      <c r="J37" s="1719"/>
      <c r="K37" s="1719"/>
      <c r="L37" s="1719"/>
      <c r="M37" s="1719"/>
      <c r="N37" s="1719"/>
      <c r="O37" s="1719"/>
      <c r="P37" s="1719"/>
      <c r="Q37" s="1719"/>
      <c r="R37" s="1719"/>
      <c r="S37" s="1719"/>
      <c r="T37" s="1719"/>
      <c r="U37" s="1719"/>
      <c r="V37" s="1719"/>
      <c r="W37" s="1719"/>
      <c r="X37" s="1719"/>
      <c r="Y37" s="1719"/>
      <c r="Z37" s="1719"/>
      <c r="AA37" s="1719"/>
      <c r="AB37" s="1719"/>
      <c r="AC37" s="1719"/>
      <c r="AD37" s="1719"/>
      <c r="AE37" s="1719" t="s">
        <v>1777</v>
      </c>
      <c r="AF37" s="1719">
        <v>10</v>
      </c>
      <c r="AG37" s="1719">
        <v>10</v>
      </c>
      <c r="AH37" s="1719">
        <v>10</v>
      </c>
      <c r="AI37" s="1719">
        <v>10</v>
      </c>
      <c r="AJ37" s="1719"/>
      <c r="AK37" s="2449"/>
      <c r="AL37" s="1729"/>
      <c r="AM37" s="1729"/>
      <c r="AN37" s="1729"/>
    </row>
    <row r="38" spans="1:40">
      <c r="A38" s="1732"/>
      <c r="B38" s="1760"/>
      <c r="C38" s="1777"/>
      <c r="D38" s="1715" t="s">
        <v>1810</v>
      </c>
      <c r="E38" s="1711">
        <f t="shared" si="5"/>
        <v>2</v>
      </c>
      <c r="F38" s="1739">
        <f t="shared" si="6"/>
        <v>20</v>
      </c>
      <c r="G38" s="1717"/>
      <c r="H38" s="1711"/>
      <c r="I38" s="1711"/>
      <c r="J38" s="1711"/>
      <c r="K38" s="1711"/>
      <c r="L38" s="1711"/>
      <c r="M38" s="1711"/>
      <c r="N38" s="1711"/>
      <c r="O38" s="1711"/>
      <c r="P38" s="1711"/>
      <c r="Q38" s="1711"/>
      <c r="R38" s="1711"/>
      <c r="S38" s="1711"/>
      <c r="T38" s="1711"/>
      <c r="U38" s="1711"/>
      <c r="V38" s="1711"/>
      <c r="W38" s="1711"/>
      <c r="X38" s="1711"/>
      <c r="Y38" s="1711"/>
      <c r="Z38" s="1711"/>
      <c r="AA38" s="1711"/>
      <c r="AB38" s="1711"/>
      <c r="AC38" s="1711"/>
      <c r="AD38" s="1711"/>
      <c r="AE38" s="1711"/>
      <c r="AF38" s="1711"/>
      <c r="AG38" s="1711"/>
      <c r="AH38" s="1711"/>
      <c r="AI38" s="1711"/>
      <c r="AJ38" s="1711">
        <v>10</v>
      </c>
      <c r="AK38" s="1711">
        <v>10</v>
      </c>
      <c r="AL38" s="1729"/>
      <c r="AM38" s="1729"/>
      <c r="AN38" s="1729"/>
    </row>
    <row r="39" spans="1:40" ht="15" thickBot="1">
      <c r="A39" s="1732"/>
      <c r="B39" s="2451">
        <v>250</v>
      </c>
      <c r="C39" s="2452"/>
      <c r="D39" s="2452" t="s">
        <v>63</v>
      </c>
      <c r="E39" s="2453">
        <f ca="1">SUM(E33:E45)</f>
        <v>0</v>
      </c>
      <c r="F39" s="2454">
        <f>SUM(F33:F38)</f>
        <v>240</v>
      </c>
      <c r="G39" s="2455">
        <f>SUM(G32:G38)</f>
        <v>0</v>
      </c>
      <c r="H39" s="2456">
        <f t="shared" ref="H39:M39" si="7">SUM(H33:H38)</f>
        <v>0</v>
      </c>
      <c r="I39" s="2456">
        <f t="shared" si="7"/>
        <v>0</v>
      </c>
      <c r="J39" s="2456">
        <f t="shared" si="7"/>
        <v>0</v>
      </c>
      <c r="K39" s="2456">
        <f t="shared" si="7"/>
        <v>0</v>
      </c>
      <c r="L39" s="2456">
        <f t="shared" si="7"/>
        <v>10</v>
      </c>
      <c r="M39" s="2456">
        <f t="shared" si="7"/>
        <v>10</v>
      </c>
      <c r="N39" s="2456">
        <f>SUM(N32:N38)</f>
        <v>10</v>
      </c>
      <c r="O39" s="2456">
        <f t="shared" ref="O39:T39" si="8">SUM(O33:O38)</f>
        <v>10</v>
      </c>
      <c r="P39" s="2456">
        <f t="shared" si="8"/>
        <v>10</v>
      </c>
      <c r="Q39" s="2456">
        <f t="shared" si="8"/>
        <v>10</v>
      </c>
      <c r="R39" s="2456">
        <f t="shared" si="8"/>
        <v>10</v>
      </c>
      <c r="S39" s="2456">
        <f t="shared" si="8"/>
        <v>0</v>
      </c>
      <c r="T39" s="2456">
        <f t="shared" si="8"/>
        <v>10</v>
      </c>
      <c r="U39" s="2456">
        <f>SUM(U32:U38)</f>
        <v>10</v>
      </c>
      <c r="V39" s="2456">
        <f t="shared" ref="V39:AK39" si="9">SUM(V33:V38)</f>
        <v>10</v>
      </c>
      <c r="W39" s="2456">
        <f t="shared" si="9"/>
        <v>10</v>
      </c>
      <c r="X39" s="2456">
        <f t="shared" si="9"/>
        <v>10</v>
      </c>
      <c r="Y39" s="2456">
        <f t="shared" si="9"/>
        <v>10</v>
      </c>
      <c r="Z39" s="2456">
        <f t="shared" si="9"/>
        <v>10</v>
      </c>
      <c r="AA39" s="2456">
        <f t="shared" si="9"/>
        <v>10</v>
      </c>
      <c r="AB39" s="2456">
        <f t="shared" si="9"/>
        <v>10</v>
      </c>
      <c r="AC39" s="2456">
        <f t="shared" si="9"/>
        <v>10</v>
      </c>
      <c r="AD39" s="2456">
        <f t="shared" si="9"/>
        <v>10</v>
      </c>
      <c r="AE39" s="2456">
        <f t="shared" si="9"/>
        <v>0</v>
      </c>
      <c r="AF39" s="2456">
        <f t="shared" si="9"/>
        <v>10</v>
      </c>
      <c r="AG39" s="2456">
        <f t="shared" si="9"/>
        <v>10</v>
      </c>
      <c r="AH39" s="2456">
        <f t="shared" si="9"/>
        <v>10</v>
      </c>
      <c r="AI39" s="2456">
        <f t="shared" si="9"/>
        <v>10</v>
      </c>
      <c r="AJ39" s="2457">
        <f t="shared" si="9"/>
        <v>10</v>
      </c>
      <c r="AK39" s="2458">
        <f t="shared" si="9"/>
        <v>10</v>
      </c>
      <c r="AL39" s="1729"/>
      <c r="AM39" s="1729"/>
      <c r="AN39" s="1729"/>
    </row>
    <row r="40" spans="1:40" s="1730" customFormat="1" ht="15" thickBot="1">
      <c r="B40" s="1785" t="s">
        <v>1811</v>
      </c>
      <c r="C40" s="2459"/>
      <c r="D40" s="2459"/>
      <c r="E40" s="1788"/>
      <c r="F40" s="1789">
        <f>SUM(G40:AK40)</f>
        <v>896</v>
      </c>
      <c r="G40" s="2460">
        <f t="shared" ref="G40:AK40" si="10">SUM(G17,G25,G32,G39)</f>
        <v>18</v>
      </c>
      <c r="H40" s="1788">
        <f t="shared" si="10"/>
        <v>18</v>
      </c>
      <c r="I40" s="1788">
        <f t="shared" si="10"/>
        <v>18</v>
      </c>
      <c r="J40" s="1788">
        <f t="shared" si="10"/>
        <v>28</v>
      </c>
      <c r="K40" s="1788">
        <f t="shared" si="10"/>
        <v>20</v>
      </c>
      <c r="L40" s="1788">
        <f t="shared" si="10"/>
        <v>30</v>
      </c>
      <c r="M40" s="1788">
        <f t="shared" si="10"/>
        <v>38</v>
      </c>
      <c r="N40" s="1788">
        <f t="shared" si="10"/>
        <v>28</v>
      </c>
      <c r="O40" s="1788">
        <f t="shared" si="10"/>
        <v>28</v>
      </c>
      <c r="P40" s="1788">
        <f t="shared" si="10"/>
        <v>38</v>
      </c>
      <c r="Q40" s="1788">
        <f t="shared" si="10"/>
        <v>30</v>
      </c>
      <c r="R40" s="1788">
        <f t="shared" si="10"/>
        <v>38</v>
      </c>
      <c r="S40" s="1788">
        <f t="shared" si="10"/>
        <v>28</v>
      </c>
      <c r="T40" s="1788">
        <f t="shared" si="10"/>
        <v>38</v>
      </c>
      <c r="U40" s="1788">
        <f t="shared" si="10"/>
        <v>28</v>
      </c>
      <c r="V40" s="1788">
        <f t="shared" si="10"/>
        <v>38</v>
      </c>
      <c r="W40" s="1788">
        <f t="shared" si="10"/>
        <v>28</v>
      </c>
      <c r="X40" s="1788">
        <f t="shared" si="10"/>
        <v>28</v>
      </c>
      <c r="Y40" s="1788">
        <f t="shared" si="10"/>
        <v>20</v>
      </c>
      <c r="Z40" s="1788">
        <f t="shared" si="10"/>
        <v>28</v>
      </c>
      <c r="AA40" s="1788">
        <f t="shared" si="10"/>
        <v>28</v>
      </c>
      <c r="AB40" s="1788">
        <f t="shared" si="10"/>
        <v>28</v>
      </c>
      <c r="AC40" s="1788">
        <f t="shared" si="10"/>
        <v>28</v>
      </c>
      <c r="AD40" s="1788">
        <f t="shared" si="10"/>
        <v>28</v>
      </c>
      <c r="AE40" s="1788">
        <f t="shared" si="10"/>
        <v>18</v>
      </c>
      <c r="AF40" s="1788">
        <f t="shared" si="10"/>
        <v>38</v>
      </c>
      <c r="AG40" s="1788">
        <f t="shared" si="10"/>
        <v>28</v>
      </c>
      <c r="AH40" s="1788">
        <f t="shared" si="10"/>
        <v>38</v>
      </c>
      <c r="AI40" s="1788">
        <f t="shared" si="10"/>
        <v>38</v>
      </c>
      <c r="AJ40" s="1789">
        <f t="shared" si="10"/>
        <v>28</v>
      </c>
      <c r="AK40" s="1787">
        <f t="shared" si="10"/>
        <v>28</v>
      </c>
      <c r="AL40" s="1801"/>
      <c r="AM40" s="1801"/>
      <c r="AN40" s="1801"/>
    </row>
    <row r="41" spans="1:40" ht="15" thickBot="1">
      <c r="A41" s="1732"/>
      <c r="B41" s="1765"/>
      <c r="C41" s="1732"/>
      <c r="D41" s="1732"/>
      <c r="E41" s="1729"/>
      <c r="F41" s="1730"/>
      <c r="G41" s="1732"/>
      <c r="H41" s="1732"/>
      <c r="I41" s="1732"/>
      <c r="J41" s="1732"/>
      <c r="K41" s="1732"/>
      <c r="L41" s="1732"/>
      <c r="M41" s="1732"/>
      <c r="N41" s="1732"/>
      <c r="O41" s="1732"/>
      <c r="P41" s="1732"/>
      <c r="Q41" s="1732"/>
      <c r="R41" s="1732"/>
      <c r="S41" s="1732"/>
      <c r="T41" s="1732"/>
      <c r="U41" s="1732"/>
      <c r="V41" s="1732"/>
      <c r="W41" s="1732"/>
      <c r="X41" s="1732"/>
      <c r="Y41" s="1732"/>
      <c r="Z41" s="1732"/>
      <c r="AA41" s="1732"/>
      <c r="AB41" s="1732"/>
      <c r="AC41" s="1732"/>
      <c r="AD41" s="1732"/>
      <c r="AE41" s="1732"/>
      <c r="AF41" s="1732"/>
      <c r="AG41" s="1732"/>
      <c r="AH41" s="1732"/>
      <c r="AI41" s="1732"/>
      <c r="AJ41" s="1732"/>
      <c r="AK41" s="1766"/>
      <c r="AL41" s="1732"/>
      <c r="AM41" s="1732"/>
      <c r="AN41" s="1732"/>
    </row>
    <row r="42" spans="1:40">
      <c r="A42" s="1732"/>
      <c r="B42" s="1741" t="s">
        <v>1812</v>
      </c>
      <c r="C42" s="1742"/>
      <c r="D42" s="1742"/>
      <c r="E42" s="1767"/>
      <c r="F42" s="1742"/>
      <c r="G42" s="1741" t="s">
        <v>1761</v>
      </c>
      <c r="H42" s="1742" t="s">
        <v>1762</v>
      </c>
      <c r="I42" s="1742" t="s">
        <v>1763</v>
      </c>
      <c r="J42" s="1742" t="s">
        <v>1764</v>
      </c>
      <c r="K42" s="1742" t="s">
        <v>1765</v>
      </c>
      <c r="L42" s="1742" t="s">
        <v>1766</v>
      </c>
      <c r="M42" s="1742" t="s">
        <v>1767</v>
      </c>
      <c r="N42" s="1742" t="s">
        <v>1761</v>
      </c>
      <c r="O42" s="1742" t="s">
        <v>1762</v>
      </c>
      <c r="P42" s="1742" t="s">
        <v>1763</v>
      </c>
      <c r="Q42" s="1742" t="s">
        <v>1764</v>
      </c>
      <c r="R42" s="1742" t="s">
        <v>1765</v>
      </c>
      <c r="S42" s="1742" t="s">
        <v>1766</v>
      </c>
      <c r="T42" s="1742" t="s">
        <v>1767</v>
      </c>
      <c r="U42" s="1742" t="s">
        <v>1761</v>
      </c>
      <c r="V42" s="1742" t="s">
        <v>1762</v>
      </c>
      <c r="W42" s="1742" t="s">
        <v>1763</v>
      </c>
      <c r="X42" s="1742" t="s">
        <v>1764</v>
      </c>
      <c r="Y42" s="1742" t="s">
        <v>1765</v>
      </c>
      <c r="Z42" s="1742" t="s">
        <v>1766</v>
      </c>
      <c r="AA42" s="1742" t="s">
        <v>1767</v>
      </c>
      <c r="AB42" s="1742" t="s">
        <v>1761</v>
      </c>
      <c r="AC42" s="1742" t="s">
        <v>1762</v>
      </c>
      <c r="AD42" s="1742" t="s">
        <v>1763</v>
      </c>
      <c r="AE42" s="1742" t="s">
        <v>1764</v>
      </c>
      <c r="AF42" s="1742" t="s">
        <v>1765</v>
      </c>
      <c r="AG42" s="1742" t="s">
        <v>1766</v>
      </c>
      <c r="AH42" s="1742" t="s">
        <v>1767</v>
      </c>
      <c r="AI42" s="1742" t="s">
        <v>1761</v>
      </c>
      <c r="AJ42" s="1742" t="s">
        <v>1762</v>
      </c>
      <c r="AK42" s="1768" t="s">
        <v>1763</v>
      </c>
      <c r="AL42" s="1732"/>
      <c r="AM42" s="1732"/>
      <c r="AN42" s="1732"/>
    </row>
    <row r="43" spans="1:40" ht="15" thickBot="1">
      <c r="A43" s="1732"/>
      <c r="B43" s="1745" t="s">
        <v>1768</v>
      </c>
      <c r="C43" s="1746" t="s">
        <v>1769</v>
      </c>
      <c r="D43" s="1746" t="s">
        <v>1770</v>
      </c>
      <c r="E43" s="1746" t="s">
        <v>1771</v>
      </c>
      <c r="F43" s="1747" t="s">
        <v>1772</v>
      </c>
      <c r="G43" s="2432">
        <v>45870</v>
      </c>
      <c r="H43" s="1769">
        <v>45871</v>
      </c>
      <c r="I43" s="1769">
        <v>45872</v>
      </c>
      <c r="J43" s="1769">
        <v>45873</v>
      </c>
      <c r="K43" s="1769">
        <v>45874</v>
      </c>
      <c r="L43" s="1769">
        <v>45875</v>
      </c>
      <c r="M43" s="1769">
        <v>45876</v>
      </c>
      <c r="N43" s="1769">
        <v>45877</v>
      </c>
      <c r="O43" s="1769">
        <v>45878</v>
      </c>
      <c r="P43" s="1769">
        <v>45879</v>
      </c>
      <c r="Q43" s="1769">
        <v>45880</v>
      </c>
      <c r="R43" s="1769">
        <v>45881</v>
      </c>
      <c r="S43" s="1769">
        <v>45882</v>
      </c>
      <c r="T43" s="1769">
        <v>45883</v>
      </c>
      <c r="U43" s="1769">
        <v>45884</v>
      </c>
      <c r="V43" s="1769">
        <v>45885</v>
      </c>
      <c r="W43" s="1769">
        <v>45886</v>
      </c>
      <c r="X43" s="1769">
        <v>45887</v>
      </c>
      <c r="Y43" s="1769">
        <v>45888</v>
      </c>
      <c r="Z43" s="1769">
        <v>45889</v>
      </c>
      <c r="AA43" s="1769">
        <v>45890</v>
      </c>
      <c r="AB43" s="1769">
        <v>45891</v>
      </c>
      <c r="AC43" s="1769">
        <v>45892</v>
      </c>
      <c r="AD43" s="1769">
        <v>45893</v>
      </c>
      <c r="AE43" s="1769">
        <v>45894</v>
      </c>
      <c r="AF43" s="1769">
        <v>45895</v>
      </c>
      <c r="AG43" s="1769">
        <v>45896</v>
      </c>
      <c r="AH43" s="1769">
        <v>45897</v>
      </c>
      <c r="AI43" s="1769">
        <v>45898</v>
      </c>
      <c r="AJ43" s="1769">
        <v>45899</v>
      </c>
      <c r="AK43" s="1770">
        <v>45900</v>
      </c>
      <c r="AL43" s="1732"/>
      <c r="AM43" s="1732"/>
      <c r="AN43" s="1732"/>
    </row>
    <row r="44" spans="1:40">
      <c r="A44" s="1732"/>
      <c r="B44" s="1750" t="s">
        <v>1813</v>
      </c>
      <c r="C44" s="1771" t="s">
        <v>1814</v>
      </c>
      <c r="D44" s="1772" t="s">
        <v>1815</v>
      </c>
      <c r="E44" s="1723">
        <f t="shared" ref="E44:E53" si="11">COUNT(G44:AK44)</f>
        <v>3</v>
      </c>
      <c r="F44" s="2434">
        <f t="shared" ref="F44:F53" si="12">SUM(G44:AK44)</f>
        <v>26</v>
      </c>
      <c r="G44" s="1722">
        <v>10</v>
      </c>
      <c r="H44" s="1722">
        <v>8</v>
      </c>
      <c r="I44" s="1722">
        <v>8</v>
      </c>
      <c r="J44" s="1711"/>
      <c r="K44" s="1711"/>
      <c r="L44" s="1722"/>
      <c r="M44" s="1722"/>
      <c r="N44" s="1722"/>
      <c r="O44" s="1722"/>
      <c r="P44" s="1722"/>
      <c r="Q44" s="1722"/>
      <c r="R44" s="1722"/>
      <c r="S44" s="1722"/>
      <c r="T44" s="1722"/>
      <c r="U44" s="1722"/>
      <c r="V44" s="1722"/>
      <c r="W44" s="1722"/>
      <c r="X44" s="1722"/>
      <c r="Y44" s="1722"/>
      <c r="Z44" s="1722"/>
      <c r="AA44" s="1722"/>
      <c r="AB44" s="1722"/>
      <c r="AC44" s="1722"/>
      <c r="AD44" s="1722"/>
      <c r="AE44" s="1722"/>
      <c r="AF44" s="1722"/>
      <c r="AG44" s="1722"/>
      <c r="AH44" s="1722"/>
      <c r="AI44" s="1722"/>
      <c r="AJ44" s="1716"/>
      <c r="AK44" s="1751"/>
      <c r="AL44" s="1732"/>
      <c r="AM44" s="1732"/>
      <c r="AN44" s="1732"/>
    </row>
    <row r="45" spans="1:40">
      <c r="A45" s="1732"/>
      <c r="B45" s="1736"/>
      <c r="C45" s="1715"/>
      <c r="D45" s="1772" t="s">
        <v>1816</v>
      </c>
      <c r="E45" s="1723">
        <f t="shared" si="11"/>
        <v>4</v>
      </c>
      <c r="F45" s="2434">
        <f t="shared" si="12"/>
        <v>34</v>
      </c>
      <c r="G45" s="2436"/>
      <c r="H45" s="1711"/>
      <c r="I45" s="1775"/>
      <c r="J45" s="1775" t="s">
        <v>1777</v>
      </c>
      <c r="K45" s="1775">
        <v>10</v>
      </c>
      <c r="L45" s="1719">
        <v>8</v>
      </c>
      <c r="M45" s="1711">
        <v>8</v>
      </c>
      <c r="N45" s="1711">
        <v>8</v>
      </c>
      <c r="O45" s="1711"/>
      <c r="P45" s="1711"/>
      <c r="Q45" s="1715"/>
      <c r="R45" s="1711"/>
      <c r="S45" s="1715"/>
      <c r="T45" s="1711"/>
      <c r="U45" s="1711"/>
      <c r="V45" s="1711"/>
      <c r="W45" s="1711"/>
      <c r="X45" s="1722"/>
      <c r="Y45" s="1722"/>
      <c r="Z45" s="1722"/>
      <c r="AA45" s="1722"/>
      <c r="AB45" s="1711"/>
      <c r="AC45" s="1711"/>
      <c r="AD45" s="1711"/>
      <c r="AE45" s="1715"/>
      <c r="AF45" s="1715"/>
      <c r="AG45" s="1711"/>
      <c r="AH45" s="1711"/>
      <c r="AI45" s="1711"/>
      <c r="AJ45" s="1725"/>
      <c r="AK45" s="1753"/>
      <c r="AL45" s="1732"/>
      <c r="AM45" s="1732"/>
      <c r="AN45" s="1732"/>
    </row>
    <row r="46" spans="1:40">
      <c r="A46" s="1732"/>
      <c r="B46" s="1760"/>
      <c r="C46" s="1715"/>
      <c r="D46" s="1774" t="s">
        <v>1817</v>
      </c>
      <c r="E46" s="1723">
        <f t="shared" si="11"/>
        <v>4</v>
      </c>
      <c r="F46" s="2434">
        <f t="shared" si="12"/>
        <v>34</v>
      </c>
      <c r="G46" s="2441"/>
      <c r="H46" s="1719"/>
      <c r="I46" s="1776"/>
      <c r="J46" s="1776"/>
      <c r="K46" s="1776"/>
      <c r="L46" s="1719"/>
      <c r="M46" s="1763"/>
      <c r="N46" s="1719"/>
      <c r="O46" s="1711">
        <v>10</v>
      </c>
      <c r="P46" s="1719">
        <v>8</v>
      </c>
      <c r="Q46" s="1719">
        <v>8</v>
      </c>
      <c r="R46" s="1719">
        <v>8</v>
      </c>
      <c r="S46" s="1711"/>
      <c r="T46" s="1719"/>
      <c r="U46" s="1719"/>
      <c r="V46" s="1711"/>
      <c r="W46" s="1719"/>
      <c r="X46" s="1711" t="s">
        <v>195</v>
      </c>
      <c r="Y46" s="1711" t="s">
        <v>195</v>
      </c>
      <c r="Z46" s="1724"/>
      <c r="AA46" s="1724"/>
      <c r="AB46" s="1719"/>
      <c r="AC46" s="1719"/>
      <c r="AD46" s="1719"/>
      <c r="AE46" s="1777"/>
      <c r="AF46" s="1715"/>
      <c r="AG46" s="1719"/>
      <c r="AH46" s="1719"/>
      <c r="AI46" s="1719"/>
      <c r="AJ46" s="1763"/>
      <c r="AK46" s="1753"/>
      <c r="AL46" s="1732"/>
      <c r="AM46" s="1732"/>
      <c r="AN46" s="1732"/>
    </row>
    <row r="47" spans="1:40">
      <c r="A47" s="1732"/>
      <c r="B47" s="1760"/>
      <c r="C47" s="1715"/>
      <c r="D47" s="1774" t="s">
        <v>1818</v>
      </c>
      <c r="E47" s="1723">
        <f t="shared" si="11"/>
        <v>4</v>
      </c>
      <c r="F47" s="2434">
        <f t="shared" si="12"/>
        <v>34</v>
      </c>
      <c r="G47" s="2441"/>
      <c r="H47" s="1719"/>
      <c r="I47" s="1776"/>
      <c r="J47" s="1776"/>
      <c r="K47" s="1776"/>
      <c r="L47" s="1719"/>
      <c r="M47" s="1763"/>
      <c r="N47" s="1719"/>
      <c r="O47" s="1711"/>
      <c r="P47" s="1719"/>
      <c r="Q47" s="1719"/>
      <c r="R47" s="1719"/>
      <c r="S47" s="1715">
        <v>10</v>
      </c>
      <c r="T47" s="1719">
        <v>8</v>
      </c>
      <c r="U47" s="1719">
        <v>8</v>
      </c>
      <c r="V47" s="1719">
        <v>8</v>
      </c>
      <c r="W47" s="1711" t="s">
        <v>1777</v>
      </c>
      <c r="X47" s="1711"/>
      <c r="Y47" s="2461"/>
      <c r="Z47" s="2461"/>
      <c r="AA47" s="1711"/>
      <c r="AB47" s="1719" t="s">
        <v>195</v>
      </c>
      <c r="AC47" s="1719" t="s">
        <v>195</v>
      </c>
      <c r="AD47" s="1719" t="s">
        <v>195</v>
      </c>
      <c r="AE47" s="1777" t="s">
        <v>195</v>
      </c>
      <c r="AF47" s="1719" t="s">
        <v>195</v>
      </c>
      <c r="AG47" s="1719"/>
      <c r="AH47" s="1719"/>
      <c r="AI47" s="1719"/>
      <c r="AJ47" s="1763"/>
      <c r="AK47" s="1753"/>
      <c r="AL47" s="1732"/>
      <c r="AM47" s="1732"/>
      <c r="AN47" s="1732"/>
    </row>
    <row r="48" spans="1:40">
      <c r="A48" s="1732"/>
      <c r="B48" s="1760"/>
      <c r="C48" s="1715"/>
      <c r="D48" s="1774" t="s">
        <v>1819</v>
      </c>
      <c r="E48" s="1723">
        <f t="shared" si="11"/>
        <v>4</v>
      </c>
      <c r="F48" s="2434">
        <f t="shared" si="12"/>
        <v>34</v>
      </c>
      <c r="G48" s="2441"/>
      <c r="H48" s="1719"/>
      <c r="I48" s="1776"/>
      <c r="J48" s="1776"/>
      <c r="K48" s="1776"/>
      <c r="L48" s="1719"/>
      <c r="M48" s="1763"/>
      <c r="N48" s="1719"/>
      <c r="O48" s="1719"/>
      <c r="P48" s="1719"/>
      <c r="Q48" s="1719"/>
      <c r="R48" s="1719"/>
      <c r="S48" s="1715"/>
      <c r="T48" s="1719"/>
      <c r="U48" s="1719"/>
      <c r="V48" s="1719"/>
      <c r="W48" s="1719"/>
      <c r="X48" s="1711">
        <v>10</v>
      </c>
      <c r="Y48" s="2461">
        <v>8</v>
      </c>
      <c r="Z48" s="2461">
        <v>8</v>
      </c>
      <c r="AA48" s="1711">
        <v>8</v>
      </c>
      <c r="AB48" s="1719"/>
      <c r="AC48" s="1719"/>
      <c r="AD48" s="1719"/>
      <c r="AE48" s="1777"/>
      <c r="AF48" s="1719"/>
      <c r="AG48" s="1719"/>
      <c r="AH48" s="1719"/>
      <c r="AI48" s="1719"/>
      <c r="AJ48" s="1763"/>
      <c r="AK48" s="1764"/>
      <c r="AL48" s="1732"/>
      <c r="AM48" s="1732"/>
      <c r="AN48" s="1732"/>
    </row>
    <row r="49" spans="1:37">
      <c r="A49" s="1732"/>
      <c r="B49" s="1760"/>
      <c r="C49" s="1715"/>
      <c r="D49" s="1774" t="s">
        <v>1820</v>
      </c>
      <c r="E49" s="1723">
        <f t="shared" si="11"/>
        <v>2</v>
      </c>
      <c r="F49" s="2434">
        <f t="shared" si="12"/>
        <v>20</v>
      </c>
      <c r="G49" s="2441"/>
      <c r="H49" s="1719"/>
      <c r="I49" s="1776"/>
      <c r="J49" s="1776"/>
      <c r="K49" s="1776"/>
      <c r="L49" s="1719"/>
      <c r="M49" s="1763"/>
      <c r="N49" s="1719"/>
      <c r="O49" s="1719"/>
      <c r="P49" s="1719"/>
      <c r="Q49" s="1719"/>
      <c r="R49" s="1719"/>
      <c r="S49" s="1715"/>
      <c r="T49" s="1719"/>
      <c r="U49" s="1719"/>
      <c r="V49" s="1719"/>
      <c r="W49" s="1719"/>
      <c r="X49" s="1711"/>
      <c r="Y49" s="2461"/>
      <c r="Z49" s="2461"/>
      <c r="AA49" s="1711"/>
      <c r="AB49" s="1719">
        <v>10</v>
      </c>
      <c r="AC49" s="1719">
        <v>10</v>
      </c>
      <c r="AD49" s="1719"/>
      <c r="AE49" s="1777"/>
      <c r="AF49" s="1719"/>
      <c r="AG49" s="1719"/>
      <c r="AH49" s="1719"/>
      <c r="AI49" s="1719"/>
      <c r="AJ49" s="1763"/>
      <c r="AK49" s="1764"/>
    </row>
    <row r="50" spans="1:37">
      <c r="A50" s="1732"/>
      <c r="B50" s="1760"/>
      <c r="C50" s="1715"/>
      <c r="D50" s="1774" t="s">
        <v>1821</v>
      </c>
      <c r="E50" s="1723">
        <f t="shared" si="11"/>
        <v>2</v>
      </c>
      <c r="F50" s="2434">
        <f t="shared" si="12"/>
        <v>20</v>
      </c>
      <c r="G50" s="2441"/>
      <c r="H50" s="1719"/>
      <c r="I50" s="1776"/>
      <c r="J50" s="1776"/>
      <c r="K50" s="1776"/>
      <c r="L50" s="1719"/>
      <c r="M50" s="1763"/>
      <c r="N50" s="1719"/>
      <c r="O50" s="1719"/>
      <c r="P50" s="1719"/>
      <c r="Q50" s="1719"/>
      <c r="R50" s="1719"/>
      <c r="S50" s="1715"/>
      <c r="T50" s="1719"/>
      <c r="U50" s="1719"/>
      <c r="V50" s="1719"/>
      <c r="W50" s="1719"/>
      <c r="X50" s="1711"/>
      <c r="Y50" s="2461"/>
      <c r="Z50" s="2461"/>
      <c r="AA50" s="1711"/>
      <c r="AB50" s="1719"/>
      <c r="AC50" s="1719"/>
      <c r="AD50" s="1719">
        <v>10</v>
      </c>
      <c r="AE50" s="1777">
        <v>10</v>
      </c>
      <c r="AF50" s="1719"/>
      <c r="AG50" s="1719"/>
      <c r="AH50" s="1719"/>
      <c r="AI50" s="1719"/>
      <c r="AJ50" s="1763"/>
      <c r="AK50" s="1764"/>
    </row>
    <row r="51" spans="1:37">
      <c r="A51" s="1732"/>
      <c r="B51" s="1760"/>
      <c r="C51" s="1715"/>
      <c r="D51" s="1774" t="s">
        <v>1822</v>
      </c>
      <c r="E51" s="1723">
        <f t="shared" si="11"/>
        <v>2</v>
      </c>
      <c r="F51" s="2434">
        <f t="shared" si="12"/>
        <v>20</v>
      </c>
      <c r="G51" s="2441"/>
      <c r="H51" s="1719"/>
      <c r="I51" s="1776"/>
      <c r="J51" s="1776"/>
      <c r="K51" s="1776"/>
      <c r="L51" s="1719"/>
      <c r="M51" s="1763"/>
      <c r="N51" s="1719"/>
      <c r="O51" s="1719"/>
      <c r="P51" s="1719"/>
      <c r="Q51" s="1719"/>
      <c r="R51" s="1719"/>
      <c r="S51" s="1715"/>
      <c r="T51" s="1719"/>
      <c r="U51" s="1719"/>
      <c r="V51" s="1719"/>
      <c r="W51" s="1719"/>
      <c r="X51" s="1711"/>
      <c r="Y51" s="2461"/>
      <c r="Z51" s="2461"/>
      <c r="AA51" s="1711"/>
      <c r="AB51" s="1719"/>
      <c r="AC51" s="1719"/>
      <c r="AD51" s="1719"/>
      <c r="AE51" s="1777"/>
      <c r="AF51" s="1719">
        <v>10</v>
      </c>
      <c r="AG51" s="1719">
        <v>10</v>
      </c>
      <c r="AH51" s="1719"/>
      <c r="AI51" s="1719"/>
      <c r="AJ51" s="1763"/>
      <c r="AK51" s="1764"/>
    </row>
    <row r="52" spans="1:37">
      <c r="A52" s="1732"/>
      <c r="B52" s="1760"/>
      <c r="C52" s="1715"/>
      <c r="D52" s="1774" t="s">
        <v>1823</v>
      </c>
      <c r="E52" s="1723">
        <f t="shared" si="11"/>
        <v>2</v>
      </c>
      <c r="F52" s="2434">
        <f t="shared" si="12"/>
        <v>20</v>
      </c>
      <c r="G52" s="2441"/>
      <c r="H52" s="1719"/>
      <c r="I52" s="1776"/>
      <c r="J52" s="1776" t="s">
        <v>195</v>
      </c>
      <c r="K52" s="1776"/>
      <c r="L52" s="1719"/>
      <c r="M52" s="1763"/>
      <c r="N52" s="1719"/>
      <c r="O52" s="1719"/>
      <c r="P52" s="1719"/>
      <c r="Q52" s="1719"/>
      <c r="R52" s="1719"/>
      <c r="S52" s="1715"/>
      <c r="T52" s="1719"/>
      <c r="U52" s="1719"/>
      <c r="V52" s="1719"/>
      <c r="W52" s="1719"/>
      <c r="X52" s="1711"/>
      <c r="Y52" s="2461"/>
      <c r="Z52" s="2461" t="s">
        <v>195</v>
      </c>
      <c r="AA52" s="2461"/>
      <c r="AB52" s="2461"/>
      <c r="AC52" s="2461"/>
      <c r="AD52" s="2461"/>
      <c r="AE52" s="1777"/>
      <c r="AF52" s="1719"/>
      <c r="AG52" s="1719"/>
      <c r="AH52" s="1719">
        <v>10</v>
      </c>
      <c r="AI52" s="1719">
        <v>10</v>
      </c>
      <c r="AJ52" s="1763"/>
      <c r="AK52" s="1764"/>
    </row>
    <row r="53" spans="1:37">
      <c r="A53" s="1732"/>
      <c r="B53" s="1760"/>
      <c r="C53" s="1715"/>
      <c r="D53" s="1774" t="s">
        <v>1824</v>
      </c>
      <c r="E53" s="1723">
        <f t="shared" si="11"/>
        <v>2</v>
      </c>
      <c r="F53" s="2434">
        <f t="shared" si="12"/>
        <v>20</v>
      </c>
      <c r="G53" s="2441"/>
      <c r="H53" s="1719"/>
      <c r="I53" s="1776"/>
      <c r="J53" s="1776"/>
      <c r="K53" s="1776"/>
      <c r="L53" s="1719"/>
      <c r="M53" s="1763"/>
      <c r="N53" s="1719"/>
      <c r="O53" s="1719"/>
      <c r="P53" s="1719"/>
      <c r="Q53" s="1719"/>
      <c r="R53" s="1719"/>
      <c r="S53" s="1715"/>
      <c r="T53" s="1719"/>
      <c r="U53" s="1719"/>
      <c r="V53" s="1719"/>
      <c r="W53" s="1719"/>
      <c r="X53" s="1711"/>
      <c r="Y53" s="2461"/>
      <c r="Z53" s="2461" t="s">
        <v>195</v>
      </c>
      <c r="AA53" s="1711"/>
      <c r="AB53" s="1719"/>
      <c r="AC53" s="1719"/>
      <c r="AD53" s="1719"/>
      <c r="AE53" s="1777"/>
      <c r="AF53" s="2461"/>
      <c r="AG53" s="1719"/>
      <c r="AH53" s="1719"/>
      <c r="AI53" s="1719"/>
      <c r="AJ53" s="1711">
        <v>10</v>
      </c>
      <c r="AK53" s="1764">
        <v>10</v>
      </c>
    </row>
    <row r="54" spans="1:37" ht="15" thickBot="1">
      <c r="A54" s="1732"/>
      <c r="B54" s="1760"/>
      <c r="C54" s="1754"/>
      <c r="D54" s="1774"/>
      <c r="E54" s="1723"/>
      <c r="F54" s="2434"/>
      <c r="G54" s="2441"/>
      <c r="H54" s="1719"/>
      <c r="I54" s="1776"/>
      <c r="J54" s="1776"/>
      <c r="K54" s="1776"/>
      <c r="L54" s="1719"/>
      <c r="M54" s="1763"/>
      <c r="N54" s="1719"/>
      <c r="O54" s="1719"/>
      <c r="P54" s="1719"/>
      <c r="Q54" s="1719"/>
      <c r="R54" s="1719"/>
      <c r="S54" s="1719"/>
      <c r="T54" s="1719"/>
      <c r="U54" s="1719"/>
      <c r="V54" s="1719"/>
      <c r="W54" s="1719"/>
      <c r="X54" s="1724"/>
      <c r="Y54" s="1732"/>
      <c r="Z54" s="1724"/>
      <c r="AA54" s="1724"/>
      <c r="AB54" s="1719"/>
      <c r="AC54" s="1719"/>
      <c r="AD54" s="1719"/>
      <c r="AE54" s="1719"/>
      <c r="AF54" s="1719"/>
      <c r="AG54" s="1711"/>
      <c r="AH54" s="1719"/>
      <c r="AI54" s="1719"/>
      <c r="AJ54" s="1722"/>
      <c r="AK54" s="1764"/>
    </row>
    <row r="55" spans="1:37" ht="15" thickBot="1">
      <c r="A55" s="1732"/>
      <c r="B55" s="1755">
        <v>250</v>
      </c>
      <c r="C55" s="1756"/>
      <c r="D55" s="1756" t="s">
        <v>63</v>
      </c>
      <c r="E55" s="1720">
        <f>SUM(E44:E54)</f>
        <v>29</v>
      </c>
      <c r="F55" s="2438">
        <f>SUM(G55:AK55)</f>
        <v>262</v>
      </c>
      <c r="G55" s="2439">
        <f t="shared" ref="G55:AK55" si="13">SUM(G44:G54)</f>
        <v>10</v>
      </c>
      <c r="H55" s="1720">
        <f t="shared" si="13"/>
        <v>8</v>
      </c>
      <c r="I55" s="1720">
        <f t="shared" si="13"/>
        <v>8</v>
      </c>
      <c r="J55" s="1720">
        <f t="shared" si="13"/>
        <v>0</v>
      </c>
      <c r="K55" s="1720">
        <f t="shared" si="13"/>
        <v>10</v>
      </c>
      <c r="L55" s="1720">
        <f t="shared" si="13"/>
        <v>8</v>
      </c>
      <c r="M55" s="1720">
        <f t="shared" si="13"/>
        <v>8</v>
      </c>
      <c r="N55" s="1720">
        <f t="shared" si="13"/>
        <v>8</v>
      </c>
      <c r="O55" s="1720">
        <f t="shared" si="13"/>
        <v>10</v>
      </c>
      <c r="P55" s="1720">
        <f t="shared" si="13"/>
        <v>8</v>
      </c>
      <c r="Q55" s="1720">
        <f t="shared" si="13"/>
        <v>8</v>
      </c>
      <c r="R55" s="1720">
        <f t="shared" si="13"/>
        <v>8</v>
      </c>
      <c r="S55" s="1720">
        <f t="shared" si="13"/>
        <v>10</v>
      </c>
      <c r="T55" s="1720">
        <f t="shared" si="13"/>
        <v>8</v>
      </c>
      <c r="U55" s="1720">
        <f t="shared" si="13"/>
        <v>8</v>
      </c>
      <c r="V55" s="1720">
        <f t="shared" si="13"/>
        <v>8</v>
      </c>
      <c r="W55" s="1720">
        <f t="shared" si="13"/>
        <v>0</v>
      </c>
      <c r="X55" s="1720">
        <f t="shared" si="13"/>
        <v>10</v>
      </c>
      <c r="Y55" s="1720">
        <f t="shared" si="13"/>
        <v>8</v>
      </c>
      <c r="Z55" s="1720">
        <f t="shared" si="13"/>
        <v>8</v>
      </c>
      <c r="AA55" s="1720">
        <f t="shared" si="13"/>
        <v>8</v>
      </c>
      <c r="AB55" s="1720">
        <f t="shared" si="13"/>
        <v>10</v>
      </c>
      <c r="AC55" s="1720">
        <f t="shared" si="13"/>
        <v>10</v>
      </c>
      <c r="AD55" s="1720">
        <f t="shared" si="13"/>
        <v>10</v>
      </c>
      <c r="AE55" s="1720">
        <f t="shared" si="13"/>
        <v>10</v>
      </c>
      <c r="AF55" s="1720">
        <f t="shared" si="13"/>
        <v>10</v>
      </c>
      <c r="AG55" s="1720">
        <f t="shared" si="13"/>
        <v>10</v>
      </c>
      <c r="AH55" s="1720">
        <f t="shared" si="13"/>
        <v>10</v>
      </c>
      <c r="AI55" s="1720">
        <f t="shared" si="13"/>
        <v>10</v>
      </c>
      <c r="AJ55" s="1757">
        <f t="shared" si="13"/>
        <v>10</v>
      </c>
      <c r="AK55" s="1757">
        <f t="shared" si="13"/>
        <v>10</v>
      </c>
    </row>
    <row r="56" spans="1:37">
      <c r="A56" s="1732">
        <v>7</v>
      </c>
      <c r="B56" s="1750" t="s">
        <v>1825</v>
      </c>
      <c r="C56" s="1779" t="s">
        <v>1826</v>
      </c>
      <c r="D56" s="1721" t="s">
        <v>1827</v>
      </c>
      <c r="E56" s="1711">
        <f>+COUNT(G56:AK56)</f>
        <v>12</v>
      </c>
      <c r="F56" s="2434">
        <f>SUM(G56:AK56)</f>
        <v>120</v>
      </c>
      <c r="G56" s="2436">
        <v>10</v>
      </c>
      <c r="H56" s="1722">
        <v>10</v>
      </c>
      <c r="I56" s="1722">
        <v>10</v>
      </c>
      <c r="J56" s="1722">
        <v>10</v>
      </c>
      <c r="K56" s="1722">
        <v>10</v>
      </c>
      <c r="L56" s="1722">
        <v>10</v>
      </c>
      <c r="M56" s="1711" t="s">
        <v>1777</v>
      </c>
      <c r="N56" s="1711">
        <v>10</v>
      </c>
      <c r="O56" s="1722">
        <v>10</v>
      </c>
      <c r="P56" s="1711">
        <v>10</v>
      </c>
      <c r="Q56" s="1711">
        <v>10</v>
      </c>
      <c r="R56" s="1711">
        <v>10</v>
      </c>
      <c r="S56" s="1711">
        <v>10</v>
      </c>
      <c r="T56" s="1711"/>
      <c r="U56" s="1711"/>
      <c r="V56" s="1711"/>
      <c r="W56" s="1722"/>
      <c r="X56" s="1722"/>
      <c r="Y56" s="1722"/>
      <c r="Z56" s="1722"/>
      <c r="AA56" s="1722"/>
      <c r="AB56" s="1722"/>
      <c r="AC56" s="1722"/>
      <c r="AD56" s="1722"/>
      <c r="AE56" s="1722"/>
      <c r="AF56" s="1722"/>
      <c r="AG56" s="1722"/>
      <c r="AH56" s="1722"/>
      <c r="AI56" s="1722"/>
      <c r="AJ56" s="1716"/>
      <c r="AK56" s="1751"/>
    </row>
    <row r="57" spans="1:37">
      <c r="A57" s="1732"/>
      <c r="B57" s="1736"/>
      <c r="C57" s="1780"/>
      <c r="D57" s="1721" t="s">
        <v>1828</v>
      </c>
      <c r="E57" s="1711">
        <f>+COUNT(G57:AK57)</f>
        <v>9</v>
      </c>
      <c r="F57" s="2434">
        <f>SUM(G57:AK57)</f>
        <v>90</v>
      </c>
      <c r="G57" s="2436"/>
      <c r="H57" s="1711"/>
      <c r="I57" s="1775"/>
      <c r="J57" s="1711"/>
      <c r="K57" s="1711"/>
      <c r="L57" s="1711"/>
      <c r="M57" s="1711"/>
      <c r="N57" s="1711"/>
      <c r="O57" s="1715"/>
      <c r="P57" s="1715"/>
      <c r="Q57" s="1715"/>
      <c r="R57" s="1715"/>
      <c r="S57" s="1715"/>
      <c r="T57" s="1711" t="s">
        <v>1780</v>
      </c>
      <c r="U57" s="1711">
        <v>10</v>
      </c>
      <c r="V57" s="1711">
        <v>10</v>
      </c>
      <c r="W57" s="1711">
        <v>10</v>
      </c>
      <c r="X57" s="1711">
        <v>10</v>
      </c>
      <c r="Y57" s="1711">
        <v>10</v>
      </c>
      <c r="Z57" s="1711">
        <v>10</v>
      </c>
      <c r="AA57" s="1711">
        <v>10</v>
      </c>
      <c r="AB57" s="1719">
        <v>10</v>
      </c>
      <c r="AC57" s="1719">
        <v>10</v>
      </c>
      <c r="AD57" s="1719"/>
      <c r="AE57" s="1719"/>
      <c r="AF57" s="1711"/>
      <c r="AG57" s="1711"/>
      <c r="AH57" s="1711"/>
      <c r="AI57" s="1711"/>
      <c r="AJ57" s="1725"/>
      <c r="AK57" s="1753"/>
    </row>
    <row r="58" spans="1:37">
      <c r="A58" s="1732"/>
      <c r="B58" s="1760"/>
      <c r="C58" s="1781"/>
      <c r="D58" s="1721" t="s">
        <v>1829</v>
      </c>
      <c r="E58" s="1711">
        <f>+COUNT(G58:AK58)</f>
        <v>6</v>
      </c>
      <c r="F58" s="2434">
        <f>SUM(G58:AK58)</f>
        <v>60</v>
      </c>
      <c r="G58" s="2441"/>
      <c r="H58" s="1719"/>
      <c r="I58" s="1776"/>
      <c r="J58" s="1719"/>
      <c r="K58" s="1719"/>
      <c r="L58" s="1719"/>
      <c r="M58" s="1719"/>
      <c r="N58" s="1719"/>
      <c r="O58" s="1724"/>
      <c r="P58" s="1724"/>
      <c r="Q58" s="1724"/>
      <c r="R58" s="1724"/>
      <c r="S58" s="1724"/>
      <c r="T58" s="1729"/>
      <c r="U58" s="1715"/>
      <c r="V58" s="1719"/>
      <c r="W58" s="1719"/>
      <c r="X58" s="1729"/>
      <c r="Y58" s="1719"/>
      <c r="Z58" s="1719"/>
      <c r="AA58" s="1732"/>
      <c r="AB58" s="1719"/>
      <c r="AC58" s="1719"/>
      <c r="AD58" s="1711" t="s">
        <v>1777</v>
      </c>
      <c r="AE58" s="1719">
        <v>10</v>
      </c>
      <c r="AF58" s="1711">
        <v>10</v>
      </c>
      <c r="AG58" s="1719">
        <v>10</v>
      </c>
      <c r="AH58" s="1719">
        <v>10</v>
      </c>
      <c r="AI58" s="1719">
        <v>10</v>
      </c>
      <c r="AJ58" s="1719">
        <v>10</v>
      </c>
      <c r="AK58" s="2449" t="s">
        <v>1780</v>
      </c>
    </row>
    <row r="59" spans="1:37">
      <c r="A59" s="1732"/>
      <c r="B59" s="1760"/>
      <c r="C59" s="1781"/>
      <c r="D59" s="1721"/>
      <c r="E59" s="1719">
        <f>+COUNT(G59:AJ59)</f>
        <v>0</v>
      </c>
      <c r="F59" s="2462">
        <f>SUM(G59:AJ59)</f>
        <v>0</v>
      </c>
      <c r="G59" s="2441"/>
      <c r="H59" s="1719"/>
      <c r="I59" s="1776"/>
      <c r="J59" s="1719"/>
      <c r="K59" s="1719"/>
      <c r="L59" s="1719"/>
      <c r="M59" s="1719"/>
      <c r="N59" s="1719"/>
      <c r="O59" s="1719"/>
      <c r="P59" s="1719"/>
      <c r="Q59" s="1719"/>
      <c r="R59" s="1719"/>
      <c r="S59" s="1719"/>
      <c r="T59" s="1719"/>
      <c r="U59" s="1711"/>
      <c r="V59" s="1719"/>
      <c r="W59" s="1719"/>
      <c r="X59" s="1719"/>
      <c r="Y59" s="1711"/>
      <c r="Z59" s="1719"/>
      <c r="AA59" s="1719"/>
      <c r="AB59" s="1719"/>
      <c r="AC59" s="1719"/>
      <c r="AD59" s="1719"/>
      <c r="AE59" s="1719"/>
      <c r="AF59" s="1719"/>
      <c r="AG59" s="1719"/>
      <c r="AH59" s="1719"/>
      <c r="AI59" s="1719"/>
      <c r="AJ59" s="1711"/>
      <c r="AK59" s="1753"/>
    </row>
    <row r="60" spans="1:37" ht="15" thickBot="1">
      <c r="A60" s="1732"/>
      <c r="B60" s="1760"/>
      <c r="C60" s="1781"/>
      <c r="D60" s="1777"/>
      <c r="E60" s="1719">
        <f>+COUNT(G60:AJ60)</f>
        <v>0</v>
      </c>
      <c r="F60" s="2462">
        <f>SUM(G60:AJ60)</f>
        <v>0</v>
      </c>
      <c r="G60" s="2441"/>
      <c r="H60" s="1719"/>
      <c r="I60" s="1719"/>
      <c r="J60" s="1719"/>
      <c r="K60" s="1719"/>
      <c r="L60" s="1719"/>
      <c r="M60" s="1719"/>
      <c r="N60" s="1719"/>
      <c r="O60" s="1719"/>
      <c r="P60" s="1719"/>
      <c r="Q60" s="1719"/>
      <c r="R60" s="1719"/>
      <c r="S60" s="1719"/>
      <c r="T60" s="1719"/>
      <c r="U60" s="1732"/>
      <c r="V60" s="1719"/>
      <c r="W60" s="1776"/>
      <c r="X60" s="1719"/>
      <c r="Y60" s="1732"/>
      <c r="Z60" s="1719"/>
      <c r="AA60" s="1719"/>
      <c r="AB60" s="1719"/>
      <c r="AC60" s="1776"/>
      <c r="AD60" s="1719"/>
      <c r="AE60" s="1719"/>
      <c r="AF60" s="1719"/>
      <c r="AG60" s="1719"/>
      <c r="AH60" s="1719"/>
      <c r="AI60" s="1719"/>
      <c r="AJ60" s="1711"/>
      <c r="AK60" s="1764"/>
    </row>
    <row r="61" spans="1:37" ht="15" thickBot="1">
      <c r="A61" s="1732"/>
      <c r="B61" s="1755">
        <v>210</v>
      </c>
      <c r="C61" s="1756"/>
      <c r="D61" s="1756" t="s">
        <v>63</v>
      </c>
      <c r="E61" s="1720">
        <f>SUM(E56:E60)</f>
        <v>27</v>
      </c>
      <c r="F61" s="1778">
        <f>SUM(G61:AK61)</f>
        <v>270</v>
      </c>
      <c r="G61" s="2439">
        <f t="shared" ref="G61:L61" si="14">SUM(G56:G60)</f>
        <v>10</v>
      </c>
      <c r="H61" s="1720">
        <f t="shared" si="14"/>
        <v>10</v>
      </c>
      <c r="I61" s="1720">
        <f t="shared" si="14"/>
        <v>10</v>
      </c>
      <c r="J61" s="1720">
        <f t="shared" si="14"/>
        <v>10</v>
      </c>
      <c r="K61" s="1720">
        <f t="shared" si="14"/>
        <v>10</v>
      </c>
      <c r="L61" s="1720">
        <f t="shared" si="14"/>
        <v>10</v>
      </c>
      <c r="M61" s="1720">
        <f>SUM(M57:M60)</f>
        <v>0</v>
      </c>
      <c r="N61" s="1720">
        <f t="shared" ref="N61:AK61" si="15">SUM(N56:N60)</f>
        <v>10</v>
      </c>
      <c r="O61" s="1720">
        <f t="shared" si="15"/>
        <v>10</v>
      </c>
      <c r="P61" s="1720">
        <f t="shared" si="15"/>
        <v>10</v>
      </c>
      <c r="Q61" s="1720">
        <f t="shared" si="15"/>
        <v>10</v>
      </c>
      <c r="R61" s="1720">
        <f t="shared" si="15"/>
        <v>10</v>
      </c>
      <c r="S61" s="1720">
        <f t="shared" si="15"/>
        <v>10</v>
      </c>
      <c r="T61" s="1720">
        <f t="shared" si="15"/>
        <v>0</v>
      </c>
      <c r="U61" s="1720">
        <f t="shared" si="15"/>
        <v>10</v>
      </c>
      <c r="V61" s="1720">
        <f t="shared" si="15"/>
        <v>10</v>
      </c>
      <c r="W61" s="1720">
        <f t="shared" si="15"/>
        <v>10</v>
      </c>
      <c r="X61" s="1720">
        <f t="shared" si="15"/>
        <v>10</v>
      </c>
      <c r="Y61" s="1720">
        <f t="shared" si="15"/>
        <v>10</v>
      </c>
      <c r="Z61" s="1720">
        <f t="shared" si="15"/>
        <v>10</v>
      </c>
      <c r="AA61" s="1720">
        <f t="shared" si="15"/>
        <v>10</v>
      </c>
      <c r="AB61" s="1720">
        <f t="shared" si="15"/>
        <v>10</v>
      </c>
      <c r="AC61" s="1720">
        <f t="shared" si="15"/>
        <v>10</v>
      </c>
      <c r="AD61" s="1720">
        <f t="shared" si="15"/>
        <v>0</v>
      </c>
      <c r="AE61" s="1720">
        <f t="shared" si="15"/>
        <v>10</v>
      </c>
      <c r="AF61" s="1720">
        <f t="shared" si="15"/>
        <v>10</v>
      </c>
      <c r="AG61" s="1720">
        <f t="shared" si="15"/>
        <v>10</v>
      </c>
      <c r="AH61" s="1720">
        <f t="shared" si="15"/>
        <v>10</v>
      </c>
      <c r="AI61" s="1720">
        <f t="shared" si="15"/>
        <v>10</v>
      </c>
      <c r="AJ61" s="2446">
        <f t="shared" si="15"/>
        <v>10</v>
      </c>
      <c r="AK61" s="2446">
        <f t="shared" si="15"/>
        <v>0</v>
      </c>
    </row>
    <row r="62" spans="1:37">
      <c r="A62" s="1732"/>
      <c r="B62" s="2447" t="s">
        <v>1830</v>
      </c>
      <c r="C62" s="2463" t="s">
        <v>1831</v>
      </c>
      <c r="D62" s="2464" t="s">
        <v>1832</v>
      </c>
      <c r="E62" s="1728">
        <f>COUNT(G62:AJ62)</f>
        <v>2</v>
      </c>
      <c r="F62" s="2448">
        <f>SUM(G62:AJ62)</f>
        <v>16</v>
      </c>
      <c r="G62" s="1717">
        <v>8</v>
      </c>
      <c r="H62" s="1722">
        <v>8</v>
      </c>
      <c r="I62" s="1722"/>
      <c r="J62" s="1722"/>
      <c r="K62" s="1722"/>
      <c r="L62" s="1722"/>
      <c r="M62" s="1722"/>
      <c r="N62" s="1722"/>
      <c r="O62" s="1722"/>
      <c r="P62" s="1722"/>
      <c r="Q62" s="1722"/>
      <c r="R62" s="1722"/>
      <c r="S62" s="1722"/>
      <c r="T62" s="1722"/>
      <c r="U62" s="1722"/>
      <c r="V62" s="1722"/>
      <c r="W62" s="1722"/>
      <c r="X62" s="1722"/>
      <c r="Y62" s="1722"/>
      <c r="Z62" s="1722"/>
      <c r="AA62" s="1722"/>
      <c r="AB62" s="1722"/>
      <c r="AC62" s="1722"/>
      <c r="AD62" s="1722"/>
      <c r="AE62" s="1722"/>
      <c r="AF62" s="1722"/>
      <c r="AG62" s="1722"/>
      <c r="AH62" s="1722"/>
      <c r="AI62" s="1722"/>
      <c r="AJ62" s="1716"/>
      <c r="AK62" s="1751"/>
    </row>
    <row r="63" spans="1:37">
      <c r="A63" s="1732"/>
      <c r="B63" s="1736"/>
      <c r="C63" s="1715" t="s">
        <v>1833</v>
      </c>
      <c r="D63" s="1254" t="s">
        <v>1834</v>
      </c>
      <c r="E63" s="1711">
        <f>COUNT(G63:AJ63)</f>
        <v>2</v>
      </c>
      <c r="F63" s="1739">
        <f>SUM(G63:AJ63)</f>
        <v>16</v>
      </c>
      <c r="G63" s="1717"/>
      <c r="H63" s="1711"/>
      <c r="I63" s="1711" t="s">
        <v>1780</v>
      </c>
      <c r="J63" s="1711">
        <v>8</v>
      </c>
      <c r="K63" s="1711">
        <v>8</v>
      </c>
      <c r="L63" s="1711"/>
      <c r="M63" s="1732"/>
      <c r="N63" s="1719"/>
      <c r="O63" s="1711"/>
      <c r="P63" s="1711"/>
      <c r="Q63" s="1711"/>
      <c r="R63" s="1732"/>
      <c r="S63" s="1719"/>
      <c r="T63" s="1719"/>
      <c r="U63" s="1719"/>
      <c r="V63" s="1719"/>
      <c r="W63" s="1711"/>
      <c r="X63" s="1711"/>
      <c r="Y63" s="1711"/>
      <c r="Z63" s="1711"/>
      <c r="AA63" s="1711"/>
      <c r="AB63" s="1711"/>
      <c r="AC63" s="1711"/>
      <c r="AD63" s="1711"/>
      <c r="AE63" s="1711"/>
      <c r="AF63" s="1711"/>
      <c r="AG63" s="1711"/>
      <c r="AH63" s="1711"/>
      <c r="AI63" s="1711"/>
      <c r="AJ63" s="1725"/>
      <c r="AK63" s="1753"/>
    </row>
    <row r="64" spans="1:37">
      <c r="A64" s="1732"/>
      <c r="B64" s="1736"/>
      <c r="C64" s="1715"/>
      <c r="D64" s="1254" t="s">
        <v>1835</v>
      </c>
      <c r="E64" s="1711">
        <f>COUNT(G64:AJ64)</f>
        <v>3</v>
      </c>
      <c r="F64" s="1739">
        <f>SUM(G64:AJ64)</f>
        <v>24</v>
      </c>
      <c r="G64" s="1717"/>
      <c r="H64" s="1711"/>
      <c r="I64" s="1711"/>
      <c r="J64" s="1711"/>
      <c r="K64" s="1711"/>
      <c r="L64" s="1711">
        <v>8</v>
      </c>
      <c r="M64" s="1711">
        <v>8</v>
      </c>
      <c r="N64" s="1711">
        <v>8</v>
      </c>
      <c r="O64" s="1711"/>
      <c r="P64" s="1717"/>
      <c r="Q64" s="1711"/>
      <c r="R64" s="1711"/>
      <c r="S64" s="1775"/>
      <c r="T64" s="1711"/>
      <c r="U64" s="1711"/>
      <c r="V64" s="1775"/>
      <c r="W64" s="1711"/>
      <c r="X64" s="1711"/>
      <c r="Y64" s="1711"/>
      <c r="Z64" s="1711"/>
      <c r="AA64" s="1711"/>
      <c r="AB64" s="1711"/>
      <c r="AC64" s="1711"/>
      <c r="AD64" s="1775"/>
      <c r="AE64" s="1711"/>
      <c r="AF64" s="1711"/>
      <c r="AG64" s="1711"/>
      <c r="AH64" s="1783"/>
      <c r="AI64" s="1717"/>
      <c r="AJ64" s="1725"/>
      <c r="AK64" s="1753"/>
    </row>
    <row r="65" spans="1:37">
      <c r="A65" s="1732"/>
      <c r="B65" s="1736"/>
      <c r="C65" s="1715"/>
      <c r="D65" s="1254" t="s">
        <v>1836</v>
      </c>
      <c r="E65" s="1711">
        <f>COUNT(G65:AJ65)</f>
        <v>2</v>
      </c>
      <c r="F65" s="1739">
        <f>SUM(G65:AJ65)</f>
        <v>16</v>
      </c>
      <c r="G65" s="1717"/>
      <c r="H65" s="1711"/>
      <c r="I65" s="1711"/>
      <c r="J65" s="1711"/>
      <c r="K65" s="1711"/>
      <c r="L65" s="1711"/>
      <c r="M65" s="1711"/>
      <c r="N65" s="1711"/>
      <c r="O65" s="1711">
        <v>8</v>
      </c>
      <c r="P65" s="1711">
        <v>8</v>
      </c>
      <c r="Q65" s="1722"/>
      <c r="R65" s="1722"/>
      <c r="S65" s="1711"/>
      <c r="T65" s="1711"/>
      <c r="U65" s="1711"/>
      <c r="V65" s="1711"/>
      <c r="W65" s="1711"/>
      <c r="X65" s="1711"/>
      <c r="Y65" s="1722"/>
      <c r="Z65" s="1722"/>
      <c r="AA65" s="1711"/>
      <c r="AB65" s="1711"/>
      <c r="AC65" s="1711"/>
      <c r="AD65" s="1711"/>
      <c r="AE65" s="1711"/>
      <c r="AF65" s="1711"/>
      <c r="AG65" s="1711"/>
      <c r="AH65" s="1711"/>
      <c r="AI65" s="1711"/>
      <c r="AJ65" s="1725"/>
      <c r="AK65" s="1753"/>
    </row>
    <row r="66" spans="1:37">
      <c r="A66" s="1732"/>
      <c r="B66" s="1760"/>
      <c r="C66" s="1715" t="s">
        <v>1837</v>
      </c>
      <c r="D66" s="1254" t="s">
        <v>1838</v>
      </c>
      <c r="E66" s="1719">
        <f>COUNT(G66:AJ66)</f>
        <v>2</v>
      </c>
      <c r="F66" s="1739">
        <f>SUM(G66:AJ66)</f>
        <v>16</v>
      </c>
      <c r="G66" s="1718"/>
      <c r="H66" s="1719"/>
      <c r="I66" s="1719"/>
      <c r="J66" s="1719"/>
      <c r="K66" s="1719"/>
      <c r="L66" s="1719"/>
      <c r="M66" s="1719"/>
      <c r="N66" s="1719"/>
      <c r="O66" s="1719"/>
      <c r="P66" s="1719"/>
      <c r="Q66" s="1724" t="s">
        <v>1777</v>
      </c>
      <c r="R66" s="1724">
        <v>8</v>
      </c>
      <c r="S66" s="1719">
        <v>8</v>
      </c>
      <c r="T66" s="1719"/>
      <c r="U66" s="1719"/>
      <c r="V66" s="1719"/>
      <c r="W66" s="1719"/>
      <c r="X66" s="1711"/>
      <c r="Y66" s="1711"/>
      <c r="Z66" s="1711"/>
      <c r="AA66" s="1711"/>
      <c r="AB66" s="1719"/>
      <c r="AC66" s="1719"/>
      <c r="AD66" s="1719"/>
      <c r="AE66" s="1719"/>
      <c r="AF66" s="1719"/>
      <c r="AG66" s="1784"/>
      <c r="AH66" s="1784"/>
      <c r="AI66" s="1719"/>
      <c r="AJ66" s="1732"/>
      <c r="AK66" s="1764"/>
    </row>
    <row r="67" spans="1:37">
      <c r="A67" s="1732"/>
      <c r="B67" s="1760"/>
      <c r="C67" s="1715"/>
      <c r="D67" s="1254" t="s">
        <v>1839</v>
      </c>
      <c r="E67" s="1711">
        <f>+COUNT(G67:AK67)</f>
        <v>3</v>
      </c>
      <c r="F67" s="1773">
        <f>SUM(G67:AK67)</f>
        <v>24</v>
      </c>
      <c r="G67" s="1718"/>
      <c r="H67" s="1719"/>
      <c r="I67" s="1719"/>
      <c r="J67" s="1719"/>
      <c r="K67" s="1719"/>
      <c r="L67" s="1719"/>
      <c r="M67" s="1719"/>
      <c r="N67" s="1719"/>
      <c r="O67" s="1719"/>
      <c r="P67" s="1719"/>
      <c r="Q67" s="1719"/>
      <c r="R67" s="1719"/>
      <c r="S67" s="1719"/>
      <c r="T67" s="1719">
        <v>8</v>
      </c>
      <c r="U67" s="1719">
        <v>8</v>
      </c>
      <c r="V67" s="1719">
        <v>8</v>
      </c>
      <c r="W67" s="1719"/>
      <c r="X67" s="1719"/>
      <c r="Y67" s="1711"/>
      <c r="Z67" s="1719"/>
      <c r="AA67" s="1732"/>
      <c r="AB67" s="1719"/>
      <c r="AC67" s="1711"/>
      <c r="AD67" s="1711"/>
      <c r="AE67" s="1719"/>
      <c r="AF67" s="1719"/>
      <c r="AG67" s="1719"/>
      <c r="AH67" s="1719"/>
      <c r="AI67" s="1719"/>
      <c r="AJ67" s="1719"/>
      <c r="AK67" s="2449"/>
    </row>
    <row r="68" spans="1:37">
      <c r="A68" s="1732"/>
      <c r="B68" s="1760"/>
      <c r="C68" s="1780"/>
      <c r="D68" s="1254" t="s">
        <v>1840</v>
      </c>
      <c r="E68" s="1719">
        <f>+COUNT(G68:AJ68)</f>
        <v>2</v>
      </c>
      <c r="F68" s="1782">
        <f>SUM(G68:AJ68)</f>
        <v>16</v>
      </c>
      <c r="G68" s="1718"/>
      <c r="H68" s="1719"/>
      <c r="I68" s="1776"/>
      <c r="J68" s="1719"/>
      <c r="K68" s="1719"/>
      <c r="L68" s="1719"/>
      <c r="M68" s="1719"/>
      <c r="N68" s="1719"/>
      <c r="O68" s="1719"/>
      <c r="P68" s="1719"/>
      <c r="Q68" s="1719"/>
      <c r="R68" s="1719"/>
      <c r="S68" s="1719"/>
      <c r="T68" s="1719"/>
      <c r="U68" s="1711"/>
      <c r="V68" s="1719"/>
      <c r="W68" s="1719">
        <v>8</v>
      </c>
      <c r="X68" s="1719">
        <v>8</v>
      </c>
      <c r="Y68" s="1711"/>
      <c r="Z68" s="1719"/>
      <c r="AA68" s="1719"/>
      <c r="AB68" s="1719"/>
      <c r="AC68" s="1719"/>
      <c r="AD68" s="1719"/>
      <c r="AE68" s="1711"/>
      <c r="AF68" s="1711"/>
      <c r="AG68" s="1711"/>
      <c r="AH68" s="1719"/>
      <c r="AI68" s="1719"/>
      <c r="AJ68" s="1711"/>
      <c r="AK68" s="1753"/>
    </row>
    <row r="69" spans="1:37">
      <c r="A69" s="1732"/>
      <c r="B69" s="1760"/>
      <c r="C69" s="1780" t="s">
        <v>1841</v>
      </c>
      <c r="D69" s="1254" t="s">
        <v>1842</v>
      </c>
      <c r="E69" s="1719">
        <f>+COUNT(G69:AJ69)</f>
        <v>2</v>
      </c>
      <c r="F69" s="1782">
        <f>SUM(G69:AJ69)</f>
        <v>16</v>
      </c>
      <c r="G69" s="1718"/>
      <c r="H69" s="1719"/>
      <c r="I69" s="1776"/>
      <c r="J69" s="1719"/>
      <c r="K69" s="1719"/>
      <c r="L69" s="1719"/>
      <c r="M69" s="1719"/>
      <c r="N69" s="1719"/>
      <c r="O69" s="1719"/>
      <c r="P69" s="1719"/>
      <c r="Q69" s="1719"/>
      <c r="R69" s="1719"/>
      <c r="S69" s="1719"/>
      <c r="T69" s="1719"/>
      <c r="U69" s="1711"/>
      <c r="V69" s="1711"/>
      <c r="W69" s="1711"/>
      <c r="X69" s="1711"/>
      <c r="Y69" s="1711" t="s">
        <v>1777</v>
      </c>
      <c r="Z69" s="1711" t="s">
        <v>1780</v>
      </c>
      <c r="AA69" s="1719">
        <v>8</v>
      </c>
      <c r="AB69" s="1719">
        <v>8</v>
      </c>
      <c r="AC69" s="1719"/>
      <c r="AD69" s="1719"/>
      <c r="AE69" s="1719"/>
      <c r="AF69" s="1719"/>
      <c r="AG69" s="1719"/>
      <c r="AH69" s="1719"/>
      <c r="AI69" s="1719"/>
      <c r="AJ69" s="1711"/>
      <c r="AK69" s="1764"/>
    </row>
    <row r="70" spans="1:37">
      <c r="A70" s="1732"/>
      <c r="B70" s="1760"/>
      <c r="C70" s="1780"/>
      <c r="D70" s="1254" t="s">
        <v>1843</v>
      </c>
      <c r="E70" s="1719">
        <f>+COUNT(G70:AJ70)</f>
        <v>3</v>
      </c>
      <c r="F70" s="1782">
        <f>SUM(G70:AJ70)</f>
        <v>24</v>
      </c>
      <c r="G70" s="1718"/>
      <c r="H70" s="1719"/>
      <c r="I70" s="1776"/>
      <c r="J70" s="1719"/>
      <c r="K70" s="1719"/>
      <c r="L70" s="1719"/>
      <c r="M70" s="1719"/>
      <c r="N70" s="1719"/>
      <c r="O70" s="1719"/>
      <c r="P70" s="1719"/>
      <c r="Q70" s="1719"/>
      <c r="R70" s="1719"/>
      <c r="S70" s="1719"/>
      <c r="T70" s="1719"/>
      <c r="U70" s="1711"/>
      <c r="V70" s="1711"/>
      <c r="W70" s="1711"/>
      <c r="X70" s="1711"/>
      <c r="Y70" s="1711"/>
      <c r="Z70" s="1711"/>
      <c r="AA70" s="1719"/>
      <c r="AB70" s="1719"/>
      <c r="AC70" s="1719">
        <v>8</v>
      </c>
      <c r="AD70" s="1719">
        <v>8</v>
      </c>
      <c r="AE70" s="1719">
        <v>8</v>
      </c>
      <c r="AF70" s="1719"/>
      <c r="AG70" s="1719"/>
      <c r="AH70" s="1719"/>
      <c r="AI70" s="1719"/>
      <c r="AJ70" s="1711"/>
      <c r="AK70" s="1764"/>
    </row>
    <row r="71" spans="1:37">
      <c r="A71" s="1732"/>
      <c r="B71" s="1760"/>
      <c r="C71" s="1780"/>
      <c r="D71" s="1254" t="s">
        <v>1844</v>
      </c>
      <c r="E71" s="1719">
        <f>+COUNT(G71:AJ71)</f>
        <v>2</v>
      </c>
      <c r="F71" s="1782">
        <f>SUM(G71:AJ71)</f>
        <v>16</v>
      </c>
      <c r="G71" s="1718"/>
      <c r="H71" s="1719"/>
      <c r="I71" s="1776"/>
      <c r="J71" s="1719"/>
      <c r="K71" s="1719"/>
      <c r="L71" s="1719"/>
      <c r="M71" s="1719"/>
      <c r="N71" s="1719"/>
      <c r="O71" s="1719"/>
      <c r="P71" s="1719"/>
      <c r="Q71" s="1719"/>
      <c r="R71" s="1719"/>
      <c r="S71" s="1719"/>
      <c r="T71" s="1719"/>
      <c r="U71" s="1711"/>
      <c r="V71" s="1711"/>
      <c r="W71" s="1711"/>
      <c r="X71" s="1711"/>
      <c r="Y71" s="1711"/>
      <c r="Z71" s="1711"/>
      <c r="AA71" s="1719"/>
      <c r="AB71" s="1719"/>
      <c r="AC71" s="1719"/>
      <c r="AD71" s="1719"/>
      <c r="AE71" s="1719"/>
      <c r="AF71" s="1719">
        <v>8</v>
      </c>
      <c r="AG71" s="1719">
        <v>8</v>
      </c>
      <c r="AH71" s="1719"/>
      <c r="AI71" s="1719"/>
      <c r="AJ71" s="1711"/>
      <c r="AK71" s="1764"/>
    </row>
    <row r="72" spans="1:37" ht="15" thickBot="1">
      <c r="A72" s="1732"/>
      <c r="B72" s="1760"/>
      <c r="C72" s="1780" t="s">
        <v>1845</v>
      </c>
      <c r="D72" s="1254" t="s">
        <v>1846</v>
      </c>
      <c r="E72" s="1719">
        <f>+COUNT(G72:AJ72)</f>
        <v>2</v>
      </c>
      <c r="F72" s="1782">
        <f>SUM(G72:AK72)</f>
        <v>24</v>
      </c>
      <c r="G72" s="1718"/>
      <c r="H72" s="1719"/>
      <c r="I72" s="1776"/>
      <c r="J72" s="1719"/>
      <c r="K72" s="1719"/>
      <c r="L72" s="1719"/>
      <c r="M72" s="1719"/>
      <c r="N72" s="1719"/>
      <c r="O72" s="1719"/>
      <c r="P72" s="1719"/>
      <c r="Q72" s="1719"/>
      <c r="R72" s="1719"/>
      <c r="S72" s="1719"/>
      <c r="T72" s="1719"/>
      <c r="U72" s="1711"/>
      <c r="V72" s="1711"/>
      <c r="W72" s="1711"/>
      <c r="X72" s="1711"/>
      <c r="Y72" s="1711"/>
      <c r="Z72" s="1711"/>
      <c r="AA72" s="1719"/>
      <c r="AB72" s="1719"/>
      <c r="AC72" s="1719"/>
      <c r="AD72" s="1719"/>
      <c r="AE72" s="1719"/>
      <c r="AF72" s="1719"/>
      <c r="AG72" s="1719"/>
      <c r="AH72" s="1719" t="s">
        <v>1777</v>
      </c>
      <c r="AI72" s="1719">
        <v>8</v>
      </c>
      <c r="AJ72" s="1711">
        <v>8</v>
      </c>
      <c r="AK72" s="1764">
        <v>8</v>
      </c>
    </row>
    <row r="73" spans="1:37" ht="15" thickBot="1">
      <c r="A73" s="1732"/>
      <c r="B73" s="1755">
        <v>200</v>
      </c>
      <c r="C73" s="1756"/>
      <c r="D73" s="1756" t="s">
        <v>63</v>
      </c>
      <c r="E73" s="1720">
        <f>SUM(E65:E72)</f>
        <v>18</v>
      </c>
      <c r="F73" s="2438">
        <f>SUM(G73:AK73)</f>
        <v>208</v>
      </c>
      <c r="G73" s="2439">
        <f t="shared" ref="G73:AK73" si="16">SUM(G62:G72)</f>
        <v>8</v>
      </c>
      <c r="H73" s="1720">
        <f t="shared" si="16"/>
        <v>8</v>
      </c>
      <c r="I73" s="1720">
        <f t="shared" si="16"/>
        <v>0</v>
      </c>
      <c r="J73" s="1720">
        <f t="shared" si="16"/>
        <v>8</v>
      </c>
      <c r="K73" s="1720">
        <f t="shared" si="16"/>
        <v>8</v>
      </c>
      <c r="L73" s="1720">
        <f t="shared" si="16"/>
        <v>8</v>
      </c>
      <c r="M73" s="1720">
        <f t="shared" si="16"/>
        <v>8</v>
      </c>
      <c r="N73" s="1720">
        <f t="shared" si="16"/>
        <v>8</v>
      </c>
      <c r="O73" s="1720">
        <f t="shared" si="16"/>
        <v>8</v>
      </c>
      <c r="P73" s="1720">
        <f t="shared" si="16"/>
        <v>8</v>
      </c>
      <c r="Q73" s="1720">
        <f t="shared" si="16"/>
        <v>0</v>
      </c>
      <c r="R73" s="1720">
        <f t="shared" si="16"/>
        <v>8</v>
      </c>
      <c r="S73" s="1720">
        <f t="shared" si="16"/>
        <v>8</v>
      </c>
      <c r="T73" s="1720">
        <f t="shared" si="16"/>
        <v>8</v>
      </c>
      <c r="U73" s="1720">
        <f t="shared" si="16"/>
        <v>8</v>
      </c>
      <c r="V73" s="1720">
        <f t="shared" si="16"/>
        <v>8</v>
      </c>
      <c r="W73" s="1720">
        <f t="shared" si="16"/>
        <v>8</v>
      </c>
      <c r="X73" s="1720">
        <f t="shared" si="16"/>
        <v>8</v>
      </c>
      <c r="Y73" s="1720">
        <f t="shared" si="16"/>
        <v>0</v>
      </c>
      <c r="Z73" s="1720">
        <f t="shared" si="16"/>
        <v>0</v>
      </c>
      <c r="AA73" s="1720">
        <f t="shared" si="16"/>
        <v>8</v>
      </c>
      <c r="AB73" s="1720">
        <f t="shared" si="16"/>
        <v>8</v>
      </c>
      <c r="AC73" s="1720">
        <f t="shared" si="16"/>
        <v>8</v>
      </c>
      <c r="AD73" s="1720">
        <f t="shared" si="16"/>
        <v>8</v>
      </c>
      <c r="AE73" s="1720">
        <f t="shared" si="16"/>
        <v>8</v>
      </c>
      <c r="AF73" s="1720">
        <f t="shared" si="16"/>
        <v>8</v>
      </c>
      <c r="AG73" s="1720">
        <f t="shared" si="16"/>
        <v>8</v>
      </c>
      <c r="AH73" s="1720">
        <f t="shared" si="16"/>
        <v>0</v>
      </c>
      <c r="AI73" s="1720">
        <f t="shared" si="16"/>
        <v>8</v>
      </c>
      <c r="AJ73" s="1757">
        <f t="shared" si="16"/>
        <v>8</v>
      </c>
      <c r="AK73" s="1758">
        <f t="shared" si="16"/>
        <v>8</v>
      </c>
    </row>
    <row r="74" spans="1:37" ht="15" thickBot="1">
      <c r="A74" s="1732"/>
      <c r="B74" s="1785" t="s">
        <v>1811</v>
      </c>
      <c r="C74" s="1786"/>
      <c r="D74" s="1786"/>
      <c r="E74" s="1726"/>
      <c r="F74" s="1789">
        <f>SUM(G74:AK74)</f>
        <v>740</v>
      </c>
      <c r="G74" s="2460">
        <f t="shared" ref="G74:AK74" si="17">SUM(G55,G61,G73)</f>
        <v>28</v>
      </c>
      <c r="H74" s="2460">
        <f t="shared" si="17"/>
        <v>26</v>
      </c>
      <c r="I74" s="2460">
        <f t="shared" si="17"/>
        <v>18</v>
      </c>
      <c r="J74" s="2460">
        <f t="shared" si="17"/>
        <v>18</v>
      </c>
      <c r="K74" s="2460">
        <f t="shared" si="17"/>
        <v>28</v>
      </c>
      <c r="L74" s="2460">
        <f t="shared" si="17"/>
        <v>26</v>
      </c>
      <c r="M74" s="2460">
        <f t="shared" si="17"/>
        <v>16</v>
      </c>
      <c r="N74" s="2460">
        <f t="shared" si="17"/>
        <v>26</v>
      </c>
      <c r="O74" s="2460">
        <f t="shared" si="17"/>
        <v>28</v>
      </c>
      <c r="P74" s="2460">
        <f t="shared" si="17"/>
        <v>26</v>
      </c>
      <c r="Q74" s="2460">
        <f t="shared" si="17"/>
        <v>18</v>
      </c>
      <c r="R74" s="2460">
        <f t="shared" si="17"/>
        <v>26</v>
      </c>
      <c r="S74" s="2460">
        <f t="shared" si="17"/>
        <v>28</v>
      </c>
      <c r="T74" s="2460">
        <f t="shared" si="17"/>
        <v>16</v>
      </c>
      <c r="U74" s="2460">
        <f t="shared" si="17"/>
        <v>26</v>
      </c>
      <c r="V74" s="2460">
        <f t="shared" si="17"/>
        <v>26</v>
      </c>
      <c r="W74" s="2460">
        <f t="shared" si="17"/>
        <v>18</v>
      </c>
      <c r="X74" s="2460">
        <f t="shared" si="17"/>
        <v>28</v>
      </c>
      <c r="Y74" s="2460">
        <f t="shared" si="17"/>
        <v>18</v>
      </c>
      <c r="Z74" s="2460">
        <f t="shared" si="17"/>
        <v>18</v>
      </c>
      <c r="AA74" s="2460">
        <f t="shared" si="17"/>
        <v>26</v>
      </c>
      <c r="AB74" s="2460">
        <f t="shared" si="17"/>
        <v>28</v>
      </c>
      <c r="AC74" s="2460">
        <f t="shared" si="17"/>
        <v>28</v>
      </c>
      <c r="AD74" s="2460">
        <f t="shared" si="17"/>
        <v>18</v>
      </c>
      <c r="AE74" s="2460">
        <f t="shared" si="17"/>
        <v>28</v>
      </c>
      <c r="AF74" s="2460">
        <f t="shared" si="17"/>
        <v>28</v>
      </c>
      <c r="AG74" s="2460">
        <f t="shared" si="17"/>
        <v>28</v>
      </c>
      <c r="AH74" s="2460">
        <f t="shared" si="17"/>
        <v>20</v>
      </c>
      <c r="AI74" s="2460">
        <f t="shared" si="17"/>
        <v>28</v>
      </c>
      <c r="AJ74" s="2460">
        <f t="shared" si="17"/>
        <v>28</v>
      </c>
      <c r="AK74" s="2460">
        <f t="shared" si="17"/>
        <v>18</v>
      </c>
    </row>
    <row r="75" spans="1:37">
      <c r="A75" s="1732"/>
      <c r="B75" s="1741"/>
      <c r="C75" s="2465"/>
      <c r="D75" s="2465"/>
      <c r="E75" s="2466">
        <f>COUNT(G75:AJ75)</f>
        <v>0</v>
      </c>
      <c r="F75" s="1742"/>
      <c r="G75" s="2467"/>
      <c r="H75" s="2465"/>
      <c r="I75" s="2465"/>
      <c r="J75" s="2465"/>
      <c r="K75" s="2465"/>
      <c r="L75" s="2465"/>
      <c r="M75" s="2465"/>
      <c r="N75" s="2465"/>
      <c r="O75" s="2465"/>
      <c r="P75" s="2465"/>
      <c r="Q75" s="2465"/>
      <c r="R75" s="2465"/>
      <c r="S75" s="2465"/>
      <c r="T75" s="2465"/>
      <c r="U75" s="2465"/>
      <c r="V75" s="2465"/>
      <c r="W75" s="2465"/>
      <c r="X75" s="2465"/>
      <c r="Y75" s="2465"/>
      <c r="Z75" s="2465"/>
      <c r="AA75" s="2465"/>
      <c r="AB75" s="2465"/>
      <c r="AC75" s="2465"/>
      <c r="AD75" s="2465"/>
      <c r="AE75" s="2465"/>
      <c r="AF75" s="2465"/>
      <c r="AG75" s="2465"/>
      <c r="AH75" s="2465"/>
      <c r="AI75" s="2465"/>
      <c r="AJ75" s="2465"/>
      <c r="AK75" s="2468"/>
    </row>
    <row r="76" spans="1:37" hidden="1">
      <c r="A76" s="1732"/>
      <c r="B76" s="1741" t="s">
        <v>1847</v>
      </c>
      <c r="C76" s="1742"/>
      <c r="D76" s="1742"/>
      <c r="E76" s="1767"/>
      <c r="F76" s="1742"/>
      <c r="G76" s="1741" t="s">
        <v>1700</v>
      </c>
      <c r="H76" s="1742" t="s">
        <v>1694</v>
      </c>
      <c r="I76" s="1742" t="s">
        <v>1695</v>
      </c>
      <c r="J76" s="1742" t="s">
        <v>1696</v>
      </c>
      <c r="K76" s="1742" t="s">
        <v>1697</v>
      </c>
      <c r="L76" s="1742" t="s">
        <v>1698</v>
      </c>
      <c r="M76" s="1742" t="s">
        <v>1699</v>
      </c>
      <c r="N76" s="1742" t="s">
        <v>1700</v>
      </c>
      <c r="O76" s="1742" t="s">
        <v>1694</v>
      </c>
      <c r="P76" s="1742" t="s">
        <v>1695</v>
      </c>
      <c r="Q76" s="1742" t="s">
        <v>1696</v>
      </c>
      <c r="R76" s="1742" t="s">
        <v>1697</v>
      </c>
      <c r="S76" s="1742" t="s">
        <v>1698</v>
      </c>
      <c r="T76" s="1742" t="s">
        <v>1699</v>
      </c>
      <c r="U76" s="1742" t="s">
        <v>1700</v>
      </c>
      <c r="V76" s="1742" t="s">
        <v>1694</v>
      </c>
      <c r="W76" s="1742" t="s">
        <v>1695</v>
      </c>
      <c r="X76" s="1742" t="s">
        <v>1696</v>
      </c>
      <c r="Y76" s="1742" t="s">
        <v>1697</v>
      </c>
      <c r="Z76" s="1742" t="s">
        <v>1698</v>
      </c>
      <c r="AA76" s="1742" t="s">
        <v>1699</v>
      </c>
      <c r="AB76" s="1742" t="s">
        <v>1700</v>
      </c>
      <c r="AC76" s="1742" t="s">
        <v>1694</v>
      </c>
      <c r="AD76" s="1742" t="s">
        <v>1695</v>
      </c>
      <c r="AE76" s="1742" t="s">
        <v>1696</v>
      </c>
      <c r="AF76" s="1742" t="s">
        <v>1697</v>
      </c>
      <c r="AG76" s="1742" t="s">
        <v>1698</v>
      </c>
      <c r="AH76" s="1742" t="s">
        <v>1699</v>
      </c>
      <c r="AI76" s="1742" t="s">
        <v>1700</v>
      </c>
      <c r="AJ76" s="1742" t="s">
        <v>1694</v>
      </c>
      <c r="AK76" s="1753"/>
    </row>
    <row r="77" spans="1:37" ht="15" hidden="1" thickBot="1">
      <c r="A77" s="1732"/>
      <c r="B77" s="1745" t="s">
        <v>1768</v>
      </c>
      <c r="C77" s="1746" t="s">
        <v>1769</v>
      </c>
      <c r="D77" s="1746" t="s">
        <v>1770</v>
      </c>
      <c r="E77" s="1746" t="s">
        <v>1771</v>
      </c>
      <c r="F77" s="1747" t="s">
        <v>1772</v>
      </c>
      <c r="G77" s="2432">
        <v>45778</v>
      </c>
      <c r="H77" s="1769">
        <v>45779</v>
      </c>
      <c r="I77" s="1769">
        <v>45780</v>
      </c>
      <c r="J77" s="1769">
        <v>45781</v>
      </c>
      <c r="K77" s="1769">
        <v>45782</v>
      </c>
      <c r="L77" s="1769">
        <v>45783</v>
      </c>
      <c r="M77" s="1769">
        <v>45784</v>
      </c>
      <c r="N77" s="1769">
        <v>45785</v>
      </c>
      <c r="O77" s="1769">
        <v>45786</v>
      </c>
      <c r="P77" s="1769">
        <v>45787</v>
      </c>
      <c r="Q77" s="1769">
        <v>45788</v>
      </c>
      <c r="R77" s="1769">
        <v>45789</v>
      </c>
      <c r="S77" s="1769">
        <v>45790</v>
      </c>
      <c r="T77" s="1769">
        <v>45791</v>
      </c>
      <c r="U77" s="1769">
        <v>45792</v>
      </c>
      <c r="V77" s="1769">
        <v>45793</v>
      </c>
      <c r="W77" s="1769">
        <v>45794</v>
      </c>
      <c r="X77" s="1769">
        <v>45795</v>
      </c>
      <c r="Y77" s="1769">
        <v>45796</v>
      </c>
      <c r="Z77" s="1769">
        <v>45797</v>
      </c>
      <c r="AA77" s="1769">
        <v>45798</v>
      </c>
      <c r="AB77" s="1769">
        <v>45799</v>
      </c>
      <c r="AC77" s="1769">
        <v>45800</v>
      </c>
      <c r="AD77" s="1769">
        <v>45801</v>
      </c>
      <c r="AE77" s="1769">
        <v>45802</v>
      </c>
      <c r="AF77" s="1769">
        <v>45803</v>
      </c>
      <c r="AG77" s="1769">
        <v>45804</v>
      </c>
      <c r="AH77" s="1769">
        <v>45805</v>
      </c>
      <c r="AI77" s="1769">
        <v>45806</v>
      </c>
      <c r="AJ77" s="1790">
        <v>45807</v>
      </c>
      <c r="AK77" s="1753"/>
    </row>
    <row r="78" spans="1:37" hidden="1">
      <c r="A78" s="1732"/>
      <c r="B78" s="1791" t="s">
        <v>1848</v>
      </c>
      <c r="C78" s="1721" t="s">
        <v>61</v>
      </c>
      <c r="D78" s="1762"/>
      <c r="E78" s="1792"/>
      <c r="F78" s="1792">
        <f>SUM(G78:AJ78)</f>
        <v>0</v>
      </c>
      <c r="G78" s="3165"/>
      <c r="H78" s="3166"/>
      <c r="I78" s="3166"/>
      <c r="J78" s="3166"/>
      <c r="K78" s="3166"/>
      <c r="L78" s="3166"/>
      <c r="M78" s="3167"/>
      <c r="N78" s="1722"/>
      <c r="O78" s="1722"/>
      <c r="P78" s="1722"/>
      <c r="Q78" s="1722"/>
      <c r="R78" s="1722"/>
      <c r="S78" s="1722"/>
      <c r="T78" s="1722"/>
      <c r="U78" s="1722"/>
      <c r="V78" s="1722"/>
      <c r="W78" s="1722"/>
      <c r="X78" s="1722"/>
      <c r="Y78" s="1722"/>
      <c r="Z78" s="1722"/>
      <c r="AA78" s="1722"/>
      <c r="AB78" s="1722"/>
      <c r="AC78" s="1722"/>
      <c r="AD78" s="1722"/>
      <c r="AE78" s="1722"/>
      <c r="AF78" s="1722"/>
      <c r="AG78" s="1722"/>
      <c r="AH78" s="1722"/>
      <c r="AI78" s="1722"/>
      <c r="AJ78" s="1716"/>
      <c r="AK78" s="1753"/>
    </row>
    <row r="79" spans="1:37" hidden="1">
      <c r="A79" s="1732"/>
      <c r="B79" s="1793"/>
      <c r="C79" s="1794"/>
      <c r="D79" s="1762"/>
      <c r="E79" s="1792"/>
      <c r="F79" s="1792">
        <f>SUM(G79:AJ79)</f>
        <v>0</v>
      </c>
      <c r="G79" s="2469"/>
      <c r="H79" s="1795"/>
      <c r="I79" s="1795"/>
      <c r="J79" s="1795"/>
      <c r="K79" s="1795"/>
      <c r="L79" s="1795"/>
      <c r="M79" s="1795"/>
      <c r="N79" s="1795"/>
      <c r="O79" s="1795"/>
      <c r="P79" s="1795"/>
      <c r="Q79" s="1795"/>
      <c r="R79" s="1795"/>
      <c r="S79" s="1795"/>
      <c r="T79" s="1795"/>
      <c r="U79" s="1795"/>
      <c r="V79" s="1795"/>
      <c r="W79" s="1795"/>
      <c r="X79" s="1795"/>
      <c r="Y79" s="1795"/>
      <c r="Z79" s="1795"/>
      <c r="AA79" s="1795"/>
      <c r="AB79" s="1795"/>
      <c r="AC79" s="1795"/>
      <c r="AD79" s="1722"/>
      <c r="AE79" s="1722"/>
      <c r="AF79" s="1722"/>
      <c r="AG79" s="1722"/>
      <c r="AH79" s="1722"/>
      <c r="AI79" s="1722"/>
      <c r="AJ79" s="1716"/>
      <c r="AK79" s="1753"/>
    </row>
    <row r="80" spans="1:37" ht="15" hidden="1" thickBot="1">
      <c r="A80" s="1732"/>
      <c r="B80" s="1796"/>
      <c r="C80" s="1797"/>
      <c r="D80" s="1797"/>
      <c r="E80" s="1727"/>
      <c r="F80" s="2470"/>
      <c r="G80" s="2471">
        <f t="shared" ref="G80:M80" si="18">SUM(G78:G79)</f>
        <v>0</v>
      </c>
      <c r="H80" s="1727">
        <f t="shared" si="18"/>
        <v>0</v>
      </c>
      <c r="I80" s="1727">
        <f t="shared" si="18"/>
        <v>0</v>
      </c>
      <c r="J80" s="1727">
        <f t="shared" si="18"/>
        <v>0</v>
      </c>
      <c r="K80" s="1727">
        <f t="shared" si="18"/>
        <v>0</v>
      </c>
      <c r="L80" s="1727">
        <f t="shared" si="18"/>
        <v>0</v>
      </c>
      <c r="M80" s="1727">
        <f t="shared" si="18"/>
        <v>0</v>
      </c>
      <c r="N80" s="1727"/>
      <c r="O80" s="1727"/>
      <c r="P80" s="1727"/>
      <c r="Q80" s="1727"/>
      <c r="R80" s="1727"/>
      <c r="S80" s="1727"/>
      <c r="T80" s="1727"/>
      <c r="U80" s="1727"/>
      <c r="V80" s="1727"/>
      <c r="W80" s="1727"/>
      <c r="X80" s="1727"/>
      <c r="Y80" s="1727"/>
      <c r="Z80" s="1727"/>
      <c r="AA80" s="1727"/>
      <c r="AB80" s="1727"/>
      <c r="AC80" s="1727"/>
      <c r="AD80" s="1727"/>
      <c r="AE80" s="1727"/>
      <c r="AF80" s="1727"/>
      <c r="AG80" s="1727"/>
      <c r="AH80" s="1727"/>
      <c r="AI80" s="1727"/>
      <c r="AJ80" s="1798"/>
      <c r="AK80" s="1753"/>
    </row>
    <row r="81" spans="2:37" hidden="1">
      <c r="B81" s="1791" t="s">
        <v>1849</v>
      </c>
      <c r="C81" s="1721" t="s">
        <v>61</v>
      </c>
      <c r="D81" s="1721"/>
      <c r="E81" s="1716">
        <f>COUNT(G81:AJ81)</f>
        <v>0</v>
      </c>
      <c r="F81" s="2434">
        <f>SUM(G81:AJ81)</f>
        <v>0</v>
      </c>
      <c r="G81" s="3168"/>
      <c r="H81" s="3169"/>
      <c r="I81" s="3169"/>
      <c r="J81" s="3169"/>
      <c r="K81" s="3169"/>
      <c r="L81" s="3169"/>
      <c r="M81" s="3170"/>
      <c r="N81" s="1722"/>
      <c r="O81" s="1722"/>
      <c r="P81" s="1722"/>
      <c r="Q81" s="1722"/>
      <c r="R81" s="1722"/>
      <c r="S81" s="1722"/>
      <c r="T81" s="1722"/>
      <c r="U81" s="1711"/>
      <c r="V81" s="1711"/>
      <c r="W81" s="1711"/>
      <c r="X81" s="1711"/>
      <c r="Y81" s="1711"/>
      <c r="Z81" s="1711"/>
      <c r="AA81" s="1711"/>
      <c r="AB81" s="1722"/>
      <c r="AC81" s="1722"/>
      <c r="AD81" s="1722"/>
      <c r="AE81" s="1722"/>
      <c r="AF81" s="1722"/>
      <c r="AG81" s="1722"/>
      <c r="AH81" s="1722"/>
      <c r="AI81" s="1722"/>
      <c r="AJ81" s="1716"/>
      <c r="AK81" s="1753"/>
    </row>
    <row r="82" spans="2:37" hidden="1">
      <c r="B82" s="1736"/>
      <c r="C82" s="1715"/>
      <c r="D82" s="1715"/>
      <c r="E82" s="1711">
        <f>COUNT(G82:AJ82)</f>
        <v>0</v>
      </c>
      <c r="F82" s="2472">
        <f>SUM(G82:AJ82)</f>
        <v>0</v>
      </c>
      <c r="G82" s="2436"/>
      <c r="H82" s="1711"/>
      <c r="I82" s="1711"/>
      <c r="J82" s="1711"/>
      <c r="K82" s="1711"/>
      <c r="L82" s="1711"/>
      <c r="M82" s="1711"/>
      <c r="N82" s="1711"/>
      <c r="O82" s="1711"/>
      <c r="P82" s="1711"/>
      <c r="Q82" s="1711"/>
      <c r="R82" s="1711"/>
      <c r="S82" s="1711"/>
      <c r="T82" s="1711"/>
      <c r="U82" s="1711"/>
      <c r="V82" s="1711"/>
      <c r="W82" s="1711"/>
      <c r="X82" s="1711"/>
      <c r="Y82" s="1711"/>
      <c r="Z82" s="1711"/>
      <c r="AA82" s="1711"/>
      <c r="AB82" s="1711"/>
      <c r="AC82" s="1711"/>
      <c r="AD82" s="1711"/>
      <c r="AE82" s="1711"/>
      <c r="AF82" s="1711"/>
      <c r="AG82" s="1711"/>
      <c r="AH82" s="1711"/>
      <c r="AI82" s="1711"/>
      <c r="AJ82" s="1725"/>
      <c r="AK82" s="1753"/>
    </row>
    <row r="83" spans="2:37" hidden="1">
      <c r="B83" s="1736"/>
      <c r="C83" s="1715"/>
      <c r="D83" s="1715"/>
      <c r="E83" s="1711">
        <f>COUNT(G83:AJ83)</f>
        <v>0</v>
      </c>
      <c r="F83" s="2472">
        <f>SUM(G83:AJ83)</f>
        <v>0</v>
      </c>
      <c r="G83" s="2436"/>
      <c r="H83" s="1711"/>
      <c r="I83" s="1711"/>
      <c r="J83" s="1711"/>
      <c r="K83" s="1711"/>
      <c r="L83" s="1711"/>
      <c r="M83" s="1711"/>
      <c r="N83" s="1711"/>
      <c r="O83" s="1711"/>
      <c r="P83" s="1711"/>
      <c r="Q83" s="1711"/>
      <c r="R83" s="1711"/>
      <c r="S83" s="1711"/>
      <c r="T83" s="1711"/>
      <c r="U83" s="1711"/>
      <c r="V83" s="1711"/>
      <c r="W83" s="1711"/>
      <c r="X83" s="1711"/>
      <c r="Y83" s="1711"/>
      <c r="Z83" s="1711"/>
      <c r="AA83" s="1711"/>
      <c r="AB83" s="1711"/>
      <c r="AC83" s="1711"/>
      <c r="AD83" s="1711"/>
      <c r="AE83" s="1711"/>
      <c r="AF83" s="1711"/>
      <c r="AG83" s="1711"/>
      <c r="AH83" s="1711"/>
      <c r="AI83" s="1711"/>
      <c r="AJ83" s="1725"/>
      <c r="AK83" s="1753"/>
    </row>
    <row r="84" spans="2:37" hidden="1">
      <c r="B84" s="1796"/>
      <c r="C84" s="1797"/>
      <c r="D84" s="1797" t="s">
        <v>63</v>
      </c>
      <c r="E84" s="1727">
        <f>SUM(E81:E83)</f>
        <v>0</v>
      </c>
      <c r="F84" s="2470">
        <f>SUM(G84:AJ84)</f>
        <v>0</v>
      </c>
      <c r="G84" s="2471">
        <f t="shared" ref="G84:M84" si="19">SUM(G81:G83)</f>
        <v>0</v>
      </c>
      <c r="H84" s="1727">
        <f t="shared" si="19"/>
        <v>0</v>
      </c>
      <c r="I84" s="1727">
        <f t="shared" si="19"/>
        <v>0</v>
      </c>
      <c r="J84" s="1727">
        <f t="shared" si="19"/>
        <v>0</v>
      </c>
      <c r="K84" s="1727">
        <f t="shared" si="19"/>
        <v>0</v>
      </c>
      <c r="L84" s="1727">
        <f t="shared" si="19"/>
        <v>0</v>
      </c>
      <c r="M84" s="1727">
        <f t="shared" si="19"/>
        <v>0</v>
      </c>
      <c r="N84" s="1727"/>
      <c r="O84" s="1727"/>
      <c r="P84" s="1727"/>
      <c r="Q84" s="1727"/>
      <c r="R84" s="1727"/>
      <c r="S84" s="1727"/>
      <c r="T84" s="1727"/>
      <c r="U84" s="1727"/>
      <c r="V84" s="1727"/>
      <c r="W84" s="1727"/>
      <c r="X84" s="1727"/>
      <c r="Y84" s="1727"/>
      <c r="Z84" s="1727"/>
      <c r="AA84" s="1727"/>
      <c r="AB84" s="1727"/>
      <c r="AC84" s="1727"/>
      <c r="AD84" s="1727"/>
      <c r="AE84" s="1727"/>
      <c r="AF84" s="1727"/>
      <c r="AG84" s="1727"/>
      <c r="AH84" s="1727"/>
      <c r="AI84" s="1727"/>
      <c r="AJ84" s="1798"/>
      <c r="AK84" s="1753"/>
    </row>
    <row r="85" spans="2:37" ht="15" hidden="1" thickBot="1">
      <c r="B85" s="1745" t="s">
        <v>63</v>
      </c>
      <c r="C85" s="1754"/>
      <c r="D85" s="1754"/>
      <c r="E85" s="1713"/>
      <c r="F85" s="1800">
        <f>SUM(G85:AJ85)</f>
        <v>0</v>
      </c>
      <c r="G85" s="2473">
        <f t="shared" ref="G85:L85" si="20">SUM(G84)</f>
        <v>0</v>
      </c>
      <c r="H85" s="1799">
        <f t="shared" si="20"/>
        <v>0</v>
      </c>
      <c r="I85" s="1799">
        <f t="shared" si="20"/>
        <v>0</v>
      </c>
      <c r="J85" s="1799">
        <f t="shared" si="20"/>
        <v>0</v>
      </c>
      <c r="K85" s="1799">
        <f t="shared" si="20"/>
        <v>0</v>
      </c>
      <c r="L85" s="1799">
        <f t="shared" si="20"/>
        <v>0</v>
      </c>
      <c r="M85" s="1799">
        <f>SUM(M80,M84)</f>
        <v>0</v>
      </c>
      <c r="N85" s="1799"/>
      <c r="O85" s="1799"/>
      <c r="P85" s="1799"/>
      <c r="Q85" s="1799"/>
      <c r="R85" s="1799"/>
      <c r="S85" s="1799"/>
      <c r="T85" s="1799"/>
      <c r="U85" s="1799"/>
      <c r="V85" s="1799"/>
      <c r="W85" s="1799"/>
      <c r="X85" s="1799"/>
      <c r="Y85" s="1799"/>
      <c r="Z85" s="1799"/>
      <c r="AA85" s="1799"/>
      <c r="AB85" s="1799"/>
      <c r="AC85" s="1799"/>
      <c r="AD85" s="1799"/>
      <c r="AE85" s="1799"/>
      <c r="AF85" s="1799"/>
      <c r="AG85" s="1799"/>
      <c r="AH85" s="1799"/>
      <c r="AI85" s="1799"/>
      <c r="AJ85" s="1800"/>
      <c r="AK85" s="1753"/>
    </row>
    <row r="86" spans="2:37" ht="15" hidden="1" thickBot="1">
      <c r="B86" s="1765"/>
      <c r="C86" s="1732"/>
      <c r="D86" s="1732"/>
      <c r="E86" s="1729"/>
      <c r="F86" s="1801"/>
      <c r="G86" s="2474"/>
      <c r="H86" s="1729"/>
      <c r="I86" s="1729"/>
      <c r="J86" s="1729"/>
      <c r="K86" s="1729"/>
      <c r="L86" s="1729"/>
      <c r="M86" s="1729"/>
      <c r="N86" s="1729"/>
      <c r="O86" s="1729"/>
      <c r="P86" s="1729"/>
      <c r="Q86" s="1729"/>
      <c r="R86" s="1729"/>
      <c r="S86" s="1729"/>
      <c r="T86" s="1729"/>
      <c r="U86" s="1729"/>
      <c r="V86" s="1729"/>
      <c r="W86" s="1729"/>
      <c r="X86" s="1729"/>
      <c r="Y86" s="1729"/>
      <c r="Z86" s="1729"/>
      <c r="AA86" s="1729"/>
      <c r="AB86" s="1729"/>
      <c r="AC86" s="1729"/>
      <c r="AD86" s="1729"/>
      <c r="AE86" s="1729"/>
      <c r="AF86" s="1729"/>
      <c r="AG86" s="1729"/>
      <c r="AH86" s="1729"/>
      <c r="AI86" s="1729"/>
      <c r="AJ86" s="1729"/>
      <c r="AK86" s="1753"/>
    </row>
    <row r="87" spans="2:37" hidden="1">
      <c r="B87" s="1802" t="s">
        <v>1754</v>
      </c>
      <c r="C87" s="1803" t="s">
        <v>61</v>
      </c>
      <c r="D87" s="1803" t="s">
        <v>1755</v>
      </c>
      <c r="E87" s="1728"/>
      <c r="F87" s="2475">
        <f>SUM(G87:AJ87)</f>
        <v>0</v>
      </c>
      <c r="G87" s="2476">
        <f t="shared" ref="G87:AJ87" si="21">SUM(G84)</f>
        <v>0</v>
      </c>
      <c r="H87" s="1728">
        <f t="shared" si="21"/>
        <v>0</v>
      </c>
      <c r="I87" s="1728">
        <f t="shared" si="21"/>
        <v>0</v>
      </c>
      <c r="J87" s="1728">
        <f t="shared" si="21"/>
        <v>0</v>
      </c>
      <c r="K87" s="1728">
        <f t="shared" si="21"/>
        <v>0</v>
      </c>
      <c r="L87" s="1728">
        <f t="shared" si="21"/>
        <v>0</v>
      </c>
      <c r="M87" s="1728">
        <f t="shared" si="21"/>
        <v>0</v>
      </c>
      <c r="N87" s="1728">
        <f t="shared" si="21"/>
        <v>0</v>
      </c>
      <c r="O87" s="1728">
        <f t="shared" si="21"/>
        <v>0</v>
      </c>
      <c r="P87" s="1728">
        <f t="shared" si="21"/>
        <v>0</v>
      </c>
      <c r="Q87" s="1728">
        <f t="shared" si="21"/>
        <v>0</v>
      </c>
      <c r="R87" s="1728">
        <f t="shared" si="21"/>
        <v>0</v>
      </c>
      <c r="S87" s="1728">
        <f t="shared" si="21"/>
        <v>0</v>
      </c>
      <c r="T87" s="1728">
        <f t="shared" si="21"/>
        <v>0</v>
      </c>
      <c r="U87" s="1728">
        <f t="shared" si="21"/>
        <v>0</v>
      </c>
      <c r="V87" s="1728">
        <f t="shared" si="21"/>
        <v>0</v>
      </c>
      <c r="W87" s="1728">
        <f t="shared" si="21"/>
        <v>0</v>
      </c>
      <c r="X87" s="1728">
        <f t="shared" si="21"/>
        <v>0</v>
      </c>
      <c r="Y87" s="1728">
        <f t="shared" si="21"/>
        <v>0</v>
      </c>
      <c r="Z87" s="1728">
        <f t="shared" si="21"/>
        <v>0</v>
      </c>
      <c r="AA87" s="1728">
        <f t="shared" si="21"/>
        <v>0</v>
      </c>
      <c r="AB87" s="1728">
        <f t="shared" si="21"/>
        <v>0</v>
      </c>
      <c r="AC87" s="1728">
        <f t="shared" si="21"/>
        <v>0</v>
      </c>
      <c r="AD87" s="1728">
        <f t="shared" si="21"/>
        <v>0</v>
      </c>
      <c r="AE87" s="1728">
        <f t="shared" si="21"/>
        <v>0</v>
      </c>
      <c r="AF87" s="1728">
        <f t="shared" si="21"/>
        <v>0</v>
      </c>
      <c r="AG87" s="1728">
        <f t="shared" si="21"/>
        <v>0</v>
      </c>
      <c r="AH87" s="1728">
        <f t="shared" si="21"/>
        <v>0</v>
      </c>
      <c r="AI87" s="1728">
        <f t="shared" si="21"/>
        <v>0</v>
      </c>
      <c r="AJ87" s="1804">
        <f t="shared" si="21"/>
        <v>0</v>
      </c>
      <c r="AK87" s="1753"/>
    </row>
    <row r="88" spans="2:37" hidden="1">
      <c r="B88" s="1765"/>
      <c r="C88" s="1732"/>
      <c r="D88" s="1732"/>
      <c r="E88" s="1729"/>
      <c r="F88" s="1732"/>
      <c r="G88" s="1765"/>
      <c r="H88" s="1732"/>
      <c r="I88" s="1732"/>
      <c r="J88" s="1732"/>
      <c r="K88" s="1732"/>
      <c r="L88" s="1732"/>
      <c r="M88" s="1732"/>
      <c r="N88" s="1732"/>
      <c r="O88" s="1732"/>
      <c r="P88" s="1732"/>
      <c r="Q88" s="1732"/>
      <c r="R88" s="1732"/>
      <c r="S88" s="1732"/>
      <c r="T88" s="1732"/>
      <c r="U88" s="1732"/>
      <c r="V88" s="1732"/>
      <c r="W88" s="1732"/>
      <c r="X88" s="1732"/>
      <c r="Y88" s="1732"/>
      <c r="Z88" s="1732"/>
      <c r="AA88" s="1732"/>
      <c r="AB88" s="1732"/>
      <c r="AC88" s="1732"/>
      <c r="AD88" s="1732"/>
      <c r="AE88" s="1732"/>
      <c r="AF88" s="1732"/>
      <c r="AG88" s="1732"/>
      <c r="AH88" s="1732"/>
      <c r="AI88" s="1732"/>
      <c r="AJ88" s="1732"/>
      <c r="AK88" s="1753"/>
    </row>
    <row r="89" spans="2:37">
      <c r="B89" s="1736" t="s">
        <v>1754</v>
      </c>
      <c r="C89" s="1715" t="s">
        <v>62</v>
      </c>
      <c r="D89" s="1715" t="s">
        <v>1755</v>
      </c>
      <c r="E89" s="1711"/>
      <c r="F89" s="2472">
        <f t="shared" ref="F89:F94" si="22">SUM(G89:AK89)</f>
        <v>750</v>
      </c>
      <c r="G89" s="2436">
        <f t="shared" ref="G89:AK89" si="23">+SUM(G61,G39,G32)</f>
        <v>10</v>
      </c>
      <c r="H89" s="2436">
        <f t="shared" si="23"/>
        <v>10</v>
      </c>
      <c r="I89" s="2436">
        <f t="shared" si="23"/>
        <v>10</v>
      </c>
      <c r="J89" s="2436">
        <f t="shared" si="23"/>
        <v>20</v>
      </c>
      <c r="K89" s="2436">
        <f t="shared" si="23"/>
        <v>20</v>
      </c>
      <c r="L89" s="2436">
        <f t="shared" si="23"/>
        <v>30</v>
      </c>
      <c r="M89" s="2436">
        <f t="shared" si="23"/>
        <v>20</v>
      </c>
      <c r="N89" s="2436">
        <f t="shared" si="23"/>
        <v>20</v>
      </c>
      <c r="O89" s="2436">
        <f t="shared" si="23"/>
        <v>30</v>
      </c>
      <c r="P89" s="2436">
        <f t="shared" si="23"/>
        <v>30</v>
      </c>
      <c r="Q89" s="2436">
        <f t="shared" si="23"/>
        <v>30</v>
      </c>
      <c r="R89" s="2436">
        <f t="shared" si="23"/>
        <v>30</v>
      </c>
      <c r="S89" s="2436">
        <f t="shared" si="23"/>
        <v>20</v>
      </c>
      <c r="T89" s="2436">
        <f t="shared" si="23"/>
        <v>20</v>
      </c>
      <c r="U89" s="2436">
        <f t="shared" si="23"/>
        <v>20</v>
      </c>
      <c r="V89" s="2436">
        <f t="shared" si="23"/>
        <v>30</v>
      </c>
      <c r="W89" s="2436">
        <f t="shared" si="23"/>
        <v>30</v>
      </c>
      <c r="X89" s="2436">
        <f t="shared" si="23"/>
        <v>30</v>
      </c>
      <c r="Y89" s="2436">
        <f t="shared" si="23"/>
        <v>30</v>
      </c>
      <c r="Z89" s="2436">
        <f t="shared" si="23"/>
        <v>30</v>
      </c>
      <c r="AA89" s="2436">
        <f t="shared" si="23"/>
        <v>30</v>
      </c>
      <c r="AB89" s="2436">
        <f t="shared" si="23"/>
        <v>30</v>
      </c>
      <c r="AC89" s="2436">
        <f t="shared" si="23"/>
        <v>30</v>
      </c>
      <c r="AD89" s="2436">
        <f t="shared" si="23"/>
        <v>20</v>
      </c>
      <c r="AE89" s="2436">
        <f t="shared" si="23"/>
        <v>20</v>
      </c>
      <c r="AF89" s="2436">
        <f t="shared" si="23"/>
        <v>30</v>
      </c>
      <c r="AG89" s="2436">
        <f t="shared" si="23"/>
        <v>30</v>
      </c>
      <c r="AH89" s="2436">
        <f t="shared" si="23"/>
        <v>30</v>
      </c>
      <c r="AI89" s="2436">
        <f t="shared" si="23"/>
        <v>30</v>
      </c>
      <c r="AJ89" s="2436">
        <f t="shared" si="23"/>
        <v>20</v>
      </c>
      <c r="AK89" s="2436">
        <f t="shared" si="23"/>
        <v>10</v>
      </c>
    </row>
    <row r="90" spans="2:37">
      <c r="B90" s="1736" t="s">
        <v>1756</v>
      </c>
      <c r="C90" s="1715" t="s">
        <v>62</v>
      </c>
      <c r="D90" s="1715" t="s">
        <v>1755</v>
      </c>
      <c r="E90" s="1711"/>
      <c r="F90" s="2472">
        <f t="shared" si="22"/>
        <v>462</v>
      </c>
      <c r="G90" s="2436">
        <f t="shared" ref="G90:AK90" si="24">+SUM(G55,G17)</f>
        <v>20</v>
      </c>
      <c r="H90" s="2436">
        <f t="shared" si="24"/>
        <v>18</v>
      </c>
      <c r="I90" s="2436">
        <f t="shared" si="24"/>
        <v>18</v>
      </c>
      <c r="J90" s="2436">
        <f t="shared" si="24"/>
        <v>10</v>
      </c>
      <c r="K90" s="2436">
        <f t="shared" si="24"/>
        <v>20</v>
      </c>
      <c r="L90" s="2436">
        <f t="shared" si="24"/>
        <v>18</v>
      </c>
      <c r="M90" s="2436">
        <f t="shared" si="24"/>
        <v>18</v>
      </c>
      <c r="N90" s="2436">
        <f t="shared" si="24"/>
        <v>18</v>
      </c>
      <c r="O90" s="2436">
        <f t="shared" si="24"/>
        <v>10</v>
      </c>
      <c r="P90" s="2436">
        <f t="shared" si="24"/>
        <v>18</v>
      </c>
      <c r="Q90" s="2436">
        <f t="shared" si="24"/>
        <v>18</v>
      </c>
      <c r="R90" s="2436">
        <f t="shared" si="24"/>
        <v>18</v>
      </c>
      <c r="S90" s="2436">
        <f t="shared" si="24"/>
        <v>20</v>
      </c>
      <c r="T90" s="2436">
        <f t="shared" si="24"/>
        <v>18</v>
      </c>
      <c r="U90" s="2436">
        <f t="shared" si="24"/>
        <v>18</v>
      </c>
      <c r="V90" s="2436">
        <f t="shared" si="24"/>
        <v>18</v>
      </c>
      <c r="W90" s="2436">
        <f t="shared" si="24"/>
        <v>0</v>
      </c>
      <c r="X90" s="2436">
        <f t="shared" si="24"/>
        <v>10</v>
      </c>
      <c r="Y90" s="2436">
        <f t="shared" si="24"/>
        <v>8</v>
      </c>
      <c r="Z90" s="2436">
        <f t="shared" si="24"/>
        <v>8</v>
      </c>
      <c r="AA90" s="2436">
        <f t="shared" si="24"/>
        <v>8</v>
      </c>
      <c r="AB90" s="2436">
        <f t="shared" si="24"/>
        <v>10</v>
      </c>
      <c r="AC90" s="2436">
        <f t="shared" si="24"/>
        <v>10</v>
      </c>
      <c r="AD90" s="2436">
        <f t="shared" si="24"/>
        <v>10</v>
      </c>
      <c r="AE90" s="2436">
        <f t="shared" si="24"/>
        <v>10</v>
      </c>
      <c r="AF90" s="2436">
        <f t="shared" si="24"/>
        <v>20</v>
      </c>
      <c r="AG90" s="2436">
        <f t="shared" si="24"/>
        <v>10</v>
      </c>
      <c r="AH90" s="2436">
        <f t="shared" si="24"/>
        <v>20</v>
      </c>
      <c r="AI90" s="2436">
        <f t="shared" si="24"/>
        <v>20</v>
      </c>
      <c r="AJ90" s="2436">
        <f t="shared" si="24"/>
        <v>20</v>
      </c>
      <c r="AK90" s="2436">
        <f t="shared" si="24"/>
        <v>20</v>
      </c>
    </row>
    <row r="91" spans="2:37">
      <c r="B91" s="1796" t="s">
        <v>63</v>
      </c>
      <c r="C91" s="1797" t="s">
        <v>62</v>
      </c>
      <c r="D91" s="1797" t="s">
        <v>1755</v>
      </c>
      <c r="E91" s="1727"/>
      <c r="F91" s="2470">
        <f t="shared" si="22"/>
        <v>1212</v>
      </c>
      <c r="G91" s="2471">
        <f t="shared" ref="G91:AK91" si="25">SUM(G89:G90)</f>
        <v>30</v>
      </c>
      <c r="H91" s="1727">
        <f t="shared" si="25"/>
        <v>28</v>
      </c>
      <c r="I91" s="1727">
        <f t="shared" si="25"/>
        <v>28</v>
      </c>
      <c r="J91" s="1727">
        <f t="shared" si="25"/>
        <v>30</v>
      </c>
      <c r="K91" s="1727">
        <f t="shared" si="25"/>
        <v>40</v>
      </c>
      <c r="L91" s="1727">
        <f t="shared" si="25"/>
        <v>48</v>
      </c>
      <c r="M91" s="1727">
        <f t="shared" si="25"/>
        <v>38</v>
      </c>
      <c r="N91" s="1727">
        <f t="shared" si="25"/>
        <v>38</v>
      </c>
      <c r="O91" s="1727">
        <f t="shared" si="25"/>
        <v>40</v>
      </c>
      <c r="P91" s="1727">
        <f t="shared" si="25"/>
        <v>48</v>
      </c>
      <c r="Q91" s="1727">
        <f t="shared" si="25"/>
        <v>48</v>
      </c>
      <c r="R91" s="1727">
        <f t="shared" si="25"/>
        <v>48</v>
      </c>
      <c r="S91" s="1727">
        <f t="shared" si="25"/>
        <v>40</v>
      </c>
      <c r="T91" s="1727">
        <f t="shared" si="25"/>
        <v>38</v>
      </c>
      <c r="U91" s="1727">
        <f t="shared" si="25"/>
        <v>38</v>
      </c>
      <c r="V91" s="1727">
        <f t="shared" si="25"/>
        <v>48</v>
      </c>
      <c r="W91" s="1727">
        <f t="shared" si="25"/>
        <v>30</v>
      </c>
      <c r="X91" s="1727">
        <f t="shared" si="25"/>
        <v>40</v>
      </c>
      <c r="Y91" s="1727">
        <f t="shared" si="25"/>
        <v>38</v>
      </c>
      <c r="Z91" s="1727">
        <f t="shared" si="25"/>
        <v>38</v>
      </c>
      <c r="AA91" s="1727">
        <f t="shared" si="25"/>
        <v>38</v>
      </c>
      <c r="AB91" s="1727">
        <f t="shared" si="25"/>
        <v>40</v>
      </c>
      <c r="AC91" s="1727">
        <f t="shared" si="25"/>
        <v>40</v>
      </c>
      <c r="AD91" s="1727">
        <f t="shared" si="25"/>
        <v>30</v>
      </c>
      <c r="AE91" s="1727">
        <f t="shared" si="25"/>
        <v>30</v>
      </c>
      <c r="AF91" s="1727">
        <f t="shared" si="25"/>
        <v>50</v>
      </c>
      <c r="AG91" s="1727">
        <f t="shared" si="25"/>
        <v>40</v>
      </c>
      <c r="AH91" s="1727">
        <f t="shared" si="25"/>
        <v>50</v>
      </c>
      <c r="AI91" s="1727">
        <f t="shared" si="25"/>
        <v>50</v>
      </c>
      <c r="AJ91" s="1798">
        <f t="shared" si="25"/>
        <v>40</v>
      </c>
      <c r="AK91" s="1753">
        <f t="shared" si="25"/>
        <v>30</v>
      </c>
    </row>
    <row r="92" spans="2:37">
      <c r="B92" s="1736" t="s">
        <v>1756</v>
      </c>
      <c r="C92" s="1715" t="s">
        <v>62</v>
      </c>
      <c r="D92" s="1715" t="s">
        <v>1757</v>
      </c>
      <c r="E92" s="1711"/>
      <c r="F92" s="2472">
        <f t="shared" si="22"/>
        <v>424</v>
      </c>
      <c r="G92" s="2436">
        <f t="shared" ref="G92:AK92" si="26">+SUM(G73,G25)</f>
        <v>16</v>
      </c>
      <c r="H92" s="2436">
        <f t="shared" si="26"/>
        <v>16</v>
      </c>
      <c r="I92" s="2436">
        <f t="shared" si="26"/>
        <v>8</v>
      </c>
      <c r="J92" s="2436">
        <f t="shared" si="26"/>
        <v>16</v>
      </c>
      <c r="K92" s="2436">
        <f t="shared" si="26"/>
        <v>8</v>
      </c>
      <c r="L92" s="2436">
        <f t="shared" si="26"/>
        <v>8</v>
      </c>
      <c r="M92" s="2436">
        <f t="shared" si="26"/>
        <v>16</v>
      </c>
      <c r="N92" s="2436">
        <f t="shared" si="26"/>
        <v>16</v>
      </c>
      <c r="O92" s="2436">
        <f t="shared" si="26"/>
        <v>16</v>
      </c>
      <c r="P92" s="2436">
        <f t="shared" si="26"/>
        <v>16</v>
      </c>
      <c r="Q92" s="2436">
        <f t="shared" si="26"/>
        <v>0</v>
      </c>
      <c r="R92" s="2436">
        <f t="shared" si="26"/>
        <v>16</v>
      </c>
      <c r="S92" s="2436">
        <f t="shared" si="26"/>
        <v>16</v>
      </c>
      <c r="T92" s="2436">
        <f t="shared" si="26"/>
        <v>16</v>
      </c>
      <c r="U92" s="2436">
        <f t="shared" si="26"/>
        <v>16</v>
      </c>
      <c r="V92" s="2436">
        <f t="shared" si="26"/>
        <v>16</v>
      </c>
      <c r="W92" s="2436">
        <f t="shared" si="26"/>
        <v>16</v>
      </c>
      <c r="X92" s="2436">
        <f t="shared" si="26"/>
        <v>16</v>
      </c>
      <c r="Y92" s="2436">
        <f t="shared" si="26"/>
        <v>0</v>
      </c>
      <c r="Z92" s="2436">
        <f t="shared" si="26"/>
        <v>8</v>
      </c>
      <c r="AA92" s="2436">
        <f t="shared" si="26"/>
        <v>16</v>
      </c>
      <c r="AB92" s="2436">
        <f t="shared" si="26"/>
        <v>16</v>
      </c>
      <c r="AC92" s="2436">
        <f t="shared" si="26"/>
        <v>16</v>
      </c>
      <c r="AD92" s="2436">
        <f t="shared" si="26"/>
        <v>16</v>
      </c>
      <c r="AE92" s="2436">
        <f t="shared" si="26"/>
        <v>16</v>
      </c>
      <c r="AF92" s="2436">
        <f t="shared" si="26"/>
        <v>16</v>
      </c>
      <c r="AG92" s="2436">
        <f t="shared" si="26"/>
        <v>16</v>
      </c>
      <c r="AH92" s="2436">
        <f t="shared" si="26"/>
        <v>8</v>
      </c>
      <c r="AI92" s="2436">
        <f t="shared" si="26"/>
        <v>16</v>
      </c>
      <c r="AJ92" s="2436">
        <f t="shared" si="26"/>
        <v>16</v>
      </c>
      <c r="AK92" s="2436">
        <f t="shared" si="26"/>
        <v>16</v>
      </c>
    </row>
    <row r="93" spans="2:37">
      <c r="B93" s="1796" t="s">
        <v>63</v>
      </c>
      <c r="C93" s="1797" t="s">
        <v>62</v>
      </c>
      <c r="D93" s="1797" t="s">
        <v>1850</v>
      </c>
      <c r="E93" s="1727"/>
      <c r="F93" s="2470">
        <f t="shared" si="22"/>
        <v>424</v>
      </c>
      <c r="G93" s="2471">
        <f t="shared" ref="G93:AK93" si="27">SUM(G92)</f>
        <v>16</v>
      </c>
      <c r="H93" s="1727">
        <f t="shared" si="27"/>
        <v>16</v>
      </c>
      <c r="I93" s="1727">
        <f t="shared" si="27"/>
        <v>8</v>
      </c>
      <c r="J93" s="1727">
        <f t="shared" si="27"/>
        <v>16</v>
      </c>
      <c r="K93" s="1727">
        <f t="shared" si="27"/>
        <v>8</v>
      </c>
      <c r="L93" s="1727">
        <f t="shared" si="27"/>
        <v>8</v>
      </c>
      <c r="M93" s="1727">
        <f t="shared" si="27"/>
        <v>16</v>
      </c>
      <c r="N93" s="1727">
        <f t="shared" si="27"/>
        <v>16</v>
      </c>
      <c r="O93" s="1727">
        <f t="shared" si="27"/>
        <v>16</v>
      </c>
      <c r="P93" s="1727">
        <f t="shared" si="27"/>
        <v>16</v>
      </c>
      <c r="Q93" s="1727">
        <f t="shared" si="27"/>
        <v>0</v>
      </c>
      <c r="R93" s="1727">
        <f t="shared" si="27"/>
        <v>16</v>
      </c>
      <c r="S93" s="1727">
        <f t="shared" si="27"/>
        <v>16</v>
      </c>
      <c r="T93" s="1727">
        <f t="shared" si="27"/>
        <v>16</v>
      </c>
      <c r="U93" s="1727">
        <f t="shared" si="27"/>
        <v>16</v>
      </c>
      <c r="V93" s="1727">
        <f t="shared" si="27"/>
        <v>16</v>
      </c>
      <c r="W93" s="1727">
        <f t="shared" si="27"/>
        <v>16</v>
      </c>
      <c r="X93" s="1727">
        <f t="shared" si="27"/>
        <v>16</v>
      </c>
      <c r="Y93" s="1727">
        <f t="shared" si="27"/>
        <v>0</v>
      </c>
      <c r="Z93" s="1727">
        <f t="shared" si="27"/>
        <v>8</v>
      </c>
      <c r="AA93" s="1727">
        <f t="shared" si="27"/>
        <v>16</v>
      </c>
      <c r="AB93" s="1727">
        <f t="shared" si="27"/>
        <v>16</v>
      </c>
      <c r="AC93" s="1727">
        <f t="shared" si="27"/>
        <v>16</v>
      </c>
      <c r="AD93" s="1727">
        <f t="shared" si="27"/>
        <v>16</v>
      </c>
      <c r="AE93" s="1727">
        <f t="shared" si="27"/>
        <v>16</v>
      </c>
      <c r="AF93" s="1727">
        <f t="shared" si="27"/>
        <v>16</v>
      </c>
      <c r="AG93" s="1727">
        <f t="shared" si="27"/>
        <v>16</v>
      </c>
      <c r="AH93" s="1727">
        <f t="shared" si="27"/>
        <v>8</v>
      </c>
      <c r="AI93" s="1727">
        <f t="shared" si="27"/>
        <v>16</v>
      </c>
      <c r="AJ93" s="1798">
        <f t="shared" si="27"/>
        <v>16</v>
      </c>
      <c r="AK93" s="1753">
        <f t="shared" si="27"/>
        <v>16</v>
      </c>
    </row>
    <row r="94" spans="2:37" ht="15" thickBot="1">
      <c r="B94" s="1805" t="s">
        <v>1851</v>
      </c>
      <c r="C94" s="1806"/>
      <c r="D94" s="1806"/>
      <c r="E94" s="1807"/>
      <c r="F94" s="1808">
        <f t="shared" si="22"/>
        <v>1636</v>
      </c>
      <c r="G94" s="2477">
        <f t="shared" ref="G94:AK94" si="28">SUM(G91,G93)</f>
        <v>46</v>
      </c>
      <c r="H94" s="1807">
        <f t="shared" si="28"/>
        <v>44</v>
      </c>
      <c r="I94" s="1807">
        <f t="shared" si="28"/>
        <v>36</v>
      </c>
      <c r="J94" s="1807">
        <f t="shared" si="28"/>
        <v>46</v>
      </c>
      <c r="K94" s="1807">
        <f t="shared" si="28"/>
        <v>48</v>
      </c>
      <c r="L94" s="1807">
        <f t="shared" si="28"/>
        <v>56</v>
      </c>
      <c r="M94" s="1807">
        <f t="shared" si="28"/>
        <v>54</v>
      </c>
      <c r="N94" s="1807">
        <f t="shared" si="28"/>
        <v>54</v>
      </c>
      <c r="O94" s="1807">
        <f t="shared" si="28"/>
        <v>56</v>
      </c>
      <c r="P94" s="1807">
        <f t="shared" si="28"/>
        <v>64</v>
      </c>
      <c r="Q94" s="1807">
        <f t="shared" si="28"/>
        <v>48</v>
      </c>
      <c r="R94" s="1807">
        <f t="shared" si="28"/>
        <v>64</v>
      </c>
      <c r="S94" s="1807">
        <f t="shared" si="28"/>
        <v>56</v>
      </c>
      <c r="T94" s="1807">
        <f t="shared" si="28"/>
        <v>54</v>
      </c>
      <c r="U94" s="1807">
        <f t="shared" si="28"/>
        <v>54</v>
      </c>
      <c r="V94" s="1807">
        <f t="shared" si="28"/>
        <v>64</v>
      </c>
      <c r="W94" s="1807">
        <f t="shared" si="28"/>
        <v>46</v>
      </c>
      <c r="X94" s="1807">
        <f t="shared" si="28"/>
        <v>56</v>
      </c>
      <c r="Y94" s="1807">
        <f t="shared" si="28"/>
        <v>38</v>
      </c>
      <c r="Z94" s="1807">
        <f t="shared" si="28"/>
        <v>46</v>
      </c>
      <c r="AA94" s="1807">
        <f t="shared" si="28"/>
        <v>54</v>
      </c>
      <c r="AB94" s="1807">
        <f t="shared" si="28"/>
        <v>56</v>
      </c>
      <c r="AC94" s="1807">
        <f t="shared" si="28"/>
        <v>56</v>
      </c>
      <c r="AD94" s="1807">
        <f t="shared" si="28"/>
        <v>46</v>
      </c>
      <c r="AE94" s="1807">
        <f t="shared" si="28"/>
        <v>46</v>
      </c>
      <c r="AF94" s="1807">
        <f t="shared" si="28"/>
        <v>66</v>
      </c>
      <c r="AG94" s="1807">
        <f t="shared" si="28"/>
        <v>56</v>
      </c>
      <c r="AH94" s="1807">
        <f t="shared" si="28"/>
        <v>58</v>
      </c>
      <c r="AI94" s="1807">
        <f t="shared" si="28"/>
        <v>66</v>
      </c>
      <c r="AJ94" s="1808">
        <f t="shared" si="28"/>
        <v>56</v>
      </c>
      <c r="AK94" s="2478">
        <f t="shared" si="28"/>
        <v>46</v>
      </c>
    </row>
    <row r="95" spans="2:37">
      <c r="B95" s="1732"/>
      <c r="C95" s="1732"/>
      <c r="D95" s="1732"/>
      <c r="E95" s="1732"/>
      <c r="F95" s="1729"/>
      <c r="G95" s="1729"/>
      <c r="H95" s="1729"/>
      <c r="I95" s="1729"/>
      <c r="J95" s="1729"/>
      <c r="K95" s="1729"/>
      <c r="L95" s="1729"/>
      <c r="M95" s="1729"/>
      <c r="N95" s="1729"/>
      <c r="O95" s="1729"/>
      <c r="P95" s="1729"/>
      <c r="Q95" s="1729"/>
      <c r="R95" s="1729"/>
      <c r="S95" s="1729"/>
      <c r="T95" s="1729"/>
      <c r="U95" s="1729"/>
      <c r="V95" s="1729"/>
      <c r="W95" s="1729"/>
      <c r="X95" s="1729"/>
      <c r="Y95" s="1729"/>
      <c r="Z95" s="1729"/>
      <c r="AA95" s="1729"/>
      <c r="AB95" s="1729"/>
      <c r="AC95" s="1729"/>
      <c r="AD95" s="1729"/>
      <c r="AE95" s="1729"/>
      <c r="AF95" s="1729"/>
      <c r="AG95" s="1729"/>
      <c r="AH95" s="1729"/>
      <c r="AI95" s="1729"/>
      <c r="AJ95" s="1729"/>
      <c r="AK95" s="1732"/>
    </row>
  </sheetData>
  <mergeCells count="5">
    <mergeCell ref="G78:M78"/>
    <mergeCell ref="G81:M81"/>
    <mergeCell ref="B4:C4"/>
    <mergeCell ref="B8:C8"/>
    <mergeCell ref="B9:C9"/>
  </mergeCells>
  <phoneticPr fontId="52" type="noConversion"/>
  <conditionalFormatting sqref="A26:A30 AL26:XFD30">
    <cfRule type="containsText" dxfId="107" priority="9" operator="containsText" text="Moving">
      <formula>NOT(ISERROR(SEARCH("Moving",A26)))</formula>
    </cfRule>
    <cfRule type="containsText" dxfId="106" priority="10" operator="containsText" text="PM">
      <formula>NOT(ISERROR(SEARCH("PM",A26)))</formula>
    </cfRule>
  </conditionalFormatting>
  <conditionalFormatting sqref="A62:C66 B67:C72">
    <cfRule type="containsText" dxfId="105" priority="23" operator="containsText" text="Moving">
      <formula>NOT(ISERROR(SEARCH("Moving",A62)))</formula>
    </cfRule>
    <cfRule type="containsText" dxfId="104" priority="24" operator="containsText" text="PM">
      <formula>NOT(ISERROR(SEARCH("PM",A62)))</formula>
    </cfRule>
  </conditionalFormatting>
  <conditionalFormatting sqref="A14:F16 AK15 G15:V16 AI15">
    <cfRule type="containsText" dxfId="103" priority="52" operator="containsText" text="PM">
      <formula>NOT(ISERROR(SEARCH("PM",A14)))</formula>
    </cfRule>
  </conditionalFormatting>
  <conditionalFormatting sqref="A14:F16 AK15 G15:V16">
    <cfRule type="containsText" dxfId="102" priority="51" operator="containsText" text="Moving">
      <formula>NOT(ISERROR(SEARCH("Moving",A14)))</formula>
    </cfRule>
  </conditionalFormatting>
  <conditionalFormatting sqref="A18:F24">
    <cfRule type="containsText" dxfId="101" priority="36" operator="containsText" text="PM">
      <formula>NOT(ISERROR(SEARCH("PM",A18)))</formula>
    </cfRule>
    <cfRule type="containsText" dxfId="100" priority="35" operator="containsText" text="Moving">
      <formula>NOT(ISERROR(SEARCH("Moving",A18)))</formula>
    </cfRule>
  </conditionalFormatting>
  <conditionalFormatting sqref="A1:XFD12 A13:K13 M13:V13 X13:XFD13 G14:O14 Z14:XFD14 AL15:XFD16 A17:XFD17 D18:D24 H19:P19 R19:X19 H21:W23 G24:T24 A45:F54 G54:X54 G57:N57 T57:XFD57 E57:F58 A57:D59 G58:T58 V58:Z58 AB58:XFD58 E59:XFD59 A60:XFD61 D62:D72 A74:XFD1048576 AF16">
    <cfRule type="containsText" dxfId="99" priority="56" operator="containsText" text="PM">
      <formula>NOT(ISERROR(SEARCH("PM",A1)))</formula>
    </cfRule>
  </conditionalFormatting>
  <conditionalFormatting sqref="A32:XFD44 G62:XFD62 G63:L63 N63:XFD63 G64:XFD66 A67:A73 AL67:XFD73">
    <cfRule type="containsText" dxfId="98" priority="13" operator="containsText" text="Moving">
      <formula>NOT(ISERROR(SEARCH("Moving",A32)))</formula>
    </cfRule>
    <cfRule type="containsText" dxfId="97" priority="14" operator="containsText" text="PM">
      <formula>NOT(ISERROR(SEARCH("PM",A32)))</formula>
    </cfRule>
  </conditionalFormatting>
  <conditionalFormatting sqref="A55:XFD56">
    <cfRule type="containsText" dxfId="96" priority="54" operator="containsText" text="PM">
      <formula>NOT(ISERROR(SEARCH("PM",A55)))</formula>
    </cfRule>
    <cfRule type="containsText" dxfId="95" priority="53" operator="containsText" text="Moving">
      <formula>NOT(ISERROR(SEARCH("Moving",A55)))</formula>
    </cfRule>
  </conditionalFormatting>
  <conditionalFormatting sqref="B26:AK26 D27:D31">
    <cfRule type="containsText" dxfId="94" priority="5" operator="containsText" text="Moving">
      <formula>NOT(ISERROR(SEARCH("Moving",B26)))</formula>
    </cfRule>
    <cfRule type="containsText" dxfId="93" priority="6" operator="containsText" text="PM">
      <formula>NOT(ISERROR(SEARCH("PM",B26)))</formula>
    </cfRule>
  </conditionalFormatting>
  <conditionalFormatting sqref="B73:AK73">
    <cfRule type="containsText" dxfId="92" priority="11" operator="containsText" text="Moving">
      <formula>NOT(ISERROR(SEARCH("Moving",B73)))</formula>
    </cfRule>
    <cfRule type="containsText" dxfId="91" priority="12" operator="containsText" text="PM">
      <formula>NOT(ISERROR(SEARCH("PM",B73)))</formula>
    </cfRule>
  </conditionalFormatting>
  <conditionalFormatting sqref="D18:D24 A1:XFD12 A13:K13 M13:V13 X13:XFD13 G14:O14 Z14:XFD14 AL15:XFD16 A17:XFD17 H19:P19 R19:X19 H21:W23 G24:T24 A45:F54 G54:X54 G57:N57 T57:XFD57 E57:F58 A57:D59 G58:T58 V58:Z58 AB58:XFD58 E59:XFD59 A60:XFD61 D62:D72 A74:XFD1048576">
    <cfRule type="containsText" dxfId="90" priority="55" operator="containsText" text="Moving">
      <formula>NOT(ISERROR(SEARCH("Moving",A1)))</formula>
    </cfRule>
  </conditionalFormatting>
  <conditionalFormatting sqref="E62:F67">
    <cfRule type="containsText" dxfId="89" priority="25" operator="containsText" text="Moving">
      <formula>NOT(ISERROR(SEARCH("Moving",E62)))</formula>
    </cfRule>
    <cfRule type="containsText" dxfId="88" priority="26" operator="containsText" text="PM">
      <formula>NOT(ISERROR(SEARCH("PM",E62)))</formula>
    </cfRule>
  </conditionalFormatting>
  <conditionalFormatting sqref="E68:AK72">
    <cfRule type="containsText" dxfId="87" priority="17" operator="containsText" text="Moving">
      <formula>NOT(ISERROR(SEARCH("Moving",E68)))</formula>
    </cfRule>
    <cfRule type="containsText" dxfId="86" priority="18" operator="containsText" text="PM">
      <formula>NOT(ISERROR(SEARCH("PM",E68)))</formula>
    </cfRule>
  </conditionalFormatting>
  <conditionalFormatting sqref="G27:N27 S27:AK27 E27:F28 B27:C30 G28:T28 V28:Z28 AB28:AK28 E29:AK30">
    <cfRule type="containsText" dxfId="85" priority="8" operator="containsText" text="PM">
      <formula>NOT(ISERROR(SEARCH("PM",B27)))</formula>
    </cfRule>
    <cfRule type="containsText" dxfId="84" priority="7" operator="containsText" text="Moving">
      <formula>NOT(ISERROR(SEARCH("Moving",B27)))</formula>
    </cfRule>
  </conditionalFormatting>
  <conditionalFormatting sqref="G67:Z67">
    <cfRule type="containsText" dxfId="83" priority="22" operator="containsText" text="PM">
      <formula>NOT(ISERROR(SEARCH("PM",G67)))</formula>
    </cfRule>
    <cfRule type="containsText" dxfId="82" priority="21" operator="containsText" text="Moving">
      <formula>NOT(ISERROR(SEARCH("Moving",G67)))</formula>
    </cfRule>
  </conditionalFormatting>
  <conditionalFormatting sqref="G18:XFD18">
    <cfRule type="containsText" dxfId="81" priority="38" operator="containsText" text="PM">
      <formula>NOT(ISERROR(SEARCH("PM",G18)))</formula>
    </cfRule>
    <cfRule type="containsText" dxfId="80" priority="37" operator="containsText" text="Moving">
      <formula>NOT(ISERROR(SEARCH("Moving",G18)))</formula>
    </cfRule>
  </conditionalFormatting>
  <conditionalFormatting sqref="G45:XFD53">
    <cfRule type="containsText" dxfId="79" priority="42" operator="containsText" text="PM">
      <formula>NOT(ISERROR(SEARCH("PM",G45)))</formula>
    </cfRule>
    <cfRule type="containsText" dxfId="78" priority="41" operator="containsText" text="Moving">
      <formula>NOT(ISERROR(SEARCH("Moving",G45)))</formula>
    </cfRule>
  </conditionalFormatting>
  <conditionalFormatting sqref="H20:X20">
    <cfRule type="containsText" dxfId="77" priority="33" operator="containsText" text="Moving">
      <formula>NOT(ISERROR(SEARCH("Moving",H20)))</formula>
    </cfRule>
    <cfRule type="containsText" dxfId="76" priority="34" operator="containsText" text="PM">
      <formula>NOT(ISERROR(SEARCH("PM",H20)))</formula>
    </cfRule>
  </conditionalFormatting>
  <conditionalFormatting sqref="Q14:U14">
    <cfRule type="containsText" dxfId="75" priority="50" operator="containsText" text="PM">
      <formula>NOT(ISERROR(SEARCH("PM",Q14)))</formula>
    </cfRule>
    <cfRule type="containsText" dxfId="74" priority="49" operator="containsText" text="Moving">
      <formula>NOT(ISERROR(SEARCH("Moving",Q14)))</formula>
    </cfRule>
  </conditionalFormatting>
  <conditionalFormatting sqref="W15">
    <cfRule type="containsText" dxfId="73" priority="4" operator="containsText" text="PM">
      <formula>NOT(ISERROR(SEARCH("PM",W15)))</formula>
    </cfRule>
    <cfRule type="containsText" dxfId="72" priority="3" operator="containsText" text="Moving">
      <formula>NOT(ISERROR(SEARCH("Moving",W15)))</formula>
    </cfRule>
  </conditionalFormatting>
  <conditionalFormatting sqref="X14:X15">
    <cfRule type="containsText" dxfId="71" priority="1" operator="containsText" text="Moving">
      <formula>NOT(ISERROR(SEARCH("Moving",X14)))</formula>
    </cfRule>
    <cfRule type="containsText" dxfId="70" priority="2" operator="containsText" text="PM">
      <formula>NOT(ISERROR(SEARCH("PM",X14)))</formula>
    </cfRule>
  </conditionalFormatting>
  <conditionalFormatting sqref="Y22:AB23">
    <cfRule type="containsText" dxfId="69" priority="31" operator="containsText" text="Moving">
      <formula>NOT(ISERROR(SEARCH("Moving",Y22)))</formula>
    </cfRule>
    <cfRule type="containsText" dxfId="68" priority="32" operator="containsText" text="PM">
      <formula>NOT(ISERROR(SEARCH("PM",Y22)))</formula>
    </cfRule>
  </conditionalFormatting>
  <conditionalFormatting sqref="Y15:AE15 X16:AC16">
    <cfRule type="containsText" dxfId="67" priority="47" operator="containsText" text="Moving">
      <formula>NOT(ISERROR(SEARCH("Moving",X15)))</formula>
    </cfRule>
    <cfRule type="containsText" dxfId="66" priority="48" operator="containsText" text="PM">
      <formula>NOT(ISERROR(SEARCH("PM",X15)))</formula>
    </cfRule>
  </conditionalFormatting>
  <conditionalFormatting sqref="Z54:XFD54">
    <cfRule type="containsText" dxfId="65" priority="16" operator="containsText" text="PM">
      <formula>NOT(ISERROR(SEARCH("PM",Z54)))</formula>
    </cfRule>
    <cfRule type="containsText" dxfId="64" priority="15" operator="containsText" text="Moving">
      <formula>NOT(ISERROR(SEARCH("Moving",Z54)))</formula>
    </cfRule>
  </conditionalFormatting>
  <conditionalFormatting sqref="AB67:AK67">
    <cfRule type="containsText" dxfId="63" priority="20" operator="containsText" text="PM">
      <formula>NOT(ISERROR(SEARCH("PM",AB67)))</formula>
    </cfRule>
    <cfRule type="containsText" dxfId="62" priority="19" operator="containsText" text="Moving">
      <formula>NOT(ISERROR(SEARCH("Moving",AB67)))</formula>
    </cfRule>
  </conditionalFormatting>
  <conditionalFormatting sqref="AC23:AG23">
    <cfRule type="containsText" dxfId="61" priority="29" operator="containsText" text="Moving">
      <formula>NOT(ISERROR(SEARCH("Moving",AC23)))</formula>
    </cfRule>
    <cfRule type="containsText" dxfId="60" priority="30" operator="containsText" text="PM">
      <formula>NOT(ISERROR(SEARCH("PM",AC23)))</formula>
    </cfRule>
  </conditionalFormatting>
  <conditionalFormatting sqref="AF16:AJ16">
    <cfRule type="containsText" dxfId="59" priority="43" operator="containsText" text="Moving">
      <formula>NOT(ISERROR(SEARCH("Moving",AF16)))</formula>
    </cfRule>
  </conditionalFormatting>
  <conditionalFormatting sqref="AG15:AH16">
    <cfRule type="containsText" dxfId="58" priority="46" operator="containsText" text="PM">
      <formula>NOT(ISERROR(SEARCH("PM",AG15)))</formula>
    </cfRule>
  </conditionalFormatting>
  <conditionalFormatting sqref="AG15:AI15">
    <cfRule type="containsText" dxfId="57" priority="45" operator="containsText" text="Moving">
      <formula>NOT(ISERROR(SEARCH("Moving",AG15)))</formula>
    </cfRule>
  </conditionalFormatting>
  <conditionalFormatting sqref="AH24:AI24">
    <cfRule type="containsText" dxfId="56" priority="28" operator="containsText" text="PM">
      <formula>NOT(ISERROR(SEARCH("PM",AH24)))</formula>
    </cfRule>
    <cfRule type="containsText" dxfId="55" priority="27" operator="containsText" text="Moving">
      <formula>NOT(ISERROR(SEARCH("Moving",AH24)))</formula>
    </cfRule>
  </conditionalFormatting>
  <conditionalFormatting sqref="AI16:AJ16">
    <cfRule type="containsText" dxfId="54" priority="44" operator="containsText" text="PM">
      <formula>NOT(ISERROR(SEARCH("PM",AI16)))</formula>
    </cfRule>
  </conditionalFormatting>
  <conditionalFormatting sqref="AL19:XFD24 A25:XFD25 A31:C31 E31:XFD31">
    <cfRule type="containsText" dxfId="53" priority="39" operator="containsText" text="Moving">
      <formula>NOT(ISERROR(SEARCH("Moving",A19)))</formula>
    </cfRule>
    <cfRule type="containsText" dxfId="52" priority="40" operator="containsText" text="PM">
      <formula>NOT(ISERROR(SEARCH("PM",A19)))</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DED2F-521D-42F5-983C-5B68DCED6485}">
  <dimension ref="A2:S218"/>
  <sheetViews>
    <sheetView topLeftCell="C9" workbookViewId="0">
      <pane ySplit="2" topLeftCell="A194" activePane="bottomLeft" state="frozen"/>
      <selection activeCell="A9" sqref="A9"/>
      <selection pane="bottomLeft" activeCell="O226" sqref="O226"/>
    </sheetView>
  </sheetViews>
  <sheetFormatPr defaultRowHeight="14.4"/>
  <cols>
    <col min="4" max="4" width="11" bestFit="1" customWidth="1"/>
    <col min="5" max="5" width="10.21875" customWidth="1"/>
    <col min="6" max="9" width="9.21875" customWidth="1"/>
    <col min="10" max="10" width="9.109375" bestFit="1" customWidth="1"/>
    <col min="11" max="13" width="9.21875" customWidth="1"/>
    <col min="14" max="14" width="58" customWidth="1"/>
  </cols>
  <sheetData>
    <row r="2" spans="1:16" ht="15" thickBot="1">
      <c r="A2" s="302"/>
      <c r="B2" s="295" t="s">
        <v>0</v>
      </c>
      <c r="C2" s="302"/>
      <c r="D2" s="342"/>
      <c r="E2" s="355"/>
      <c r="F2" s="355"/>
      <c r="G2" s="342"/>
      <c r="H2" s="2696" t="s">
        <v>6</v>
      </c>
      <c r="I2" s="2697"/>
      <c r="J2" s="302"/>
      <c r="K2" s="2696" t="s">
        <v>5</v>
      </c>
      <c r="L2" s="2803"/>
      <c r="M2" s="2803"/>
      <c r="N2" s="2697"/>
      <c r="O2" s="393"/>
      <c r="P2" s="344" t="s">
        <v>199</v>
      </c>
    </row>
    <row r="3" spans="1:16">
      <c r="A3" s="302"/>
      <c r="B3" s="64" t="s">
        <v>52</v>
      </c>
      <c r="C3" s="302"/>
      <c r="D3" s="394"/>
      <c r="E3" s="354"/>
      <c r="F3" s="355"/>
      <c r="G3" s="342"/>
      <c r="H3" s="2733" t="s">
        <v>8</v>
      </c>
      <c r="I3" s="2763"/>
      <c r="J3" s="302"/>
      <c r="K3" s="2852" t="s">
        <v>7</v>
      </c>
      <c r="L3" s="2853"/>
      <c r="M3" s="2853"/>
      <c r="N3" s="2854"/>
      <c r="O3" s="393"/>
      <c r="P3" s="347" t="s">
        <v>300</v>
      </c>
    </row>
    <row r="4" spans="1:16" ht="15" thickBot="1">
      <c r="A4" s="302"/>
      <c r="B4" s="297" t="s">
        <v>1852</v>
      </c>
      <c r="C4" s="302"/>
      <c r="D4" s="321"/>
      <c r="E4" s="354"/>
      <c r="F4" s="355"/>
      <c r="G4" s="342"/>
      <c r="H4" s="2737" t="s">
        <v>10</v>
      </c>
      <c r="I4" s="2764"/>
      <c r="J4" s="302"/>
      <c r="K4" s="2807" t="s">
        <v>9</v>
      </c>
      <c r="L4" s="2808"/>
      <c r="M4" s="2808"/>
      <c r="N4" s="2809"/>
      <c r="O4" s="393"/>
      <c r="P4" s="800" t="s">
        <v>301</v>
      </c>
    </row>
    <row r="5" spans="1:16">
      <c r="A5" s="302"/>
      <c r="B5" s="65"/>
      <c r="C5" s="302"/>
      <c r="D5" s="321"/>
      <c r="E5" s="354"/>
      <c r="F5" s="355"/>
      <c r="G5" s="356"/>
      <c r="H5" s="302"/>
      <c r="I5" s="302"/>
      <c r="J5" s="302"/>
      <c r="K5" s="2818" t="s">
        <v>11</v>
      </c>
      <c r="L5" s="2819"/>
      <c r="M5" s="2819"/>
      <c r="N5" s="2820"/>
      <c r="O5" s="393"/>
      <c r="P5" s="800" t="s">
        <v>302</v>
      </c>
    </row>
    <row r="6" spans="1:16" ht="15" thickBot="1">
      <c r="A6" s="302"/>
      <c r="B6" s="294" t="s">
        <v>3</v>
      </c>
      <c r="C6" s="298">
        <v>45717</v>
      </c>
      <c r="D6" s="321"/>
      <c r="E6" s="354"/>
      <c r="F6" s="355"/>
      <c r="G6" s="356"/>
      <c r="H6" s="302"/>
      <c r="I6" s="302"/>
      <c r="J6" s="302"/>
      <c r="K6" s="2821" t="s">
        <v>12</v>
      </c>
      <c r="L6" s="2822"/>
      <c r="M6" s="2822"/>
      <c r="N6" s="2823"/>
      <c r="O6" s="393"/>
      <c r="P6" s="350" t="s">
        <v>303</v>
      </c>
    </row>
    <row r="7" spans="1:16" ht="15" thickBot="1">
      <c r="A7" s="302"/>
      <c r="B7" s="294" t="s">
        <v>4</v>
      </c>
      <c r="C7" s="303">
        <f>SUMMARY!C7</f>
        <v>6</v>
      </c>
      <c r="D7" s="321"/>
      <c r="E7" s="354"/>
      <c r="F7" s="355"/>
      <c r="G7" s="356"/>
      <c r="H7" s="342"/>
      <c r="I7" s="342"/>
      <c r="J7" s="302"/>
      <c r="K7" s="302"/>
      <c r="L7" s="302"/>
      <c r="M7" s="302"/>
      <c r="N7" s="302"/>
      <c r="O7" s="302"/>
      <c r="P7" s="801" t="s">
        <v>304</v>
      </c>
    </row>
    <row r="8" spans="1:16">
      <c r="A8" s="302"/>
      <c r="B8" s="294"/>
      <c r="C8" s="294"/>
      <c r="D8" s="294"/>
      <c r="E8" s="354"/>
      <c r="F8" s="355"/>
      <c r="G8" s="356"/>
      <c r="H8" s="342"/>
      <c r="I8" s="342"/>
      <c r="J8" s="302"/>
      <c r="K8" s="302"/>
      <c r="L8" s="302"/>
      <c r="M8" s="302"/>
      <c r="N8" s="302"/>
      <c r="O8" s="302"/>
      <c r="P8" s="302"/>
    </row>
    <row r="9" spans="1:16" ht="15" thickBot="1">
      <c r="A9" s="302"/>
      <c r="B9" s="302"/>
      <c r="C9" s="302"/>
      <c r="D9" s="302"/>
      <c r="E9" s="302"/>
      <c r="F9" s="302"/>
      <c r="G9" s="302"/>
      <c r="H9" s="391"/>
      <c r="I9" s="302"/>
      <c r="J9" s="390"/>
      <c r="K9" s="390"/>
      <c r="L9" s="390"/>
      <c r="M9" s="392"/>
      <c r="N9" s="393"/>
      <c r="O9" s="393"/>
      <c r="P9" s="302"/>
    </row>
    <row r="10" spans="1:16" ht="55.8" thickBot="1">
      <c r="A10" s="802">
        <f>COUNTA(C11:C218)</f>
        <v>13</v>
      </c>
      <c r="B10" s="803" t="s">
        <v>261</v>
      </c>
      <c r="C10" s="804" t="s">
        <v>306</v>
      </c>
      <c r="D10" s="400"/>
      <c r="E10" s="655"/>
      <c r="F10" s="331" t="s">
        <v>1853</v>
      </c>
      <c r="G10" s="332" t="s">
        <v>1854</v>
      </c>
      <c r="H10" s="805" t="s">
        <v>1855</v>
      </c>
      <c r="I10" s="806" t="s">
        <v>1856</v>
      </c>
      <c r="J10" s="805" t="s">
        <v>1857</v>
      </c>
      <c r="K10" s="806" t="s">
        <v>1858</v>
      </c>
      <c r="L10" s="807" t="s">
        <v>1859</v>
      </c>
      <c r="M10" s="808" t="s">
        <v>1860</v>
      </c>
      <c r="N10" s="809" t="s">
        <v>307</v>
      </c>
    </row>
    <row r="11" spans="1:16" ht="14.7" customHeight="1">
      <c r="A11" s="75"/>
      <c r="B11" s="2721"/>
      <c r="C11" s="3181" t="s">
        <v>1861</v>
      </c>
      <c r="D11" s="3184" t="s">
        <v>66</v>
      </c>
      <c r="E11" s="145" t="s">
        <v>294</v>
      </c>
      <c r="F11" s="117">
        <f>Stoping!F18</f>
        <v>0</v>
      </c>
      <c r="G11" s="810"/>
      <c r="H11" s="117">
        <f>Tramming!F18</f>
        <v>0</v>
      </c>
      <c r="I11" s="810"/>
      <c r="J11" s="117">
        <f>Breaking.!AI9</f>
        <v>0</v>
      </c>
      <c r="K11" s="810"/>
      <c r="L11" s="117">
        <v>0</v>
      </c>
      <c r="M11" s="810"/>
      <c r="N11" s="3185" t="s">
        <v>1862</v>
      </c>
    </row>
    <row r="12" spans="1:16" ht="15" customHeight="1" thickBot="1">
      <c r="A12" s="69"/>
      <c r="B12" s="2722"/>
      <c r="C12" s="3182"/>
      <c r="D12" s="3178"/>
      <c r="E12" s="1151" t="s">
        <v>295</v>
      </c>
      <c r="F12" s="1095">
        <f>Stoping!F19</f>
        <v>0</v>
      </c>
      <c r="G12" s="1199">
        <f>IFERROR((F12-F11)/F11,0)</f>
        <v>0</v>
      </c>
      <c r="H12" s="1095">
        <f>Tramming!F19</f>
        <v>0</v>
      </c>
      <c r="I12" s="1199">
        <f>IFERROR((H12-H11)/H11,0)</f>
        <v>0</v>
      </c>
      <c r="J12" s="1143">
        <f>H12</f>
        <v>0</v>
      </c>
      <c r="K12" s="1199">
        <f>IFERROR((J12-J11)/J11,0)</f>
        <v>0</v>
      </c>
      <c r="L12" s="1095">
        <v>659</v>
      </c>
      <c r="M12" s="1199">
        <f>IFERROR((L12-L11)/L11,0)</f>
        <v>0</v>
      </c>
      <c r="N12" s="3186"/>
    </row>
    <row r="13" spans="1:16" ht="15" customHeight="1">
      <c r="A13" s="69"/>
      <c r="B13" s="2722"/>
      <c r="C13" s="3182"/>
      <c r="D13" s="3178" t="s">
        <v>68</v>
      </c>
      <c r="E13" s="1147" t="s">
        <v>296</v>
      </c>
      <c r="F13" s="1256">
        <f>Stoping!F21</f>
        <v>0</v>
      </c>
      <c r="G13" s="1257"/>
      <c r="H13" s="1256">
        <f>Tramming!F21</f>
        <v>0</v>
      </c>
      <c r="I13" s="1257"/>
      <c r="J13" s="1258">
        <f>H13</f>
        <v>0</v>
      </c>
      <c r="K13" s="1257"/>
      <c r="L13" s="1256">
        <v>0</v>
      </c>
      <c r="M13" s="1257"/>
      <c r="N13" s="3185" t="s">
        <v>1863</v>
      </c>
    </row>
    <row r="14" spans="1:16" ht="15" customHeight="1">
      <c r="A14" s="69"/>
      <c r="B14" s="2722"/>
      <c r="C14" s="3182"/>
      <c r="D14" s="3178"/>
      <c r="E14" s="1151" t="s">
        <v>297</v>
      </c>
      <c r="F14" s="1152">
        <f>Stoping!F22</f>
        <v>0</v>
      </c>
      <c r="G14" s="1199">
        <f>IFERROR((F14-F13)/F13,0)</f>
        <v>0</v>
      </c>
      <c r="H14" s="1152">
        <f>Tramming!F22</f>
        <v>0</v>
      </c>
      <c r="I14" s="1199">
        <f>IFERROR((H14-H13)/H13,0)</f>
        <v>0</v>
      </c>
      <c r="J14" s="1153">
        <f>H14</f>
        <v>0</v>
      </c>
      <c r="K14" s="1199">
        <f>IFERROR((J14-J13)/J13,0)</f>
        <v>0</v>
      </c>
      <c r="L14" s="1152">
        <v>0.62186079999999988</v>
      </c>
      <c r="M14" s="1199">
        <f>IFERROR((L14-L13)/L13,0)</f>
        <v>0</v>
      </c>
      <c r="N14" s="3186"/>
    </row>
    <row r="15" spans="1:16" ht="15" customHeight="1">
      <c r="A15" s="69"/>
      <c r="B15" s="2722"/>
      <c r="C15" s="3182"/>
      <c r="D15" s="3178" t="s">
        <v>70</v>
      </c>
      <c r="E15" s="1147" t="s">
        <v>298</v>
      </c>
      <c r="F15" s="1198">
        <f>Stoping!F23</f>
        <v>0</v>
      </c>
      <c r="G15" s="1199"/>
      <c r="H15" s="1198">
        <f>Tramming!F23</f>
        <v>0</v>
      </c>
      <c r="I15" s="1199"/>
      <c r="J15" s="1259">
        <f>H15</f>
        <v>0</v>
      </c>
      <c r="K15" s="1199"/>
      <c r="L15" s="1168">
        <v>0</v>
      </c>
      <c r="M15" s="1199"/>
      <c r="N15" s="1516"/>
    </row>
    <row r="16" spans="1:16" ht="15" customHeight="1">
      <c r="A16" s="69"/>
      <c r="B16" s="2722"/>
      <c r="C16" s="3182"/>
      <c r="D16" s="3178"/>
      <c r="E16" s="1260" t="s">
        <v>299</v>
      </c>
      <c r="F16" s="1103">
        <f>Stoping!F24</f>
        <v>0</v>
      </c>
      <c r="G16" s="1199">
        <f>IFERROR((F16-F15)/F15,0)</f>
        <v>0</v>
      </c>
      <c r="H16" s="1103">
        <f>Tramming!F24</f>
        <v>0</v>
      </c>
      <c r="I16" s="1199">
        <f>IFERROR((H16-H15)/H15,0)</f>
        <v>0</v>
      </c>
      <c r="J16" s="1095">
        <f>+J14*J12/1000</f>
        <v>0</v>
      </c>
      <c r="K16" s="1199">
        <f>IFERROR((J16-J15)/J15,0)</f>
        <v>0</v>
      </c>
      <c r="L16" s="1095">
        <v>0.40980626719999991</v>
      </c>
      <c r="M16" s="1199">
        <f>IFERROR((L16-L15)/L15,0)</f>
        <v>0</v>
      </c>
      <c r="N16" s="862"/>
    </row>
    <row r="17" spans="1:14" ht="15" customHeight="1">
      <c r="A17" s="69"/>
      <c r="B17" s="2722"/>
      <c r="C17" s="3182"/>
      <c r="D17" s="3177" t="s">
        <v>1864</v>
      </c>
      <c r="E17" s="1261" t="s">
        <v>223</v>
      </c>
      <c r="F17" s="1256"/>
      <c r="G17" s="1199"/>
      <c r="H17" s="1256"/>
      <c r="I17" s="1199"/>
      <c r="J17" s="1258"/>
      <c r="K17" s="1199"/>
      <c r="L17" s="1256"/>
      <c r="M17" s="1199"/>
      <c r="N17" s="1516"/>
    </row>
    <row r="18" spans="1:14" ht="15" customHeight="1">
      <c r="A18" s="69"/>
      <c r="B18" s="2722"/>
      <c r="C18" s="3182"/>
      <c r="D18" s="3177"/>
      <c r="E18" s="1260" t="s">
        <v>224</v>
      </c>
      <c r="F18" s="1152">
        <v>1</v>
      </c>
      <c r="G18" s="1199">
        <f>IFERROR((F18-F17)/F17,0)</f>
        <v>0</v>
      </c>
      <c r="H18" s="1152"/>
      <c r="I18" s="1199"/>
      <c r="J18" s="1152"/>
      <c r="K18" s="1199"/>
      <c r="L18" s="1152"/>
      <c r="M18" s="1199"/>
      <c r="N18" s="862"/>
    </row>
    <row r="19" spans="1:14" ht="15" customHeight="1">
      <c r="A19" s="69"/>
      <c r="B19" s="2722"/>
      <c r="C19" s="3182"/>
      <c r="D19" s="3178" t="s">
        <v>1865</v>
      </c>
      <c r="E19" s="1261" t="s">
        <v>223</v>
      </c>
      <c r="F19" s="1168"/>
      <c r="G19" s="1257"/>
      <c r="H19" s="1168"/>
      <c r="I19" s="1257"/>
      <c r="J19" s="1168"/>
      <c r="K19" s="1257"/>
      <c r="L19" s="1168"/>
      <c r="M19" s="1257"/>
      <c r="N19" s="3179"/>
    </row>
    <row r="20" spans="1:14" ht="15" customHeight="1">
      <c r="A20" s="69"/>
      <c r="B20" s="2722"/>
      <c r="C20" s="3182"/>
      <c r="D20" s="3178"/>
      <c r="E20" s="1260" t="s">
        <v>224</v>
      </c>
      <c r="F20" s="1095">
        <v>30</v>
      </c>
      <c r="G20" s="1199">
        <f>IFERROR((F20-F19)/F19,0)</f>
        <v>0</v>
      </c>
      <c r="H20" s="1095"/>
      <c r="I20" s="1199"/>
      <c r="J20" s="1095"/>
      <c r="K20" s="1199"/>
      <c r="L20" s="1095"/>
      <c r="M20" s="1199"/>
      <c r="N20" s="3180"/>
    </row>
    <row r="21" spans="1:14" ht="15" customHeight="1">
      <c r="A21" s="69"/>
      <c r="B21" s="2722"/>
      <c r="C21" s="3182"/>
      <c r="D21" s="3178" t="s">
        <v>1866</v>
      </c>
      <c r="E21" s="1147" t="s">
        <v>223</v>
      </c>
      <c r="F21" s="1256"/>
      <c r="G21" s="1199"/>
      <c r="H21" s="1256"/>
      <c r="I21" s="1199"/>
      <c r="J21" s="1256"/>
      <c r="K21" s="1199"/>
      <c r="L21" s="1256"/>
      <c r="M21" s="1199"/>
      <c r="N21" s="3179"/>
    </row>
    <row r="22" spans="1:14" ht="15" customHeight="1">
      <c r="A22" s="69"/>
      <c r="B22" s="2722"/>
      <c r="C22" s="3182"/>
      <c r="D22" s="3178"/>
      <c r="E22" s="1151" t="s">
        <v>224</v>
      </c>
      <c r="F22" s="1152">
        <v>15</v>
      </c>
      <c r="G22" s="1257">
        <f>IFERROR((F22-F21)/F21,0)</f>
        <v>0</v>
      </c>
      <c r="H22" s="1152"/>
      <c r="I22" s="1257"/>
      <c r="J22" s="1152"/>
      <c r="K22" s="1257"/>
      <c r="L22" s="1152"/>
      <c r="M22" s="1257"/>
      <c r="N22" s="3180"/>
    </row>
    <row r="23" spans="1:14" ht="15" customHeight="1">
      <c r="A23" s="69"/>
      <c r="B23" s="2722"/>
      <c r="C23" s="3182"/>
      <c r="D23" s="3178" t="s">
        <v>1867</v>
      </c>
      <c r="E23" s="1147" t="s">
        <v>1868</v>
      </c>
      <c r="F23" s="1168"/>
      <c r="G23" s="1199"/>
      <c r="H23" s="1168"/>
      <c r="I23" s="1199"/>
      <c r="J23" s="1168"/>
      <c r="K23" s="1199"/>
      <c r="L23" s="1168"/>
      <c r="M23" s="1199"/>
      <c r="N23" s="3179"/>
    </row>
    <row r="24" spans="1:14" ht="15" customHeight="1">
      <c r="A24" s="69"/>
      <c r="B24" s="2722"/>
      <c r="C24" s="3182"/>
      <c r="D24" s="3187"/>
      <c r="E24" s="1151" t="s">
        <v>1869</v>
      </c>
      <c r="F24" s="1095"/>
      <c r="G24" s="1199">
        <f>IFERROR((F24-F23)/F23,0)</f>
        <v>0</v>
      </c>
      <c r="H24" s="1095"/>
      <c r="I24" s="1199"/>
      <c r="J24" s="1095"/>
      <c r="K24" s="1199"/>
      <c r="L24" s="1095"/>
      <c r="M24" s="1199"/>
      <c r="N24" s="3180"/>
    </row>
    <row r="25" spans="1:14" ht="15" customHeight="1">
      <c r="A25" s="69"/>
      <c r="B25" s="2722"/>
      <c r="C25" s="3182"/>
      <c r="D25" s="3177" t="s">
        <v>1870</v>
      </c>
      <c r="E25" s="1147" t="s">
        <v>1871</v>
      </c>
      <c r="F25" s="1256"/>
      <c r="G25" s="1257"/>
      <c r="H25" s="1256"/>
      <c r="I25" s="1257"/>
      <c r="J25" s="1256"/>
      <c r="K25" s="1257"/>
      <c r="L25" s="1256"/>
      <c r="M25" s="1257"/>
      <c r="N25" s="3179"/>
    </row>
    <row r="26" spans="1:14" ht="15" customHeight="1" thickBot="1">
      <c r="A26" s="69"/>
      <c r="B26" s="2723"/>
      <c r="C26" s="3183"/>
      <c r="D26" s="3188"/>
      <c r="E26" s="1064" t="s">
        <v>1872</v>
      </c>
      <c r="F26" s="1015"/>
      <c r="G26" s="1016">
        <f>IFERROR((F26-F25)/F25,0)</f>
        <v>0</v>
      </c>
      <c r="H26" s="1015"/>
      <c r="I26" s="1016"/>
      <c r="J26" s="1015"/>
      <c r="K26" s="1016"/>
      <c r="L26" s="1015"/>
      <c r="M26" s="1016"/>
      <c r="N26" s="3189"/>
    </row>
    <row r="27" spans="1:14" ht="15" thickBot="1">
      <c r="A27" s="75"/>
      <c r="B27" s="2721"/>
      <c r="C27" s="3181" t="s">
        <v>1648</v>
      </c>
      <c r="D27" s="3184" t="s">
        <v>66</v>
      </c>
      <c r="E27" s="145" t="s">
        <v>294</v>
      </c>
      <c r="F27" s="117">
        <f>Stoping!F32</f>
        <v>420</v>
      </c>
      <c r="G27" s="810"/>
      <c r="H27" s="117">
        <f>Tramming!F25</f>
        <v>420</v>
      </c>
      <c r="I27" s="810"/>
      <c r="J27" s="117">
        <f>Breaking.!AI21</f>
        <v>0</v>
      </c>
      <c r="K27" s="810"/>
      <c r="L27" s="117">
        <v>9411</v>
      </c>
      <c r="M27" s="810"/>
      <c r="N27" s="3190" t="s">
        <v>1873</v>
      </c>
    </row>
    <row r="28" spans="1:14" ht="15" customHeight="1" thickBot="1">
      <c r="A28" s="69"/>
      <c r="B28" s="2722"/>
      <c r="C28" s="3182"/>
      <c r="D28" s="3178"/>
      <c r="E28" s="1151" t="s">
        <v>295</v>
      </c>
      <c r="F28" s="117">
        <f>Stoping!F33</f>
        <v>717</v>
      </c>
      <c r="G28" s="1199">
        <f>IFERROR((F28-F27)/F27,0)</f>
        <v>0.70714285714285718</v>
      </c>
      <c r="H28" s="1095">
        <f>Tramming!F26</f>
        <v>0</v>
      </c>
      <c r="I28" s="1199">
        <f>IFERROR((H28-H27)/H27,0)</f>
        <v>-1</v>
      </c>
      <c r="J28" s="1143">
        <f>H28</f>
        <v>0</v>
      </c>
      <c r="K28" s="1199">
        <f>IFERROR((J28-J27)/J27,0)</f>
        <v>0</v>
      </c>
      <c r="L28" s="1168">
        <v>1564</v>
      </c>
      <c r="M28" s="1262">
        <f>L27-L28</f>
        <v>7847</v>
      </c>
      <c r="N28" s="3191"/>
    </row>
    <row r="29" spans="1:14" ht="15" customHeight="1">
      <c r="A29" s="69"/>
      <c r="B29" s="2722"/>
      <c r="C29" s="3182"/>
      <c r="D29" s="3178" t="s">
        <v>68</v>
      </c>
      <c r="E29" s="1147" t="s">
        <v>296</v>
      </c>
      <c r="F29" s="1256">
        <f>Stoping!F35</f>
        <v>1.9859813084112146</v>
      </c>
      <c r="G29" s="1257"/>
      <c r="H29" s="1256">
        <f>Tramming!F28</f>
        <v>1.9859813084112146</v>
      </c>
      <c r="I29" s="1257"/>
      <c r="J29" s="1258" t="e">
        <f>(H29*H27)/J27</f>
        <v>#DIV/0!</v>
      </c>
      <c r="K29" s="1257"/>
      <c r="L29" s="1256">
        <v>1.61</v>
      </c>
      <c r="M29" s="1257"/>
      <c r="N29" s="3190" t="s">
        <v>1874</v>
      </c>
    </row>
    <row r="30" spans="1:14" ht="15" customHeight="1">
      <c r="A30" s="69"/>
      <c r="B30" s="2722"/>
      <c r="C30" s="3182"/>
      <c r="D30" s="3178"/>
      <c r="E30" s="1151" t="s">
        <v>297</v>
      </c>
      <c r="F30" s="1152">
        <f>Stoping!F36</f>
        <v>2.5611994421199444</v>
      </c>
      <c r="G30" s="1199">
        <f>IFERROR((F30-F29)/F29,0)</f>
        <v>0.28963924850274875</v>
      </c>
      <c r="H30" s="1152">
        <f>Tramming!F29</f>
        <v>0</v>
      </c>
      <c r="I30" s="1199">
        <f>IFERROR((H30-H29)/H29,0)</f>
        <v>-1</v>
      </c>
      <c r="J30" s="1153">
        <f>H30</f>
        <v>0</v>
      </c>
      <c r="K30" s="1199">
        <f>IFERROR((J30-J29)/J29,0)</f>
        <v>0</v>
      </c>
      <c r="L30" s="1152">
        <v>1.9371099744245526</v>
      </c>
      <c r="M30" s="1199">
        <f>IFERROR((L30-L29)/L29,0)</f>
        <v>0.2031738971581071</v>
      </c>
      <c r="N30" s="3191"/>
    </row>
    <row r="31" spans="1:14" ht="15" customHeight="1">
      <c r="A31" s="69"/>
      <c r="B31" s="2722"/>
      <c r="C31" s="3182"/>
      <c r="D31" s="3178" t="s">
        <v>70</v>
      </c>
      <c r="E31" s="1147" t="s">
        <v>298</v>
      </c>
      <c r="F31" s="1198">
        <f>Stoping!F37</f>
        <v>0.83411214953271007</v>
      </c>
      <c r="G31" s="1199"/>
      <c r="H31" s="1198">
        <f>Tramming!F30</f>
        <v>0.83411214953271007</v>
      </c>
      <c r="I31" s="1199"/>
      <c r="J31" s="1258">
        <f>+J30*J27/1000</f>
        <v>0</v>
      </c>
      <c r="K31" s="1199"/>
      <c r="L31" s="1168">
        <v>15.151710000000001</v>
      </c>
      <c r="M31" s="1199"/>
      <c r="N31" s="3179"/>
    </row>
    <row r="32" spans="1:14" ht="15" customHeight="1">
      <c r="A32" s="69"/>
      <c r="B32" s="2722"/>
      <c r="C32" s="3182"/>
      <c r="D32" s="3178"/>
      <c r="E32" s="1260" t="s">
        <v>299</v>
      </c>
      <c r="F32" s="1103">
        <f>Stoping!F38</f>
        <v>1.8363800000000001</v>
      </c>
      <c r="G32" s="1199">
        <f>IFERROR((F32-F31)/F31,0)</f>
        <v>1.2015984313725498</v>
      </c>
      <c r="H32" s="1103">
        <f>Tramming!F31</f>
        <v>0</v>
      </c>
      <c r="I32" s="1199">
        <f>IFERROR((H32-H31)/H31,0)</f>
        <v>-1</v>
      </c>
      <c r="J32" s="1263">
        <f>H32</f>
        <v>0</v>
      </c>
      <c r="K32" s="1199">
        <f>IFERROR((J32-J31)/J31,0)</f>
        <v>0</v>
      </c>
      <c r="L32" s="1168">
        <v>3.0296400000000001</v>
      </c>
      <c r="M32" s="1262">
        <f>L31-L32</f>
        <v>12.122070000000001</v>
      </c>
      <c r="N32" s="3180"/>
    </row>
    <row r="33" spans="1:19" ht="15" customHeight="1">
      <c r="A33" s="69"/>
      <c r="B33" s="2722"/>
      <c r="C33" s="3182"/>
      <c r="D33" s="3177" t="s">
        <v>1864</v>
      </c>
      <c r="E33" s="1261" t="s">
        <v>223</v>
      </c>
      <c r="F33" s="1256"/>
      <c r="G33" s="1199"/>
      <c r="H33" s="1256"/>
      <c r="I33" s="1199"/>
      <c r="J33" s="1256"/>
      <c r="K33" s="1199"/>
      <c r="L33" s="1256"/>
      <c r="M33" s="1199"/>
      <c r="N33" s="3179"/>
    </row>
    <row r="34" spans="1:19" ht="15" customHeight="1">
      <c r="A34" s="75"/>
      <c r="B34" s="2722"/>
      <c r="C34" s="3182"/>
      <c r="D34" s="3177"/>
      <c r="E34" s="1260" t="s">
        <v>224</v>
      </c>
      <c r="F34" s="1152">
        <v>2.4</v>
      </c>
      <c r="G34" s="1199">
        <f>IFERROR((F34-F33)/F33,0)</f>
        <v>0</v>
      </c>
      <c r="H34" s="1152"/>
      <c r="I34" s="1199"/>
      <c r="J34" s="1152"/>
      <c r="K34" s="1199"/>
      <c r="L34" s="1152"/>
      <c r="M34" s="1199"/>
      <c r="N34" s="3180"/>
    </row>
    <row r="35" spans="1:19" ht="15" customHeight="1">
      <c r="A35" s="69"/>
      <c r="B35" s="2722"/>
      <c r="C35" s="3182"/>
      <c r="D35" s="3178" t="s">
        <v>1865</v>
      </c>
      <c r="E35" s="1261" t="s">
        <v>223</v>
      </c>
      <c r="F35" s="1168"/>
      <c r="G35" s="1257"/>
      <c r="H35" s="1168"/>
      <c r="I35" s="1257"/>
      <c r="J35" s="1168"/>
      <c r="K35" s="1257"/>
      <c r="L35" s="1168"/>
      <c r="M35" s="1257"/>
      <c r="N35" s="3179"/>
    </row>
    <row r="36" spans="1:19" ht="15" customHeight="1">
      <c r="A36" s="69"/>
      <c r="B36" s="2722"/>
      <c r="C36" s="3182"/>
      <c r="D36" s="3178"/>
      <c r="E36" s="1260" t="s">
        <v>224</v>
      </c>
      <c r="F36" s="1095">
        <v>35</v>
      </c>
      <c r="G36" s="1199">
        <f>IFERROR((F36-F35)/F35,0)</f>
        <v>0</v>
      </c>
      <c r="H36" s="1095"/>
      <c r="I36" s="1199"/>
      <c r="J36" s="1095"/>
      <c r="K36" s="1199"/>
      <c r="L36" s="1095"/>
      <c r="M36" s="1199"/>
      <c r="N36" s="3180"/>
    </row>
    <row r="37" spans="1:19" ht="15" customHeight="1">
      <c r="A37" s="69"/>
      <c r="B37" s="2722"/>
      <c r="C37" s="3182"/>
      <c r="D37" s="3178" t="s">
        <v>1866</v>
      </c>
      <c r="E37" s="1147" t="s">
        <v>223</v>
      </c>
      <c r="F37" s="1256"/>
      <c r="G37" s="1199"/>
      <c r="H37" s="1256"/>
      <c r="I37" s="1199"/>
      <c r="J37" s="1256"/>
      <c r="K37" s="1199"/>
      <c r="L37" s="1256"/>
      <c r="M37" s="1199"/>
      <c r="N37" s="3179"/>
    </row>
    <row r="38" spans="1:19" ht="15" customHeight="1">
      <c r="A38" s="69"/>
      <c r="B38" s="2722"/>
      <c r="C38" s="3182"/>
      <c r="D38" s="3178"/>
      <c r="E38" s="1151" t="s">
        <v>224</v>
      </c>
      <c r="F38" s="1152">
        <v>7</v>
      </c>
      <c r="G38" s="1257">
        <f>IFERROR((F38-F37)/F37,0)</f>
        <v>0</v>
      </c>
      <c r="H38" s="1152"/>
      <c r="I38" s="1257"/>
      <c r="J38" s="1152"/>
      <c r="K38" s="1257"/>
      <c r="L38" s="1152"/>
      <c r="M38" s="1257"/>
      <c r="N38" s="3180"/>
    </row>
    <row r="39" spans="1:19" ht="15" customHeight="1">
      <c r="A39" s="69"/>
      <c r="B39" s="2722"/>
      <c r="C39" s="3182"/>
      <c r="D39" s="3178" t="s">
        <v>1867</v>
      </c>
      <c r="E39" s="1147" t="s">
        <v>1868</v>
      </c>
      <c r="F39" s="1168"/>
      <c r="G39" s="1199"/>
      <c r="H39" s="1168"/>
      <c r="I39" s="1199"/>
      <c r="J39" s="1168"/>
      <c r="K39" s="1199"/>
      <c r="L39" s="1168"/>
      <c r="M39" s="1199"/>
      <c r="N39" s="3179"/>
    </row>
    <row r="40" spans="1:19" ht="15" customHeight="1">
      <c r="A40" s="69"/>
      <c r="B40" s="2722"/>
      <c r="C40" s="3182"/>
      <c r="D40" s="3187"/>
      <c r="E40" s="1151" t="s">
        <v>1869</v>
      </c>
      <c r="F40" s="1095"/>
      <c r="G40" s="1199">
        <f>IFERROR((F40-F39)/F39,0)</f>
        <v>0</v>
      </c>
      <c r="H40" s="1095"/>
      <c r="I40" s="1199"/>
      <c r="J40" s="1095"/>
      <c r="K40" s="1199"/>
      <c r="L40" s="1095"/>
      <c r="M40" s="1199"/>
      <c r="N40" s="3180"/>
    </row>
    <row r="41" spans="1:19" ht="15" customHeight="1">
      <c r="A41" s="75"/>
      <c r="B41" s="2722"/>
      <c r="C41" s="3182"/>
      <c r="D41" s="3177" t="s">
        <v>1870</v>
      </c>
      <c r="E41" s="1147" t="s">
        <v>1871</v>
      </c>
      <c r="F41" s="1256"/>
      <c r="G41" s="1257"/>
      <c r="H41" s="1256"/>
      <c r="I41" s="1257"/>
      <c r="J41" s="1256"/>
      <c r="K41" s="1257"/>
      <c r="L41" s="1256"/>
      <c r="M41" s="1257"/>
      <c r="N41" s="3179"/>
    </row>
    <row r="42" spans="1:19" ht="15" customHeight="1" thickBot="1">
      <c r="A42" s="69"/>
      <c r="B42" s="2723"/>
      <c r="C42" s="3183"/>
      <c r="D42" s="3188"/>
      <c r="E42" s="1064" t="s">
        <v>1872</v>
      </c>
      <c r="F42" s="1015"/>
      <c r="G42" s="1016">
        <f>IFERROR((F42-F41)/F41,0)</f>
        <v>0</v>
      </c>
      <c r="H42" s="1015"/>
      <c r="I42" s="1016"/>
      <c r="J42" s="1015"/>
      <c r="K42" s="1016"/>
      <c r="L42" s="1015"/>
      <c r="M42" s="1016"/>
      <c r="N42" s="3189"/>
    </row>
    <row r="43" spans="1:19" ht="15" customHeight="1">
      <c r="A43" s="69"/>
      <c r="B43" s="2721"/>
      <c r="C43" s="3181" t="s">
        <v>1665</v>
      </c>
      <c r="D43" s="3184" t="s">
        <v>66</v>
      </c>
      <c r="E43" s="145" t="s">
        <v>294</v>
      </c>
      <c r="F43" s="117">
        <f>Stoping!F39</f>
        <v>0</v>
      </c>
      <c r="G43" s="810"/>
      <c r="H43" s="117">
        <f>Tramming!F32</f>
        <v>0</v>
      </c>
      <c r="I43" s="810"/>
      <c r="J43" s="117">
        <f>Breaking.!AI43+'Stope History'!H24</f>
        <v>20825</v>
      </c>
      <c r="K43" s="810"/>
      <c r="L43" s="117">
        <v>5.14</v>
      </c>
      <c r="M43" s="810"/>
      <c r="N43" s="3192"/>
    </row>
    <row r="44" spans="1:19" ht="15" customHeight="1" thickBot="1">
      <c r="A44" s="69"/>
      <c r="B44" s="2722"/>
      <c r="C44" s="3182"/>
      <c r="D44" s="3178"/>
      <c r="E44" s="1151" t="s">
        <v>295</v>
      </c>
      <c r="F44" s="1095">
        <f>Stoping!F40</f>
        <v>0</v>
      </c>
      <c r="G44" s="1199">
        <f>IFERROR((F44-F43)/F43,0)</f>
        <v>0</v>
      </c>
      <c r="H44" s="1095">
        <f>Tramming!F33</f>
        <v>0</v>
      </c>
      <c r="I44" s="1199">
        <f>IFERROR((H44-H43)/H43,0)</f>
        <v>0</v>
      </c>
      <c r="J44" s="1095">
        <f>H44+'Stope History'!I25</f>
        <v>25876</v>
      </c>
      <c r="K44" s="1199">
        <f>IFERROR((J44-J43)/J43,0)</f>
        <v>0.24254501800720288</v>
      </c>
      <c r="L44" s="1095">
        <v>91</v>
      </c>
      <c r="M44" s="1199">
        <f>IFERROR((L44-L43)/L43,0)</f>
        <v>16.704280155642024</v>
      </c>
      <c r="N44" s="3193"/>
    </row>
    <row r="45" spans="1:19" ht="15" customHeight="1">
      <c r="A45" s="69"/>
      <c r="B45" s="2722"/>
      <c r="C45" s="3182"/>
      <c r="D45" s="3178" t="s">
        <v>68</v>
      </c>
      <c r="E45" s="1147" t="s">
        <v>296</v>
      </c>
      <c r="F45" s="1256">
        <f>Stoping!F42</f>
        <v>0</v>
      </c>
      <c r="G45" s="1257"/>
      <c r="H45" s="1256">
        <f>Tramming!F35</f>
        <v>0</v>
      </c>
      <c r="I45" s="1257"/>
      <c r="J45" s="1256">
        <f>(('Stope History'!H24*'Stope History'!H26)+(H43*H45))/J43</f>
        <v>2.6618487394957975</v>
      </c>
      <c r="K45" s="1257"/>
      <c r="L45" s="1256">
        <v>35</v>
      </c>
      <c r="M45" s="1185"/>
      <c r="N45" s="3190" t="s">
        <v>1875</v>
      </c>
    </row>
    <row r="46" spans="1:19" ht="15" customHeight="1" thickBot="1">
      <c r="A46" s="69"/>
      <c r="B46" s="2722"/>
      <c r="C46" s="3182"/>
      <c r="D46" s="3178"/>
      <c r="E46" s="1151" t="s">
        <v>297</v>
      </c>
      <c r="F46" s="1152">
        <f>Stoping!F43</f>
        <v>0</v>
      </c>
      <c r="G46" s="1199">
        <f>IFERROR((F46-F45)/F45,0)</f>
        <v>0</v>
      </c>
      <c r="H46" s="1152">
        <f>Tramming!F36</f>
        <v>0</v>
      </c>
      <c r="I46" s="1199">
        <f>IFERROR((H46-H45)/H45,0)</f>
        <v>0</v>
      </c>
      <c r="J46" s="1152">
        <f>(('Stope History'!I25*'Stope History'!I27)+(H44*H46))/J44</f>
        <v>2.7902399041023904</v>
      </c>
      <c r="K46" s="1199">
        <f>IFERROR((J46-J45)/J45,0)</f>
        <v>4.8233831885921723E-2</v>
      </c>
      <c r="L46" s="1152">
        <v>3.43</v>
      </c>
      <c r="M46" s="1099">
        <f>IFERROR((L46-L45)/L45,0)</f>
        <v>-0.90200000000000002</v>
      </c>
      <c r="N46" s="3194"/>
    </row>
    <row r="47" spans="1:19" ht="15" customHeight="1">
      <c r="A47" s="69"/>
      <c r="B47" s="2722"/>
      <c r="C47" s="3182"/>
      <c r="D47" s="3178" t="s">
        <v>70</v>
      </c>
      <c r="E47" s="1147" t="s">
        <v>298</v>
      </c>
      <c r="F47" s="1198">
        <f>Stoping!F44</f>
        <v>0</v>
      </c>
      <c r="G47" s="1199"/>
      <c r="H47" s="1198">
        <f>Tramming!F37</f>
        <v>0</v>
      </c>
      <c r="I47" s="1199"/>
      <c r="J47" s="1168">
        <f>+J46*J43/1000</f>
        <v>58.106746002932283</v>
      </c>
      <c r="K47" s="1199"/>
      <c r="L47" s="1168">
        <f>+L45*L43/1000</f>
        <v>0.17989999999999998</v>
      </c>
      <c r="M47" s="1199"/>
      <c r="N47" s="3195"/>
    </row>
    <row r="48" spans="1:19" ht="15" customHeight="1">
      <c r="A48" s="75"/>
      <c r="B48" s="2722"/>
      <c r="C48" s="3182"/>
      <c r="D48" s="3178"/>
      <c r="E48" s="1260" t="s">
        <v>299</v>
      </c>
      <c r="F48" s="1103">
        <f>Stoping!F45</f>
        <v>0</v>
      </c>
      <c r="G48" s="1199">
        <f>IFERROR((F48-F47)/F47,0)</f>
        <v>0</v>
      </c>
      <c r="H48" s="1103">
        <f>Tramming!F38</f>
        <v>0</v>
      </c>
      <c r="I48" s="1199">
        <f>IFERROR((H48-H47)/H47,0)</f>
        <v>0</v>
      </c>
      <c r="J48" s="1095">
        <f>+J46*J44/1000</f>
        <v>72.200247758553445</v>
      </c>
      <c r="K48" s="1199">
        <f>IFERROR((J48-J47)/J47,0)</f>
        <v>0.24254501800720266</v>
      </c>
      <c r="L48" s="1095">
        <f>+L46*L44/1000</f>
        <v>0.31213000000000002</v>
      </c>
      <c r="M48" s="1199">
        <f>IFERROR((L48-L47)/L47,0)</f>
        <v>0.73501945525291856</v>
      </c>
      <c r="N48" s="3180"/>
      <c r="S48">
        <f>0.6*4</f>
        <v>2.4</v>
      </c>
    </row>
    <row r="49" spans="1:14" ht="15" customHeight="1">
      <c r="A49" s="69"/>
      <c r="B49" s="2722"/>
      <c r="C49" s="3182"/>
      <c r="D49" s="3177" t="s">
        <v>1864</v>
      </c>
      <c r="E49" s="1261" t="s">
        <v>223</v>
      </c>
      <c r="F49" s="1256"/>
      <c r="G49" s="1199"/>
      <c r="H49" s="1256"/>
      <c r="I49" s="1199"/>
      <c r="J49" s="1256"/>
      <c r="K49" s="1199"/>
      <c r="L49" s="1256"/>
      <c r="M49" s="1199"/>
      <c r="N49" s="3179"/>
    </row>
    <row r="50" spans="1:14" ht="15" customHeight="1">
      <c r="A50" s="69"/>
      <c r="B50" s="2722"/>
      <c r="C50" s="3182"/>
      <c r="D50" s="3177"/>
      <c r="E50" s="1260" t="s">
        <v>224</v>
      </c>
      <c r="F50" s="1152">
        <v>2.4</v>
      </c>
      <c r="G50" s="1199">
        <f>IFERROR((F50-F49)/F49,0)</f>
        <v>0</v>
      </c>
      <c r="H50" s="1152"/>
      <c r="I50" s="1199"/>
      <c r="J50" s="1152"/>
      <c r="K50" s="1199"/>
      <c r="L50" s="1152"/>
      <c r="M50" s="1199"/>
      <c r="N50" s="3180"/>
    </row>
    <row r="51" spans="1:14" ht="15" customHeight="1">
      <c r="A51" s="69"/>
      <c r="B51" s="2722"/>
      <c r="C51" s="3182"/>
      <c r="D51" s="3178" t="s">
        <v>1865</v>
      </c>
      <c r="E51" s="1261" t="s">
        <v>223</v>
      </c>
      <c r="F51" s="1168"/>
      <c r="G51" s="1257"/>
      <c r="H51" s="1168"/>
      <c r="I51" s="1257"/>
      <c r="J51" s="1168"/>
      <c r="K51" s="1257"/>
      <c r="L51" s="1168"/>
      <c r="M51" s="1257"/>
      <c r="N51" s="3179"/>
    </row>
    <row r="52" spans="1:14" ht="15" customHeight="1">
      <c r="A52" s="69"/>
      <c r="B52" s="2722"/>
      <c r="C52" s="3182"/>
      <c r="D52" s="3178"/>
      <c r="E52" s="1260" t="s">
        <v>224</v>
      </c>
      <c r="F52" s="1095">
        <v>40</v>
      </c>
      <c r="G52" s="1199">
        <f>IFERROR((F52-F51)/F51,0)</f>
        <v>0</v>
      </c>
      <c r="H52" s="1095"/>
      <c r="I52" s="1199"/>
      <c r="J52" s="1095"/>
      <c r="K52" s="1199"/>
      <c r="L52" s="1095"/>
      <c r="M52" s="1199"/>
      <c r="N52" s="3180"/>
    </row>
    <row r="53" spans="1:14" ht="15" customHeight="1">
      <c r="A53" s="69"/>
      <c r="B53" s="2722"/>
      <c r="C53" s="3182"/>
      <c r="D53" s="3178" t="s">
        <v>1866</v>
      </c>
      <c r="E53" s="1147" t="s">
        <v>223</v>
      </c>
      <c r="F53" s="1256"/>
      <c r="G53" s="1199"/>
      <c r="H53" s="1256"/>
      <c r="I53" s="1199"/>
      <c r="J53" s="1256"/>
      <c r="K53" s="1199"/>
      <c r="L53" s="1256"/>
      <c r="M53" s="1199"/>
      <c r="N53" s="3179"/>
    </row>
    <row r="54" spans="1:14" ht="15" customHeight="1">
      <c r="A54" s="69"/>
      <c r="B54" s="2722"/>
      <c r="C54" s="3182"/>
      <c r="D54" s="3178"/>
      <c r="E54" s="1151" t="s">
        <v>224</v>
      </c>
      <c r="F54" s="1152">
        <v>7</v>
      </c>
      <c r="G54" s="1257">
        <f>IFERROR((F54-F53)/F53,0)</f>
        <v>0</v>
      </c>
      <c r="H54" s="1152"/>
      <c r="I54" s="1257"/>
      <c r="J54" s="1152"/>
      <c r="K54" s="1257"/>
      <c r="L54" s="1152"/>
      <c r="M54" s="1257"/>
      <c r="N54" s="3180"/>
    </row>
    <row r="55" spans="1:14" ht="15" customHeight="1">
      <c r="A55" s="75"/>
      <c r="B55" s="2722"/>
      <c r="C55" s="3182"/>
      <c r="D55" s="3178" t="s">
        <v>1867</v>
      </c>
      <c r="E55" s="1147" t="s">
        <v>1868</v>
      </c>
      <c r="F55" s="1168"/>
      <c r="G55" s="1199"/>
      <c r="H55" s="1168"/>
      <c r="I55" s="1199"/>
      <c r="J55" s="1168"/>
      <c r="K55" s="1199"/>
      <c r="L55" s="1168"/>
      <c r="M55" s="1199"/>
      <c r="N55" s="3179"/>
    </row>
    <row r="56" spans="1:14" ht="15" customHeight="1">
      <c r="A56" s="69"/>
      <c r="B56" s="2722"/>
      <c r="C56" s="3182"/>
      <c r="D56" s="3187"/>
      <c r="E56" s="1151" t="s">
        <v>1869</v>
      </c>
      <c r="F56" s="1095"/>
      <c r="G56" s="1199">
        <f>IFERROR((F56-F55)/F55,0)</f>
        <v>0</v>
      </c>
      <c r="H56" s="1095"/>
      <c r="I56" s="1199"/>
      <c r="J56" s="1095"/>
      <c r="K56" s="1199"/>
      <c r="L56" s="1095"/>
      <c r="M56" s="1199"/>
      <c r="N56" s="3180"/>
    </row>
    <row r="57" spans="1:14" ht="15" customHeight="1">
      <c r="A57" s="69"/>
      <c r="B57" s="2722"/>
      <c r="C57" s="3182"/>
      <c r="D57" s="3177" t="s">
        <v>1870</v>
      </c>
      <c r="E57" s="1147" t="s">
        <v>1871</v>
      </c>
      <c r="F57" s="1256"/>
      <c r="G57" s="1257"/>
      <c r="H57" s="1256"/>
      <c r="I57" s="1257"/>
      <c r="J57" s="1256"/>
      <c r="K57" s="1257"/>
      <c r="L57" s="1256"/>
      <c r="M57" s="1257"/>
      <c r="N57" s="3179"/>
    </row>
    <row r="58" spans="1:14" ht="15" customHeight="1" thickBot="1">
      <c r="A58" s="69"/>
      <c r="B58" s="2723"/>
      <c r="C58" s="3183"/>
      <c r="D58" s="3188"/>
      <c r="E58" s="1064" t="s">
        <v>1872</v>
      </c>
      <c r="F58" s="1015"/>
      <c r="G58" s="1016">
        <f>IFERROR((F58-F57)/F57,0)</f>
        <v>0</v>
      </c>
      <c r="H58" s="1015"/>
      <c r="I58" s="1016"/>
      <c r="J58" s="1015"/>
      <c r="K58" s="1016"/>
      <c r="L58" s="1015"/>
      <c r="M58" s="1016"/>
      <c r="N58" s="3189"/>
    </row>
    <row r="59" spans="1:14" ht="15" customHeight="1">
      <c r="A59" s="69"/>
      <c r="B59" s="2721"/>
      <c r="C59" s="3181" t="s">
        <v>1666</v>
      </c>
      <c r="D59" s="3184" t="s">
        <v>66</v>
      </c>
      <c r="E59" s="145" t="s">
        <v>294</v>
      </c>
      <c r="F59" s="117">
        <f>Stoping!F46</f>
        <v>420</v>
      </c>
      <c r="G59" s="810"/>
      <c r="H59" s="117">
        <f>Tramming!F39</f>
        <v>420</v>
      </c>
      <c r="I59" s="810"/>
      <c r="J59" s="117">
        <f>Breaking.!AI45+'Stope History'!H30</f>
        <v>0</v>
      </c>
      <c r="K59" s="810"/>
      <c r="L59" s="117">
        <v>8.5499999999999993E-2</v>
      </c>
      <c r="M59" s="810"/>
      <c r="N59" s="3192"/>
    </row>
    <row r="60" spans="1:14" ht="15" customHeight="1">
      <c r="A60" s="69"/>
      <c r="B60" s="2722"/>
      <c r="C60" s="3182"/>
      <c r="D60" s="3178"/>
      <c r="E60" s="1151" t="s">
        <v>295</v>
      </c>
      <c r="F60" s="1095">
        <f>Stoping!F47</f>
        <v>432</v>
      </c>
      <c r="G60" s="1199">
        <f>IFERROR((F60-F59)/F59,0)</f>
        <v>2.8571428571428571E-2</v>
      </c>
      <c r="H60" s="1095">
        <f>Tramming!F40</f>
        <v>0</v>
      </c>
      <c r="I60" s="1199">
        <f>IFERROR((H60-H59)/H59,0)</f>
        <v>-1</v>
      </c>
      <c r="J60" s="1095">
        <f>F60+'Stope History'!I31</f>
        <v>432</v>
      </c>
      <c r="K60" s="1199">
        <f>IFERROR((J60-J59)/J59,0)</f>
        <v>0</v>
      </c>
      <c r="L60" s="1095">
        <v>91</v>
      </c>
      <c r="M60" s="1199">
        <f>IFERROR((L60-L59)/L59,0)</f>
        <v>1063.3274853801172</v>
      </c>
      <c r="N60" s="3196"/>
    </row>
    <row r="61" spans="1:14" ht="15" customHeight="1">
      <c r="A61" s="69"/>
      <c r="B61" s="2722"/>
      <c r="C61" s="3182"/>
      <c r="D61" s="3178" t="s">
        <v>68</v>
      </c>
      <c r="E61" s="1147" t="s">
        <v>296</v>
      </c>
      <c r="F61" s="1256">
        <f>Stoping!F49</f>
        <v>1.9462616822429903</v>
      </c>
      <c r="G61" s="1257"/>
      <c r="H61" s="1256">
        <f>Tramming!F42</f>
        <v>1.9462616822429903</v>
      </c>
      <c r="I61" s="1257"/>
      <c r="J61" s="1256">
        <f>H61</f>
        <v>1.9462616822429903</v>
      </c>
      <c r="K61" s="1257"/>
      <c r="L61" s="1256">
        <v>0</v>
      </c>
      <c r="M61" s="1257"/>
      <c r="N61" s="3179"/>
    </row>
    <row r="62" spans="1:14" ht="15" customHeight="1">
      <c r="A62" s="75"/>
      <c r="B62" s="2722"/>
      <c r="C62" s="3182"/>
      <c r="D62" s="3178"/>
      <c r="E62" s="1151" t="s">
        <v>297</v>
      </c>
      <c r="F62" s="1152">
        <f>Stoping!F50</f>
        <v>3.0038425925925929</v>
      </c>
      <c r="G62" s="1199">
        <f>IFERROR((F62-F61)/F61,0)</f>
        <v>0.54339091192032407</v>
      </c>
      <c r="H62" s="1152">
        <f>Tramming!F43</f>
        <v>0</v>
      </c>
      <c r="I62" s="1199">
        <f>IFERROR((H62-H61)/H61,0)</f>
        <v>-1</v>
      </c>
      <c r="J62" s="1152">
        <f>H62</f>
        <v>0</v>
      </c>
      <c r="K62" s="1199">
        <f>IFERROR((J62-J61)/J61,0)</f>
        <v>-1</v>
      </c>
      <c r="L62" s="1152">
        <v>3.43</v>
      </c>
      <c r="M62" s="1199">
        <f>IFERROR((L62-L61)/L61,0)</f>
        <v>0</v>
      </c>
      <c r="N62" s="3180"/>
    </row>
    <row r="63" spans="1:14" ht="15" customHeight="1">
      <c r="A63" s="69"/>
      <c r="B63" s="2722"/>
      <c r="C63" s="3182"/>
      <c r="D63" s="3178" t="s">
        <v>70</v>
      </c>
      <c r="E63" s="1147" t="s">
        <v>298</v>
      </c>
      <c r="F63" s="1198">
        <f>Stoping!F51</f>
        <v>0.81742990654205594</v>
      </c>
      <c r="G63" s="1199"/>
      <c r="H63" s="1198">
        <f>Tramming!F44</f>
        <v>0.81742990654205594</v>
      </c>
      <c r="I63" s="1199"/>
      <c r="J63" s="1168">
        <f>+J61*J59/1000</f>
        <v>0</v>
      </c>
      <c r="K63" s="1199"/>
      <c r="L63" s="1168">
        <f>+L61*L59/1000</f>
        <v>0</v>
      </c>
      <c r="M63" s="1199"/>
      <c r="N63" s="3179"/>
    </row>
    <row r="64" spans="1:14" ht="15" customHeight="1">
      <c r="A64" s="69"/>
      <c r="B64" s="2722"/>
      <c r="C64" s="3182"/>
      <c r="D64" s="3178"/>
      <c r="E64" s="1260" t="s">
        <v>299</v>
      </c>
      <c r="F64" s="1103">
        <f>Stoping!F52</f>
        <v>1.29766</v>
      </c>
      <c r="G64" s="1199">
        <f>IFERROR((F64-F63)/F63,0)</f>
        <v>0.5874877951180475</v>
      </c>
      <c r="H64" s="1103">
        <f>Tramming!F45</f>
        <v>2.1274199999999999</v>
      </c>
      <c r="I64" s="1199">
        <f>IFERROR((H64-H63)/H63,0)</f>
        <v>1.6025717715657695</v>
      </c>
      <c r="J64" s="1095">
        <f>+J62*J60/1000</f>
        <v>0</v>
      </c>
      <c r="K64" s="1199">
        <f>IFERROR((J64-J63)/J63,0)</f>
        <v>0</v>
      </c>
      <c r="L64" s="1095">
        <f>+L62*L60/1000</f>
        <v>0.31213000000000002</v>
      </c>
      <c r="M64" s="1199">
        <f>IFERROR((L64-L63)/L63,0)</f>
        <v>0</v>
      </c>
      <c r="N64" s="3180"/>
    </row>
    <row r="65" spans="1:15" ht="15" customHeight="1">
      <c r="A65" s="69"/>
      <c r="B65" s="2722"/>
      <c r="C65" s="3182"/>
      <c r="D65" s="3177" t="s">
        <v>1864</v>
      </c>
      <c r="E65" s="1261" t="s">
        <v>223</v>
      </c>
      <c r="F65" s="1256"/>
      <c r="G65" s="1199"/>
      <c r="H65" s="1256"/>
      <c r="I65" s="1199"/>
      <c r="J65" s="1256"/>
      <c r="K65" s="1199"/>
      <c r="L65" s="1256"/>
      <c r="M65" s="1199"/>
      <c r="N65" s="3179"/>
    </row>
    <row r="66" spans="1:15" ht="15" customHeight="1">
      <c r="A66" s="69"/>
      <c r="B66" s="2722"/>
      <c r="C66" s="3182"/>
      <c r="D66" s="3177"/>
      <c r="E66" s="1260" t="s">
        <v>224</v>
      </c>
      <c r="F66" s="1152">
        <v>8</v>
      </c>
      <c r="G66" s="1199">
        <f>IFERROR((F66-F65)/F65,0)</f>
        <v>0</v>
      </c>
      <c r="H66" s="1152"/>
      <c r="I66" s="1199"/>
      <c r="J66" s="1152"/>
      <c r="K66" s="1199"/>
      <c r="L66" s="1152"/>
      <c r="M66" s="1199"/>
      <c r="N66" s="3180"/>
    </row>
    <row r="67" spans="1:15" ht="15" customHeight="1">
      <c r="A67" s="69"/>
      <c r="B67" s="2722"/>
      <c r="C67" s="3182"/>
      <c r="D67" s="3178" t="s">
        <v>1865</v>
      </c>
      <c r="E67" s="1261" t="s">
        <v>223</v>
      </c>
      <c r="F67" s="1168"/>
      <c r="G67" s="1257"/>
      <c r="H67" s="1168"/>
      <c r="I67" s="1257"/>
      <c r="J67" s="1168"/>
      <c r="K67" s="1257"/>
      <c r="L67" s="1168"/>
      <c r="M67" s="1257"/>
      <c r="N67" s="3179"/>
    </row>
    <row r="68" spans="1:15" ht="15" customHeight="1">
      <c r="A68" s="69"/>
      <c r="B68" s="2722"/>
      <c r="C68" s="3182"/>
      <c r="D68" s="3178"/>
      <c r="E68" s="1260" t="s">
        <v>224</v>
      </c>
      <c r="F68" s="1095">
        <v>40</v>
      </c>
      <c r="G68" s="1199">
        <f>IFERROR((F68-F67)/F67,0)</f>
        <v>0</v>
      </c>
      <c r="H68" s="1095"/>
      <c r="I68" s="1199"/>
      <c r="J68" s="1095"/>
      <c r="K68" s="1199"/>
      <c r="L68" s="1095"/>
      <c r="M68" s="1199"/>
      <c r="N68" s="3180"/>
    </row>
    <row r="69" spans="1:15" ht="15" customHeight="1">
      <c r="A69" s="75"/>
      <c r="B69" s="2722"/>
      <c r="C69" s="3182"/>
      <c r="D69" s="3178" t="s">
        <v>1866</v>
      </c>
      <c r="E69" s="1147" t="s">
        <v>223</v>
      </c>
      <c r="F69" s="1256"/>
      <c r="G69" s="1199"/>
      <c r="H69" s="1256"/>
      <c r="I69" s="1199"/>
      <c r="J69" s="1256"/>
      <c r="K69" s="1199"/>
      <c r="L69" s="1256"/>
      <c r="M69" s="1199"/>
      <c r="N69" s="3179"/>
    </row>
    <row r="70" spans="1:15" ht="15" customHeight="1">
      <c r="A70" s="69"/>
      <c r="B70" s="2722"/>
      <c r="C70" s="3182"/>
      <c r="D70" s="3178"/>
      <c r="E70" s="1151" t="s">
        <v>224</v>
      </c>
      <c r="F70" s="1152">
        <v>15</v>
      </c>
      <c r="G70" s="1257">
        <f>IFERROR((F70-F69)/F69,0)</f>
        <v>0</v>
      </c>
      <c r="H70" s="1152"/>
      <c r="I70" s="1257"/>
      <c r="J70" s="1152"/>
      <c r="K70" s="1257"/>
      <c r="L70" s="1152"/>
      <c r="M70" s="1257"/>
      <c r="N70" s="3180"/>
    </row>
    <row r="71" spans="1:15" ht="15" customHeight="1">
      <c r="A71" s="69"/>
      <c r="B71" s="2722"/>
      <c r="C71" s="3182"/>
      <c r="D71" s="3178" t="s">
        <v>1867</v>
      </c>
      <c r="E71" s="1147" t="s">
        <v>1868</v>
      </c>
      <c r="F71" s="1168"/>
      <c r="G71" s="1199"/>
      <c r="H71" s="1168"/>
      <c r="I71" s="1199"/>
      <c r="J71" s="1168"/>
      <c r="K71" s="1199"/>
      <c r="L71" s="1168"/>
      <c r="M71" s="1199"/>
      <c r="N71" s="3179"/>
    </row>
    <row r="72" spans="1:15" ht="15" customHeight="1">
      <c r="A72" s="69"/>
      <c r="B72" s="2722"/>
      <c r="C72" s="3182"/>
      <c r="D72" s="3187"/>
      <c r="E72" s="1151" t="s">
        <v>1869</v>
      </c>
      <c r="F72" s="1095"/>
      <c r="G72" s="1199">
        <f>IFERROR((F72-F71)/F71,0)</f>
        <v>0</v>
      </c>
      <c r="H72" s="1095"/>
      <c r="I72" s="1199"/>
      <c r="J72" s="1095"/>
      <c r="K72" s="1199"/>
      <c r="L72" s="1095"/>
      <c r="M72" s="1199"/>
      <c r="N72" s="3180"/>
    </row>
    <row r="73" spans="1:15" ht="15" customHeight="1">
      <c r="A73" s="69"/>
      <c r="B73" s="2722"/>
      <c r="C73" s="3182"/>
      <c r="D73" s="3177" t="s">
        <v>1870</v>
      </c>
      <c r="E73" s="1147" t="s">
        <v>1871</v>
      </c>
      <c r="F73" s="1256"/>
      <c r="G73" s="1257"/>
      <c r="H73" s="1256"/>
      <c r="I73" s="1257"/>
      <c r="J73" s="1256"/>
      <c r="K73" s="1257"/>
      <c r="L73" s="1256"/>
      <c r="M73" s="1257"/>
      <c r="N73" s="3179"/>
    </row>
    <row r="74" spans="1:15" ht="15" customHeight="1" thickBot="1">
      <c r="A74" s="69"/>
      <c r="B74" s="2723"/>
      <c r="C74" s="3183"/>
      <c r="D74" s="3188"/>
      <c r="E74" s="1064" t="s">
        <v>1872</v>
      </c>
      <c r="F74" s="1015"/>
      <c r="G74" s="1016">
        <f>IFERROR((F74-F73)/F73,0)</f>
        <v>0</v>
      </c>
      <c r="H74" s="1015"/>
      <c r="I74" s="1016"/>
      <c r="J74" s="1015"/>
      <c r="K74" s="1016"/>
      <c r="L74" s="1015"/>
      <c r="M74" s="1016"/>
      <c r="N74" s="3189"/>
    </row>
    <row r="75" spans="1:15" ht="15" customHeight="1">
      <c r="A75" s="69"/>
      <c r="B75" s="2721"/>
      <c r="C75" s="3181" t="s">
        <v>1668</v>
      </c>
      <c r="D75" s="3184" t="s">
        <v>66</v>
      </c>
      <c r="E75" s="145" t="s">
        <v>294</v>
      </c>
      <c r="F75" s="117">
        <f>Stoping!F53</f>
        <v>0</v>
      </c>
      <c r="G75" s="810"/>
      <c r="H75" s="117">
        <f>Tramming!F46</f>
        <v>210</v>
      </c>
      <c r="I75" s="810">
        <v>109</v>
      </c>
      <c r="J75" s="117">
        <f>Breaking.!AI47+'Stope History'!H36</f>
        <v>3045</v>
      </c>
      <c r="K75" s="810">
        <f>J75-F75</f>
        <v>3045</v>
      </c>
      <c r="L75" s="117">
        <v>100</v>
      </c>
      <c r="M75" s="810">
        <v>112</v>
      </c>
      <c r="N75" s="3185" t="s">
        <v>1876</v>
      </c>
    </row>
    <row r="76" spans="1:15" ht="15" customHeight="1">
      <c r="A76" s="75"/>
      <c r="B76" s="2722"/>
      <c r="C76" s="3182"/>
      <c r="D76" s="3178"/>
      <c r="E76" s="1151" t="s">
        <v>295</v>
      </c>
      <c r="F76" s="1095">
        <f>Stoping!F54</f>
        <v>0</v>
      </c>
      <c r="G76" s="1199">
        <f>IFERROR((F76-F75)/F75,0)</f>
        <v>0</v>
      </c>
      <c r="H76" s="1095">
        <f>Tramming!F47</f>
        <v>0</v>
      </c>
      <c r="I76" s="1199">
        <f>IFERROR((H76-H75)/H75,0)</f>
        <v>-1</v>
      </c>
      <c r="J76" s="1095">
        <f>H76+'Stope History'!I37</f>
        <v>2563</v>
      </c>
      <c r="K76" s="1199">
        <f>IFERROR((J76-J75)/J75,0)</f>
        <v>-0.15829228243021345</v>
      </c>
      <c r="L76" s="1095">
        <v>92</v>
      </c>
      <c r="M76" s="1199">
        <v>53</v>
      </c>
      <c r="N76" s="3186"/>
    </row>
    <row r="77" spans="1:15" ht="15" customHeight="1">
      <c r="A77" s="69"/>
      <c r="B77" s="2722"/>
      <c r="C77" s="3182"/>
      <c r="D77" s="3178" t="s">
        <v>68</v>
      </c>
      <c r="E77" s="1147" t="s">
        <v>296</v>
      </c>
      <c r="F77" s="1256">
        <f>Stoping!F56</f>
        <v>0</v>
      </c>
      <c r="G77" s="1257"/>
      <c r="H77" s="1256">
        <f>Tramming!F49</f>
        <v>1.9859813084112146</v>
      </c>
      <c r="I77" s="1257">
        <v>3.22</v>
      </c>
      <c r="J77" s="1256">
        <f>(('Stope History'!H36*'Stope History'!H38)+(H75*H77))/J75</f>
        <v>1.7355849178214624</v>
      </c>
      <c r="K77" s="1257"/>
      <c r="L77" s="1256">
        <v>0</v>
      </c>
      <c r="M77" s="1257">
        <v>3.49</v>
      </c>
      <c r="N77" s="3179"/>
      <c r="O77" s="645">
        <f>(('Stope History'!H24*'Stope History'!H26)+(H43*H45))/J43</f>
        <v>2.6618487394957975</v>
      </c>
    </row>
    <row r="78" spans="1:15" ht="15" customHeight="1">
      <c r="A78" s="69"/>
      <c r="B78" s="2722"/>
      <c r="C78" s="3182"/>
      <c r="D78" s="3178"/>
      <c r="E78" s="1151" t="s">
        <v>297</v>
      </c>
      <c r="F78" s="1152">
        <f>Stoping!F57</f>
        <v>0</v>
      </c>
      <c r="G78" s="1199">
        <f>IFERROR((F78-F77)/F77,0)</f>
        <v>0</v>
      </c>
      <c r="H78" s="1152">
        <f>Tramming!F50</f>
        <v>0</v>
      </c>
      <c r="I78" s="1199">
        <f>IFERROR((H78-H77)/H77,0)</f>
        <v>-1</v>
      </c>
      <c r="J78" s="1152">
        <f>(('Stope History'!I37*'Stope History'!I39)+(H76*H78))/J76</f>
        <v>1.1345454545454545</v>
      </c>
      <c r="K78" s="1199">
        <f>IFERROR((J78-J77)/J77,0)</f>
        <v>-0.34630369110976345</v>
      </c>
      <c r="L78" s="1152">
        <v>4.43</v>
      </c>
      <c r="M78" s="1199">
        <v>3.38</v>
      </c>
      <c r="N78" s="3180"/>
    </row>
    <row r="79" spans="1:15" ht="15" customHeight="1">
      <c r="A79" s="69"/>
      <c r="B79" s="2722"/>
      <c r="C79" s="3182"/>
      <c r="D79" s="3178" t="s">
        <v>70</v>
      </c>
      <c r="E79" s="1147" t="s">
        <v>298</v>
      </c>
      <c r="F79" s="1198">
        <f>Stoping!F58</f>
        <v>0</v>
      </c>
      <c r="G79" s="1199"/>
      <c r="H79" s="1198">
        <f>Tramming!F51</f>
        <v>0.41705607476635503</v>
      </c>
      <c r="I79" s="1199">
        <f>+I77*I75/1000</f>
        <v>0.35098000000000001</v>
      </c>
      <c r="J79" s="1168">
        <f>(+J77*J75)/1000</f>
        <v>5.2848560747663536</v>
      </c>
      <c r="K79" s="1199">
        <f>+K77*K75/1000</f>
        <v>0</v>
      </c>
      <c r="L79" s="1168">
        <f t="shared" ref="L79:M80" si="0">+L77*L75/1000</f>
        <v>0</v>
      </c>
      <c r="M79" s="1199">
        <f t="shared" si="0"/>
        <v>0.39088000000000001</v>
      </c>
      <c r="N79" s="3179"/>
    </row>
    <row r="80" spans="1:15" ht="15" customHeight="1">
      <c r="A80" s="69"/>
      <c r="B80" s="2722"/>
      <c r="C80" s="3182"/>
      <c r="D80" s="3178"/>
      <c r="E80" s="1260" t="s">
        <v>299</v>
      </c>
      <c r="F80" s="1103">
        <f>Stoping!F59</f>
        <v>0</v>
      </c>
      <c r="G80" s="1257">
        <f>IFERROR((F80-F79)/F79,0)</f>
        <v>0</v>
      </c>
      <c r="H80" s="1103">
        <f>Tramming!F52</f>
        <v>0</v>
      </c>
      <c r="I80" s="1199">
        <f>IFERROR((H80-H79)/H79,0)</f>
        <v>-1</v>
      </c>
      <c r="J80" s="1095">
        <f>+J78*J76/1000</f>
        <v>2.9078400000000002</v>
      </c>
      <c r="K80" s="1199">
        <f>IFERROR((J80-J79)/J79,0)</f>
        <v>-0.44977877186020482</v>
      </c>
      <c r="L80" s="1095">
        <f t="shared" si="0"/>
        <v>0.40755999999999992</v>
      </c>
      <c r="M80" s="1257">
        <f t="shared" si="0"/>
        <v>0.17913999999999999</v>
      </c>
      <c r="N80" s="3180"/>
    </row>
    <row r="81" spans="1:14" ht="15" customHeight="1">
      <c r="A81" s="69"/>
      <c r="B81" s="2722"/>
      <c r="C81" s="3182"/>
      <c r="D81" s="3177" t="s">
        <v>1864</v>
      </c>
      <c r="E81" s="1261" t="s">
        <v>223</v>
      </c>
      <c r="F81" s="1256"/>
      <c r="G81" s="1199"/>
      <c r="H81" s="1256"/>
      <c r="I81" s="1199"/>
      <c r="J81" s="1256"/>
      <c r="K81" s="1199"/>
      <c r="L81" s="1256"/>
      <c r="M81" s="1199"/>
      <c r="N81" s="3179"/>
    </row>
    <row r="82" spans="1:14" ht="15" customHeight="1">
      <c r="A82" s="69"/>
      <c r="B82" s="2722"/>
      <c r="C82" s="3182"/>
      <c r="D82" s="3177"/>
      <c r="E82" s="1260" t="s">
        <v>224</v>
      </c>
      <c r="F82" s="1152">
        <v>2.4</v>
      </c>
      <c r="G82" s="1199">
        <f>IFERROR((F82-F81)/F81,0)</f>
        <v>0</v>
      </c>
      <c r="H82" s="1152"/>
      <c r="I82" s="1199"/>
      <c r="J82" s="1152"/>
      <c r="K82" s="1199"/>
      <c r="L82" s="1152"/>
      <c r="M82" s="1199"/>
      <c r="N82" s="3180"/>
    </row>
    <row r="83" spans="1:14" ht="15" customHeight="1">
      <c r="A83" s="75"/>
      <c r="B83" s="2722"/>
      <c r="C83" s="3182"/>
      <c r="D83" s="3178" t="s">
        <v>1865</v>
      </c>
      <c r="E83" s="1261" t="s">
        <v>223</v>
      </c>
      <c r="F83" s="1168"/>
      <c r="G83" s="1257"/>
      <c r="H83" s="1168"/>
      <c r="I83" s="1257"/>
      <c r="J83" s="1168"/>
      <c r="K83" s="1257"/>
      <c r="L83" s="1168"/>
      <c r="M83" s="1257"/>
      <c r="N83" s="3179"/>
    </row>
    <row r="84" spans="1:14" ht="15" customHeight="1">
      <c r="A84" s="69"/>
      <c r="B84" s="2722"/>
      <c r="C84" s="3182"/>
      <c r="D84" s="3178"/>
      <c r="E84" s="1260" t="s">
        <v>224</v>
      </c>
      <c r="F84" s="1095">
        <v>15</v>
      </c>
      <c r="G84" s="1199">
        <f>IFERROR((F84-F83)/F83,0)</f>
        <v>0</v>
      </c>
      <c r="H84" s="1095"/>
      <c r="I84" s="1199"/>
      <c r="J84" s="1095"/>
      <c r="K84" s="1199"/>
      <c r="L84" s="1095"/>
      <c r="M84" s="1199"/>
      <c r="N84" s="3180"/>
    </row>
    <row r="85" spans="1:14" ht="15" customHeight="1">
      <c r="A85" s="69"/>
      <c r="B85" s="2722"/>
      <c r="C85" s="3182"/>
      <c r="D85" s="3178" t="s">
        <v>1866</v>
      </c>
      <c r="E85" s="1147" t="s">
        <v>223</v>
      </c>
      <c r="F85" s="1256"/>
      <c r="G85" s="1199"/>
      <c r="H85" s="1256"/>
      <c r="I85" s="1199"/>
      <c r="J85" s="1256"/>
      <c r="K85" s="1199"/>
      <c r="L85" s="1256"/>
      <c r="M85" s="1199"/>
      <c r="N85" s="3179"/>
    </row>
    <row r="86" spans="1:14" ht="15" customHeight="1">
      <c r="A86" s="69"/>
      <c r="B86" s="2722"/>
      <c r="C86" s="3182"/>
      <c r="D86" s="3178"/>
      <c r="E86" s="1151" t="s">
        <v>224</v>
      </c>
      <c r="F86" s="1152">
        <v>15</v>
      </c>
      <c r="G86" s="1257">
        <f>IFERROR((F86-F85)/F85,0)</f>
        <v>0</v>
      </c>
      <c r="H86" s="1152"/>
      <c r="I86" s="1257"/>
      <c r="J86" s="1152"/>
      <c r="K86" s="1257"/>
      <c r="L86" s="1152"/>
      <c r="M86" s="1257"/>
      <c r="N86" s="3180"/>
    </row>
    <row r="87" spans="1:14" ht="15" customHeight="1">
      <c r="A87" s="69"/>
      <c r="B87" s="2722"/>
      <c r="C87" s="3182"/>
      <c r="D87" s="3178" t="s">
        <v>1867</v>
      </c>
      <c r="E87" s="1147" t="s">
        <v>1868</v>
      </c>
      <c r="F87" s="1168"/>
      <c r="G87" s="1199"/>
      <c r="H87" s="1168"/>
      <c r="I87" s="1199"/>
      <c r="J87" s="1168"/>
      <c r="K87" s="1199"/>
      <c r="L87" s="1168"/>
      <c r="M87" s="1199"/>
      <c r="N87" s="3179"/>
    </row>
    <row r="88" spans="1:14" ht="15" customHeight="1">
      <c r="A88" s="69"/>
      <c r="B88" s="2722"/>
      <c r="C88" s="3182"/>
      <c r="D88" s="3187"/>
      <c r="E88" s="1151" t="s">
        <v>1869</v>
      </c>
      <c r="F88" s="1095">
        <v>15</v>
      </c>
      <c r="G88" s="1199">
        <f>IFERROR((F88-F87)/F87,0)</f>
        <v>0</v>
      </c>
      <c r="H88" s="1095"/>
      <c r="I88" s="1199"/>
      <c r="J88" s="1095"/>
      <c r="K88" s="1199"/>
      <c r="L88" s="1095"/>
      <c r="M88" s="1199"/>
      <c r="N88" s="3180"/>
    </row>
    <row r="89" spans="1:14" ht="15" customHeight="1">
      <c r="A89" s="69"/>
      <c r="B89" s="2722"/>
      <c r="C89" s="3182"/>
      <c r="D89" s="3177" t="s">
        <v>1870</v>
      </c>
      <c r="E89" s="1147" t="s">
        <v>1871</v>
      </c>
      <c r="F89" s="1256"/>
      <c r="G89" s="1257"/>
      <c r="H89" s="1256"/>
      <c r="I89" s="1257"/>
      <c r="J89" s="1256"/>
      <c r="K89" s="1257"/>
      <c r="L89" s="1256"/>
      <c r="M89" s="1257"/>
      <c r="N89" s="3179"/>
    </row>
    <row r="90" spans="1:14" ht="15" customHeight="1" thickBot="1">
      <c r="A90" s="75"/>
      <c r="B90" s="2723"/>
      <c r="C90" s="3183"/>
      <c r="D90" s="3188"/>
      <c r="E90" s="1064" t="s">
        <v>1872</v>
      </c>
      <c r="F90" s="1015"/>
      <c r="G90" s="1016">
        <f>IFERROR((F90-F89)/F89,0)</f>
        <v>0</v>
      </c>
      <c r="H90" s="1015"/>
      <c r="I90" s="1016"/>
      <c r="J90" s="1015"/>
      <c r="K90" s="1016"/>
      <c r="L90" s="1015"/>
      <c r="M90" s="1016"/>
      <c r="N90" s="3189"/>
    </row>
    <row r="91" spans="1:14" ht="15" customHeight="1">
      <c r="A91" s="69"/>
      <c r="B91" s="2721"/>
      <c r="C91" s="3181" t="s">
        <v>1877</v>
      </c>
      <c r="D91" s="3184" t="s">
        <v>66</v>
      </c>
      <c r="E91" s="145" t="s">
        <v>294</v>
      </c>
      <c r="F91" s="117">
        <f>Stoping!F60</f>
        <v>0</v>
      </c>
      <c r="G91" s="810"/>
      <c r="H91" s="117">
        <f>Tramming!F53</f>
        <v>420</v>
      </c>
      <c r="I91" s="810">
        <v>2.84</v>
      </c>
      <c r="J91" s="117">
        <f>Breaking.!AI53+'Stope History'!H48</f>
        <v>10080</v>
      </c>
      <c r="K91" s="810">
        <v>2.84</v>
      </c>
      <c r="L91" s="117">
        <v>2.84</v>
      </c>
      <c r="M91" s="810">
        <v>2.84</v>
      </c>
      <c r="N91" s="3192"/>
    </row>
    <row r="92" spans="1:14" ht="15" customHeight="1">
      <c r="A92" s="69"/>
      <c r="B92" s="2722"/>
      <c r="C92" s="3182"/>
      <c r="D92" s="3178"/>
      <c r="E92" s="1151" t="s">
        <v>295</v>
      </c>
      <c r="F92" s="1095">
        <f>Stoping!F61</f>
        <v>0</v>
      </c>
      <c r="G92" s="1199">
        <f>IFERROR((F92-F91)/F91,0)</f>
        <v>0</v>
      </c>
      <c r="H92" s="1095">
        <f>Tramming!F54</f>
        <v>337</v>
      </c>
      <c r="I92" s="1199">
        <f>IFERROR((H92-H91)/H91,0)</f>
        <v>-0.19761904761904761</v>
      </c>
      <c r="J92" s="1095">
        <f>H92+'Stope History'!I49</f>
        <v>10182</v>
      </c>
      <c r="K92" s="1199">
        <f>IFERROR((J92-J91)/J91,0)</f>
        <v>1.011904761904762E-2</v>
      </c>
      <c r="L92" s="1095">
        <v>91</v>
      </c>
      <c r="M92" s="1199">
        <v>52</v>
      </c>
      <c r="N92" s="3196"/>
    </row>
    <row r="93" spans="1:14" ht="15" customHeight="1">
      <c r="A93" s="69"/>
      <c r="B93" s="2722"/>
      <c r="C93" s="3182"/>
      <c r="D93" s="3178" t="s">
        <v>68</v>
      </c>
      <c r="E93" s="1147" t="s">
        <v>296</v>
      </c>
      <c r="F93" s="1256">
        <f>Stoping!F63</f>
        <v>0</v>
      </c>
      <c r="G93" s="1257"/>
      <c r="H93" s="1256">
        <f>Tramming!F56</f>
        <v>1.456386292834891</v>
      </c>
      <c r="I93" s="1257">
        <v>0</v>
      </c>
      <c r="J93" s="1256">
        <f>(('Stope History'!H48*'Stope History'!H50)+(H91*H93))/J91</f>
        <v>1.9480438733125642</v>
      </c>
      <c r="K93" s="1264">
        <v>2.4240000000000001E-2</v>
      </c>
      <c r="L93" s="1256">
        <v>0</v>
      </c>
      <c r="M93" s="1257">
        <v>8.1509999999999999E-2</v>
      </c>
      <c r="N93" s="3179"/>
    </row>
    <row r="94" spans="1:14" ht="15" customHeight="1">
      <c r="A94" s="69"/>
      <c r="B94" s="2722"/>
      <c r="C94" s="3182"/>
      <c r="D94" s="3178"/>
      <c r="E94" s="1151" t="s">
        <v>297</v>
      </c>
      <c r="F94" s="1152">
        <f>Stoping!F64</f>
        <v>0</v>
      </c>
      <c r="G94" s="1199">
        <f>IFERROR((F94-F93)/F93,0)</f>
        <v>0</v>
      </c>
      <c r="H94" s="1152">
        <f>Tramming!F57</f>
        <v>0.83397626112759649</v>
      </c>
      <c r="I94" s="1199">
        <f>IFERROR((H94-H93)/H93,0)</f>
        <v>-0.42736603246639898</v>
      </c>
      <c r="J94" s="1152">
        <f>(('Stope History'!I49*'Stope History'!I51)+(H92*H94))/J92</f>
        <v>1.8813828324494206</v>
      </c>
      <c r="K94" s="1199">
        <f>IFERROR((J94-J93)/J93,0)</f>
        <v>-3.4219476150600961E-2</v>
      </c>
      <c r="L94" s="1152">
        <v>3.43</v>
      </c>
      <c r="M94" s="1199">
        <v>2.38</v>
      </c>
      <c r="N94" s="3180"/>
    </row>
    <row r="95" spans="1:14" ht="15" customHeight="1">
      <c r="A95" s="69"/>
      <c r="B95" s="2722"/>
      <c r="C95" s="3182"/>
      <c r="D95" s="3178" t="s">
        <v>70</v>
      </c>
      <c r="E95" s="1147" t="s">
        <v>298</v>
      </c>
      <c r="F95" s="1198">
        <f>Stoping!F65</f>
        <v>0</v>
      </c>
      <c r="G95" s="1199"/>
      <c r="H95" s="1198">
        <f>Tramming!F58</f>
        <v>0.61168224299065421</v>
      </c>
      <c r="I95" s="1199">
        <f>+I93*I91/1000</f>
        <v>0</v>
      </c>
      <c r="J95" s="1168">
        <f>+J93*J91/1000</f>
        <v>19.636282242990649</v>
      </c>
      <c r="K95" s="1199">
        <f>+K93*K91/1000</f>
        <v>6.8841600000000002E-5</v>
      </c>
      <c r="L95" s="1168">
        <f>+L93*L91/1000</f>
        <v>0</v>
      </c>
      <c r="M95" s="1199">
        <f>+M93*M91/1000</f>
        <v>2.3148839999999999E-4</v>
      </c>
      <c r="N95" s="3179"/>
    </row>
    <row r="96" spans="1:14" ht="15" customHeight="1">
      <c r="A96" s="69"/>
      <c r="B96" s="2722"/>
      <c r="C96" s="3182"/>
      <c r="D96" s="3178"/>
      <c r="E96" s="1260" t="s">
        <v>299</v>
      </c>
      <c r="F96" s="1103">
        <f>Stoping!F66</f>
        <v>0</v>
      </c>
      <c r="G96" s="1199">
        <f>IFERROR((F96-F95)/F95,0)</f>
        <v>0</v>
      </c>
      <c r="H96" s="1103">
        <f>Tramming!F59</f>
        <v>0.28105000000000002</v>
      </c>
      <c r="I96" s="1199">
        <f>IFERROR((H96-H95)/H95,0)</f>
        <v>-0.54052941176470581</v>
      </c>
      <c r="J96" s="1095">
        <f>+J94*J92/1000</f>
        <v>19.15624</v>
      </c>
      <c r="K96" s="1257">
        <f>+K94*K92/1000</f>
        <v>-3.4626850866679548E-7</v>
      </c>
      <c r="L96" s="1095">
        <f>+L94*L92/1000</f>
        <v>0.31213000000000002</v>
      </c>
      <c r="M96" s="1257">
        <f>+M94*M92/1000</f>
        <v>0.12376</v>
      </c>
      <c r="N96" s="3180"/>
    </row>
    <row r="97" spans="1:14" ht="15" customHeight="1">
      <c r="A97" s="75"/>
      <c r="B97" s="2722"/>
      <c r="C97" s="3182"/>
      <c r="D97" s="3177" t="s">
        <v>1864</v>
      </c>
      <c r="E97" s="1261" t="s">
        <v>223</v>
      </c>
      <c r="F97" s="1256"/>
      <c r="G97" s="1199"/>
      <c r="H97" s="1256"/>
      <c r="I97" s="1199"/>
      <c r="J97" s="1256"/>
      <c r="K97" s="1199"/>
      <c r="L97" s="1256"/>
      <c r="M97" s="1199"/>
      <c r="N97" s="3179"/>
    </row>
    <row r="98" spans="1:14" ht="15" customHeight="1">
      <c r="A98" s="69"/>
      <c r="B98" s="2722"/>
      <c r="C98" s="3182"/>
      <c r="D98" s="3177"/>
      <c r="E98" s="1260" t="s">
        <v>224</v>
      </c>
      <c r="F98" s="1152">
        <v>2.8</v>
      </c>
      <c r="G98" s="1199">
        <f>IFERROR((F98-F97)/F97,0)</f>
        <v>0</v>
      </c>
      <c r="H98" s="1152"/>
      <c r="I98" s="1199"/>
      <c r="J98" s="1152"/>
      <c r="K98" s="1199"/>
      <c r="L98" s="1152"/>
      <c r="M98" s="1199"/>
      <c r="N98" s="3180"/>
    </row>
    <row r="99" spans="1:14" ht="15" customHeight="1">
      <c r="A99" s="69"/>
      <c r="B99" s="2722"/>
      <c r="C99" s="3182"/>
      <c r="D99" s="3178" t="s">
        <v>1865</v>
      </c>
      <c r="E99" s="1261" t="s">
        <v>223</v>
      </c>
      <c r="F99" s="1168"/>
      <c r="G99" s="1257"/>
      <c r="H99" s="1168"/>
      <c r="I99" s="1257"/>
      <c r="J99" s="1168"/>
      <c r="K99" s="1257"/>
      <c r="L99" s="1168"/>
      <c r="M99" s="1257"/>
      <c r="N99" s="3179"/>
    </row>
    <row r="100" spans="1:14" ht="15" customHeight="1">
      <c r="A100" s="69"/>
      <c r="B100" s="2722"/>
      <c r="C100" s="3182"/>
      <c r="D100" s="3178"/>
      <c r="E100" s="1260" t="s">
        <v>224</v>
      </c>
      <c r="F100" s="1095">
        <v>15</v>
      </c>
      <c r="G100" s="1199">
        <f>IFERROR((F100-F99)/F99,0)</f>
        <v>0</v>
      </c>
      <c r="H100" s="1095"/>
      <c r="I100" s="1199"/>
      <c r="J100" s="1095"/>
      <c r="K100" s="1199"/>
      <c r="L100" s="1095"/>
      <c r="M100" s="1199"/>
      <c r="N100" s="3180"/>
    </row>
    <row r="101" spans="1:14" ht="15" customHeight="1">
      <c r="A101" s="69"/>
      <c r="B101" s="2722"/>
      <c r="C101" s="3182"/>
      <c r="D101" s="3178" t="s">
        <v>1866</v>
      </c>
      <c r="E101" s="1147" t="s">
        <v>223</v>
      </c>
      <c r="F101" s="1256"/>
      <c r="G101" s="1199"/>
      <c r="H101" s="1256"/>
      <c r="I101" s="1199"/>
      <c r="J101" s="1256"/>
      <c r="K101" s="1199"/>
      <c r="L101" s="1256"/>
      <c r="M101" s="1199"/>
      <c r="N101" s="3179"/>
    </row>
    <row r="102" spans="1:14" ht="15" customHeight="1">
      <c r="A102" s="69"/>
      <c r="B102" s="2722"/>
      <c r="C102" s="3182"/>
      <c r="D102" s="3178"/>
      <c r="E102" s="1151" t="s">
        <v>224</v>
      </c>
      <c r="F102" s="1152">
        <v>16</v>
      </c>
      <c r="G102" s="1257">
        <f>IFERROR((F102-F101)/F101,0)</f>
        <v>0</v>
      </c>
      <c r="H102" s="1152"/>
      <c r="I102" s="1257"/>
      <c r="J102" s="1152"/>
      <c r="K102" s="1257"/>
      <c r="L102" s="1152"/>
      <c r="M102" s="1257"/>
      <c r="N102" s="3180"/>
    </row>
    <row r="103" spans="1:14" ht="15" customHeight="1">
      <c r="A103" s="69"/>
      <c r="B103" s="2722"/>
      <c r="C103" s="3182"/>
      <c r="D103" s="3178" t="s">
        <v>1867</v>
      </c>
      <c r="E103" s="1147" t="s">
        <v>1868</v>
      </c>
      <c r="F103" s="1168"/>
      <c r="G103" s="1199"/>
      <c r="H103" s="1168"/>
      <c r="I103" s="1199"/>
      <c r="J103" s="1168"/>
      <c r="K103" s="1199"/>
      <c r="L103" s="1168"/>
      <c r="M103" s="1199"/>
      <c r="N103" s="3179"/>
    </row>
    <row r="104" spans="1:14" ht="15" customHeight="1">
      <c r="A104" s="75"/>
      <c r="B104" s="2722"/>
      <c r="C104" s="3182"/>
      <c r="D104" s="3187"/>
      <c r="E104" s="1151" t="s">
        <v>1869</v>
      </c>
      <c r="F104" s="1095"/>
      <c r="G104" s="1199">
        <f>IFERROR((F104-F103)/F103,0)</f>
        <v>0</v>
      </c>
      <c r="H104" s="1095"/>
      <c r="I104" s="1199"/>
      <c r="J104" s="1095"/>
      <c r="K104" s="1199"/>
      <c r="L104" s="1095"/>
      <c r="M104" s="1199"/>
      <c r="N104" s="3180"/>
    </row>
    <row r="105" spans="1:14" ht="15" customHeight="1">
      <c r="A105" s="69"/>
      <c r="B105" s="2722"/>
      <c r="C105" s="3182"/>
      <c r="D105" s="3177" t="s">
        <v>1870</v>
      </c>
      <c r="E105" s="1147" t="s">
        <v>1871</v>
      </c>
      <c r="F105" s="1256"/>
      <c r="G105" s="1257"/>
      <c r="H105" s="1256"/>
      <c r="I105" s="1257"/>
      <c r="J105" s="1256"/>
      <c r="K105" s="1257"/>
      <c r="L105" s="1256"/>
      <c r="M105" s="1257"/>
      <c r="N105" s="3179"/>
    </row>
    <row r="106" spans="1:14" ht="15" customHeight="1" thickBot="1">
      <c r="A106" s="69"/>
      <c r="B106" s="2723"/>
      <c r="C106" s="3183"/>
      <c r="D106" s="3188"/>
      <c r="E106" s="1064" t="s">
        <v>1872</v>
      </c>
      <c r="F106" s="1015"/>
      <c r="G106" s="1016">
        <f>IFERROR((F106-F105)/F105,0)</f>
        <v>0</v>
      </c>
      <c r="H106" s="1015"/>
      <c r="I106" s="1016"/>
      <c r="J106" s="1015"/>
      <c r="K106" s="1016"/>
      <c r="L106" s="1015"/>
      <c r="M106" s="1016"/>
      <c r="N106" s="3189"/>
    </row>
    <row r="107" spans="1:14" ht="15" customHeight="1">
      <c r="A107" s="69"/>
      <c r="B107" s="2721"/>
      <c r="C107" s="3181" t="s">
        <v>1671</v>
      </c>
      <c r="D107" s="3184" t="s">
        <v>66</v>
      </c>
      <c r="E107" s="145" t="s">
        <v>294</v>
      </c>
      <c r="F107" s="117">
        <f>Stoping!F67</f>
        <v>420</v>
      </c>
      <c r="G107" s="810"/>
      <c r="H107" s="117">
        <f>Tramming!F67</f>
        <v>210</v>
      </c>
      <c r="I107" s="810">
        <v>7.5950000000000004E-2</v>
      </c>
      <c r="J107" s="117">
        <f>Breaking.!AI55+'Stope History'!H54</f>
        <v>7175</v>
      </c>
      <c r="K107" s="810">
        <v>7.5950000000000004E-2</v>
      </c>
      <c r="L107" s="117">
        <v>7.5950000000000004E-2</v>
      </c>
      <c r="M107" s="810">
        <v>7.5950000000000004E-2</v>
      </c>
      <c r="N107" s="3192"/>
    </row>
    <row r="108" spans="1:14" ht="15" customHeight="1">
      <c r="A108" s="69"/>
      <c r="B108" s="2722"/>
      <c r="C108" s="3182"/>
      <c r="D108" s="3178"/>
      <c r="E108" s="1151" t="s">
        <v>295</v>
      </c>
      <c r="F108" s="1095">
        <f>Stoping!F68</f>
        <v>450</v>
      </c>
      <c r="G108" s="1199">
        <f>IFERROR((F108-F107)/F107,0)</f>
        <v>7.1428571428571425E-2</v>
      </c>
      <c r="H108" s="1095">
        <f>Tramming!F68</f>
        <v>171</v>
      </c>
      <c r="I108" s="1199">
        <f>IFERROR((H108-H107)/H107,0)</f>
        <v>-0.18571428571428572</v>
      </c>
      <c r="J108" s="1095">
        <f>H108+'Stope History'!I55</f>
        <v>4610.5</v>
      </c>
      <c r="K108" s="1199">
        <v>69</v>
      </c>
      <c r="L108" s="1095">
        <v>92</v>
      </c>
      <c r="M108" s="1199">
        <v>53</v>
      </c>
      <c r="N108" s="3196"/>
    </row>
    <row r="109" spans="1:14" ht="15" customHeight="1">
      <c r="A109" s="69"/>
      <c r="B109" s="2722"/>
      <c r="C109" s="3182"/>
      <c r="D109" s="3178" t="s">
        <v>68</v>
      </c>
      <c r="E109" s="1147" t="s">
        <v>296</v>
      </c>
      <c r="F109" s="1256">
        <f>Stoping!F70</f>
        <v>1.747663551401869</v>
      </c>
      <c r="G109" s="1257"/>
      <c r="H109" s="1256">
        <f>Tramming!F70</f>
        <v>3.1378504672897196</v>
      </c>
      <c r="I109" s="1257">
        <v>0</v>
      </c>
      <c r="J109" s="1256">
        <f>(('Stope History'!H54*'Stope History'!H56)+(H107*H109))/J107</f>
        <v>2.4764248917255527</v>
      </c>
      <c r="K109" s="1257">
        <v>0</v>
      </c>
      <c r="L109" s="1256">
        <v>0</v>
      </c>
      <c r="M109" s="1257">
        <v>0</v>
      </c>
      <c r="N109" s="3179"/>
    </row>
    <row r="110" spans="1:14" ht="15" customHeight="1">
      <c r="A110" s="69"/>
      <c r="B110" s="2722"/>
      <c r="C110" s="3182"/>
      <c r="D110" s="3178"/>
      <c r="E110" s="1151" t="s">
        <v>297</v>
      </c>
      <c r="F110" s="1152">
        <f>Stoping!F71</f>
        <v>1.9963777777777776</v>
      </c>
      <c r="G110" s="1199">
        <f>IFERROR((F110-F109)/F109,0)</f>
        <v>0.14231241830065358</v>
      </c>
      <c r="H110" s="1152">
        <f>Tramming!F71</f>
        <v>4.2834210526315788</v>
      </c>
      <c r="I110" s="1199">
        <f>IFERROR((H110-H109)/H109,0)</f>
        <v>0.36508131833679502</v>
      </c>
      <c r="J110" s="1152">
        <f>(('Stope History'!I55*'Stope History'!I57)+(H108*H110))/J108</f>
        <v>2.4676022123413941</v>
      </c>
      <c r="K110" s="1199">
        <v>5</v>
      </c>
      <c r="L110" s="1152">
        <v>4.43</v>
      </c>
      <c r="M110" s="1199">
        <v>3.38</v>
      </c>
      <c r="N110" s="3180"/>
    </row>
    <row r="111" spans="1:14" ht="15" customHeight="1">
      <c r="B111" s="2722"/>
      <c r="C111" s="3182"/>
      <c r="D111" s="3178" t="s">
        <v>70</v>
      </c>
      <c r="E111" s="1147" t="s">
        <v>298</v>
      </c>
      <c r="F111" s="1198">
        <f>Stoping!F72</f>
        <v>0.73401869158878508</v>
      </c>
      <c r="G111" s="1199"/>
      <c r="H111" s="1198">
        <f>Tramming!F72</f>
        <v>0.65894859813084106</v>
      </c>
      <c r="I111" s="1199">
        <f>+I109*I107/1000</f>
        <v>0</v>
      </c>
      <c r="J111" s="1168">
        <f>+J109*J107/1000</f>
        <v>17.768348598130839</v>
      </c>
      <c r="K111" s="1199">
        <f>+K109*K107/1000</f>
        <v>0</v>
      </c>
      <c r="L111" s="1168">
        <f>+L109*L107/1000</f>
        <v>0</v>
      </c>
      <c r="M111" s="1199">
        <f>+M109*M107/1000</f>
        <v>0</v>
      </c>
      <c r="N111" s="3179"/>
    </row>
    <row r="112" spans="1:14" ht="15" customHeight="1">
      <c r="B112" s="2722"/>
      <c r="C112" s="3182"/>
      <c r="D112" s="3178"/>
      <c r="E112" s="1260" t="s">
        <v>299</v>
      </c>
      <c r="F112" s="1103">
        <f>Stoping!F73</f>
        <v>0.89836999999999989</v>
      </c>
      <c r="G112" s="1257">
        <f>IFERROR((F112-F111)/F111,0)</f>
        <v>0.22390616246498579</v>
      </c>
      <c r="H112" s="1103">
        <f>Tramming!F73</f>
        <v>0.73246499999999992</v>
      </c>
      <c r="I112" s="1199">
        <f>IFERROR((H112-H111)/H111,0)</f>
        <v>0.1115662163599617</v>
      </c>
      <c r="J112" s="1095">
        <f>+J110*J108/1000</f>
        <v>11.376879999999998</v>
      </c>
      <c r="K112" s="1257">
        <f>+K110*K108/1000</f>
        <v>0.34499999999999997</v>
      </c>
      <c r="L112" s="1095">
        <f>+L110*L108/1000</f>
        <v>0.40755999999999992</v>
      </c>
      <c r="M112" s="1257">
        <f>+M110*M108/1000</f>
        <v>0.17913999999999999</v>
      </c>
      <c r="N112" s="3180"/>
    </row>
    <row r="113" spans="2:14" ht="15" customHeight="1">
      <c r="B113" s="2722"/>
      <c r="C113" s="3182"/>
      <c r="D113" s="3177" t="s">
        <v>1864</v>
      </c>
      <c r="E113" s="1261" t="s">
        <v>223</v>
      </c>
      <c r="F113" s="1256"/>
      <c r="G113" s="1199"/>
      <c r="H113" s="1256"/>
      <c r="I113" s="1199"/>
      <c r="J113" s="1256"/>
      <c r="K113" s="1199"/>
      <c r="L113" s="1256"/>
      <c r="M113" s="1199"/>
      <c r="N113" s="3179"/>
    </row>
    <row r="114" spans="2:14" ht="15" customHeight="1">
      <c r="B114" s="2722"/>
      <c r="C114" s="3182"/>
      <c r="D114" s="3177"/>
      <c r="E114" s="1260" t="s">
        <v>224</v>
      </c>
      <c r="F114" s="1152">
        <v>3</v>
      </c>
      <c r="G114" s="1199">
        <f>IFERROR((F114-F113)/F113,0)</f>
        <v>0</v>
      </c>
      <c r="H114" s="1152"/>
      <c r="I114" s="1199"/>
      <c r="J114" s="1152"/>
      <c r="K114" s="1199"/>
      <c r="L114" s="1152"/>
      <c r="M114" s="1199"/>
      <c r="N114" s="3180"/>
    </row>
    <row r="115" spans="2:14" ht="15" customHeight="1">
      <c r="B115" s="2722"/>
      <c r="C115" s="3182"/>
      <c r="D115" s="3178" t="s">
        <v>1865</v>
      </c>
      <c r="E115" s="1261" t="s">
        <v>223</v>
      </c>
      <c r="F115" s="1168"/>
      <c r="G115" s="1257"/>
      <c r="H115" s="1168"/>
      <c r="I115" s="1257"/>
      <c r="J115" s="1168"/>
      <c r="K115" s="1257"/>
      <c r="L115" s="1168"/>
      <c r="M115" s="1257"/>
      <c r="N115" s="3179"/>
    </row>
    <row r="116" spans="2:14" ht="15" customHeight="1">
      <c r="B116" s="2722"/>
      <c r="C116" s="3182"/>
      <c r="D116" s="3178"/>
      <c r="E116" s="1260" t="s">
        <v>224</v>
      </c>
      <c r="F116" s="1095">
        <v>20</v>
      </c>
      <c r="G116" s="1199">
        <f>IFERROR((F116-F115)/F115,0)</f>
        <v>0</v>
      </c>
      <c r="H116" s="1095"/>
      <c r="I116" s="1199"/>
      <c r="J116" s="1095"/>
      <c r="K116" s="1199"/>
      <c r="L116" s="1095"/>
      <c r="M116" s="1199"/>
      <c r="N116" s="3180"/>
    </row>
    <row r="117" spans="2:14" ht="15" customHeight="1">
      <c r="B117" s="2722"/>
      <c r="C117" s="3182"/>
      <c r="D117" s="3178" t="s">
        <v>1866</v>
      </c>
      <c r="E117" s="1147" t="s">
        <v>223</v>
      </c>
      <c r="F117" s="1256"/>
      <c r="G117" s="1199"/>
      <c r="H117" s="1256"/>
      <c r="I117" s="1199"/>
      <c r="J117" s="1256"/>
      <c r="K117" s="1199"/>
      <c r="L117" s="1256"/>
      <c r="M117" s="1199"/>
      <c r="N117" s="3179"/>
    </row>
    <row r="118" spans="2:14" ht="15" customHeight="1">
      <c r="B118" s="2722"/>
      <c r="C118" s="3182"/>
      <c r="D118" s="3178"/>
      <c r="E118" s="1151" t="s">
        <v>224</v>
      </c>
      <c r="F118" s="1152">
        <v>15</v>
      </c>
      <c r="G118" s="1257">
        <f>IFERROR((F118-F117)/F117,0)</f>
        <v>0</v>
      </c>
      <c r="H118" s="1152"/>
      <c r="I118" s="1257"/>
      <c r="J118" s="1152"/>
      <c r="K118" s="1257"/>
      <c r="L118" s="1152"/>
      <c r="M118" s="1257"/>
      <c r="N118" s="3180"/>
    </row>
    <row r="119" spans="2:14" ht="15" customHeight="1">
      <c r="B119" s="2722"/>
      <c r="C119" s="3182"/>
      <c r="D119" s="3178" t="s">
        <v>1867</v>
      </c>
      <c r="E119" s="1147" t="s">
        <v>1868</v>
      </c>
      <c r="F119" s="1168"/>
      <c r="G119" s="1199"/>
      <c r="H119" s="1168"/>
      <c r="I119" s="1199"/>
      <c r="J119" s="1168"/>
      <c r="K119" s="1199"/>
      <c r="L119" s="1168"/>
      <c r="M119" s="1199"/>
      <c r="N119" s="3179"/>
    </row>
    <row r="120" spans="2:14" ht="15" customHeight="1">
      <c r="B120" s="2722"/>
      <c r="C120" s="3182"/>
      <c r="D120" s="3187"/>
      <c r="E120" s="1151" t="s">
        <v>1869</v>
      </c>
      <c r="F120" s="1095"/>
      <c r="G120" s="1199">
        <f>IFERROR((F120-F119)/F119,0)</f>
        <v>0</v>
      </c>
      <c r="H120" s="1095"/>
      <c r="I120" s="1199"/>
      <c r="J120" s="1095"/>
      <c r="K120" s="1199"/>
      <c r="L120" s="1095"/>
      <c r="M120" s="1199"/>
      <c r="N120" s="3180"/>
    </row>
    <row r="121" spans="2:14" ht="15" customHeight="1">
      <c r="B121" s="2722"/>
      <c r="C121" s="3182"/>
      <c r="D121" s="3177" t="s">
        <v>1870</v>
      </c>
      <c r="E121" s="1147" t="s">
        <v>1871</v>
      </c>
      <c r="F121" s="1256"/>
      <c r="G121" s="1257"/>
      <c r="H121" s="1256"/>
      <c r="I121" s="1257"/>
      <c r="J121" s="1256"/>
      <c r="K121" s="1257"/>
      <c r="L121" s="1256"/>
      <c r="M121" s="1257"/>
      <c r="N121" s="3179"/>
    </row>
    <row r="122" spans="2:14" ht="15" customHeight="1" thickBot="1">
      <c r="B122" s="2723"/>
      <c r="C122" s="3183"/>
      <c r="D122" s="3188"/>
      <c r="E122" s="1064" t="s">
        <v>1872</v>
      </c>
      <c r="F122" s="1015"/>
      <c r="G122" s="1016">
        <f>IFERROR((F122-F121)/F121,0)</f>
        <v>0</v>
      </c>
      <c r="H122" s="1015"/>
      <c r="I122" s="1016"/>
      <c r="J122" s="1015"/>
      <c r="K122" s="1016"/>
      <c r="L122" s="1015"/>
      <c r="M122" s="1016"/>
      <c r="N122" s="3189"/>
    </row>
    <row r="123" spans="2:14" ht="15" customHeight="1">
      <c r="B123" s="2721"/>
      <c r="C123" s="3181" t="s">
        <v>1675</v>
      </c>
      <c r="D123" s="3184" t="s">
        <v>66</v>
      </c>
      <c r="E123" s="145" t="s">
        <v>294</v>
      </c>
      <c r="F123" s="117">
        <f>Stoping!F81</f>
        <v>210</v>
      </c>
      <c r="G123" s="810"/>
      <c r="H123" s="117">
        <f>Tramming!F74</f>
        <v>0</v>
      </c>
      <c r="I123" s="810">
        <v>0</v>
      </c>
      <c r="J123" s="117">
        <f>H123+'Stope History'!H60</f>
        <v>6440</v>
      </c>
      <c r="K123" s="810">
        <v>0</v>
      </c>
      <c r="L123" s="117">
        <v>0</v>
      </c>
      <c r="M123" s="810">
        <v>0</v>
      </c>
      <c r="N123" s="3192"/>
    </row>
    <row r="124" spans="2:14" ht="15" customHeight="1">
      <c r="B124" s="2722"/>
      <c r="C124" s="3182"/>
      <c r="D124" s="3178"/>
      <c r="E124" s="1151" t="s">
        <v>295</v>
      </c>
      <c r="F124" s="1095">
        <f>Stoping!F82</f>
        <v>320</v>
      </c>
      <c r="G124" s="1199">
        <f>IFERROR((F124-F123)/F123,0)</f>
        <v>0.52380952380952384</v>
      </c>
      <c r="H124" s="1095">
        <f>Tramming!F75</f>
        <v>0</v>
      </c>
      <c r="I124" s="1199">
        <f>IFERROR((H124-H123)/H123,0)</f>
        <v>0</v>
      </c>
      <c r="J124" s="1095">
        <f>H124+'Stope History'!I61</f>
        <v>7103</v>
      </c>
      <c r="K124" s="1199">
        <v>69</v>
      </c>
      <c r="L124" s="1095">
        <v>92</v>
      </c>
      <c r="M124" s="1199">
        <v>53</v>
      </c>
      <c r="N124" s="3196"/>
    </row>
    <row r="125" spans="2:14" ht="15" customHeight="1">
      <c r="B125" s="2722"/>
      <c r="C125" s="3182"/>
      <c r="D125" s="3178" t="s">
        <v>68</v>
      </c>
      <c r="E125" s="1147" t="s">
        <v>296</v>
      </c>
      <c r="F125" s="1256">
        <f>Stoping!F84</f>
        <v>3.1378504672897196</v>
      </c>
      <c r="G125" s="1257"/>
      <c r="H125" s="1256">
        <f>Tramming!F77</f>
        <v>0</v>
      </c>
      <c r="I125" s="1257">
        <v>0</v>
      </c>
      <c r="J125" s="1256">
        <f>(('Stope History'!H60*'Stope History'!H62)+(H123*H125))/J123</f>
        <v>2.9665217391304348</v>
      </c>
      <c r="K125" s="1257">
        <v>0</v>
      </c>
      <c r="L125" s="1256">
        <v>0</v>
      </c>
      <c r="M125" s="1257">
        <v>0</v>
      </c>
      <c r="N125" s="3197" t="s">
        <v>1878</v>
      </c>
    </row>
    <row r="126" spans="2:14" ht="15" customHeight="1">
      <c r="B126" s="2722"/>
      <c r="C126" s="3182"/>
      <c r="D126" s="3178"/>
      <c r="E126" s="1151" t="s">
        <v>297</v>
      </c>
      <c r="F126" s="1152">
        <f>Stoping!F85</f>
        <v>3.5494999999999997</v>
      </c>
      <c r="G126" s="1199">
        <f>IFERROR((F126-F125)/F125,0)</f>
        <v>0.13118838421444518</v>
      </c>
      <c r="H126" s="1152">
        <f>Tramming!F78</f>
        <v>0</v>
      </c>
      <c r="I126" s="1199">
        <f>IFERROR((H126-H125)/H125,0)</f>
        <v>0</v>
      </c>
      <c r="J126" s="1152">
        <f>(('Stope History'!I61*'Stope History'!I63)+(H124*H126))/J124</f>
        <v>3.3553236660565955</v>
      </c>
      <c r="K126" s="1199">
        <v>5</v>
      </c>
      <c r="L126" s="1152">
        <v>4.43</v>
      </c>
      <c r="M126" s="1199">
        <v>3.38</v>
      </c>
      <c r="N126" s="3186"/>
    </row>
    <row r="127" spans="2:14" ht="15" customHeight="1">
      <c r="B127" s="2722"/>
      <c r="C127" s="3182"/>
      <c r="D127" s="3178" t="s">
        <v>70</v>
      </c>
      <c r="E127" s="1147" t="s">
        <v>298</v>
      </c>
      <c r="F127" s="1198">
        <f>Stoping!F86</f>
        <v>0.65894859813084106</v>
      </c>
      <c r="G127" s="1199"/>
      <c r="H127" s="1198">
        <f>Tramming!F79</f>
        <v>0</v>
      </c>
      <c r="I127" s="1199">
        <f>+I125*I123/1000</f>
        <v>0</v>
      </c>
      <c r="J127" s="1168">
        <f>+J125*J123/1000</f>
        <v>19.104400000000002</v>
      </c>
      <c r="K127" s="1199">
        <f>+K125*K123/1000</f>
        <v>0</v>
      </c>
      <c r="L127" s="1168">
        <f>+L125*L123/1000</f>
        <v>0</v>
      </c>
      <c r="M127" s="1199">
        <f>+M125*M123/1000</f>
        <v>0</v>
      </c>
      <c r="N127" s="3179"/>
    </row>
    <row r="128" spans="2:14" ht="15" customHeight="1">
      <c r="B128" s="2722"/>
      <c r="C128" s="3182"/>
      <c r="D128" s="3178"/>
      <c r="E128" s="1260" t="s">
        <v>299</v>
      </c>
      <c r="F128" s="1103">
        <f>Stoping!F87</f>
        <v>1.13584</v>
      </c>
      <c r="G128" s="1257">
        <f>IFERROR((F128-F127)/F127,0)</f>
        <v>0.72371563308867859</v>
      </c>
      <c r="H128" s="1103">
        <f>Tramming!F80</f>
        <v>0</v>
      </c>
      <c r="I128" s="1199">
        <f>IFERROR((H128-H127)/H127,0)</f>
        <v>0</v>
      </c>
      <c r="J128" s="1095">
        <f>+J126*J124/1000</f>
        <v>23.832863999999997</v>
      </c>
      <c r="K128" s="1257">
        <f>+K126*K124/1000</f>
        <v>0.34499999999999997</v>
      </c>
      <c r="L128" s="1095">
        <f>+L126*L124/1000</f>
        <v>0.40755999999999992</v>
      </c>
      <c r="M128" s="1257">
        <f>+M126*M124/1000</f>
        <v>0.17913999999999999</v>
      </c>
      <c r="N128" s="3180"/>
    </row>
    <row r="129" spans="2:14" ht="15" customHeight="1">
      <c r="B129" s="2722"/>
      <c r="C129" s="3182"/>
      <c r="D129" s="3177" t="s">
        <v>1864</v>
      </c>
      <c r="E129" s="1261" t="s">
        <v>223</v>
      </c>
      <c r="F129" s="1256"/>
      <c r="G129" s="1199"/>
      <c r="H129" s="1256"/>
      <c r="I129" s="1199"/>
      <c r="J129" s="1256"/>
      <c r="K129" s="1199"/>
      <c r="L129" s="1256"/>
      <c r="M129" s="1199"/>
      <c r="N129" s="3179"/>
    </row>
    <row r="130" spans="2:14" ht="15" customHeight="1">
      <c r="B130" s="2722"/>
      <c r="C130" s="3182"/>
      <c r="D130" s="3177"/>
      <c r="E130" s="1260" t="s">
        <v>224</v>
      </c>
      <c r="F130" s="1152">
        <v>4.2</v>
      </c>
      <c r="G130" s="1199">
        <f>IFERROR((F130-F129)/F129,0)</f>
        <v>0</v>
      </c>
      <c r="H130" s="1152"/>
      <c r="I130" s="1199"/>
      <c r="J130" s="1152"/>
      <c r="K130" s="1199"/>
      <c r="L130" s="1152"/>
      <c r="M130" s="1199"/>
      <c r="N130" s="3180"/>
    </row>
    <row r="131" spans="2:14" ht="15" customHeight="1">
      <c r="B131" s="2722"/>
      <c r="C131" s="3182"/>
      <c r="D131" s="3178" t="s">
        <v>1865</v>
      </c>
      <c r="E131" s="1261" t="s">
        <v>223</v>
      </c>
      <c r="F131" s="1168"/>
      <c r="G131" s="1257"/>
      <c r="H131" s="1168"/>
      <c r="I131" s="1257"/>
      <c r="J131" s="1168"/>
      <c r="K131" s="1257"/>
      <c r="L131" s="1168"/>
      <c r="M131" s="1257"/>
      <c r="N131" s="3179"/>
    </row>
    <row r="132" spans="2:14" ht="15" customHeight="1">
      <c r="B132" s="2722"/>
      <c r="C132" s="3182"/>
      <c r="D132" s="3178"/>
      <c r="E132" s="1260" t="s">
        <v>224</v>
      </c>
      <c r="F132" s="1095">
        <v>30</v>
      </c>
      <c r="G132" s="1199">
        <f>IFERROR((F132-F131)/F131,0)</f>
        <v>0</v>
      </c>
      <c r="H132" s="1095"/>
      <c r="I132" s="1199"/>
      <c r="J132" s="1095"/>
      <c r="K132" s="1199"/>
      <c r="L132" s="1095"/>
      <c r="M132" s="1199"/>
      <c r="N132" s="3180"/>
    </row>
    <row r="133" spans="2:14" ht="15" customHeight="1">
      <c r="B133" s="2722"/>
      <c r="C133" s="3182"/>
      <c r="D133" s="3178" t="s">
        <v>1866</v>
      </c>
      <c r="E133" s="1147" t="s">
        <v>223</v>
      </c>
      <c r="F133" s="1256"/>
      <c r="G133" s="1199"/>
      <c r="H133" s="1256"/>
      <c r="I133" s="1199"/>
      <c r="J133" s="1256"/>
      <c r="K133" s="1199"/>
      <c r="L133" s="1256"/>
      <c r="M133" s="1199"/>
      <c r="N133" s="3179"/>
    </row>
    <row r="134" spans="2:14" ht="15" customHeight="1">
      <c r="B134" s="2722"/>
      <c r="C134" s="3182"/>
      <c r="D134" s="3178"/>
      <c r="E134" s="1151" t="s">
        <v>224</v>
      </c>
      <c r="F134" s="1152">
        <v>25</v>
      </c>
      <c r="G134" s="1257">
        <f>IFERROR((F134-F133)/F133,0)</f>
        <v>0</v>
      </c>
      <c r="H134" s="1152"/>
      <c r="I134" s="1257"/>
      <c r="J134" s="1152"/>
      <c r="K134" s="1257"/>
      <c r="L134" s="1152"/>
      <c r="M134" s="1257"/>
      <c r="N134" s="3180"/>
    </row>
    <row r="135" spans="2:14" ht="15" customHeight="1">
      <c r="B135" s="2722"/>
      <c r="C135" s="3182"/>
      <c r="D135" s="3178" t="s">
        <v>1867</v>
      </c>
      <c r="E135" s="1147" t="s">
        <v>1868</v>
      </c>
      <c r="F135" s="1168"/>
      <c r="G135" s="1199"/>
      <c r="H135" s="1168"/>
      <c r="I135" s="1199"/>
      <c r="J135" s="1168"/>
      <c r="K135" s="1199"/>
      <c r="L135" s="1168"/>
      <c r="M135" s="1199"/>
      <c r="N135" s="3179"/>
    </row>
    <row r="136" spans="2:14" ht="15" customHeight="1">
      <c r="B136" s="2722"/>
      <c r="C136" s="3182"/>
      <c r="D136" s="3187"/>
      <c r="E136" s="1151" t="s">
        <v>1869</v>
      </c>
      <c r="F136" s="1095"/>
      <c r="G136" s="1199">
        <f>IFERROR((F136-F135)/F135,0)</f>
        <v>0</v>
      </c>
      <c r="H136" s="1095"/>
      <c r="I136" s="1199"/>
      <c r="J136" s="1095"/>
      <c r="K136" s="1199"/>
      <c r="L136" s="1095"/>
      <c r="M136" s="1199"/>
      <c r="N136" s="3180"/>
    </row>
    <row r="137" spans="2:14" ht="15" customHeight="1">
      <c r="B137" s="2722"/>
      <c r="C137" s="3182"/>
      <c r="D137" s="3177" t="s">
        <v>1870</v>
      </c>
      <c r="E137" s="1147" t="s">
        <v>1871</v>
      </c>
      <c r="F137" s="1256"/>
      <c r="G137" s="1257"/>
      <c r="H137" s="1256"/>
      <c r="I137" s="1257"/>
      <c r="J137" s="1256"/>
      <c r="K137" s="1257"/>
      <c r="L137" s="1256"/>
      <c r="M137" s="1257"/>
      <c r="N137" s="3179"/>
    </row>
    <row r="138" spans="2:14" ht="15" customHeight="1" thickBot="1">
      <c r="B138" s="2723"/>
      <c r="C138" s="3183"/>
      <c r="D138" s="3188"/>
      <c r="E138" s="1064" t="s">
        <v>1872</v>
      </c>
      <c r="F138" s="1015"/>
      <c r="G138" s="1016">
        <f>IFERROR((F138-F137)/F137,0)</f>
        <v>0</v>
      </c>
      <c r="H138" s="1015"/>
      <c r="I138" s="1016"/>
      <c r="J138" s="1015"/>
      <c r="K138" s="1016"/>
      <c r="L138" s="1015"/>
      <c r="M138" s="1016"/>
      <c r="N138" s="3189"/>
    </row>
    <row r="139" spans="2:14" ht="15" customHeight="1">
      <c r="B139" s="2721"/>
      <c r="C139" s="3181" t="s">
        <v>1676</v>
      </c>
      <c r="D139" s="3184" t="s">
        <v>66</v>
      </c>
      <c r="E139" s="145" t="s">
        <v>294</v>
      </c>
      <c r="F139" s="117">
        <f>Stoping!F88</f>
        <v>0</v>
      </c>
      <c r="G139" s="810"/>
      <c r="H139" s="117">
        <f>Tramming!F81</f>
        <v>840</v>
      </c>
      <c r="I139" s="810">
        <v>0</v>
      </c>
      <c r="J139" s="117">
        <f>H139+'Stope History'!H66</f>
        <v>840</v>
      </c>
      <c r="K139" s="810">
        <v>0</v>
      </c>
      <c r="L139" s="117">
        <v>0</v>
      </c>
      <c r="M139" s="810">
        <v>0</v>
      </c>
      <c r="N139" s="3192"/>
    </row>
    <row r="140" spans="2:14" ht="15" customHeight="1">
      <c r="B140" s="2722"/>
      <c r="C140" s="3182"/>
      <c r="D140" s="3178"/>
      <c r="E140" s="1151" t="s">
        <v>295</v>
      </c>
      <c r="F140" s="1095">
        <f>Stoping!F89</f>
        <v>0</v>
      </c>
      <c r="G140" s="1199">
        <f>IFERROR((F140-F139)/F139,0)</f>
        <v>0</v>
      </c>
      <c r="H140" s="1095">
        <f>Tramming!F82</f>
        <v>1184.5</v>
      </c>
      <c r="I140" s="1199">
        <f>IFERROR((H140-H139)/H139,0)</f>
        <v>0.41011904761904761</v>
      </c>
      <c r="J140" s="1095">
        <f>H140+'Stope History'!I67</f>
        <v>1184.5</v>
      </c>
      <c r="K140" s="1199">
        <v>70</v>
      </c>
      <c r="L140" s="1095">
        <v>93</v>
      </c>
      <c r="M140" s="1199">
        <v>54</v>
      </c>
      <c r="N140" s="3196"/>
    </row>
    <row r="141" spans="2:14" ht="15" customHeight="1">
      <c r="B141" s="2722"/>
      <c r="C141" s="3182"/>
      <c r="D141" s="3178" t="s">
        <v>68</v>
      </c>
      <c r="E141" s="1147" t="s">
        <v>296</v>
      </c>
      <c r="F141" s="1256">
        <f>Stoping!F91</f>
        <v>0</v>
      </c>
      <c r="G141" s="1257"/>
      <c r="H141" s="1256">
        <f>Tramming!F84</f>
        <v>2.5420560747663545</v>
      </c>
      <c r="I141" s="1257">
        <v>0</v>
      </c>
      <c r="J141" s="1256">
        <f>H141</f>
        <v>2.5420560747663545</v>
      </c>
      <c r="K141" s="1257">
        <v>0</v>
      </c>
      <c r="L141" s="1256">
        <v>0</v>
      </c>
      <c r="M141" s="1257">
        <v>0</v>
      </c>
      <c r="N141" s="3197" t="s">
        <v>1879</v>
      </c>
    </row>
    <row r="142" spans="2:14" ht="15" customHeight="1">
      <c r="B142" s="2722"/>
      <c r="C142" s="3182"/>
      <c r="D142" s="3178"/>
      <c r="E142" s="1151" t="s">
        <v>297</v>
      </c>
      <c r="F142" s="1152">
        <f>Stoping!F92</f>
        <v>0</v>
      </c>
      <c r="G142" s="1199">
        <f>IFERROR((F142-F141)/F141,0)</f>
        <v>0</v>
      </c>
      <c r="H142" s="1152">
        <f>Tramming!F85</f>
        <v>3.6778809624314057</v>
      </c>
      <c r="I142" s="1199">
        <f>IFERROR((H142-H141)/H141,0)</f>
        <v>0.44681346683882539</v>
      </c>
      <c r="J142" s="1152">
        <f>H142</f>
        <v>3.6778809624314057</v>
      </c>
      <c r="K142" s="1199">
        <v>6</v>
      </c>
      <c r="L142" s="1152">
        <v>5.43</v>
      </c>
      <c r="M142" s="1199">
        <v>4.38</v>
      </c>
      <c r="N142" s="3186"/>
    </row>
    <row r="143" spans="2:14" ht="15" customHeight="1">
      <c r="B143" s="2722"/>
      <c r="C143" s="3182"/>
      <c r="D143" s="3178" t="s">
        <v>70</v>
      </c>
      <c r="E143" s="1147" t="s">
        <v>298</v>
      </c>
      <c r="F143" s="1198">
        <f>Stoping!F93</f>
        <v>0</v>
      </c>
      <c r="G143" s="1199"/>
      <c r="H143" s="1198">
        <f>Tramming!F86</f>
        <v>2.1353271028037382</v>
      </c>
      <c r="I143" s="1199">
        <f>+I141*I139/1000</f>
        <v>0</v>
      </c>
      <c r="J143" s="1168">
        <f>+J141*J139/1000</f>
        <v>2.1353271028037382</v>
      </c>
      <c r="K143" s="1199">
        <f>+K141*K139/1000</f>
        <v>0</v>
      </c>
      <c r="L143" s="1168">
        <f>+L141*L139/1000</f>
        <v>0</v>
      </c>
      <c r="M143" s="1199">
        <f>+M141*M139/1000</f>
        <v>0</v>
      </c>
      <c r="N143" s="3179"/>
    </row>
    <row r="144" spans="2:14" ht="15" customHeight="1">
      <c r="B144" s="2722"/>
      <c r="C144" s="3182"/>
      <c r="D144" s="3178"/>
      <c r="E144" s="1260" t="s">
        <v>299</v>
      </c>
      <c r="F144" s="1103">
        <f>Stoping!F94</f>
        <v>0</v>
      </c>
      <c r="G144" s="1257">
        <f>IFERROR((F144-F143)/F143,0)</f>
        <v>0</v>
      </c>
      <c r="H144" s="1103">
        <f>Tramming!F87</f>
        <v>4.3564499999999997</v>
      </c>
      <c r="I144" s="1199">
        <f>IFERROR((H144-H143)/H143,0)</f>
        <v>1.0401792279411766</v>
      </c>
      <c r="J144" s="1095">
        <f>+J142*J140/1000</f>
        <v>4.3564499999999997</v>
      </c>
      <c r="K144" s="1257">
        <f>+K142*K140/1000</f>
        <v>0.42</v>
      </c>
      <c r="L144" s="1095">
        <f>+L142*L140/1000</f>
        <v>0.50498999999999994</v>
      </c>
      <c r="M144" s="1257">
        <f>+M142*M140/1000</f>
        <v>0.23651999999999998</v>
      </c>
      <c r="N144" s="3180"/>
    </row>
    <row r="145" spans="2:14" ht="15" customHeight="1">
      <c r="B145" s="2722"/>
      <c r="C145" s="3182"/>
      <c r="D145" s="3177" t="s">
        <v>1864</v>
      </c>
      <c r="E145" s="1261" t="s">
        <v>223</v>
      </c>
      <c r="F145" s="1256"/>
      <c r="G145" s="1199"/>
      <c r="H145" s="1256"/>
      <c r="I145" s="1199"/>
      <c r="J145" s="1256"/>
      <c r="K145" s="1199"/>
      <c r="L145" s="1256"/>
      <c r="M145" s="1199"/>
      <c r="N145" s="3179"/>
    </row>
    <row r="146" spans="2:14" ht="15" customHeight="1">
      <c r="B146" s="2722"/>
      <c r="C146" s="3182"/>
      <c r="D146" s="3177"/>
      <c r="E146" s="1260" t="s">
        <v>224</v>
      </c>
      <c r="F146" s="1152">
        <v>3.6</v>
      </c>
      <c r="G146" s="1199">
        <f>IFERROR((F146-F145)/F145,0)</f>
        <v>0</v>
      </c>
      <c r="H146" s="1152"/>
      <c r="I146" s="1199"/>
      <c r="J146" s="1152"/>
      <c r="K146" s="1199"/>
      <c r="L146" s="1152"/>
      <c r="M146" s="1199"/>
      <c r="N146" s="3180"/>
    </row>
    <row r="147" spans="2:14" ht="15" customHeight="1">
      <c r="B147" s="2722"/>
      <c r="C147" s="3182"/>
      <c r="D147" s="3178" t="s">
        <v>1865</v>
      </c>
      <c r="E147" s="1261" t="s">
        <v>223</v>
      </c>
      <c r="F147" s="1168"/>
      <c r="G147" s="1257"/>
      <c r="H147" s="1168"/>
      <c r="I147" s="1257"/>
      <c r="J147" s="1168"/>
      <c r="K147" s="1257"/>
      <c r="L147" s="1168"/>
      <c r="M147" s="1257"/>
      <c r="N147" s="3179"/>
    </row>
    <row r="148" spans="2:14" ht="15" customHeight="1">
      <c r="B148" s="2722"/>
      <c r="C148" s="3182"/>
      <c r="D148" s="3178"/>
      <c r="E148" s="1260" t="s">
        <v>224</v>
      </c>
      <c r="F148" s="1095">
        <v>30</v>
      </c>
      <c r="G148" s="1199">
        <f>IFERROR((F148-F147)/F147,0)</f>
        <v>0</v>
      </c>
      <c r="H148" s="1095"/>
      <c r="I148" s="1199"/>
      <c r="J148" s="1095"/>
      <c r="K148" s="1199"/>
      <c r="L148" s="1095"/>
      <c r="M148" s="1199"/>
      <c r="N148" s="3180"/>
    </row>
    <row r="149" spans="2:14" ht="15" customHeight="1">
      <c r="B149" s="2722"/>
      <c r="C149" s="3182"/>
      <c r="D149" s="3178" t="s">
        <v>1866</v>
      </c>
      <c r="E149" s="1147" t="s">
        <v>223</v>
      </c>
      <c r="F149" s="1256"/>
      <c r="G149" s="1199"/>
      <c r="H149" s="1256"/>
      <c r="I149" s="1199"/>
      <c r="J149" s="1256"/>
      <c r="K149" s="1199"/>
      <c r="L149" s="1256"/>
      <c r="M149" s="1199"/>
      <c r="N149" s="3179"/>
    </row>
    <row r="150" spans="2:14" ht="15" customHeight="1">
      <c r="B150" s="2722"/>
      <c r="C150" s="3182"/>
      <c r="D150" s="3178"/>
      <c r="E150" s="1151" t="s">
        <v>224</v>
      </c>
      <c r="F150" s="1152">
        <v>25</v>
      </c>
      <c r="G150" s="1257">
        <f>IFERROR((F150-F149)/F149,0)</f>
        <v>0</v>
      </c>
      <c r="H150" s="1152"/>
      <c r="I150" s="1257"/>
      <c r="J150" s="1152"/>
      <c r="K150" s="1257"/>
      <c r="L150" s="1152"/>
      <c r="M150" s="1257"/>
      <c r="N150" s="3180"/>
    </row>
    <row r="151" spans="2:14" ht="15" customHeight="1">
      <c r="B151" s="2722"/>
      <c r="C151" s="3182"/>
      <c r="D151" s="3178" t="s">
        <v>1867</v>
      </c>
      <c r="E151" s="1147" t="s">
        <v>1868</v>
      </c>
      <c r="F151" s="1168"/>
      <c r="G151" s="1199"/>
      <c r="H151" s="1168"/>
      <c r="I151" s="1199"/>
      <c r="J151" s="1168"/>
      <c r="K151" s="1199"/>
      <c r="L151" s="1168"/>
      <c r="M151" s="1199"/>
      <c r="N151" s="3179"/>
    </row>
    <row r="152" spans="2:14" ht="15" customHeight="1">
      <c r="B152" s="2722"/>
      <c r="C152" s="3182"/>
      <c r="D152" s="3187"/>
      <c r="E152" s="1151" t="s">
        <v>1869</v>
      </c>
      <c r="F152" s="1095"/>
      <c r="G152" s="1199">
        <f>IFERROR((F152-F151)/F151,0)</f>
        <v>0</v>
      </c>
      <c r="H152" s="1095"/>
      <c r="I152" s="1199"/>
      <c r="J152" s="1095"/>
      <c r="K152" s="1199"/>
      <c r="L152" s="1095"/>
      <c r="M152" s="1199"/>
      <c r="N152" s="3180"/>
    </row>
    <row r="153" spans="2:14" ht="15" customHeight="1">
      <c r="B153" s="2722"/>
      <c r="C153" s="3182"/>
      <c r="D153" s="3177" t="s">
        <v>1870</v>
      </c>
      <c r="E153" s="1147" t="s">
        <v>1871</v>
      </c>
      <c r="F153" s="1256"/>
      <c r="G153" s="1257"/>
      <c r="H153" s="1256"/>
      <c r="I153" s="1257"/>
      <c r="J153" s="1256"/>
      <c r="K153" s="1257"/>
      <c r="L153" s="1256"/>
      <c r="M153" s="1257"/>
      <c r="N153" s="3179"/>
    </row>
    <row r="154" spans="2:14" ht="15" customHeight="1" thickBot="1">
      <c r="B154" s="2723"/>
      <c r="C154" s="3183"/>
      <c r="D154" s="3188"/>
      <c r="E154" s="1064" t="s">
        <v>1872</v>
      </c>
      <c r="F154" s="1015"/>
      <c r="G154" s="1016">
        <f>IFERROR((F154-F153)/F153,0)</f>
        <v>0</v>
      </c>
      <c r="H154" s="1015"/>
      <c r="I154" s="1016"/>
      <c r="J154" s="1015"/>
      <c r="K154" s="1016"/>
      <c r="L154" s="1015"/>
      <c r="M154" s="1016"/>
      <c r="N154" s="3189"/>
    </row>
    <row r="155" spans="2:14" ht="15" customHeight="1">
      <c r="B155" s="2721"/>
      <c r="C155" s="3181" t="s">
        <v>1677</v>
      </c>
      <c r="D155" s="3184" t="s">
        <v>66</v>
      </c>
      <c r="E155" s="145" t="s">
        <v>294</v>
      </c>
      <c r="F155" s="117">
        <f>Stoping!F95</f>
        <v>840</v>
      </c>
      <c r="G155" s="810"/>
      <c r="H155" s="117">
        <f>Tramming!F88</f>
        <v>630</v>
      </c>
      <c r="I155" s="810">
        <v>0</v>
      </c>
      <c r="J155" s="117">
        <f>H155</f>
        <v>630</v>
      </c>
      <c r="K155" s="810">
        <v>0</v>
      </c>
      <c r="L155" s="117">
        <v>0</v>
      </c>
      <c r="M155" s="810">
        <v>0</v>
      </c>
      <c r="N155" s="3192"/>
    </row>
    <row r="156" spans="2:14" ht="15" customHeight="1">
      <c r="B156" s="2722"/>
      <c r="C156" s="3182"/>
      <c r="D156" s="3178"/>
      <c r="E156" s="1151" t="s">
        <v>295</v>
      </c>
      <c r="F156" s="1095">
        <f>Stoping!F96</f>
        <v>1049</v>
      </c>
      <c r="G156" s="1199">
        <f>IFERROR((F156-F155)/F155,0)</f>
        <v>0.24880952380952381</v>
      </c>
      <c r="H156" s="1095">
        <f>Tramming!F89</f>
        <v>591</v>
      </c>
      <c r="I156" s="1199">
        <f>IFERROR((H156-H155)/H155,0)</f>
        <v>-6.1904761904761907E-2</v>
      </c>
      <c r="J156" s="1095">
        <f>H156</f>
        <v>591</v>
      </c>
      <c r="K156" s="1199">
        <v>70</v>
      </c>
      <c r="L156" s="1095">
        <v>93</v>
      </c>
      <c r="M156" s="1199">
        <v>54</v>
      </c>
      <c r="N156" s="3196"/>
    </row>
    <row r="157" spans="2:14" ht="15" customHeight="1">
      <c r="B157" s="2722"/>
      <c r="C157" s="3182"/>
      <c r="D157" s="3178" t="s">
        <v>68</v>
      </c>
      <c r="E157" s="1147" t="s">
        <v>296</v>
      </c>
      <c r="F157" s="1256">
        <f>Stoping!F98</f>
        <v>2.5420560747663545</v>
      </c>
      <c r="G157" s="1257"/>
      <c r="H157" s="1256">
        <f>Tramming!F91</f>
        <v>2.3831775700934577</v>
      </c>
      <c r="I157" s="1257">
        <v>0</v>
      </c>
      <c r="J157" s="1256">
        <f>H157</f>
        <v>2.3831775700934577</v>
      </c>
      <c r="K157" s="1257">
        <v>0</v>
      </c>
      <c r="L157" s="1256">
        <v>0</v>
      </c>
      <c r="M157" s="1257">
        <v>0</v>
      </c>
      <c r="N157" s="3198" t="s">
        <v>1880</v>
      </c>
    </row>
    <row r="158" spans="2:14" ht="15" customHeight="1">
      <c r="B158" s="2722"/>
      <c r="C158" s="3182"/>
      <c r="D158" s="3178"/>
      <c r="E158" s="1151" t="s">
        <v>297</v>
      </c>
      <c r="F158" s="1152">
        <f>Stoping!F99</f>
        <v>4.6257387988560543</v>
      </c>
      <c r="G158" s="1199">
        <f>IFERROR((F158-F157)/F157,0)</f>
        <v>0.81968401278528646</v>
      </c>
      <c r="H158" s="1152">
        <f>Tramming!F92</f>
        <v>3.4993908629441624</v>
      </c>
      <c r="I158" s="1199">
        <f>IFERROR((H158-H157)/H157,0)</f>
        <v>0.46837185229421729</v>
      </c>
      <c r="J158" s="1152">
        <f>H158</f>
        <v>3.4993908629441624</v>
      </c>
      <c r="K158" s="1199">
        <v>6</v>
      </c>
      <c r="L158" s="1152">
        <v>5.43</v>
      </c>
      <c r="M158" s="1199">
        <v>4.38</v>
      </c>
      <c r="N158" s="3191"/>
    </row>
    <row r="159" spans="2:14" ht="15" customHeight="1">
      <c r="B159" s="2722"/>
      <c r="C159" s="3182"/>
      <c r="D159" s="3178" t="s">
        <v>70</v>
      </c>
      <c r="E159" s="1147" t="s">
        <v>298</v>
      </c>
      <c r="F159" s="1198">
        <f>Stoping!F100</f>
        <v>2.1353271028037382</v>
      </c>
      <c r="G159" s="1199"/>
      <c r="H159" s="1198">
        <f>Tramming!F93</f>
        <v>1.5014018691588782</v>
      </c>
      <c r="I159" s="1199">
        <f>+I157*I155/1000</f>
        <v>0</v>
      </c>
      <c r="J159" s="1168">
        <f>+J157*J155/1000</f>
        <v>1.5014018691588782</v>
      </c>
      <c r="K159" s="1199">
        <f>+K157*K155/1000</f>
        <v>0</v>
      </c>
      <c r="L159" s="1168">
        <f>+L157*L155/1000</f>
        <v>0</v>
      </c>
      <c r="M159" s="1199">
        <f>+M157*M155/1000</f>
        <v>0</v>
      </c>
      <c r="N159" s="3179"/>
    </row>
    <row r="160" spans="2:14" ht="15" customHeight="1">
      <c r="B160" s="2722"/>
      <c r="C160" s="3182"/>
      <c r="D160" s="3178"/>
      <c r="E160" s="1260" t="s">
        <v>299</v>
      </c>
      <c r="F160" s="1103">
        <f>Stoping!F101</f>
        <v>4.8524000000000003</v>
      </c>
      <c r="G160" s="1199">
        <f>IFERROR((F160-F159)/F159,0)</f>
        <v>1.2724387254901963</v>
      </c>
      <c r="H160" s="1103">
        <f>Tramming!F94</f>
        <v>2.0681400000000001</v>
      </c>
      <c r="I160" s="1199">
        <f>IFERROR((H160-H159)/H159,0)</f>
        <v>0.37747264239028983</v>
      </c>
      <c r="J160" s="1095">
        <f>+J158*J156/1000</f>
        <v>2.0681400000000001</v>
      </c>
      <c r="K160" s="1257">
        <f>+K158*K156/1000</f>
        <v>0.42</v>
      </c>
      <c r="L160" s="1095">
        <f>+L158*L156/1000</f>
        <v>0.50498999999999994</v>
      </c>
      <c r="M160" s="1257">
        <f>+M158*M156/1000</f>
        <v>0.23651999999999998</v>
      </c>
      <c r="N160" s="3180"/>
    </row>
    <row r="161" spans="2:14" ht="15" customHeight="1">
      <c r="B161" s="2722"/>
      <c r="C161" s="3182"/>
      <c r="D161" s="3177" t="s">
        <v>1864</v>
      </c>
      <c r="E161" s="1261" t="s">
        <v>223</v>
      </c>
      <c r="F161" s="1256"/>
      <c r="G161" s="1199"/>
      <c r="H161" s="1256"/>
      <c r="I161" s="1199"/>
      <c r="J161" s="1256"/>
      <c r="K161" s="1199"/>
      <c r="L161" s="1256"/>
      <c r="M161" s="1199"/>
      <c r="N161" s="3179"/>
    </row>
    <row r="162" spans="2:14" ht="15" customHeight="1">
      <c r="B162" s="2722"/>
      <c r="C162" s="3182"/>
      <c r="D162" s="3177"/>
      <c r="E162" s="1260" t="s">
        <v>224</v>
      </c>
      <c r="F162" s="1152">
        <v>4</v>
      </c>
      <c r="G162" s="1199">
        <f>IFERROR((F162-F161)/F161,0)</f>
        <v>0</v>
      </c>
      <c r="H162" s="1152"/>
      <c r="I162" s="1199"/>
      <c r="J162" s="1152"/>
      <c r="K162" s="1199"/>
      <c r="L162" s="1152"/>
      <c r="M162" s="1199"/>
      <c r="N162" s="3180"/>
    </row>
    <row r="163" spans="2:14" ht="15" customHeight="1">
      <c r="B163" s="2722"/>
      <c r="C163" s="3182"/>
      <c r="D163" s="3178" t="s">
        <v>1865</v>
      </c>
      <c r="E163" s="1261" t="s">
        <v>223</v>
      </c>
      <c r="F163" s="1168"/>
      <c r="G163" s="1257"/>
      <c r="H163" s="1168"/>
      <c r="I163" s="1257"/>
      <c r="J163" s="1168"/>
      <c r="K163" s="1257"/>
      <c r="L163" s="1168"/>
      <c r="M163" s="1257"/>
      <c r="N163" s="3179"/>
    </row>
    <row r="164" spans="2:14" ht="15" customHeight="1">
      <c r="B164" s="2722"/>
      <c r="C164" s="3182"/>
      <c r="D164" s="3178"/>
      <c r="E164" s="1260" t="s">
        <v>224</v>
      </c>
      <c r="F164" s="1095">
        <v>40</v>
      </c>
      <c r="G164" s="1199">
        <f>IFERROR((F164-F163)/F163,0)</f>
        <v>0</v>
      </c>
      <c r="H164" s="1095"/>
      <c r="I164" s="1199"/>
      <c r="J164" s="1095"/>
      <c r="K164" s="1199"/>
      <c r="L164" s="1095"/>
      <c r="M164" s="1199"/>
      <c r="N164" s="3180"/>
    </row>
    <row r="165" spans="2:14" ht="15" customHeight="1">
      <c r="B165" s="2722"/>
      <c r="C165" s="3182"/>
      <c r="D165" s="3178" t="s">
        <v>1866</v>
      </c>
      <c r="E165" s="1147" t="s">
        <v>223</v>
      </c>
      <c r="F165" s="1256"/>
      <c r="G165" s="1199"/>
      <c r="H165" s="1256"/>
      <c r="I165" s="1199"/>
      <c r="J165" s="1256"/>
      <c r="K165" s="1199"/>
      <c r="L165" s="1256"/>
      <c r="M165" s="1199"/>
      <c r="N165" s="3179"/>
    </row>
    <row r="166" spans="2:14" ht="15" customHeight="1">
      <c r="B166" s="2722"/>
      <c r="C166" s="3182"/>
      <c r="D166" s="3178"/>
      <c r="E166" s="1151" t="s">
        <v>224</v>
      </c>
      <c r="F166" s="1152">
        <v>25</v>
      </c>
      <c r="G166" s="1257">
        <f>IFERROR((F166-F165)/F165,0)</f>
        <v>0</v>
      </c>
      <c r="H166" s="1152"/>
      <c r="I166" s="1257"/>
      <c r="J166" s="1152"/>
      <c r="K166" s="1257"/>
      <c r="L166" s="1152"/>
      <c r="M166" s="1257"/>
      <c r="N166" s="3180"/>
    </row>
    <row r="167" spans="2:14" ht="15" customHeight="1">
      <c r="B167" s="2722"/>
      <c r="C167" s="3182"/>
      <c r="D167" s="3178" t="s">
        <v>1867</v>
      </c>
      <c r="E167" s="1147" t="s">
        <v>1868</v>
      </c>
      <c r="F167" s="1168"/>
      <c r="G167" s="1199"/>
      <c r="H167" s="1168"/>
      <c r="I167" s="1199"/>
      <c r="J167" s="1168"/>
      <c r="K167" s="1199"/>
      <c r="L167" s="1168"/>
      <c r="M167" s="1199"/>
      <c r="N167" s="3179"/>
    </row>
    <row r="168" spans="2:14" ht="15" customHeight="1">
      <c r="B168" s="2722"/>
      <c r="C168" s="3182"/>
      <c r="D168" s="3187"/>
      <c r="E168" s="1151" t="s">
        <v>1869</v>
      </c>
      <c r="F168" s="1095"/>
      <c r="G168" s="1199">
        <f>IFERROR((F168-F167)/F167,0)</f>
        <v>0</v>
      </c>
      <c r="H168" s="1095"/>
      <c r="I168" s="1199"/>
      <c r="J168" s="1095"/>
      <c r="K168" s="1199"/>
      <c r="L168" s="1095"/>
      <c r="M168" s="1199"/>
      <c r="N168" s="3180"/>
    </row>
    <row r="169" spans="2:14" ht="15" customHeight="1">
      <c r="B169" s="2722"/>
      <c r="C169" s="3182"/>
      <c r="D169" s="3177" t="s">
        <v>1870</v>
      </c>
      <c r="E169" s="1147" t="s">
        <v>1871</v>
      </c>
      <c r="F169" s="1256"/>
      <c r="G169" s="1257"/>
      <c r="H169" s="1256"/>
      <c r="I169" s="1257"/>
      <c r="J169" s="1256"/>
      <c r="K169" s="1257"/>
      <c r="L169" s="1256"/>
      <c r="M169" s="1257"/>
      <c r="N169" s="3179"/>
    </row>
    <row r="170" spans="2:14" ht="15" customHeight="1" thickBot="1">
      <c r="B170" s="2723"/>
      <c r="C170" s="3183"/>
      <c r="D170" s="3188"/>
      <c r="E170" s="1064" t="s">
        <v>1872</v>
      </c>
      <c r="F170" s="1015"/>
      <c r="G170" s="1016">
        <f>IFERROR((F170-F169)/F169,0)</f>
        <v>0</v>
      </c>
      <c r="H170" s="1015"/>
      <c r="I170" s="1016"/>
      <c r="J170" s="1015"/>
      <c r="K170" s="1016"/>
      <c r="L170" s="1015"/>
      <c r="M170" s="1016"/>
      <c r="N170" s="3189"/>
    </row>
    <row r="171" spans="2:14" ht="15" customHeight="1">
      <c r="B171" s="2721"/>
      <c r="C171" s="3181" t="s">
        <v>1680</v>
      </c>
      <c r="D171" s="3184" t="s">
        <v>66</v>
      </c>
      <c r="E171" s="145" t="s">
        <v>294</v>
      </c>
      <c r="F171" s="117">
        <f>Stoping!F102</f>
        <v>630</v>
      </c>
      <c r="G171" s="810"/>
      <c r="H171" s="117">
        <f>Tramming!F95</f>
        <v>0</v>
      </c>
      <c r="I171" s="810">
        <v>0</v>
      </c>
      <c r="J171" s="117">
        <f>H171+'Stope History'!H96</f>
        <v>4760</v>
      </c>
      <c r="K171" s="810">
        <v>0</v>
      </c>
      <c r="L171" s="117">
        <v>0</v>
      </c>
      <c r="M171" s="810">
        <v>0</v>
      </c>
      <c r="N171" s="3192"/>
    </row>
    <row r="172" spans="2:14" ht="15" customHeight="1" thickBot="1">
      <c r="B172" s="2722"/>
      <c r="C172" s="3182"/>
      <c r="D172" s="3178"/>
      <c r="E172" s="1151" t="s">
        <v>295</v>
      </c>
      <c r="F172" s="1095">
        <f>Stoping!F103</f>
        <v>523</v>
      </c>
      <c r="G172" s="1199">
        <f>IFERROR((F172-F171)/F171,0)</f>
        <v>-0.16984126984126985</v>
      </c>
      <c r="H172" s="1095">
        <f>Tramming!F96</f>
        <v>0</v>
      </c>
      <c r="I172" s="1199">
        <f>IFERROR((H172-H171)/H171,0)</f>
        <v>0</v>
      </c>
      <c r="J172" s="1095">
        <f>H172+'Stope History'!I97</f>
        <v>1157</v>
      </c>
      <c r="K172" s="1199">
        <v>71</v>
      </c>
      <c r="L172" s="1095">
        <v>94</v>
      </c>
      <c r="M172" s="1199">
        <v>55</v>
      </c>
      <c r="N172" s="3193"/>
    </row>
    <row r="173" spans="2:14" ht="15" customHeight="1">
      <c r="B173" s="2722"/>
      <c r="C173" s="3182"/>
      <c r="D173" s="3178" t="s">
        <v>68</v>
      </c>
      <c r="E173" s="1147" t="s">
        <v>296</v>
      </c>
      <c r="F173" s="1256">
        <f>Stoping!F105</f>
        <v>2.3831775700934577</v>
      </c>
      <c r="G173" s="1257"/>
      <c r="H173" s="1256">
        <f>Tramming!F98</f>
        <v>0</v>
      </c>
      <c r="I173" s="1257">
        <v>0</v>
      </c>
      <c r="J173" s="1256">
        <f>(('Stope History'!H96*'Stope History'!H98)+(H171*H173))/J171</f>
        <v>2.2822058823529412</v>
      </c>
      <c r="K173" s="1257">
        <v>0</v>
      </c>
      <c r="L173" s="1256">
        <v>0</v>
      </c>
      <c r="M173" s="1185">
        <v>0</v>
      </c>
      <c r="N173" s="3199" t="s">
        <v>1881</v>
      </c>
    </row>
    <row r="174" spans="2:14" ht="15" customHeight="1" thickBot="1">
      <c r="B174" s="2722"/>
      <c r="C174" s="3182"/>
      <c r="D174" s="3178"/>
      <c r="E174" s="1151" t="s">
        <v>297</v>
      </c>
      <c r="F174" s="1152">
        <f>Stoping!F106</f>
        <v>3.4429254302103254</v>
      </c>
      <c r="G174" s="1199">
        <f>IFERROR((F174-F173)/F173,0)</f>
        <v>0.44467851385296026</v>
      </c>
      <c r="H174" s="1152">
        <f>Tramming!F99</f>
        <v>0</v>
      </c>
      <c r="I174" s="1199">
        <f>IFERROR((H174-H173)/H173,0)</f>
        <v>0</v>
      </c>
      <c r="J174" s="1152">
        <f>(('Stope History'!I97*'Stope History'!I99)+(H172*H174))/J172</f>
        <v>2.583517718236819</v>
      </c>
      <c r="K174" s="1199">
        <v>7</v>
      </c>
      <c r="L174" s="1152">
        <v>6.43</v>
      </c>
      <c r="M174" s="1099">
        <v>5.38</v>
      </c>
      <c r="N174" s="3200"/>
    </row>
    <row r="175" spans="2:14" ht="15" customHeight="1">
      <c r="B175" s="2722"/>
      <c r="C175" s="3182"/>
      <c r="D175" s="3178" t="s">
        <v>70</v>
      </c>
      <c r="E175" s="1147" t="s">
        <v>298</v>
      </c>
      <c r="F175" s="1198">
        <f>Stoping!F107</f>
        <v>1.5014018691588782</v>
      </c>
      <c r="G175" s="1199"/>
      <c r="H175" s="1198">
        <f>Tramming!F100</f>
        <v>0</v>
      </c>
      <c r="I175" s="1199">
        <f>+I173*I171/1000</f>
        <v>0</v>
      </c>
      <c r="J175" s="1168">
        <f>+J173*J171/1000</f>
        <v>10.863299999999999</v>
      </c>
      <c r="K175" s="1199">
        <f>+K173*K171/1000</f>
        <v>0</v>
      </c>
      <c r="L175" s="1168">
        <f>+L173*L171/1000</f>
        <v>0</v>
      </c>
      <c r="M175" s="1199">
        <f>+M173*M171/1000</f>
        <v>0</v>
      </c>
      <c r="N175" s="3195"/>
    </row>
    <row r="176" spans="2:14" ht="15" customHeight="1">
      <c r="B176" s="2722"/>
      <c r="C176" s="3182"/>
      <c r="D176" s="3178"/>
      <c r="E176" s="1260" t="s">
        <v>299</v>
      </c>
      <c r="F176" s="1103">
        <f>Stoping!F108</f>
        <v>1.8006500000000001</v>
      </c>
      <c r="G176" s="1257">
        <f>IFERROR((F176-F175)/F175,0)</f>
        <v>0.19931248054777498</v>
      </c>
      <c r="H176" s="1103">
        <f>Tramming!F101</f>
        <v>0</v>
      </c>
      <c r="I176" s="1199">
        <f>IFERROR((H176-H175)/H175,0)</f>
        <v>0</v>
      </c>
      <c r="J176" s="1095">
        <f>+J174*J172/1000</f>
        <v>2.9891299999999998</v>
      </c>
      <c r="K176" s="1257">
        <f>+K174*K172/1000</f>
        <v>0.497</v>
      </c>
      <c r="L176" s="1095">
        <f>+L174*L172/1000</f>
        <v>0.60441999999999996</v>
      </c>
      <c r="M176" s="1257">
        <f>+M174*M172/1000</f>
        <v>0.2959</v>
      </c>
      <c r="N176" s="3180"/>
    </row>
    <row r="177" spans="2:14" ht="15" customHeight="1">
      <c r="B177" s="2722"/>
      <c r="C177" s="3182"/>
      <c r="D177" s="3177" t="s">
        <v>1864</v>
      </c>
      <c r="E177" s="1261" t="s">
        <v>223</v>
      </c>
      <c r="F177" s="1256"/>
      <c r="G177" s="1199"/>
      <c r="H177" s="1256"/>
      <c r="I177" s="1199"/>
      <c r="J177" s="1256"/>
      <c r="K177" s="1199"/>
      <c r="L177" s="1256"/>
      <c r="M177" s="1199"/>
      <c r="N177" s="3179"/>
    </row>
    <row r="178" spans="2:14" ht="15" customHeight="1">
      <c r="B178" s="2722"/>
      <c r="C178" s="3182"/>
      <c r="D178" s="3177"/>
      <c r="E178" s="1260" t="s">
        <v>224</v>
      </c>
      <c r="F178" s="1152">
        <v>4.8</v>
      </c>
      <c r="G178" s="1199">
        <f>IFERROR((F178-F177)/F177,0)</f>
        <v>0</v>
      </c>
      <c r="H178" s="1152"/>
      <c r="I178" s="1199"/>
      <c r="J178" s="1152"/>
      <c r="K178" s="1199"/>
      <c r="L178" s="1152"/>
      <c r="M178" s="1199"/>
      <c r="N178" s="3180"/>
    </row>
    <row r="179" spans="2:14" ht="15" customHeight="1">
      <c r="B179" s="2722"/>
      <c r="C179" s="3182"/>
      <c r="D179" s="3178" t="s">
        <v>1865</v>
      </c>
      <c r="E179" s="1261" t="s">
        <v>223</v>
      </c>
      <c r="F179" s="1168"/>
      <c r="G179" s="1257"/>
      <c r="H179" s="1168"/>
      <c r="I179" s="1257"/>
      <c r="J179" s="1168"/>
      <c r="K179" s="1257"/>
      <c r="L179" s="1168"/>
      <c r="M179" s="1257"/>
      <c r="N179" s="3179"/>
    </row>
    <row r="180" spans="2:14" ht="15" customHeight="1">
      <c r="B180" s="2722"/>
      <c r="C180" s="3182"/>
      <c r="D180" s="3178"/>
      <c r="E180" s="1260" t="s">
        <v>224</v>
      </c>
      <c r="F180" s="1095">
        <v>30</v>
      </c>
      <c r="G180" s="1199">
        <f>IFERROR((F180-F179)/F179,0)</f>
        <v>0</v>
      </c>
      <c r="H180" s="1095"/>
      <c r="I180" s="1199"/>
      <c r="J180" s="1095"/>
      <c r="K180" s="1199"/>
      <c r="L180" s="1095"/>
      <c r="M180" s="1199"/>
      <c r="N180" s="3180"/>
    </row>
    <row r="181" spans="2:14" ht="15" customHeight="1">
      <c r="B181" s="2722"/>
      <c r="C181" s="3182"/>
      <c r="D181" s="3178" t="s">
        <v>1866</v>
      </c>
      <c r="E181" s="1147" t="s">
        <v>223</v>
      </c>
      <c r="F181" s="1256"/>
      <c r="G181" s="1199"/>
      <c r="H181" s="1256"/>
      <c r="I181" s="1199"/>
      <c r="J181" s="1256"/>
      <c r="K181" s="1199"/>
      <c r="L181" s="1256"/>
      <c r="M181" s="1199"/>
      <c r="N181" s="3179"/>
    </row>
    <row r="182" spans="2:14" ht="15" customHeight="1">
      <c r="B182" s="2722"/>
      <c r="C182" s="3182"/>
      <c r="D182" s="3178"/>
      <c r="E182" s="1151" t="s">
        <v>224</v>
      </c>
      <c r="F182" s="1152">
        <v>25</v>
      </c>
      <c r="G182" s="1257">
        <f>IFERROR((F182-F181)/F181,0)</f>
        <v>0</v>
      </c>
      <c r="H182" s="1152"/>
      <c r="I182" s="1257"/>
      <c r="J182" s="1152"/>
      <c r="K182" s="1257"/>
      <c r="L182" s="1152"/>
      <c r="M182" s="1257"/>
      <c r="N182" s="3180"/>
    </row>
    <row r="183" spans="2:14" ht="15" customHeight="1">
      <c r="B183" s="2722"/>
      <c r="C183" s="3182"/>
      <c r="D183" s="3178" t="s">
        <v>1867</v>
      </c>
      <c r="E183" s="1147" t="s">
        <v>1868</v>
      </c>
      <c r="F183" s="1168"/>
      <c r="G183" s="1199"/>
      <c r="H183" s="1168"/>
      <c r="I183" s="1199"/>
      <c r="J183" s="1168"/>
      <c r="K183" s="1199"/>
      <c r="L183" s="1168"/>
      <c r="M183" s="1199"/>
      <c r="N183" s="3179"/>
    </row>
    <row r="184" spans="2:14" ht="15" customHeight="1">
      <c r="B184" s="2722"/>
      <c r="C184" s="3182"/>
      <c r="D184" s="3187"/>
      <c r="E184" s="1151" t="s">
        <v>1869</v>
      </c>
      <c r="F184" s="1095"/>
      <c r="G184" s="1199">
        <f>IFERROR((F184-F183)/F183,0)</f>
        <v>0</v>
      </c>
      <c r="H184" s="1095"/>
      <c r="I184" s="1199"/>
      <c r="J184" s="1095"/>
      <c r="K184" s="1199"/>
      <c r="L184" s="1095"/>
      <c r="M184" s="1199"/>
      <c r="N184" s="3180"/>
    </row>
    <row r="185" spans="2:14" ht="15" customHeight="1">
      <c r="B185" s="2722"/>
      <c r="C185" s="3182"/>
      <c r="D185" s="3177" t="s">
        <v>1870</v>
      </c>
      <c r="E185" s="1147" t="s">
        <v>1871</v>
      </c>
      <c r="F185" s="1256"/>
      <c r="G185" s="1257"/>
      <c r="H185" s="1256"/>
      <c r="I185" s="1257"/>
      <c r="J185" s="1256"/>
      <c r="K185" s="1257"/>
      <c r="L185" s="1256"/>
      <c r="M185" s="1257"/>
      <c r="N185" s="3179"/>
    </row>
    <row r="186" spans="2:14" ht="15" customHeight="1" thickBot="1">
      <c r="B186" s="2723"/>
      <c r="C186" s="3183"/>
      <c r="D186" s="3188"/>
      <c r="E186" s="1064" t="s">
        <v>1872</v>
      </c>
      <c r="F186" s="1015"/>
      <c r="G186" s="1016">
        <f>IFERROR((F186-F185)/F185,0)</f>
        <v>0</v>
      </c>
      <c r="H186" s="1015"/>
      <c r="I186" s="1016"/>
      <c r="J186" s="1015"/>
      <c r="K186" s="1016"/>
      <c r="L186" s="1015"/>
      <c r="M186" s="1016"/>
      <c r="N186" s="3189"/>
    </row>
    <row r="187" spans="2:14" ht="15" customHeight="1">
      <c r="B187" s="2721"/>
      <c r="C187" s="3181" t="s">
        <v>1882</v>
      </c>
      <c r="D187" s="3184" t="s">
        <v>66</v>
      </c>
      <c r="E187" s="145" t="s">
        <v>294</v>
      </c>
      <c r="F187" s="117">
        <f>Stoping!F109</f>
        <v>0</v>
      </c>
      <c r="G187" s="810"/>
      <c r="H187" s="117">
        <f>Tramming!F102</f>
        <v>630</v>
      </c>
      <c r="I187" s="810">
        <v>0</v>
      </c>
      <c r="J187" s="117">
        <f>H187+'Stope History'!H102</f>
        <v>7070</v>
      </c>
      <c r="K187" s="810">
        <v>0</v>
      </c>
      <c r="L187" s="117">
        <v>0</v>
      </c>
      <c r="M187" s="810">
        <v>0</v>
      </c>
      <c r="N187" s="3192"/>
    </row>
    <row r="188" spans="2:14" ht="15" customHeight="1">
      <c r="B188" s="2722"/>
      <c r="C188" s="3182"/>
      <c r="D188" s="3178"/>
      <c r="E188" s="1151" t="s">
        <v>295</v>
      </c>
      <c r="F188" s="1095">
        <f>Stoping!F110</f>
        <v>0</v>
      </c>
      <c r="G188" s="1199">
        <f>IFERROR((F188-F187)/F187,0)</f>
        <v>0</v>
      </c>
      <c r="H188" s="1095">
        <f>Tramming!F103</f>
        <v>64.5</v>
      </c>
      <c r="I188" s="1199">
        <f>IFERROR((H188-H187)/H187,0)</f>
        <v>-0.89761904761904765</v>
      </c>
      <c r="J188" s="1095">
        <f>H188+'Stope History'!I103</f>
        <v>10041.6</v>
      </c>
      <c r="K188" s="1199">
        <v>71</v>
      </c>
      <c r="L188" s="1095">
        <v>94</v>
      </c>
      <c r="M188" s="1199">
        <v>55</v>
      </c>
      <c r="N188" s="3196"/>
    </row>
    <row r="189" spans="2:14" ht="15" customHeight="1">
      <c r="B189" s="2722"/>
      <c r="C189" s="3182"/>
      <c r="D189" s="3178" t="s">
        <v>68</v>
      </c>
      <c r="E189" s="1147" t="s">
        <v>296</v>
      </c>
      <c r="F189" s="1256">
        <f>Stoping!F112</f>
        <v>0</v>
      </c>
      <c r="G189" s="1257"/>
      <c r="H189" s="1256">
        <f>Tramming!F105</f>
        <v>2.7803738317757007</v>
      </c>
      <c r="I189" s="1257">
        <v>0</v>
      </c>
      <c r="J189" s="1256">
        <f>(('Stope History'!H102*'Stope History'!H104)+(H187*H189))/J187</f>
        <v>2.5217659850097163</v>
      </c>
      <c r="K189" s="1257">
        <v>0</v>
      </c>
      <c r="L189" s="1256">
        <v>0</v>
      </c>
      <c r="M189" s="1257">
        <v>0</v>
      </c>
      <c r="N189" s="3179"/>
    </row>
    <row r="190" spans="2:14" ht="15" customHeight="1">
      <c r="B190" s="2722"/>
      <c r="C190" s="3182"/>
      <c r="D190" s="3178"/>
      <c r="E190" s="1151" t="s">
        <v>297</v>
      </c>
      <c r="F190" s="1152">
        <f>Stoping!F113</f>
        <v>0</v>
      </c>
      <c r="G190" s="1199">
        <f>IFERROR((F190-F189)/F189,0)</f>
        <v>0</v>
      </c>
      <c r="H190" s="1152">
        <f>Tramming!F106</f>
        <v>0.80232558139534893</v>
      </c>
      <c r="I190" s="1199">
        <f>IFERROR((H190-H189)/H189,0)</f>
        <v>-0.7114324799687316</v>
      </c>
      <c r="J190" s="1152">
        <f>(('Stope History'!I103*'Stope History'!I105)+(H188*H190))/J188</f>
        <v>2.5984246534416826</v>
      </c>
      <c r="K190" s="1199">
        <v>7</v>
      </c>
      <c r="L190" s="1152">
        <v>6.43</v>
      </c>
      <c r="M190" s="1199">
        <v>5.38</v>
      </c>
      <c r="N190" s="3180"/>
    </row>
    <row r="191" spans="2:14" ht="15" customHeight="1">
      <c r="B191" s="2722"/>
      <c r="C191" s="3182"/>
      <c r="D191" s="3178" t="s">
        <v>70</v>
      </c>
      <c r="E191" s="1147" t="s">
        <v>298</v>
      </c>
      <c r="F191" s="1198">
        <f>Stoping!F114</f>
        <v>0</v>
      </c>
      <c r="G191" s="1199"/>
      <c r="H191" s="1198">
        <f>Tramming!F107</f>
        <v>1.7516355140186914</v>
      </c>
      <c r="I191" s="1199">
        <f>+I189*I187/1000</f>
        <v>0</v>
      </c>
      <c r="J191" s="1168">
        <f>+J189*J187/1000</f>
        <v>17.828885514018694</v>
      </c>
      <c r="K191" s="1199">
        <f>+K189*K187/1000</f>
        <v>0</v>
      </c>
      <c r="L191" s="1168">
        <f>+L189*L187/1000</f>
        <v>0</v>
      </c>
      <c r="M191" s="1199">
        <f>+M189*M187/1000</f>
        <v>0</v>
      </c>
      <c r="N191" s="3179"/>
    </row>
    <row r="192" spans="2:14" ht="15" customHeight="1">
      <c r="B192" s="2722"/>
      <c r="C192" s="3182"/>
      <c r="D192" s="3178"/>
      <c r="E192" s="1260" t="s">
        <v>299</v>
      </c>
      <c r="F192" s="1103">
        <f>Stoping!F115</f>
        <v>0</v>
      </c>
      <c r="G192" s="1257">
        <f>IFERROR((F192-F191)/F191,0)</f>
        <v>0</v>
      </c>
      <c r="H192" s="1103">
        <f>Tramming!F108</f>
        <v>5.1750000000000004E-2</v>
      </c>
      <c r="I192" s="1199">
        <f>IFERROR((H192-H191)/H191,0)</f>
        <v>-0.97045618247298926</v>
      </c>
      <c r="J192" s="1095">
        <f>+J190*J188/1000</f>
        <v>26.092341000000001</v>
      </c>
      <c r="K192" s="1257">
        <f>+K190*K188/1000</f>
        <v>0.497</v>
      </c>
      <c r="L192" s="1095">
        <f>+L190*L188/1000</f>
        <v>0.60441999999999996</v>
      </c>
      <c r="M192" s="1257">
        <f>+M190*M188/1000</f>
        <v>0.2959</v>
      </c>
      <c r="N192" s="3180"/>
    </row>
    <row r="193" spans="2:14" ht="15" customHeight="1">
      <c r="B193" s="2722"/>
      <c r="C193" s="3182"/>
      <c r="D193" s="3177" t="s">
        <v>1864</v>
      </c>
      <c r="E193" s="1261" t="s">
        <v>223</v>
      </c>
      <c r="F193" s="1256"/>
      <c r="G193" s="1199"/>
      <c r="H193" s="1256"/>
      <c r="I193" s="1199"/>
      <c r="J193" s="1256"/>
      <c r="K193" s="1199"/>
      <c r="L193" s="1256"/>
      <c r="M193" s="1199"/>
      <c r="N193" s="3179"/>
    </row>
    <row r="194" spans="2:14" ht="15" customHeight="1">
      <c r="B194" s="2722"/>
      <c r="C194" s="3182"/>
      <c r="D194" s="3177"/>
      <c r="E194" s="1260" t="s">
        <v>224</v>
      </c>
      <c r="F194" s="1152">
        <v>4.8</v>
      </c>
      <c r="G194" s="1199">
        <f>IFERROR((F194-F193)/F193,0)</f>
        <v>0</v>
      </c>
      <c r="H194" s="1152"/>
      <c r="I194" s="1199"/>
      <c r="J194" s="1152"/>
      <c r="K194" s="1199"/>
      <c r="L194" s="1152"/>
      <c r="M194" s="1199"/>
      <c r="N194" s="3180"/>
    </row>
    <row r="195" spans="2:14" ht="15" customHeight="1">
      <c r="B195" s="2722"/>
      <c r="C195" s="3182"/>
      <c r="D195" s="3178" t="s">
        <v>1865</v>
      </c>
      <c r="E195" s="1261" t="s">
        <v>223</v>
      </c>
      <c r="F195" s="1168"/>
      <c r="G195" s="1257"/>
      <c r="H195" s="1168"/>
      <c r="I195" s="1257"/>
      <c r="J195" s="1168"/>
      <c r="K195" s="1257"/>
      <c r="L195" s="1168"/>
      <c r="M195" s="1257"/>
      <c r="N195" s="3179"/>
    </row>
    <row r="196" spans="2:14" ht="15" customHeight="1">
      <c r="B196" s="2722"/>
      <c r="C196" s="3182"/>
      <c r="D196" s="3178"/>
      <c r="E196" s="1260" t="s">
        <v>224</v>
      </c>
      <c r="F196" s="1095">
        <v>25</v>
      </c>
      <c r="G196" s="1199">
        <f>IFERROR((F196-F195)/F195,0)</f>
        <v>0</v>
      </c>
      <c r="H196" s="1095"/>
      <c r="I196" s="1199"/>
      <c r="J196" s="1095"/>
      <c r="K196" s="1199"/>
      <c r="L196" s="1095"/>
      <c r="M196" s="1199"/>
      <c r="N196" s="3180"/>
    </row>
    <row r="197" spans="2:14" ht="15" customHeight="1">
      <c r="B197" s="2722"/>
      <c r="C197" s="3182"/>
      <c r="D197" s="3178" t="s">
        <v>1866</v>
      </c>
      <c r="E197" s="1147" t="s">
        <v>223</v>
      </c>
      <c r="F197" s="1256"/>
      <c r="G197" s="1199"/>
      <c r="H197" s="1256"/>
      <c r="I197" s="1199"/>
      <c r="J197" s="1256"/>
      <c r="K197" s="1199"/>
      <c r="L197" s="1256"/>
      <c r="M197" s="1199"/>
      <c r="N197" s="3179"/>
    </row>
    <row r="198" spans="2:14" ht="15" customHeight="1">
      <c r="B198" s="2722"/>
      <c r="C198" s="3182"/>
      <c r="D198" s="3178"/>
      <c r="E198" s="1151" t="s">
        <v>224</v>
      </c>
      <c r="F198" s="1152">
        <v>18</v>
      </c>
      <c r="G198" s="1257">
        <f>IFERROR((F198-F197)/F197,0)</f>
        <v>0</v>
      </c>
      <c r="H198" s="1152"/>
      <c r="I198" s="1257"/>
      <c r="J198" s="1152"/>
      <c r="K198" s="1257"/>
      <c r="L198" s="1152"/>
      <c r="M198" s="1257"/>
      <c r="N198" s="3180"/>
    </row>
    <row r="199" spans="2:14" ht="15" customHeight="1">
      <c r="B199" s="2722"/>
      <c r="C199" s="3182"/>
      <c r="D199" s="3178" t="s">
        <v>1867</v>
      </c>
      <c r="E199" s="1147" t="s">
        <v>1868</v>
      </c>
      <c r="F199" s="1168"/>
      <c r="G199" s="1199"/>
      <c r="H199" s="1168"/>
      <c r="I199" s="1199"/>
      <c r="J199" s="1168"/>
      <c r="K199" s="1199"/>
      <c r="L199" s="1168"/>
      <c r="M199" s="1199"/>
      <c r="N199" s="3179"/>
    </row>
    <row r="200" spans="2:14" ht="15" customHeight="1">
      <c r="B200" s="2722"/>
      <c r="C200" s="3182"/>
      <c r="D200" s="3187"/>
      <c r="E200" s="1151" t="s">
        <v>1869</v>
      </c>
      <c r="F200" s="1095"/>
      <c r="G200" s="1199">
        <f>IFERROR((F200-F199)/F199,0)</f>
        <v>0</v>
      </c>
      <c r="H200" s="1095"/>
      <c r="I200" s="1199"/>
      <c r="J200" s="1095"/>
      <c r="K200" s="1199"/>
      <c r="L200" s="1095"/>
      <c r="M200" s="1199"/>
      <c r="N200" s="3180"/>
    </row>
    <row r="201" spans="2:14" ht="15" customHeight="1">
      <c r="B201" s="2722"/>
      <c r="C201" s="3182"/>
      <c r="D201" s="3177" t="s">
        <v>1870</v>
      </c>
      <c r="E201" s="1147" t="s">
        <v>1871</v>
      </c>
      <c r="F201" s="1256"/>
      <c r="G201" s="1257"/>
      <c r="H201" s="1256"/>
      <c r="I201" s="1257"/>
      <c r="J201" s="1256"/>
      <c r="K201" s="1257"/>
      <c r="L201" s="1256"/>
      <c r="M201" s="1257"/>
      <c r="N201" s="3179"/>
    </row>
    <row r="202" spans="2:14" ht="15" customHeight="1" thickBot="1">
      <c r="B202" s="2723"/>
      <c r="C202" s="3183"/>
      <c r="D202" s="3188"/>
      <c r="E202" s="1064" t="s">
        <v>1872</v>
      </c>
      <c r="F202" s="1015"/>
      <c r="G202" s="1016">
        <f>IFERROR((F202-F201)/F201,0)</f>
        <v>0</v>
      </c>
      <c r="H202" s="1015"/>
      <c r="I202" s="1016"/>
      <c r="J202" s="1015"/>
      <c r="K202" s="1016"/>
      <c r="L202" s="1015"/>
      <c r="M202" s="1016"/>
      <c r="N202" s="3189"/>
    </row>
    <row r="203" spans="2:14" ht="15" customHeight="1">
      <c r="B203" s="2721"/>
      <c r="C203" s="3181" t="s">
        <v>1883</v>
      </c>
      <c r="D203" s="3184" t="s">
        <v>66</v>
      </c>
      <c r="E203" s="145" t="s">
        <v>294</v>
      </c>
      <c r="F203" s="117">
        <f>Stoping!F116</f>
        <v>630</v>
      </c>
      <c r="G203" s="810"/>
      <c r="H203" s="117">
        <f>Tramming!F109</f>
        <v>210</v>
      </c>
      <c r="I203" s="810">
        <v>0</v>
      </c>
      <c r="J203" s="117">
        <f>H203+'Stope History'!H108</f>
        <v>1190</v>
      </c>
      <c r="K203" s="810">
        <v>0</v>
      </c>
      <c r="L203" s="117">
        <v>0</v>
      </c>
      <c r="M203" s="810">
        <v>0</v>
      </c>
      <c r="N203" s="3201" t="s">
        <v>1884</v>
      </c>
    </row>
    <row r="204" spans="2:14" ht="15" customHeight="1">
      <c r="B204" s="2722"/>
      <c r="C204" s="3182"/>
      <c r="D204" s="3178"/>
      <c r="E204" s="1151" t="s">
        <v>295</v>
      </c>
      <c r="F204" s="1095">
        <f>Stoping!F117</f>
        <v>527</v>
      </c>
      <c r="G204" s="1199">
        <f>IFERROR((F204-F203)/F203,0)</f>
        <v>-0.16349206349206349</v>
      </c>
      <c r="H204" s="1095">
        <f>Tramming!F110</f>
        <v>0</v>
      </c>
      <c r="I204" s="1199">
        <f>IFERROR((H204-H203)/H203,0)</f>
        <v>-1</v>
      </c>
      <c r="J204" s="1095">
        <f>H204+'Stope History'!I109</f>
        <v>660</v>
      </c>
      <c r="K204" s="1199">
        <v>72</v>
      </c>
      <c r="L204" s="1095">
        <v>95</v>
      </c>
      <c r="M204" s="1199">
        <v>56</v>
      </c>
      <c r="N204" s="3202"/>
    </row>
    <row r="205" spans="2:14" ht="15" customHeight="1">
      <c r="B205" s="2722"/>
      <c r="C205" s="3182"/>
      <c r="D205" s="3178" t="s">
        <v>68</v>
      </c>
      <c r="E205" s="1147" t="s">
        <v>296</v>
      </c>
      <c r="F205" s="1256">
        <f>Stoping!F119</f>
        <v>2.7803738317757007</v>
      </c>
      <c r="G205" s="1257"/>
      <c r="H205" s="1256">
        <f>Tramming!F112</f>
        <v>1.9859813084112146</v>
      </c>
      <c r="I205" s="1257">
        <v>0</v>
      </c>
      <c r="J205" s="1256">
        <f>(('Stope History'!H108*'Stope History'!H110)+(H203*H205))/J203</f>
        <v>2.6151731720725664</v>
      </c>
      <c r="K205" s="1257">
        <v>0</v>
      </c>
      <c r="L205" s="1256">
        <v>0</v>
      </c>
      <c r="M205" s="1257">
        <v>0</v>
      </c>
      <c r="N205" s="3179"/>
    </row>
    <row r="206" spans="2:14" ht="15" customHeight="1">
      <c r="B206" s="2722"/>
      <c r="C206" s="3182"/>
      <c r="D206" s="3178"/>
      <c r="E206" s="1151" t="s">
        <v>297</v>
      </c>
      <c r="F206" s="1152">
        <f>Stoping!F120</f>
        <v>1.6287286527514231</v>
      </c>
      <c r="G206" s="1199">
        <f>IFERROR((F206-F205)/F205,0)</f>
        <v>-0.41420515682553855</v>
      </c>
      <c r="H206" s="1152">
        <f>Tramming!F113</f>
        <v>0</v>
      </c>
      <c r="I206" s="1199">
        <v>7.6</v>
      </c>
      <c r="J206" s="1152">
        <f>(('Stope History'!I109*'Stope History'!I111)+(H204*H206))/J204</f>
        <v>1.24719696969697</v>
      </c>
      <c r="K206" s="1199">
        <v>8</v>
      </c>
      <c r="L206" s="1152">
        <v>7.43</v>
      </c>
      <c r="M206" s="1199">
        <v>6.38</v>
      </c>
      <c r="N206" s="3180"/>
    </row>
    <row r="207" spans="2:14" ht="15" customHeight="1">
      <c r="B207" s="2722"/>
      <c r="C207" s="3182"/>
      <c r="D207" s="3178" t="s">
        <v>70</v>
      </c>
      <c r="E207" s="1147" t="s">
        <v>298</v>
      </c>
      <c r="F207" s="1198">
        <f>Stoping!F121</f>
        <v>1.7516355140186914</v>
      </c>
      <c r="G207" s="1199"/>
      <c r="H207" s="1198">
        <f>Tramming!F114</f>
        <v>0.41705607476635503</v>
      </c>
      <c r="I207" s="1199">
        <f>IFERROR((H207-H206)/H206,0)</f>
        <v>0</v>
      </c>
      <c r="J207" s="1168">
        <f t="shared" ref="J207:M208" si="1">+J205*J203/1000</f>
        <v>3.1120560747663539</v>
      </c>
      <c r="K207" s="1199">
        <f t="shared" si="1"/>
        <v>0</v>
      </c>
      <c r="L207" s="1168">
        <f t="shared" si="1"/>
        <v>0</v>
      </c>
      <c r="M207" s="1199">
        <f t="shared" si="1"/>
        <v>0</v>
      </c>
      <c r="N207" s="3179"/>
    </row>
    <row r="208" spans="2:14" ht="15" customHeight="1">
      <c r="B208" s="2722"/>
      <c r="C208" s="3182"/>
      <c r="D208" s="3178"/>
      <c r="E208" s="1260" t="s">
        <v>299</v>
      </c>
      <c r="F208" s="1103">
        <f>Stoping!F122</f>
        <v>0.85833999999999988</v>
      </c>
      <c r="G208" s="1257">
        <f>IFERROR((F208-F207)/F207,0)</f>
        <v>-0.50997796451914101</v>
      </c>
      <c r="H208" s="1103">
        <f>Tramming!F115</f>
        <v>0</v>
      </c>
      <c r="I208" s="1199">
        <f>IFERROR((H208-H207)/H207,0)</f>
        <v>-1</v>
      </c>
      <c r="J208" s="1095">
        <f t="shared" si="1"/>
        <v>0.82315000000000016</v>
      </c>
      <c r="K208" s="1257">
        <f t="shared" si="1"/>
        <v>0.57599999999999996</v>
      </c>
      <c r="L208" s="1095">
        <f t="shared" si="1"/>
        <v>0.70584999999999998</v>
      </c>
      <c r="M208" s="1257">
        <f t="shared" si="1"/>
        <v>0.35727999999999999</v>
      </c>
      <c r="N208" s="3180"/>
    </row>
    <row r="209" spans="2:14" ht="15" customHeight="1">
      <c r="B209" s="2722"/>
      <c r="C209" s="3182"/>
      <c r="D209" s="3177" t="s">
        <v>1864</v>
      </c>
      <c r="E209" s="1261" t="s">
        <v>223</v>
      </c>
      <c r="F209" s="1256"/>
      <c r="G209" s="1199"/>
      <c r="H209" s="1256"/>
      <c r="I209" s="1199"/>
      <c r="J209" s="1256"/>
      <c r="K209" s="1199"/>
      <c r="L209" s="1256"/>
      <c r="M209" s="1199"/>
      <c r="N209" s="3179"/>
    </row>
    <row r="210" spans="2:14" ht="15" customHeight="1">
      <c r="B210" s="2722"/>
      <c r="C210" s="3182"/>
      <c r="D210" s="3177"/>
      <c r="E210" s="1260" t="s">
        <v>224</v>
      </c>
      <c r="F210" s="1152">
        <v>4.2</v>
      </c>
      <c r="G210" s="1199">
        <f>IFERROR((F210-F209)/F209,0)</f>
        <v>0</v>
      </c>
      <c r="H210" s="1152"/>
      <c r="I210" s="1199"/>
      <c r="J210" s="1152"/>
      <c r="K210" s="1199"/>
      <c r="L210" s="1152"/>
      <c r="M210" s="1199"/>
      <c r="N210" s="3180"/>
    </row>
    <row r="211" spans="2:14" ht="15" customHeight="1">
      <c r="B211" s="2722"/>
      <c r="C211" s="3182"/>
      <c r="D211" s="3178" t="s">
        <v>1865</v>
      </c>
      <c r="E211" s="1261" t="s">
        <v>223</v>
      </c>
      <c r="F211" s="1168"/>
      <c r="G211" s="1257"/>
      <c r="H211" s="1168"/>
      <c r="I211" s="1257"/>
      <c r="J211" s="1168"/>
      <c r="K211" s="1257"/>
      <c r="L211" s="1168"/>
      <c r="M211" s="1257"/>
      <c r="N211" s="3179"/>
    </row>
    <row r="212" spans="2:14" ht="15" customHeight="1">
      <c r="B212" s="2722"/>
      <c r="C212" s="3182"/>
      <c r="D212" s="3178"/>
      <c r="E212" s="1260" t="s">
        <v>224</v>
      </c>
      <c r="F212" s="1095">
        <v>15</v>
      </c>
      <c r="G212" s="1199">
        <f>IFERROR((F212-F211)/F211,0)</f>
        <v>0</v>
      </c>
      <c r="H212" s="1095"/>
      <c r="I212" s="1199"/>
      <c r="J212" s="1095"/>
      <c r="K212" s="1199"/>
      <c r="L212" s="1095"/>
      <c r="M212" s="1199"/>
      <c r="N212" s="3180"/>
    </row>
    <row r="213" spans="2:14" ht="15" customHeight="1">
      <c r="B213" s="2722"/>
      <c r="C213" s="3182"/>
      <c r="D213" s="3178" t="s">
        <v>1866</v>
      </c>
      <c r="E213" s="1147" t="s">
        <v>223</v>
      </c>
      <c r="F213" s="1256"/>
      <c r="G213" s="1199"/>
      <c r="H213" s="1256"/>
      <c r="I213" s="1199"/>
      <c r="J213" s="1256"/>
      <c r="K213" s="1199"/>
      <c r="L213" s="1256"/>
      <c r="M213" s="1199"/>
      <c r="N213" s="3179"/>
    </row>
    <row r="214" spans="2:14" ht="15" customHeight="1">
      <c r="B214" s="2722"/>
      <c r="C214" s="3182"/>
      <c r="D214" s="3178"/>
      <c r="E214" s="1151" t="s">
        <v>224</v>
      </c>
      <c r="F214" s="1152">
        <v>25</v>
      </c>
      <c r="G214" s="1257">
        <f>IFERROR((F214-F213)/F213,0)</f>
        <v>0</v>
      </c>
      <c r="H214" s="1152"/>
      <c r="I214" s="1257"/>
      <c r="J214" s="1152"/>
      <c r="K214" s="1257"/>
      <c r="L214" s="1152"/>
      <c r="M214" s="1257"/>
      <c r="N214" s="3180"/>
    </row>
    <row r="215" spans="2:14" ht="15" customHeight="1">
      <c r="B215" s="2722"/>
      <c r="C215" s="3182"/>
      <c r="D215" s="3178" t="s">
        <v>1867</v>
      </c>
      <c r="E215" s="1147" t="s">
        <v>1868</v>
      </c>
      <c r="F215" s="1168"/>
      <c r="G215" s="1199"/>
      <c r="H215" s="1168"/>
      <c r="I215" s="1199"/>
      <c r="J215" s="1168"/>
      <c r="K215" s="1199"/>
      <c r="L215" s="1168"/>
      <c r="M215" s="1199"/>
      <c r="N215" s="3179"/>
    </row>
    <row r="216" spans="2:14" ht="15" customHeight="1">
      <c r="B216" s="2722"/>
      <c r="C216" s="3182"/>
      <c r="D216" s="3187"/>
      <c r="E216" s="1151" t="s">
        <v>1869</v>
      </c>
      <c r="F216" s="1095"/>
      <c r="G216" s="1199">
        <f>IFERROR((F216-F215)/F215,0)</f>
        <v>0</v>
      </c>
      <c r="H216" s="1095"/>
      <c r="I216" s="1199"/>
      <c r="J216" s="1095"/>
      <c r="K216" s="1199"/>
      <c r="L216" s="1095"/>
      <c r="M216" s="1199"/>
      <c r="N216" s="3180"/>
    </row>
    <row r="217" spans="2:14" ht="15" customHeight="1">
      <c r="B217" s="2722"/>
      <c r="C217" s="3182"/>
      <c r="D217" s="3177" t="s">
        <v>1870</v>
      </c>
      <c r="E217" s="1147" t="s">
        <v>1871</v>
      </c>
      <c r="F217" s="1256"/>
      <c r="G217" s="1257"/>
      <c r="H217" s="1256"/>
      <c r="I217" s="1257"/>
      <c r="J217" s="1256"/>
      <c r="K217" s="1257"/>
      <c r="L217" s="1256"/>
      <c r="M217" s="1257"/>
      <c r="N217" s="3179"/>
    </row>
    <row r="218" spans="2:14" ht="15" customHeight="1" thickBot="1">
      <c r="B218" s="2723"/>
      <c r="C218" s="3183"/>
      <c r="D218" s="3188"/>
      <c r="E218" s="1064" t="s">
        <v>1872</v>
      </c>
      <c r="F218" s="1015"/>
      <c r="G218" s="1016">
        <f>IFERROR((F218-F217)/F217,0)</f>
        <v>0</v>
      </c>
      <c r="H218" s="1015"/>
      <c r="I218" s="1016"/>
      <c r="J218" s="1015"/>
      <c r="K218" s="1016"/>
      <c r="L218" s="1015"/>
      <c r="M218" s="1016"/>
      <c r="N218" s="3189"/>
    </row>
  </sheetData>
  <mergeCells count="240">
    <mergeCell ref="B203:B218"/>
    <mergeCell ref="C203:C218"/>
    <mergeCell ref="D203:D204"/>
    <mergeCell ref="N203:N204"/>
    <mergeCell ref="D205:D206"/>
    <mergeCell ref="N205:N206"/>
    <mergeCell ref="D207:D208"/>
    <mergeCell ref="N207:N208"/>
    <mergeCell ref="D215:D216"/>
    <mergeCell ref="N215:N216"/>
    <mergeCell ref="D217:D218"/>
    <mergeCell ref="N217:N218"/>
    <mergeCell ref="D209:D210"/>
    <mergeCell ref="N209:N210"/>
    <mergeCell ref="D211:D212"/>
    <mergeCell ref="N211:N212"/>
    <mergeCell ref="D213:D214"/>
    <mergeCell ref="N213:N214"/>
    <mergeCell ref="D195:D196"/>
    <mergeCell ref="N195:N196"/>
    <mergeCell ref="D197:D198"/>
    <mergeCell ref="N197:N198"/>
    <mergeCell ref="D199:D200"/>
    <mergeCell ref="N199:N200"/>
    <mergeCell ref="B187:B202"/>
    <mergeCell ref="C187:C202"/>
    <mergeCell ref="D187:D188"/>
    <mergeCell ref="N187:N188"/>
    <mergeCell ref="D189:D190"/>
    <mergeCell ref="N189:N190"/>
    <mergeCell ref="D191:D192"/>
    <mergeCell ref="N191:N192"/>
    <mergeCell ref="D193:D194"/>
    <mergeCell ref="N193:N194"/>
    <mergeCell ref="D201:D202"/>
    <mergeCell ref="N201:N202"/>
    <mergeCell ref="B171:B186"/>
    <mergeCell ref="C171:C186"/>
    <mergeCell ref="D171:D172"/>
    <mergeCell ref="N171:N172"/>
    <mergeCell ref="D173:D174"/>
    <mergeCell ref="N173:N174"/>
    <mergeCell ref="D181:D182"/>
    <mergeCell ref="N181:N182"/>
    <mergeCell ref="D183:D184"/>
    <mergeCell ref="N183:N184"/>
    <mergeCell ref="D185:D186"/>
    <mergeCell ref="N185:N186"/>
    <mergeCell ref="D175:D176"/>
    <mergeCell ref="N175:N176"/>
    <mergeCell ref="D177:D178"/>
    <mergeCell ref="N177:N178"/>
    <mergeCell ref="D179:D180"/>
    <mergeCell ref="N179:N180"/>
    <mergeCell ref="D161:D162"/>
    <mergeCell ref="N161:N162"/>
    <mergeCell ref="D163:D164"/>
    <mergeCell ref="N163:N164"/>
    <mergeCell ref="D165:D166"/>
    <mergeCell ref="N165:N166"/>
    <mergeCell ref="D153:D154"/>
    <mergeCell ref="N153:N154"/>
    <mergeCell ref="B155:B170"/>
    <mergeCell ref="C155:C170"/>
    <mergeCell ref="D155:D156"/>
    <mergeCell ref="N155:N156"/>
    <mergeCell ref="D157:D158"/>
    <mergeCell ref="N157:N158"/>
    <mergeCell ref="D159:D160"/>
    <mergeCell ref="N159:N160"/>
    <mergeCell ref="D167:D168"/>
    <mergeCell ref="N167:N168"/>
    <mergeCell ref="D169:D170"/>
    <mergeCell ref="N169:N170"/>
    <mergeCell ref="D147:D148"/>
    <mergeCell ref="N147:N148"/>
    <mergeCell ref="D149:D150"/>
    <mergeCell ref="N149:N150"/>
    <mergeCell ref="D151:D152"/>
    <mergeCell ref="N151:N152"/>
    <mergeCell ref="B139:B154"/>
    <mergeCell ref="C139:C154"/>
    <mergeCell ref="D139:D140"/>
    <mergeCell ref="N139:N140"/>
    <mergeCell ref="D141:D142"/>
    <mergeCell ref="N141:N142"/>
    <mergeCell ref="D143:D144"/>
    <mergeCell ref="N143:N144"/>
    <mergeCell ref="D145:D146"/>
    <mergeCell ref="N145:N146"/>
    <mergeCell ref="B123:B138"/>
    <mergeCell ref="C123:C138"/>
    <mergeCell ref="D123:D124"/>
    <mergeCell ref="N123:N124"/>
    <mergeCell ref="D125:D126"/>
    <mergeCell ref="N125:N126"/>
    <mergeCell ref="D133:D134"/>
    <mergeCell ref="N133:N134"/>
    <mergeCell ref="D135:D136"/>
    <mergeCell ref="N135:N136"/>
    <mergeCell ref="D137:D138"/>
    <mergeCell ref="N137:N138"/>
    <mergeCell ref="D127:D128"/>
    <mergeCell ref="N127:N128"/>
    <mergeCell ref="D129:D130"/>
    <mergeCell ref="N129:N130"/>
    <mergeCell ref="D131:D132"/>
    <mergeCell ref="N131:N132"/>
    <mergeCell ref="D113:D114"/>
    <mergeCell ref="N113:N114"/>
    <mergeCell ref="D115:D116"/>
    <mergeCell ref="N115:N116"/>
    <mergeCell ref="D117:D118"/>
    <mergeCell ref="N117:N118"/>
    <mergeCell ref="D105:D106"/>
    <mergeCell ref="N105:N106"/>
    <mergeCell ref="B107:B122"/>
    <mergeCell ref="C107:C122"/>
    <mergeCell ref="D107:D108"/>
    <mergeCell ref="N107:N108"/>
    <mergeCell ref="D109:D110"/>
    <mergeCell ref="N109:N110"/>
    <mergeCell ref="D111:D112"/>
    <mergeCell ref="N111:N112"/>
    <mergeCell ref="D119:D120"/>
    <mergeCell ref="N119:N120"/>
    <mergeCell ref="D121:D122"/>
    <mergeCell ref="N121:N122"/>
    <mergeCell ref="D99:D100"/>
    <mergeCell ref="N99:N100"/>
    <mergeCell ref="D101:D102"/>
    <mergeCell ref="N101:N102"/>
    <mergeCell ref="D103:D104"/>
    <mergeCell ref="N103:N104"/>
    <mergeCell ref="B91:B106"/>
    <mergeCell ref="C91:C106"/>
    <mergeCell ref="D91:D92"/>
    <mergeCell ref="N91:N92"/>
    <mergeCell ref="D93:D94"/>
    <mergeCell ref="N93:N94"/>
    <mergeCell ref="D95:D96"/>
    <mergeCell ref="N95:N96"/>
    <mergeCell ref="D97:D98"/>
    <mergeCell ref="N97:N98"/>
    <mergeCell ref="B75:B90"/>
    <mergeCell ref="C75:C90"/>
    <mergeCell ref="D75:D76"/>
    <mergeCell ref="N75:N76"/>
    <mergeCell ref="D77:D78"/>
    <mergeCell ref="N77:N78"/>
    <mergeCell ref="D85:D86"/>
    <mergeCell ref="N85:N86"/>
    <mergeCell ref="D87:D88"/>
    <mergeCell ref="N87:N88"/>
    <mergeCell ref="D89:D90"/>
    <mergeCell ref="N89:N90"/>
    <mergeCell ref="D79:D80"/>
    <mergeCell ref="N79:N80"/>
    <mergeCell ref="D81:D82"/>
    <mergeCell ref="N81:N82"/>
    <mergeCell ref="D83:D84"/>
    <mergeCell ref="N83:N84"/>
    <mergeCell ref="D65:D66"/>
    <mergeCell ref="N65:N66"/>
    <mergeCell ref="D67:D68"/>
    <mergeCell ref="N67:N68"/>
    <mergeCell ref="D69:D70"/>
    <mergeCell ref="N69:N70"/>
    <mergeCell ref="D57:D58"/>
    <mergeCell ref="N57:N58"/>
    <mergeCell ref="B59:B74"/>
    <mergeCell ref="C59:C74"/>
    <mergeCell ref="D59:D60"/>
    <mergeCell ref="N59:N60"/>
    <mergeCell ref="D61:D62"/>
    <mergeCell ref="N61:N62"/>
    <mergeCell ref="D63:D64"/>
    <mergeCell ref="N63:N64"/>
    <mergeCell ref="D71:D72"/>
    <mergeCell ref="N71:N72"/>
    <mergeCell ref="D73:D74"/>
    <mergeCell ref="N73:N74"/>
    <mergeCell ref="D51:D52"/>
    <mergeCell ref="N51:N52"/>
    <mergeCell ref="D53:D54"/>
    <mergeCell ref="N53:N54"/>
    <mergeCell ref="D55:D56"/>
    <mergeCell ref="N55:N56"/>
    <mergeCell ref="B43:B58"/>
    <mergeCell ref="C43:C58"/>
    <mergeCell ref="D43:D44"/>
    <mergeCell ref="N43:N44"/>
    <mergeCell ref="D45:D46"/>
    <mergeCell ref="N45:N46"/>
    <mergeCell ref="D47:D48"/>
    <mergeCell ref="N47:N48"/>
    <mergeCell ref="D49:D50"/>
    <mergeCell ref="N49:N50"/>
    <mergeCell ref="B27:B42"/>
    <mergeCell ref="C27:C42"/>
    <mergeCell ref="D27:D28"/>
    <mergeCell ref="N27:N28"/>
    <mergeCell ref="D29:D30"/>
    <mergeCell ref="N29:N30"/>
    <mergeCell ref="D37:D38"/>
    <mergeCell ref="N37:N38"/>
    <mergeCell ref="D39:D40"/>
    <mergeCell ref="N39:N40"/>
    <mergeCell ref="D41:D42"/>
    <mergeCell ref="N41:N42"/>
    <mergeCell ref="D31:D32"/>
    <mergeCell ref="N31:N32"/>
    <mergeCell ref="D33:D34"/>
    <mergeCell ref="N33:N34"/>
    <mergeCell ref="D35:D36"/>
    <mergeCell ref="N35:N36"/>
    <mergeCell ref="D21:D22"/>
    <mergeCell ref="N21:N22"/>
    <mergeCell ref="K5:N5"/>
    <mergeCell ref="K6:N6"/>
    <mergeCell ref="B11:B26"/>
    <mergeCell ref="C11:C26"/>
    <mergeCell ref="D11:D12"/>
    <mergeCell ref="N11:N12"/>
    <mergeCell ref="D13:D14"/>
    <mergeCell ref="N13:N14"/>
    <mergeCell ref="D15:D16"/>
    <mergeCell ref="D23:D24"/>
    <mergeCell ref="N23:N24"/>
    <mergeCell ref="D25:D26"/>
    <mergeCell ref="N25:N26"/>
    <mergeCell ref="H2:I2"/>
    <mergeCell ref="K2:N2"/>
    <mergeCell ref="H3:I3"/>
    <mergeCell ref="K3:N3"/>
    <mergeCell ref="H4:I4"/>
    <mergeCell ref="K4:N4"/>
    <mergeCell ref="D17:D18"/>
    <mergeCell ref="D19:D20"/>
    <mergeCell ref="N19:N20"/>
  </mergeCells>
  <conditionalFormatting sqref="B11 B27 B43 B59 B75 B91 B107 B123 B139 B155 B171 B187 B203">
    <cfRule type="cellIs" dxfId="1574" priority="210" operator="equal">
      <formula>3</formula>
    </cfRule>
    <cfRule type="cellIs" dxfId="1573" priority="211" operator="equal">
      <formula>1</formula>
    </cfRule>
    <cfRule type="cellIs" dxfId="1572" priority="212" operator="equal">
      <formula>2</formula>
    </cfRule>
  </conditionalFormatting>
  <conditionalFormatting sqref="F12 F44 F60 F76 F92 F108 F124 F140 F156 F172 F188 F204">
    <cfRule type="cellIs" dxfId="1571" priority="208" stopIfTrue="1" operator="lessThan">
      <formula>F11</formula>
    </cfRule>
    <cfRule type="cellIs" dxfId="1570" priority="209" stopIfTrue="1" operator="greaterThanOrEqual">
      <formula>F11</formula>
    </cfRule>
  </conditionalFormatting>
  <conditionalFormatting sqref="F14 F18 F22 F26 F34 F38 F42 F46 F50 F54 F58 F62 F66 F70 F74 F78 F82 F86 F90 F94 F98 F102 F106 F110 F114 F118 F122 F126 F130 F134 F138 F142 F146 F150 F154 F158 F162 F166 F170 F174 F178 F182 F186 F190 F194 F198 F202 F206 F210 F214 F218">
    <cfRule type="cellIs" dxfId="1569" priority="204" stopIfTrue="1" operator="lessThan">
      <formula>F13</formula>
    </cfRule>
    <cfRule type="cellIs" dxfId="1568" priority="205" stopIfTrue="1" operator="greaterThanOrEqual">
      <formula>F13</formula>
    </cfRule>
  </conditionalFormatting>
  <conditionalFormatting sqref="F16 F20 F24 F36 F40 F48 F52 F56 F64 F68 F72 F80 F84 F88 F96 F100 F104 F112 F116 F120 F128 F132 F136 F144 F148 F152 F160 F164 F168 F176 F180 F184 F192 F196 F200 F208 F212 F216">
    <cfRule type="cellIs" dxfId="1567" priority="198" stopIfTrue="1" operator="lessThan">
      <formula>F15</formula>
    </cfRule>
    <cfRule type="cellIs" dxfId="1566" priority="199" stopIfTrue="1" operator="greaterThanOrEqual">
      <formula>F15</formula>
    </cfRule>
  </conditionalFormatting>
  <conditionalFormatting sqref="F30">
    <cfRule type="cellIs" dxfId="1565" priority="140" stopIfTrue="1" operator="lessThan">
      <formula>F29</formula>
    </cfRule>
    <cfRule type="cellIs" dxfId="1564" priority="141" stopIfTrue="1" operator="greaterThanOrEqual">
      <formula>F29</formula>
    </cfRule>
  </conditionalFormatting>
  <conditionalFormatting sqref="F32">
    <cfRule type="cellIs" dxfId="1563" priority="138" stopIfTrue="1" operator="lessThan">
      <formula>F31</formula>
    </cfRule>
    <cfRule type="cellIs" dxfId="1562" priority="139" stopIfTrue="1" operator="greaterThanOrEqual">
      <formula>F31</formula>
    </cfRule>
  </conditionalFormatting>
  <conditionalFormatting sqref="G12 G76 G92 G108 G124 G140 G156 G172 G188 G204">
    <cfRule type="cellIs" dxfId="1561" priority="206" operator="greaterThan">
      <formula>0</formula>
    </cfRule>
    <cfRule type="cellIs" dxfId="1560" priority="207" operator="lessThan">
      <formula>0</formula>
    </cfRule>
  </conditionalFormatting>
  <conditionalFormatting sqref="G14:G18">
    <cfRule type="cellIs" dxfId="1559" priority="132" operator="greaterThan">
      <formula>0</formula>
    </cfRule>
    <cfRule type="cellIs" dxfId="1558" priority="133" operator="lessThan">
      <formula>0</formula>
    </cfRule>
  </conditionalFormatting>
  <conditionalFormatting sqref="G20:G21 G23:G24 G36:G37 G39:G40 G52:G53 G55:G56 G68:G69 G71:G72 G81:G82 G84:G85 G87:G88 G94:G98 G100:G101 G103:G104 G113:G114 G116:G117 G119:G120 G129:G130 G132:G133 G135:G136 G145:G146 G148:G149 G151:G152 G158:G162 G164:G165 G167:G168 G177:G178 G180:G181 G183:G184 G193:G194 G196:G197 G199:G200 G209:G210 G212:G213 G215:G216">
    <cfRule type="cellIs" dxfId="1557" priority="200" operator="greaterThan">
      <formula>0</formula>
    </cfRule>
    <cfRule type="cellIs" dxfId="1556" priority="201" operator="lessThan">
      <formula>0</formula>
    </cfRule>
  </conditionalFormatting>
  <conditionalFormatting sqref="G28">
    <cfRule type="cellIs" dxfId="1555" priority="124" operator="greaterThan">
      <formula>0</formula>
    </cfRule>
    <cfRule type="cellIs" dxfId="1554" priority="125" operator="lessThan">
      <formula>0</formula>
    </cfRule>
  </conditionalFormatting>
  <conditionalFormatting sqref="G30:G34">
    <cfRule type="cellIs" dxfId="1553" priority="122" operator="greaterThan">
      <formula>0</formula>
    </cfRule>
    <cfRule type="cellIs" dxfId="1552" priority="123" operator="lessThan">
      <formula>0</formula>
    </cfRule>
  </conditionalFormatting>
  <conditionalFormatting sqref="G44">
    <cfRule type="cellIs" dxfId="1551" priority="99" operator="greaterThan">
      <formula>0</formula>
    </cfRule>
    <cfRule type="cellIs" dxfId="1550" priority="100" operator="lessThan">
      <formula>0</formula>
    </cfRule>
  </conditionalFormatting>
  <conditionalFormatting sqref="G46:G50">
    <cfRule type="cellIs" dxfId="1549" priority="97" operator="greaterThan">
      <formula>0</formula>
    </cfRule>
    <cfRule type="cellIs" dxfId="1548" priority="98" operator="lessThan">
      <formula>0</formula>
    </cfRule>
  </conditionalFormatting>
  <conditionalFormatting sqref="G60">
    <cfRule type="cellIs" dxfId="1547" priority="83" operator="greaterThan">
      <formula>0</formula>
    </cfRule>
    <cfRule type="cellIs" dxfId="1546" priority="84" operator="lessThan">
      <formula>0</formula>
    </cfRule>
  </conditionalFormatting>
  <conditionalFormatting sqref="G62:G66">
    <cfRule type="cellIs" dxfId="1545" priority="81" operator="greaterThan">
      <formula>0</formula>
    </cfRule>
    <cfRule type="cellIs" dxfId="1544" priority="82" operator="lessThan">
      <formula>0</formula>
    </cfRule>
  </conditionalFormatting>
  <conditionalFormatting sqref="G78:G79 G110:G111 G126:G127 G142:G143 G174:G175 G190:G191 G206:G207">
    <cfRule type="cellIs" dxfId="1543" priority="202" operator="greaterThan">
      <formula>0</formula>
    </cfRule>
    <cfRule type="cellIs" dxfId="1542" priority="203" operator="lessThan">
      <formula>0</formula>
    </cfRule>
  </conditionalFormatting>
  <conditionalFormatting sqref="H12 H28 H44 H60 H76 H92 H108 H124 H140 H156 H172 H188 H204">
    <cfRule type="cellIs" dxfId="1541" priority="196" stopIfTrue="1" operator="lessThan">
      <formula>H11</formula>
    </cfRule>
    <cfRule type="cellIs" dxfId="1540" priority="197" stopIfTrue="1" operator="greaterThanOrEqual">
      <formula>H11</formula>
    </cfRule>
  </conditionalFormatting>
  <conditionalFormatting sqref="H14 H18 H22 H26 H34 H38 H42 H46 H50 H54 H58 H62 H66 H70 H74 H78 H82 H86 H90 H94 H98 H102 H106 H110 H114 H118 H122 H126 H130 H134 H138 H142 H146 H150 H154 H158 H162 H166 H170 H174 H178 H182 H186 H190 H194 H198 H202 H206 H210 H214 H218">
    <cfRule type="cellIs" dxfId="1539" priority="194" stopIfTrue="1" operator="lessThan">
      <formula>H13</formula>
    </cfRule>
    <cfRule type="cellIs" dxfId="1538" priority="195" stopIfTrue="1" operator="greaterThanOrEqual">
      <formula>H13</formula>
    </cfRule>
  </conditionalFormatting>
  <conditionalFormatting sqref="H16 H20 H24 H36 H40 H48 H52 H56 H64 H68 H72 H80 H84 H88 H96 H100 H104 H112 H116 H120 H128 H132 H136 H144 H148 H152 H160 H164 H168 H176 H180 H184 H192 H196 H200 H208 H212 H216">
    <cfRule type="cellIs" dxfId="1537" priority="192" stopIfTrue="1" operator="lessThan">
      <formula>H15</formula>
    </cfRule>
    <cfRule type="cellIs" dxfId="1536" priority="193" stopIfTrue="1" operator="greaterThanOrEqual">
      <formula>H15</formula>
    </cfRule>
  </conditionalFormatting>
  <conditionalFormatting sqref="H30">
    <cfRule type="cellIs" dxfId="1535" priority="136" stopIfTrue="1" operator="lessThan">
      <formula>H29</formula>
    </cfRule>
    <cfRule type="cellIs" dxfId="1534" priority="137" stopIfTrue="1" operator="greaterThanOrEqual">
      <formula>H29</formula>
    </cfRule>
  </conditionalFormatting>
  <conditionalFormatting sqref="H32">
    <cfRule type="cellIs" dxfId="1533" priority="134" stopIfTrue="1" operator="lessThan">
      <formula>H31</formula>
    </cfRule>
    <cfRule type="cellIs" dxfId="1532" priority="135" stopIfTrue="1" operator="greaterThanOrEqual">
      <formula>H31</formula>
    </cfRule>
  </conditionalFormatting>
  <conditionalFormatting sqref="I12">
    <cfRule type="cellIs" dxfId="1531" priority="174" operator="greaterThan">
      <formula>0</formula>
    </cfRule>
    <cfRule type="cellIs" dxfId="1530" priority="175" operator="lessThan">
      <formula>0</formula>
    </cfRule>
  </conditionalFormatting>
  <conditionalFormatting sqref="I14:I18">
    <cfRule type="cellIs" dxfId="1529" priority="130" operator="greaterThan">
      <formula>0</formula>
    </cfRule>
    <cfRule type="cellIs" dxfId="1528" priority="131" operator="lessThan">
      <formula>0</formula>
    </cfRule>
  </conditionalFormatting>
  <conditionalFormatting sqref="I20:I21 I23:I24">
    <cfRule type="cellIs" dxfId="1527" priority="172" operator="greaterThan">
      <formula>0</formula>
    </cfRule>
    <cfRule type="cellIs" dxfId="1526" priority="173" operator="lessThan">
      <formula>0</formula>
    </cfRule>
  </conditionalFormatting>
  <conditionalFormatting sqref="I28">
    <cfRule type="cellIs" dxfId="1525" priority="128" operator="greaterThan">
      <formula>0</formula>
    </cfRule>
    <cfRule type="cellIs" dxfId="1524" priority="129" operator="lessThan">
      <formula>0</formula>
    </cfRule>
  </conditionalFormatting>
  <conditionalFormatting sqref="I30:I34">
    <cfRule type="cellIs" dxfId="1523" priority="126" operator="greaterThan">
      <formula>0</formula>
    </cfRule>
    <cfRule type="cellIs" dxfId="1522" priority="127" operator="lessThan">
      <formula>0</formula>
    </cfRule>
  </conditionalFormatting>
  <conditionalFormatting sqref="I36:I37 I39:I40 I52:I53 I55:I56 I68:I69 I71:I72 I84:I85 I87:I88 I100:I101 I103:I104 I116:I117 I119:I120 I132:I133 I135:I136 I148:I149 I151:I152 I164:I165 I167:I168 I180:I181 I183:I184 I196:I197 I199:I200 I212:I213 I215:I216">
    <cfRule type="cellIs" dxfId="1521" priority="154" operator="greaterThan">
      <formula>0</formula>
    </cfRule>
    <cfRule type="cellIs" dxfId="1520" priority="155" operator="lessThan">
      <formula>0</formula>
    </cfRule>
  </conditionalFormatting>
  <conditionalFormatting sqref="I44">
    <cfRule type="cellIs" dxfId="1519" priority="95" operator="greaterThan">
      <formula>0</formula>
    </cfRule>
    <cfRule type="cellIs" dxfId="1518" priority="96" operator="lessThan">
      <formula>0</formula>
    </cfRule>
  </conditionalFormatting>
  <conditionalFormatting sqref="I46:I50">
    <cfRule type="cellIs" dxfId="1517" priority="93" operator="greaterThan">
      <formula>0</formula>
    </cfRule>
    <cfRule type="cellIs" dxfId="1516" priority="94" operator="lessThan">
      <formula>0</formula>
    </cfRule>
  </conditionalFormatting>
  <conditionalFormatting sqref="I60">
    <cfRule type="cellIs" dxfId="1515" priority="79" operator="greaterThan">
      <formula>0</formula>
    </cfRule>
    <cfRule type="cellIs" dxfId="1514" priority="80" operator="lessThan">
      <formula>0</formula>
    </cfRule>
  </conditionalFormatting>
  <conditionalFormatting sqref="I62:I66">
    <cfRule type="cellIs" dxfId="1513" priority="77" operator="greaterThan">
      <formula>0</formula>
    </cfRule>
    <cfRule type="cellIs" dxfId="1512" priority="78" operator="lessThan">
      <formula>0</formula>
    </cfRule>
  </conditionalFormatting>
  <conditionalFormatting sqref="I76">
    <cfRule type="cellIs" dxfId="1511" priority="67" operator="greaterThan">
      <formula>0</formula>
    </cfRule>
    <cfRule type="cellIs" dxfId="1510" priority="68" operator="lessThan">
      <formula>0</formula>
    </cfRule>
  </conditionalFormatting>
  <conditionalFormatting sqref="I78:I82">
    <cfRule type="cellIs" dxfId="1509" priority="63" operator="greaterThan">
      <formula>0</formula>
    </cfRule>
    <cfRule type="cellIs" dxfId="1508" priority="64" operator="lessThan">
      <formula>0</formula>
    </cfRule>
  </conditionalFormatting>
  <conditionalFormatting sqref="I92">
    <cfRule type="cellIs" dxfId="1507" priority="61" operator="greaterThan">
      <formula>0</formula>
    </cfRule>
    <cfRule type="cellIs" dxfId="1506" priority="62" operator="lessThan">
      <formula>0</formula>
    </cfRule>
  </conditionalFormatting>
  <conditionalFormatting sqref="I94:I98">
    <cfRule type="cellIs" dxfId="1505" priority="57" operator="greaterThan">
      <formula>0</formula>
    </cfRule>
    <cfRule type="cellIs" dxfId="1504" priority="58" operator="lessThan">
      <formula>0</formula>
    </cfRule>
  </conditionalFormatting>
  <conditionalFormatting sqref="I108">
    <cfRule type="cellIs" dxfId="1503" priority="55" operator="greaterThan">
      <formula>0</formula>
    </cfRule>
    <cfRule type="cellIs" dxfId="1502" priority="56" operator="lessThan">
      <formula>0</formula>
    </cfRule>
  </conditionalFormatting>
  <conditionalFormatting sqref="I110:I114">
    <cfRule type="cellIs" dxfId="1501" priority="51" operator="greaterThan">
      <formula>0</formula>
    </cfRule>
    <cfRule type="cellIs" dxfId="1500" priority="52" operator="lessThan">
      <formula>0</formula>
    </cfRule>
  </conditionalFormatting>
  <conditionalFormatting sqref="I124">
    <cfRule type="cellIs" dxfId="1499" priority="49" operator="greaterThan">
      <formula>0</formula>
    </cfRule>
    <cfRule type="cellIs" dxfId="1498" priority="50" operator="lessThan">
      <formula>0</formula>
    </cfRule>
  </conditionalFormatting>
  <conditionalFormatting sqref="I126:I130">
    <cfRule type="cellIs" dxfId="1497" priority="45" operator="greaterThan">
      <formula>0</formula>
    </cfRule>
    <cfRule type="cellIs" dxfId="1496" priority="46" operator="lessThan">
      <formula>0</formula>
    </cfRule>
  </conditionalFormatting>
  <conditionalFormatting sqref="I140">
    <cfRule type="cellIs" dxfId="1495" priority="43" operator="greaterThan">
      <formula>0</formula>
    </cfRule>
    <cfRule type="cellIs" dxfId="1494" priority="44" operator="lessThan">
      <formula>0</formula>
    </cfRule>
  </conditionalFormatting>
  <conditionalFormatting sqref="I142:I146">
    <cfRule type="cellIs" dxfId="1493" priority="39" operator="greaterThan">
      <formula>0</formula>
    </cfRule>
    <cfRule type="cellIs" dxfId="1492" priority="40" operator="lessThan">
      <formula>0</formula>
    </cfRule>
  </conditionalFormatting>
  <conditionalFormatting sqref="I156">
    <cfRule type="cellIs" dxfId="1491" priority="37" operator="greaterThan">
      <formula>0</formula>
    </cfRule>
    <cfRule type="cellIs" dxfId="1490" priority="38" operator="lessThan">
      <formula>0</formula>
    </cfRule>
  </conditionalFormatting>
  <conditionalFormatting sqref="I158:I162">
    <cfRule type="cellIs" dxfId="1489" priority="33" operator="greaterThan">
      <formula>0</formula>
    </cfRule>
    <cfRule type="cellIs" dxfId="1488" priority="34" operator="lessThan">
      <formula>0</formula>
    </cfRule>
  </conditionalFormatting>
  <conditionalFormatting sqref="I172">
    <cfRule type="cellIs" dxfId="1487" priority="31" operator="greaterThan">
      <formula>0</formula>
    </cfRule>
    <cfRule type="cellIs" dxfId="1486" priority="32" operator="lessThan">
      <formula>0</formula>
    </cfRule>
  </conditionalFormatting>
  <conditionalFormatting sqref="I174:I178">
    <cfRule type="cellIs" dxfId="1485" priority="27" operator="greaterThan">
      <formula>0</formula>
    </cfRule>
    <cfRule type="cellIs" dxfId="1484" priority="28" operator="lessThan">
      <formula>0</formula>
    </cfRule>
  </conditionalFormatting>
  <conditionalFormatting sqref="I188">
    <cfRule type="cellIs" dxfId="1483" priority="25" operator="greaterThan">
      <formula>0</formula>
    </cfRule>
    <cfRule type="cellIs" dxfId="1482" priority="26" operator="lessThan">
      <formula>0</formula>
    </cfRule>
  </conditionalFormatting>
  <conditionalFormatting sqref="I190:I194">
    <cfRule type="cellIs" dxfId="1481" priority="21" operator="greaterThan">
      <formula>0</formula>
    </cfRule>
    <cfRule type="cellIs" dxfId="1480" priority="22" operator="lessThan">
      <formula>0</formula>
    </cfRule>
  </conditionalFormatting>
  <conditionalFormatting sqref="I204">
    <cfRule type="cellIs" dxfId="1479" priority="19" operator="greaterThan">
      <formula>0</formula>
    </cfRule>
    <cfRule type="cellIs" dxfId="1478" priority="20" operator="lessThan">
      <formula>0</formula>
    </cfRule>
  </conditionalFormatting>
  <conditionalFormatting sqref="I206:I210">
    <cfRule type="cellIs" dxfId="1477" priority="15" operator="greaterThan">
      <formula>0</formula>
    </cfRule>
    <cfRule type="cellIs" dxfId="1476" priority="16" operator="lessThan">
      <formula>0</formula>
    </cfRule>
  </conditionalFormatting>
  <conditionalFormatting sqref="J12">
    <cfRule type="cellIs" dxfId="1475" priority="180" stopIfTrue="1" operator="lessThan">
      <formula>J11</formula>
    </cfRule>
    <cfRule type="cellIs" dxfId="1474" priority="181" stopIfTrue="1" operator="greaterThanOrEqual">
      <formula>J11</formula>
    </cfRule>
  </conditionalFormatting>
  <conditionalFormatting sqref="J14">
    <cfRule type="cellIs" dxfId="1473" priority="178" stopIfTrue="1" operator="lessThan">
      <formula>J13</formula>
    </cfRule>
    <cfRule type="cellIs" dxfId="1472" priority="179" stopIfTrue="1" operator="greaterThanOrEqual">
      <formula>J13</formula>
    </cfRule>
  </conditionalFormatting>
  <conditionalFormatting sqref="J16">
    <cfRule type="cellIs" dxfId="1471" priority="13" stopIfTrue="1" operator="lessThan">
      <formula>J15</formula>
    </cfRule>
    <cfRule type="cellIs" dxfId="1470" priority="14" stopIfTrue="1" operator="greaterThanOrEqual">
      <formula>J15</formula>
    </cfRule>
  </conditionalFormatting>
  <conditionalFormatting sqref="J28">
    <cfRule type="cellIs" dxfId="1469" priority="105" stopIfTrue="1" operator="lessThan">
      <formula>J27</formula>
    </cfRule>
    <cfRule type="cellIs" dxfId="1468" priority="106" stopIfTrue="1" operator="greaterThanOrEqual">
      <formula>J27</formula>
    </cfRule>
  </conditionalFormatting>
  <conditionalFormatting sqref="J30">
    <cfRule type="cellIs" dxfId="1467" priority="103" stopIfTrue="1" operator="lessThan">
      <formula>J29</formula>
    </cfRule>
    <cfRule type="cellIs" dxfId="1466" priority="104" stopIfTrue="1" operator="greaterThanOrEqual">
      <formula>J29</formula>
    </cfRule>
  </conditionalFormatting>
  <conditionalFormatting sqref="J32">
    <cfRule type="cellIs" dxfId="1465" priority="101" stopIfTrue="1" operator="lessThan">
      <formula>J31</formula>
    </cfRule>
    <cfRule type="cellIs" dxfId="1464" priority="102" stopIfTrue="1" operator="greaterThanOrEqual">
      <formula>J31</formula>
    </cfRule>
  </conditionalFormatting>
  <conditionalFormatting sqref="J44 J60 J76 J92 J108 J124 J140 J156 J172 J188 J204">
    <cfRule type="cellIs" dxfId="1463" priority="164" stopIfTrue="1" operator="lessThan">
      <formula>J43</formula>
    </cfRule>
    <cfRule type="cellIs" dxfId="1462" priority="165" stopIfTrue="1" operator="greaterThanOrEqual">
      <formula>J43</formula>
    </cfRule>
  </conditionalFormatting>
  <conditionalFormatting sqref="J46 J62 J78 J94 J110 J126 J142 J158 J174 J190 J206">
    <cfRule type="cellIs" dxfId="1461" priority="162" stopIfTrue="1" operator="lessThan">
      <formula>J45</formula>
    </cfRule>
    <cfRule type="cellIs" dxfId="1460" priority="163" stopIfTrue="1" operator="greaterThanOrEqual">
      <formula>J45</formula>
    </cfRule>
  </conditionalFormatting>
  <conditionalFormatting sqref="J48 J64 J80 J96 J112 J128 J144 J160 J176 J192 J208">
    <cfRule type="cellIs" dxfId="1459" priority="160" stopIfTrue="1" operator="lessThan">
      <formula>J47</formula>
    </cfRule>
    <cfRule type="cellIs" dxfId="1458" priority="161" stopIfTrue="1" operator="greaterThanOrEqual">
      <formula>J47</formula>
    </cfRule>
  </conditionalFormatting>
  <conditionalFormatting sqref="K12">
    <cfRule type="cellIs" dxfId="1457" priority="117" operator="greaterThan">
      <formula>0</formula>
    </cfRule>
    <cfRule type="cellIs" dxfId="1456" priority="118" operator="lessThan">
      <formula>0</formula>
    </cfRule>
  </conditionalFormatting>
  <conditionalFormatting sqref="K14:K18">
    <cfRule type="cellIs" dxfId="1455" priority="115" operator="greaterThan">
      <formula>0</formula>
    </cfRule>
    <cfRule type="cellIs" dxfId="1454" priority="116" operator="lessThan">
      <formula>0</formula>
    </cfRule>
  </conditionalFormatting>
  <conditionalFormatting sqref="K20:K21 K23:K24">
    <cfRule type="cellIs" dxfId="1453" priority="170" operator="greaterThan">
      <formula>0</formula>
    </cfRule>
    <cfRule type="cellIs" dxfId="1452" priority="171" operator="lessThan">
      <formula>0</formula>
    </cfRule>
  </conditionalFormatting>
  <conditionalFormatting sqref="K28">
    <cfRule type="cellIs" dxfId="1451" priority="109" operator="greaterThan">
      <formula>0</formula>
    </cfRule>
    <cfRule type="cellIs" dxfId="1450" priority="110" operator="lessThan">
      <formula>0</formula>
    </cfRule>
  </conditionalFormatting>
  <conditionalFormatting sqref="K30:K34">
    <cfRule type="cellIs" dxfId="1449" priority="107" operator="greaterThan">
      <formula>0</formula>
    </cfRule>
    <cfRule type="cellIs" dxfId="1448" priority="108" operator="lessThan">
      <formula>0</formula>
    </cfRule>
  </conditionalFormatting>
  <conditionalFormatting sqref="K36:K37 K39:K40 K52:K53 K55:K56 K68:K69 K71:K72 K84:K85 K87:K88 K97:K98 K100:K101 K103:K104 K113:K114 K116:K117 K119:K120 K129:K130 K132:K133 K135:K136 K145:K146 K148:K149 K151:K152 K161:K162 K164:K165 K167:K168 K177:K178 K180:K181 K183:K184 K193:K194 K196:K197 K199:K200 K209:K210 K212:K213 K215:K216">
    <cfRule type="cellIs" dxfId="1447" priority="148" operator="greaterThan">
      <formula>0</formula>
    </cfRule>
    <cfRule type="cellIs" dxfId="1446" priority="149" operator="lessThan">
      <formula>0</formula>
    </cfRule>
  </conditionalFormatting>
  <conditionalFormatting sqref="K44">
    <cfRule type="cellIs" dxfId="1445" priority="91" operator="greaterThan">
      <formula>0</formula>
    </cfRule>
    <cfRule type="cellIs" dxfId="1444" priority="92" operator="lessThan">
      <formula>0</formula>
    </cfRule>
  </conditionalFormatting>
  <conditionalFormatting sqref="K46:K50">
    <cfRule type="cellIs" dxfId="1443" priority="89" operator="greaterThan">
      <formula>0</formula>
    </cfRule>
    <cfRule type="cellIs" dxfId="1442" priority="90" operator="lessThan">
      <formula>0</formula>
    </cfRule>
  </conditionalFormatting>
  <conditionalFormatting sqref="K60">
    <cfRule type="cellIs" dxfId="1441" priority="75" operator="greaterThan">
      <formula>0</formula>
    </cfRule>
    <cfRule type="cellIs" dxfId="1440" priority="76" operator="lessThan">
      <formula>0</formula>
    </cfRule>
  </conditionalFormatting>
  <conditionalFormatting sqref="K62:K66">
    <cfRule type="cellIs" dxfId="1439" priority="73" operator="greaterThan">
      <formula>0</formula>
    </cfRule>
    <cfRule type="cellIs" dxfId="1438" priority="74" operator="lessThan">
      <formula>0</formula>
    </cfRule>
  </conditionalFormatting>
  <conditionalFormatting sqref="K76">
    <cfRule type="cellIs" dxfId="1437" priority="11" operator="greaterThan">
      <formula>0</formula>
    </cfRule>
    <cfRule type="cellIs" dxfId="1436" priority="12" operator="lessThan">
      <formula>0</formula>
    </cfRule>
  </conditionalFormatting>
  <conditionalFormatting sqref="K78:K82">
    <cfRule type="cellIs" dxfId="1435" priority="1" operator="greaterThan">
      <formula>0</formula>
    </cfRule>
    <cfRule type="cellIs" dxfId="1434" priority="2" operator="lessThan">
      <formula>0</formula>
    </cfRule>
  </conditionalFormatting>
  <conditionalFormatting sqref="K92">
    <cfRule type="cellIs" dxfId="1433" priority="5" operator="greaterThan">
      <formula>0</formula>
    </cfRule>
    <cfRule type="cellIs" dxfId="1432" priority="6" operator="lessThan">
      <formula>0</formula>
    </cfRule>
  </conditionalFormatting>
  <conditionalFormatting sqref="K94:K95">
    <cfRule type="cellIs" dxfId="1431" priority="7" operator="greaterThan">
      <formula>0</formula>
    </cfRule>
    <cfRule type="cellIs" dxfId="1430" priority="8" operator="lessThan">
      <formula>0</formula>
    </cfRule>
  </conditionalFormatting>
  <conditionalFormatting sqref="K108 K124 K140 K156 K172 K188 K204">
    <cfRule type="cellIs" dxfId="1429" priority="152" operator="greaterThan">
      <formula>0</formula>
    </cfRule>
    <cfRule type="cellIs" dxfId="1428" priority="153" operator="lessThan">
      <formula>0</formula>
    </cfRule>
  </conditionalFormatting>
  <conditionalFormatting sqref="K110:K111 K126:K127 K142:K143 K158:K159 K174:K175 K190:K191 K206:K207">
    <cfRule type="cellIs" dxfId="1427" priority="150" operator="greaterThan">
      <formula>0</formula>
    </cfRule>
    <cfRule type="cellIs" dxfId="1426" priority="151" operator="lessThan">
      <formula>0</formula>
    </cfRule>
  </conditionalFormatting>
  <conditionalFormatting sqref="L12">
    <cfRule type="cellIs" dxfId="1425" priority="190" stopIfTrue="1" operator="lessThan">
      <formula>L11</formula>
    </cfRule>
    <cfRule type="cellIs" dxfId="1424" priority="191" stopIfTrue="1" operator="greaterThanOrEqual">
      <formula>L11</formula>
    </cfRule>
  </conditionalFormatting>
  <conditionalFormatting sqref="L14 J18 J22 J26 L30 J34 J38 J42 L46 J50 J54 J58 L62 J66 J70 J74 L78 J82 J86 J90 L94 J98 J102 J106 L110 J114 J118 J122 L126 J130 J134 J138 L142 J146 J150 J154 L158 J162 J166 J170 L174 J178 J182 J186 L190 J194 J198 J202 L206 J210 J214 J218">
    <cfRule type="cellIs" dxfId="1423" priority="188" stopIfTrue="1" operator="lessThan">
      <formula>J13</formula>
    </cfRule>
    <cfRule type="cellIs" dxfId="1422" priority="189" stopIfTrue="1" operator="greaterThanOrEqual">
      <formula>J13</formula>
    </cfRule>
  </conditionalFormatting>
  <conditionalFormatting sqref="L16 J20 J24 J36 J40 L48 J52 J56 L64 J68 J72 L80 J84 J88 L96 J100 J104 L112 J116 J120 L128 J132 J136 L144 J148 J152 L160 J164 J168 L176 J180 J184 L192 J196 J200 L208 J212 J216">
    <cfRule type="cellIs" dxfId="1421" priority="186" stopIfTrue="1" operator="lessThan">
      <formula>J15</formula>
    </cfRule>
    <cfRule type="cellIs" dxfId="1420" priority="187" stopIfTrue="1" operator="greaterThanOrEqual">
      <formula>J15</formula>
    </cfRule>
  </conditionalFormatting>
  <conditionalFormatting sqref="L18 L22 L26 L34 L38 L42 L50 L54 L58 L66 L70 L74 L82 L86 L90 L98 L102 L106 L114 L118 L122 L130 L134 L138 L146 L150 L154 L162 L166 L170 L178 L182 L186 L194 L198 L202 L210 L214 L218">
    <cfRule type="cellIs" dxfId="1419" priority="184" stopIfTrue="1" operator="lessThan">
      <formula>L17</formula>
    </cfRule>
    <cfRule type="cellIs" dxfId="1418" priority="185" stopIfTrue="1" operator="greaterThanOrEqual">
      <formula>L17</formula>
    </cfRule>
  </conditionalFormatting>
  <conditionalFormatting sqref="L20 L24 L36 L40 L52 L56 L68 L72 L84 L88 L100 L104 L116 L120 L132 L136 L148 L152 L164 L168 L180 L184 L196 L200 L212 L216">
    <cfRule type="cellIs" dxfId="1417" priority="182" stopIfTrue="1" operator="lessThan">
      <formula>L19</formula>
    </cfRule>
    <cfRule type="cellIs" dxfId="1416" priority="183" stopIfTrue="1" operator="greaterThanOrEqual">
      <formula>L19</formula>
    </cfRule>
  </conditionalFormatting>
  <conditionalFormatting sqref="L44 L60 L76 L92 L108 L124 L140 L156 L172 L188 L204">
    <cfRule type="cellIs" dxfId="1415" priority="166" stopIfTrue="1" operator="lessThan">
      <formula>L43</formula>
    </cfRule>
    <cfRule type="cellIs" dxfId="1414" priority="167" stopIfTrue="1" operator="greaterThanOrEqual">
      <formula>L43</formula>
    </cfRule>
  </conditionalFormatting>
  <conditionalFormatting sqref="M12">
    <cfRule type="cellIs" dxfId="1413" priority="113" operator="greaterThan">
      <formula>0</formula>
    </cfRule>
    <cfRule type="cellIs" dxfId="1412" priority="114" operator="lessThan">
      <formula>0</formula>
    </cfRule>
  </conditionalFormatting>
  <conditionalFormatting sqref="M14:M18">
    <cfRule type="cellIs" dxfId="1411" priority="111" operator="greaterThan">
      <formula>0</formula>
    </cfRule>
    <cfRule type="cellIs" dxfId="1410" priority="112" operator="lessThan">
      <formula>0</formula>
    </cfRule>
  </conditionalFormatting>
  <conditionalFormatting sqref="M20:M21 M23:M24">
    <cfRule type="cellIs" dxfId="1409" priority="168" operator="greaterThan">
      <formula>0</formula>
    </cfRule>
    <cfRule type="cellIs" dxfId="1408" priority="169" operator="lessThan">
      <formula>0</formula>
    </cfRule>
  </conditionalFormatting>
  <conditionalFormatting sqref="M28">
    <cfRule type="cellIs" dxfId="1407" priority="121" operator="lessThan">
      <formula>0</formula>
    </cfRule>
  </conditionalFormatting>
  <conditionalFormatting sqref="M30:M31">
    <cfRule type="cellIs" dxfId="1406" priority="120" operator="greaterThan">
      <formula>0</formula>
    </cfRule>
  </conditionalFormatting>
  <conditionalFormatting sqref="M30:M34">
    <cfRule type="cellIs" dxfId="1405" priority="119" operator="lessThan">
      <formula>0</formula>
    </cfRule>
  </conditionalFormatting>
  <conditionalFormatting sqref="M33:M34 M36:M37 M39:M40 M52:M53 M55:M56 M68:M69 M71:M72 M81:M82 M84:M85 M87:M88 M97:M98 M100:M101 M103:M104 M113:M114 M116:M117 M119:M120 M129:M130 M132:M133 M135:M136 M145:M146 M148:M149 M151:M152 M161:M162 M164:M165 M167:M168 M177:M178 M180:M181 M183:M184 M193:M194 M196:M197 M199:M200 M209:M210 M212:M213 M215:M216">
    <cfRule type="cellIs" dxfId="1404" priority="142" operator="greaterThan">
      <formula>0</formula>
    </cfRule>
  </conditionalFormatting>
  <conditionalFormatting sqref="M36:M37 M39:M40 M52:M53 M55:M56 M68:M69 M71:M72 M81:M82 M84:M85 M87:M88 M97:M98 M100:M101 M103:M104 M113:M114 M116:M117 M119:M120 M129:M130 M132:M133 M135:M136 M145:M146 M148:M149 M151:M152 M161:M162 M164:M165 M167:M168 M177:M178 M180:M181 M183:M184 M193:M194 M196:M197 M199:M200 M209:M210 M212:M213 M215:M216">
    <cfRule type="cellIs" dxfId="1403" priority="143" operator="lessThan">
      <formula>0</formula>
    </cfRule>
  </conditionalFormatting>
  <conditionalFormatting sqref="M44">
    <cfRule type="cellIs" dxfId="1402" priority="87" operator="greaterThan">
      <formula>0</formula>
    </cfRule>
    <cfRule type="cellIs" dxfId="1401" priority="88" operator="lessThan">
      <formula>0</formula>
    </cfRule>
  </conditionalFormatting>
  <conditionalFormatting sqref="M46:M50">
    <cfRule type="cellIs" dxfId="1400" priority="85" operator="greaterThan">
      <formula>0</formula>
    </cfRule>
    <cfRule type="cellIs" dxfId="1399" priority="86" operator="lessThan">
      <formula>0</formula>
    </cfRule>
  </conditionalFormatting>
  <conditionalFormatting sqref="M60">
    <cfRule type="cellIs" dxfId="1398" priority="71" operator="greaterThan">
      <formula>0</formula>
    </cfRule>
    <cfRule type="cellIs" dxfId="1397" priority="72" operator="lessThan">
      <formula>0</formula>
    </cfRule>
  </conditionalFormatting>
  <conditionalFormatting sqref="M62:M66">
    <cfRule type="cellIs" dxfId="1396" priority="69" operator="greaterThan">
      <formula>0</formula>
    </cfRule>
    <cfRule type="cellIs" dxfId="1395" priority="70" operator="lessThan">
      <formula>0</formula>
    </cfRule>
  </conditionalFormatting>
  <conditionalFormatting sqref="M76 M92 M108 M124 M140 M156 M172 M188 M204">
    <cfRule type="cellIs" dxfId="1394" priority="146" operator="greaterThan">
      <formula>0</formula>
    </cfRule>
    <cfRule type="cellIs" dxfId="1393" priority="147" operator="lessThan">
      <formula>0</formula>
    </cfRule>
  </conditionalFormatting>
  <conditionalFormatting sqref="M78:M79 M94:M95 M110:M111 M126:M127 M142:M143 M158:M159 M174:M175 M190:M191 M206:M207">
    <cfRule type="cellIs" dxfId="1392" priority="144" operator="greaterThan">
      <formula>0</formula>
    </cfRule>
    <cfRule type="cellIs" dxfId="1391" priority="145" operator="less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DDE73-3E05-4D21-87CB-D2D0D1FDFD02}">
  <dimension ref="A1:U125"/>
  <sheetViews>
    <sheetView workbookViewId="0">
      <pane xSplit="3" ySplit="2" topLeftCell="D135" activePane="bottomRight" state="frozen"/>
      <selection pane="topRight" activeCell="E1" sqref="E1"/>
      <selection pane="bottomLeft" activeCell="A3" sqref="A3"/>
      <selection pane="bottomRight" activeCell="E1" sqref="E1"/>
    </sheetView>
  </sheetViews>
  <sheetFormatPr defaultRowHeight="14.4"/>
  <cols>
    <col min="1" max="1" width="14.21875" bestFit="1" customWidth="1"/>
    <col min="2" max="2" width="11.21875" style="863" bestFit="1" customWidth="1"/>
    <col min="3" max="3" width="8.88671875" style="19" customWidth="1"/>
    <col min="4" max="4" width="10.77734375" bestFit="1" customWidth="1"/>
    <col min="5" max="5" width="11" customWidth="1"/>
    <col min="6" max="6" width="11" hidden="1" customWidth="1"/>
    <col min="7" max="8" width="11" customWidth="1"/>
    <col min="9" max="9" width="8.21875" style="207" customWidth="1"/>
    <col min="10" max="16" width="8.21875" customWidth="1"/>
    <col min="19" max="19" width="11" style="207" bestFit="1" customWidth="1"/>
    <col min="20" max="20" width="69.21875" customWidth="1"/>
  </cols>
  <sheetData>
    <row r="1" spans="1:21">
      <c r="E1" t="s">
        <v>1885</v>
      </c>
      <c r="G1" s="207" t="s">
        <v>1757</v>
      </c>
      <c r="H1" s="207" t="s">
        <v>1886</v>
      </c>
      <c r="I1" s="207" t="s">
        <v>16</v>
      </c>
      <c r="J1" s="207"/>
      <c r="K1" s="207"/>
      <c r="L1" s="207"/>
      <c r="M1" s="207"/>
      <c r="N1" s="207"/>
      <c r="O1" s="207"/>
      <c r="P1" s="207"/>
      <c r="Q1" s="207" t="s">
        <v>17</v>
      </c>
      <c r="R1" s="207" t="s">
        <v>1887</v>
      </c>
      <c r="S1" s="207" t="s">
        <v>1888</v>
      </c>
      <c r="U1" s="864"/>
    </row>
    <row r="2" spans="1:21" ht="45" customHeight="1">
      <c r="A2" s="865" t="s">
        <v>1889</v>
      </c>
      <c r="B2" s="866" t="s">
        <v>1890</v>
      </c>
      <c r="C2" s="865" t="s">
        <v>1891</v>
      </c>
      <c r="D2" s="865" t="s">
        <v>1885</v>
      </c>
      <c r="E2" s="865" t="s">
        <v>1892</v>
      </c>
      <c r="F2" s="865" t="s">
        <v>1757</v>
      </c>
      <c r="G2" s="865" t="s">
        <v>1893</v>
      </c>
      <c r="H2" s="865" t="s">
        <v>281</v>
      </c>
      <c r="I2" s="865" t="s">
        <v>281</v>
      </c>
      <c r="J2" s="910">
        <v>45566</v>
      </c>
      <c r="K2" s="910">
        <v>45597</v>
      </c>
      <c r="L2" s="910">
        <v>45627</v>
      </c>
      <c r="M2" s="910">
        <v>45658</v>
      </c>
      <c r="N2" s="910">
        <v>45689</v>
      </c>
      <c r="O2" s="911" t="s">
        <v>1894</v>
      </c>
      <c r="P2" s="911" t="s">
        <v>1895</v>
      </c>
      <c r="Q2" s="910">
        <v>45717</v>
      </c>
      <c r="R2" s="910"/>
      <c r="S2" s="865" t="s">
        <v>445</v>
      </c>
      <c r="T2" s="865" t="s">
        <v>118</v>
      </c>
      <c r="U2" s="864" t="s">
        <v>1896</v>
      </c>
    </row>
    <row r="3" spans="1:21">
      <c r="A3" t="s">
        <v>1758</v>
      </c>
      <c r="B3" s="867" t="s">
        <v>295</v>
      </c>
      <c r="C3" s="583" t="s">
        <v>1897</v>
      </c>
      <c r="D3" s="868">
        <f>SUMIF($B$7:$B$125,"Actual (t)",D7:D125)</f>
        <v>186387.85046728971</v>
      </c>
      <c r="E3" s="868">
        <f>SUMIF($B$7:$B$125,"Actual (t)",E7:E125)</f>
        <v>199435</v>
      </c>
      <c r="F3" s="868">
        <f>SUMIF($B$7:$B$125,"Actual (t)",F7:F125)</f>
        <v>0</v>
      </c>
      <c r="G3" s="912">
        <f>SUMIF($B$7:$B$125,"Actual (t)",G7:G125)</f>
        <v>32876</v>
      </c>
      <c r="H3" s="869"/>
      <c r="I3" s="868">
        <f t="shared" ref="I3:N3" si="0">SUMIF($B$7:$B$125,"Actual (t)",I7:I125)</f>
        <v>71959.8</v>
      </c>
      <c r="J3" s="868">
        <f t="shared" si="0"/>
        <v>4606</v>
      </c>
      <c r="K3" s="868">
        <f t="shared" si="0"/>
        <v>5875.2</v>
      </c>
      <c r="L3" s="868">
        <f t="shared" si="0"/>
        <v>12678.4</v>
      </c>
      <c r="M3" s="868">
        <f t="shared" si="0"/>
        <v>23871.200000000001</v>
      </c>
      <c r="N3" s="868">
        <f t="shared" si="0"/>
        <v>24929</v>
      </c>
      <c r="O3" s="868"/>
      <c r="P3" s="868"/>
      <c r="Q3" s="868">
        <f>SUMIF($B$7:$B$125,"Actual (t)",Q7:Q125)</f>
        <v>28910</v>
      </c>
      <c r="R3" s="868">
        <f>E3-I3</f>
        <v>127475.2</v>
      </c>
      <c r="U3" s="864"/>
    </row>
    <row r="4" spans="1:21">
      <c r="A4" t="s">
        <v>1758</v>
      </c>
      <c r="B4" s="867" t="s">
        <v>297</v>
      </c>
      <c r="C4" s="583" t="s">
        <v>1898</v>
      </c>
      <c r="D4" s="867">
        <f>IFERROR(D5*1000/D3,0)</f>
        <v>0</v>
      </c>
      <c r="E4" s="867">
        <f>IFERROR(E5*1000/E3,0)</f>
        <v>0</v>
      </c>
      <c r="F4" s="867">
        <f>IFERROR(F5*1000/F3,0)</f>
        <v>0</v>
      </c>
      <c r="G4" s="869">
        <f>IFERROR(G5*1000/G3,0)</f>
        <v>0</v>
      </c>
      <c r="H4" s="869"/>
      <c r="I4" s="867">
        <f t="shared" ref="I4:N4" si="1">IFERROR(I5*1000/I3,0)</f>
        <v>0</v>
      </c>
      <c r="J4" s="867">
        <f t="shared" si="1"/>
        <v>0</v>
      </c>
      <c r="K4" s="867">
        <f t="shared" si="1"/>
        <v>0</v>
      </c>
      <c r="L4" s="867">
        <f t="shared" si="1"/>
        <v>0</v>
      </c>
      <c r="M4" s="867">
        <f t="shared" si="1"/>
        <v>0</v>
      </c>
      <c r="N4" s="867">
        <f t="shared" si="1"/>
        <v>0</v>
      </c>
      <c r="O4" s="867"/>
      <c r="P4" s="867"/>
      <c r="Q4" s="870">
        <f>IFERROR(Q5*1000/Q3,0)</f>
        <v>0</v>
      </c>
      <c r="R4" s="867">
        <f>E4</f>
        <v>0</v>
      </c>
      <c r="S4" s="871">
        <f>IFERROR(Q4/I4,0)</f>
        <v>0</v>
      </c>
      <c r="U4" s="864"/>
    </row>
    <row r="5" spans="1:21">
      <c r="A5" t="s">
        <v>1758</v>
      </c>
      <c r="B5" s="867" t="s">
        <v>299</v>
      </c>
      <c r="C5" s="583" t="s">
        <v>1899</v>
      </c>
      <c r="D5" s="872">
        <f>SUMIF($B$7:$B$125,"Gold",D7:D125)</f>
        <v>0</v>
      </c>
      <c r="E5" s="872">
        <f>SUMIF($B$7:$B$125,"Gold",E7:E125)</f>
        <v>0</v>
      </c>
      <c r="F5" s="872">
        <f>SUMIF($B$7:$B$125,"Gold",F7:F125)</f>
        <v>0</v>
      </c>
      <c r="G5" s="913">
        <f>SUMIF($B$7:$B$125,"Gold",G7:G125)</f>
        <v>0</v>
      </c>
      <c r="H5" s="869"/>
      <c r="I5" s="872">
        <f t="shared" ref="I5:N5" si="2">SUMIF($B$7:$B$125,"Gold",I7:I125)</f>
        <v>0</v>
      </c>
      <c r="J5" s="872">
        <f t="shared" si="2"/>
        <v>0</v>
      </c>
      <c r="K5" s="872">
        <f t="shared" si="2"/>
        <v>0</v>
      </c>
      <c r="L5" s="872">
        <f t="shared" si="2"/>
        <v>0</v>
      </c>
      <c r="M5" s="872">
        <f t="shared" si="2"/>
        <v>0</v>
      </c>
      <c r="N5" s="872">
        <f t="shared" si="2"/>
        <v>0</v>
      </c>
      <c r="O5" s="872"/>
      <c r="P5" s="872"/>
      <c r="Q5" s="872">
        <f>SUMIF($B$7:$B$125,"Gold",Q7:Q125)</f>
        <v>0</v>
      </c>
      <c r="R5" s="868">
        <f>E5-I5</f>
        <v>0</v>
      </c>
      <c r="U5" s="864"/>
    </row>
    <row r="6" spans="1:21">
      <c r="A6" s="873" t="s">
        <v>1900</v>
      </c>
      <c r="B6" s="874" t="s">
        <v>294</v>
      </c>
      <c r="D6" s="890"/>
      <c r="E6" s="877"/>
      <c r="F6" s="875"/>
      <c r="H6" s="877">
        <f>SUM(J6:N6)</f>
        <v>0</v>
      </c>
      <c r="I6" s="872"/>
      <c r="J6" s="890"/>
      <c r="K6" s="890"/>
      <c r="L6" s="890"/>
      <c r="M6" s="890"/>
      <c r="N6" s="890"/>
      <c r="O6" s="890"/>
      <c r="P6" s="890"/>
      <c r="Q6" s="890"/>
      <c r="R6" s="890"/>
      <c r="U6" s="864"/>
    </row>
    <row r="7" spans="1:21">
      <c r="A7" s="873" t="s">
        <v>1900</v>
      </c>
      <c r="B7" s="869" t="s">
        <v>295</v>
      </c>
      <c r="C7" s="19" t="s">
        <v>1897</v>
      </c>
      <c r="D7" s="876">
        <f>E7/1.07</f>
        <v>0</v>
      </c>
      <c r="E7" s="876">
        <v>0</v>
      </c>
      <c r="H7" s="877"/>
      <c r="I7" s="868">
        <f>SUM(J7:N7)</f>
        <v>0</v>
      </c>
      <c r="J7" s="876"/>
      <c r="K7" s="876"/>
      <c r="L7" s="876"/>
      <c r="M7" s="878"/>
      <c r="N7" s="876"/>
      <c r="O7" s="876">
        <v>560</v>
      </c>
      <c r="P7" s="876">
        <v>659</v>
      </c>
      <c r="Q7" s="912">
        <v>1085</v>
      </c>
      <c r="R7" s="868">
        <f>E7-I7</f>
        <v>0</v>
      </c>
      <c r="U7" s="880">
        <v>1.3</v>
      </c>
    </row>
    <row r="8" spans="1:21">
      <c r="A8" s="873" t="s">
        <v>1900</v>
      </c>
      <c r="B8" s="881" t="s">
        <v>296</v>
      </c>
      <c r="C8" s="881" t="s">
        <v>296</v>
      </c>
      <c r="D8" s="882"/>
      <c r="E8" s="882"/>
      <c r="F8" s="882"/>
      <c r="G8" s="883"/>
      <c r="H8" s="884">
        <f>IFERROR(SUMPRODUCT(J6:N6,J8:N8)/SUM(J6:N6),0)</f>
        <v>0</v>
      </c>
      <c r="I8" s="885"/>
      <c r="J8" s="879"/>
      <c r="K8" s="879"/>
      <c r="L8" s="879"/>
      <c r="M8" s="886"/>
      <c r="N8" s="879"/>
      <c r="O8" s="879"/>
      <c r="P8" s="879">
        <v>1.0723216995447646</v>
      </c>
      <c r="Q8" s="883">
        <v>1.827102803738319</v>
      </c>
      <c r="R8" s="887">
        <f>E8</f>
        <v>0</v>
      </c>
      <c r="S8" s="885"/>
      <c r="U8" s="888"/>
    </row>
    <row r="9" spans="1:21">
      <c r="A9" s="873" t="s">
        <v>1900</v>
      </c>
      <c r="B9" s="869" t="s">
        <v>297</v>
      </c>
      <c r="C9" s="19" t="s">
        <v>1898</v>
      </c>
      <c r="D9" s="877">
        <v>0</v>
      </c>
      <c r="E9" s="877">
        <f>IFERROR(E11*1000/E7,0)</f>
        <v>0</v>
      </c>
      <c r="G9" s="869">
        <f>IFERROR(SUMPRODUCT(J7:N7,J8:N8)/I7,0)</f>
        <v>0</v>
      </c>
      <c r="H9" s="869"/>
      <c r="I9" s="867">
        <f>IFERROR(SUMPRODUCT(J7:N7,J9:N9)/SUM(J7:N7),0)</f>
        <v>0</v>
      </c>
      <c r="J9" s="863"/>
      <c r="K9" s="863"/>
      <c r="L9" s="863"/>
      <c r="M9" s="878"/>
      <c r="N9" s="863"/>
      <c r="O9" s="863">
        <v>2.15625</v>
      </c>
      <c r="P9" s="863">
        <v>0.62186079999999988</v>
      </c>
      <c r="Q9" s="889">
        <f>Q8</f>
        <v>1.827102803738319</v>
      </c>
      <c r="R9" s="868">
        <f>E9-I9</f>
        <v>0</v>
      </c>
      <c r="S9" s="871">
        <f>IFERROR(Q9/I9,0)</f>
        <v>0</v>
      </c>
      <c r="T9" t="s">
        <v>1901</v>
      </c>
      <c r="U9" s="888"/>
    </row>
    <row r="10" spans="1:21">
      <c r="A10" s="873" t="s">
        <v>1900</v>
      </c>
      <c r="B10" s="869" t="s">
        <v>298</v>
      </c>
      <c r="D10" s="877"/>
      <c r="E10" s="877"/>
      <c r="G10" s="869"/>
      <c r="H10" s="869">
        <f>SUM(J10:N10)</f>
        <v>0</v>
      </c>
      <c r="I10" s="867"/>
      <c r="J10" s="863"/>
      <c r="K10" s="863"/>
      <c r="L10" s="863"/>
      <c r="M10" s="878"/>
      <c r="N10" s="863"/>
      <c r="O10" s="863"/>
      <c r="P10" s="863"/>
      <c r="Q10" s="877"/>
      <c r="R10" s="868"/>
      <c r="S10" s="871"/>
      <c r="U10" s="888"/>
    </row>
    <row r="11" spans="1:21">
      <c r="A11" s="873" t="s">
        <v>1900</v>
      </c>
      <c r="B11" s="869" t="s">
        <v>299</v>
      </c>
      <c r="C11" s="19" t="s">
        <v>1899</v>
      </c>
      <c r="D11" s="890">
        <f>D7*D9/1000</f>
        <v>0</v>
      </c>
      <c r="E11" s="877">
        <f>D11*0.85</f>
        <v>0</v>
      </c>
      <c r="H11" s="877"/>
      <c r="I11" s="872">
        <f>SUM(J11:N11)</f>
        <v>0</v>
      </c>
      <c r="J11" s="890">
        <f>J7*J9/1000</f>
        <v>0</v>
      </c>
      <c r="K11" s="890">
        <f>K7*K9/1000</f>
        <v>0</v>
      </c>
      <c r="L11" s="890">
        <f>L7*L9/1000</f>
        <v>0</v>
      </c>
      <c r="M11" s="890">
        <f>M7*M9/1000</f>
        <v>0</v>
      </c>
      <c r="N11" s="890">
        <f>N7*N9/1000</f>
        <v>0</v>
      </c>
      <c r="O11" s="890">
        <v>1.2075</v>
      </c>
      <c r="P11" s="890">
        <f>P7*P9/1000</f>
        <v>0.40980626719999991</v>
      </c>
      <c r="Q11" s="890">
        <f>Q7*Q9/1000</f>
        <v>1.9824065420560761</v>
      </c>
      <c r="R11" s="890"/>
      <c r="U11" s="888"/>
    </row>
    <row r="12" spans="1:21">
      <c r="A12" s="891" t="s">
        <v>1902</v>
      </c>
      <c r="B12" s="874" t="s">
        <v>294</v>
      </c>
      <c r="D12" s="890"/>
      <c r="E12" s="877"/>
      <c r="F12" s="875"/>
      <c r="H12" s="877">
        <f>SUM(J12:N12)</f>
        <v>1960</v>
      </c>
      <c r="I12" s="872"/>
      <c r="J12" s="890"/>
      <c r="K12" s="890"/>
      <c r="L12" s="890"/>
      <c r="M12" s="890"/>
      <c r="N12" s="890">
        <v>1960</v>
      </c>
      <c r="O12" s="890"/>
      <c r="P12" s="890"/>
      <c r="Q12" s="890"/>
      <c r="R12" s="890"/>
      <c r="U12" s="888"/>
    </row>
    <row r="13" spans="1:21" ht="14.85" customHeight="1">
      <c r="A13" s="891" t="s">
        <v>1902</v>
      </c>
      <c r="B13" s="869" t="s">
        <v>295</v>
      </c>
      <c r="C13" s="19" t="s">
        <v>1897</v>
      </c>
      <c r="D13" s="876">
        <f>E13/1.07</f>
        <v>8795.3271028037379</v>
      </c>
      <c r="E13" s="876">
        <v>9411</v>
      </c>
      <c r="H13" s="877"/>
      <c r="I13" s="868">
        <f>SUM(J13:N13)</f>
        <v>1564</v>
      </c>
      <c r="J13" s="890"/>
      <c r="K13" s="890"/>
      <c r="L13" s="876"/>
      <c r="M13" s="890"/>
      <c r="N13" s="876">
        <v>1564</v>
      </c>
      <c r="O13" s="876">
        <v>210</v>
      </c>
      <c r="P13" s="876">
        <v>0</v>
      </c>
      <c r="Q13" s="912">
        <v>1260</v>
      </c>
      <c r="R13" s="868">
        <f>E13-I13</f>
        <v>7847</v>
      </c>
      <c r="U13" s="888">
        <v>5</v>
      </c>
    </row>
    <row r="14" spans="1:21" ht="14.85" customHeight="1">
      <c r="A14" s="891" t="s">
        <v>1902</v>
      </c>
      <c r="B14" s="881" t="s">
        <v>296</v>
      </c>
      <c r="C14" s="881" t="s">
        <v>296</v>
      </c>
      <c r="D14" s="882"/>
      <c r="E14" s="882"/>
      <c r="F14" s="882"/>
      <c r="G14" s="882"/>
      <c r="H14" s="884">
        <f>IFERROR(SUMPRODUCT(J12:N12,J14:N14)/SUM(J12:N12),0)</f>
        <v>2.8500000000000019</v>
      </c>
      <c r="I14" s="885"/>
      <c r="J14" s="892"/>
      <c r="K14" s="892"/>
      <c r="L14" s="879"/>
      <c r="M14" s="892"/>
      <c r="N14" s="879">
        <v>2.8500000000000019</v>
      </c>
      <c r="O14" s="879"/>
      <c r="P14" s="879">
        <v>0</v>
      </c>
      <c r="Q14" s="883">
        <v>3.058411214953269</v>
      </c>
      <c r="R14" s="883"/>
      <c r="S14" s="885"/>
      <c r="U14" s="888"/>
    </row>
    <row r="15" spans="1:21" ht="14.85" customHeight="1">
      <c r="A15" s="891" t="s">
        <v>1902</v>
      </c>
      <c r="B15" s="869" t="s">
        <v>297</v>
      </c>
      <c r="C15" s="19" t="s">
        <v>1898</v>
      </c>
      <c r="D15" s="877">
        <v>2.026705882352942</v>
      </c>
      <c r="E15" s="877">
        <f>IFERROR(E17*1000/E13,0)</f>
        <v>1.6100000000000005</v>
      </c>
      <c r="G15" s="869">
        <f>IFERROR(SUMPRODUCT(J13:N13,J14:N14)/I13,0)</f>
        <v>2.8500000000000023</v>
      </c>
      <c r="H15" s="869"/>
      <c r="I15" s="867">
        <f>IFERROR(SUMPRODUCT(J13:N13,J15:N15)/SUM(J13:N13),0)</f>
        <v>1.937109974424553</v>
      </c>
      <c r="J15" s="890"/>
      <c r="K15" s="890"/>
      <c r="L15" s="863"/>
      <c r="M15" s="890"/>
      <c r="N15" s="863">
        <v>1.937109974424553</v>
      </c>
      <c r="O15" s="863">
        <v>3.85</v>
      </c>
      <c r="P15" s="863">
        <v>0</v>
      </c>
      <c r="Q15" s="889">
        <f>Q14</f>
        <v>3.058411214953269</v>
      </c>
      <c r="R15" s="867">
        <f>E15</f>
        <v>1.6100000000000005</v>
      </c>
      <c r="S15" s="871">
        <f>IFERROR(Q15/I15,0)</f>
        <v>1.5788526492213304</v>
      </c>
      <c r="T15" t="s">
        <v>1903</v>
      </c>
      <c r="U15" s="888"/>
    </row>
    <row r="16" spans="1:21" ht="14.85" customHeight="1">
      <c r="A16" s="891" t="s">
        <v>1902</v>
      </c>
      <c r="B16" s="869" t="s">
        <v>298</v>
      </c>
      <c r="D16" s="877"/>
      <c r="E16" s="877"/>
      <c r="G16" s="869"/>
      <c r="H16" s="869">
        <f>SUM(J16:N16)</f>
        <v>5.5860000000000039</v>
      </c>
      <c r="I16" s="867"/>
      <c r="J16" s="890"/>
      <c r="K16" s="890"/>
      <c r="L16" s="863"/>
      <c r="M16" s="890"/>
      <c r="N16" s="863">
        <v>5.5860000000000039</v>
      </c>
      <c r="O16" s="863"/>
      <c r="P16" s="863"/>
      <c r="Q16" s="877"/>
      <c r="R16" s="867"/>
      <c r="S16" s="871"/>
      <c r="U16" s="888"/>
    </row>
    <row r="17" spans="1:21" ht="14.85" customHeight="1">
      <c r="A17" s="891" t="s">
        <v>1902</v>
      </c>
      <c r="B17" s="869" t="s">
        <v>299</v>
      </c>
      <c r="C17" s="19" t="s">
        <v>1899</v>
      </c>
      <c r="D17" s="890">
        <f>D13*D15/1000</f>
        <v>17.825541176470594</v>
      </c>
      <c r="E17" s="877">
        <f>D17*0.85</f>
        <v>15.151710000000005</v>
      </c>
      <c r="H17" s="877"/>
      <c r="I17" s="872">
        <f>SUM(J17:N17)</f>
        <v>3.0296400000000001</v>
      </c>
      <c r="J17" s="890">
        <f>J13*J15/1000</f>
        <v>0</v>
      </c>
      <c r="K17" s="890">
        <f>K13*K15/1000</f>
        <v>0</v>
      </c>
      <c r="L17" s="890">
        <f>L13*L15/1000</f>
        <v>0</v>
      </c>
      <c r="M17" s="890">
        <f>M13*M15/1000</f>
        <v>0</v>
      </c>
      <c r="N17" s="890">
        <v>3.0296400000000001</v>
      </c>
      <c r="O17" s="890">
        <v>0.8085</v>
      </c>
      <c r="P17" s="890">
        <f>P13*P15/1000</f>
        <v>0</v>
      </c>
      <c r="Q17" s="890">
        <f>Q13*Q15/1000</f>
        <v>3.8535981308411187</v>
      </c>
      <c r="R17" s="868">
        <f>E17-I17</f>
        <v>12.122070000000004</v>
      </c>
      <c r="U17" s="888"/>
    </row>
    <row r="18" spans="1:21" ht="14.85" customHeight="1">
      <c r="A18" s="893" t="s">
        <v>1904</v>
      </c>
      <c r="B18" s="874" t="s">
        <v>294</v>
      </c>
      <c r="D18" s="890"/>
      <c r="E18" s="877"/>
      <c r="F18" s="875"/>
      <c r="H18" s="877">
        <f>SUM(J18:N18)</f>
        <v>980</v>
      </c>
      <c r="I18" s="872"/>
      <c r="J18" s="890"/>
      <c r="K18" s="890"/>
      <c r="L18" s="890"/>
      <c r="M18" s="890"/>
      <c r="N18" s="890">
        <v>980</v>
      </c>
      <c r="O18" s="890"/>
      <c r="P18" s="890"/>
      <c r="Q18" s="890"/>
      <c r="R18" s="890"/>
      <c r="U18" s="888"/>
    </row>
    <row r="19" spans="1:21" ht="14.85" customHeight="1">
      <c r="A19" s="893" t="s">
        <v>1904</v>
      </c>
      <c r="B19" s="869" t="s">
        <v>295</v>
      </c>
      <c r="C19" s="19" t="s">
        <v>1897</v>
      </c>
      <c r="D19" s="876">
        <f>E19/1.07</f>
        <v>6351.4018691588781</v>
      </c>
      <c r="E19" s="876">
        <v>6796</v>
      </c>
      <c r="H19" s="877"/>
      <c r="I19" s="868">
        <f>SUM(J19:N19)</f>
        <v>0</v>
      </c>
      <c r="J19" s="890"/>
      <c r="K19" s="890"/>
      <c r="L19" s="876"/>
      <c r="M19" s="890"/>
      <c r="N19" s="876">
        <v>0</v>
      </c>
      <c r="O19" s="876"/>
      <c r="P19" s="876"/>
      <c r="U19" s="888"/>
    </row>
    <row r="20" spans="1:21" ht="14.85" customHeight="1">
      <c r="A20" s="893" t="s">
        <v>1904</v>
      </c>
      <c r="B20" s="881" t="s">
        <v>296</v>
      </c>
      <c r="C20" s="881" t="s">
        <v>296</v>
      </c>
      <c r="D20" s="882"/>
      <c r="E20" s="882"/>
      <c r="F20" s="882"/>
      <c r="G20" s="882"/>
      <c r="H20" s="884">
        <f>IFERROR(SUMPRODUCT(J18:N18,J20:N20)/SUM(J18:N18),0)</f>
        <v>1.81</v>
      </c>
      <c r="I20" s="887"/>
      <c r="J20" s="892"/>
      <c r="K20" s="892"/>
      <c r="L20" s="879"/>
      <c r="M20" s="892"/>
      <c r="N20" s="879">
        <v>1.81</v>
      </c>
      <c r="O20" s="879"/>
      <c r="P20" s="879"/>
      <c r="Q20" s="882"/>
      <c r="R20" s="882"/>
      <c r="S20" s="885"/>
      <c r="U20" s="888"/>
    </row>
    <row r="21" spans="1:21" ht="14.85" customHeight="1">
      <c r="A21" s="893" t="s">
        <v>1904</v>
      </c>
      <c r="B21" s="869" t="s">
        <v>297</v>
      </c>
      <c r="C21" s="19" t="s">
        <v>1898</v>
      </c>
      <c r="D21" s="877">
        <v>1.875647058823529</v>
      </c>
      <c r="E21" s="877">
        <f>IFERROR(E23*1000/E19,0)</f>
        <v>1.4899999999999995</v>
      </c>
      <c r="G21" s="869">
        <f>IFERROR(SUMPRODUCT(J19:N19,J20:N20)/I19,0)</f>
        <v>0</v>
      </c>
      <c r="H21" s="869"/>
      <c r="I21" s="867">
        <f>IFERROR(SUMPRODUCT(J19:N19,J21:N21)/SUM(J19:N19),0)</f>
        <v>0</v>
      </c>
      <c r="J21" s="890"/>
      <c r="K21" s="890"/>
      <c r="L21" s="863"/>
      <c r="M21" s="890"/>
      <c r="N21" s="863">
        <v>0</v>
      </c>
      <c r="O21" s="863"/>
      <c r="P21" s="863"/>
      <c r="Q21" s="547"/>
      <c r="S21" s="871">
        <f>IFERROR(Q21/I21,0)</f>
        <v>0</v>
      </c>
      <c r="U21" s="888"/>
    </row>
    <row r="22" spans="1:21" ht="14.85" customHeight="1">
      <c r="A22" s="893" t="s">
        <v>1904</v>
      </c>
      <c r="B22" s="869" t="s">
        <v>298</v>
      </c>
      <c r="D22" s="877"/>
      <c r="E22" s="877"/>
      <c r="G22" s="869"/>
      <c r="H22" s="869">
        <f>SUM(J22:N22)</f>
        <v>1.7738</v>
      </c>
      <c r="I22" s="867"/>
      <c r="J22" s="890"/>
      <c r="K22" s="890"/>
      <c r="L22" s="863"/>
      <c r="M22" s="890"/>
      <c r="N22" s="863">
        <v>1.7738</v>
      </c>
      <c r="O22" s="863"/>
      <c r="P22" s="863"/>
      <c r="S22" s="871"/>
      <c r="U22" s="888"/>
    </row>
    <row r="23" spans="1:21" ht="14.85" customHeight="1">
      <c r="A23" s="893" t="s">
        <v>1904</v>
      </c>
      <c r="B23" s="869" t="s">
        <v>299</v>
      </c>
      <c r="C23" s="19" t="s">
        <v>1899</v>
      </c>
      <c r="D23" s="890">
        <f>D19*D21/1000</f>
        <v>11.912988235294115</v>
      </c>
      <c r="E23" s="877">
        <f>D23*0.85</f>
        <v>10.126039999999998</v>
      </c>
      <c r="H23" s="877"/>
      <c r="I23" s="872">
        <f>SUM(J23:N23)</f>
        <v>0</v>
      </c>
      <c r="J23" s="890">
        <f>J19*J21/1000</f>
        <v>0</v>
      </c>
      <c r="K23" s="890">
        <f>K19*K21/1000</f>
        <v>0</v>
      </c>
      <c r="L23" s="890">
        <f>L19*L21/1000</f>
        <v>0</v>
      </c>
      <c r="M23" s="890">
        <f>M19*M21/1000</f>
        <v>0</v>
      </c>
      <c r="N23" s="890">
        <v>0</v>
      </c>
      <c r="O23" s="890"/>
      <c r="P23" s="890">
        <f>P19*P21/1000</f>
        <v>0</v>
      </c>
      <c r="U23" s="888"/>
    </row>
    <row r="24" spans="1:21" ht="14.85" customHeight="1">
      <c r="A24" s="894" t="s">
        <v>1665</v>
      </c>
      <c r="B24" s="874" t="s">
        <v>294</v>
      </c>
      <c r="D24" s="890"/>
      <c r="E24" s="877"/>
      <c r="F24" s="875"/>
      <c r="H24" s="877">
        <f>SUM(J24:N24)</f>
        <v>20825</v>
      </c>
      <c r="I24" s="872"/>
      <c r="J24" s="890">
        <v>2100</v>
      </c>
      <c r="K24" s="890">
        <v>4200</v>
      </c>
      <c r="L24" s="890">
        <v>5075</v>
      </c>
      <c r="M24" s="890">
        <v>6510</v>
      </c>
      <c r="N24" s="890">
        <v>2940</v>
      </c>
      <c r="O24" s="890"/>
      <c r="P24" s="890"/>
      <c r="Q24" s="890"/>
      <c r="R24" s="890"/>
      <c r="U24" s="888"/>
    </row>
    <row r="25" spans="1:21">
      <c r="A25" s="894" t="s">
        <v>1665</v>
      </c>
      <c r="B25" s="869" t="s">
        <v>295</v>
      </c>
      <c r="C25" s="19" t="s">
        <v>1897</v>
      </c>
      <c r="D25" s="876">
        <f>E25/1.07</f>
        <v>8264.4859813084113</v>
      </c>
      <c r="E25" s="876">
        <v>8843</v>
      </c>
      <c r="G25" s="914">
        <f>SUM(J25:N25,Q25)</f>
        <v>28536</v>
      </c>
      <c r="H25" s="877"/>
      <c r="I25" s="868">
        <f>SUM(J25:N25)</f>
        <v>25876</v>
      </c>
      <c r="J25" s="876">
        <v>3352</v>
      </c>
      <c r="K25" s="876">
        <v>4385</v>
      </c>
      <c r="L25" s="876">
        <v>6166</v>
      </c>
      <c r="M25" s="876">
        <v>6179</v>
      </c>
      <c r="N25" s="876">
        <v>5794</v>
      </c>
      <c r="O25" s="876">
        <v>1610</v>
      </c>
      <c r="P25" s="876">
        <v>1410</v>
      </c>
      <c r="Q25" s="912">
        <v>2660</v>
      </c>
      <c r="R25" s="868">
        <f>E25-I25</f>
        <v>-17033</v>
      </c>
      <c r="U25" s="895">
        <v>12</v>
      </c>
    </row>
    <row r="26" spans="1:21">
      <c r="A26" s="894" t="s">
        <v>1665</v>
      </c>
      <c r="B26" s="881" t="s">
        <v>296</v>
      </c>
      <c r="C26" s="881" t="s">
        <v>296</v>
      </c>
      <c r="D26" s="882"/>
      <c r="E26" s="882"/>
      <c r="F26" s="882"/>
      <c r="G26" s="882"/>
      <c r="H26" s="884">
        <f>IFERROR(SUMPRODUCT(J24:N24,J26:N26)/SUM(J24:N24),0)</f>
        <v>2.6618487394957975</v>
      </c>
      <c r="I26" s="885"/>
      <c r="J26" s="879">
        <v>1.64</v>
      </c>
      <c r="K26" s="879">
        <v>3.17</v>
      </c>
      <c r="L26" s="879">
        <v>2.4399999999999991</v>
      </c>
      <c r="M26" s="879">
        <v>2.4399999999999982</v>
      </c>
      <c r="N26" s="879">
        <v>3.54</v>
      </c>
      <c r="O26" s="879"/>
      <c r="P26" s="896">
        <v>2.0249858156028369</v>
      </c>
      <c r="Q26" s="883">
        <v>2.812149532710281</v>
      </c>
      <c r="R26" s="883"/>
      <c r="S26" s="885"/>
      <c r="U26" s="888"/>
    </row>
    <row r="27" spans="1:21">
      <c r="A27" s="894" t="s">
        <v>1665</v>
      </c>
      <c r="B27" s="869" t="s">
        <v>297</v>
      </c>
      <c r="C27" s="19" t="s">
        <v>1898</v>
      </c>
      <c r="D27" s="877">
        <v>2.3162352941176469</v>
      </c>
      <c r="E27" s="877">
        <f>IFERROR(E29*1000/E25,0)</f>
        <v>1.8399999999999999</v>
      </c>
      <c r="H27" s="869"/>
      <c r="I27" s="867">
        <f>IFERROR(SUMPRODUCT(J25:N25,J27:N27)/SUM(J25:N25),0)</f>
        <v>2.7902399041023904</v>
      </c>
      <c r="J27" s="863">
        <v>3.2528931260600982</v>
      </c>
      <c r="K27" s="863">
        <v>2.551391106043329</v>
      </c>
      <c r="L27" s="863">
        <v>2.0825186506649369</v>
      </c>
      <c r="M27" s="863">
        <v>3.260195824567083</v>
      </c>
      <c r="N27" s="863">
        <v>2.955322747670003</v>
      </c>
      <c r="O27" s="863">
        <v>3.3091304347826078</v>
      </c>
      <c r="P27" s="863">
        <v>2.0249858156028369</v>
      </c>
      <c r="Q27" s="889">
        <f>Q26</f>
        <v>2.812149532710281</v>
      </c>
      <c r="R27" s="867">
        <f>E27</f>
        <v>1.8399999999999999</v>
      </c>
      <c r="S27" s="871">
        <f>IFERROR(Q27/I27,0)</f>
        <v>1.007852238288069</v>
      </c>
      <c r="T27" t="s">
        <v>1905</v>
      </c>
      <c r="U27" s="888"/>
    </row>
    <row r="28" spans="1:21">
      <c r="A28" s="894" t="s">
        <v>1665</v>
      </c>
      <c r="B28" s="869" t="s">
        <v>298</v>
      </c>
      <c r="D28" s="877"/>
      <c r="E28" s="877"/>
      <c r="H28" s="869">
        <f>SUM(J28:N28)</f>
        <v>55.432999999999986</v>
      </c>
      <c r="I28" s="867"/>
      <c r="J28" s="863">
        <v>3.444</v>
      </c>
      <c r="K28" s="863">
        <v>13.314</v>
      </c>
      <c r="L28" s="863">
        <v>12.38299999999999</v>
      </c>
      <c r="M28" s="863">
        <v>15.884399999999991</v>
      </c>
      <c r="N28" s="863">
        <v>10.4076</v>
      </c>
      <c r="O28" s="863"/>
      <c r="P28" s="863"/>
      <c r="Q28" s="877"/>
      <c r="R28" s="867"/>
      <c r="S28" s="871"/>
      <c r="U28" s="888"/>
    </row>
    <row r="29" spans="1:21">
      <c r="A29" s="894" t="s">
        <v>1665</v>
      </c>
      <c r="B29" s="863" t="s">
        <v>299</v>
      </c>
      <c r="C29" s="19" t="s">
        <v>1899</v>
      </c>
      <c r="D29" s="890">
        <f>D25*D27/1000</f>
        <v>19.142494117647058</v>
      </c>
      <c r="E29" s="877">
        <f>D29*0.85</f>
        <v>16.27112</v>
      </c>
      <c r="G29" s="915">
        <f>SUM(J29,K29,L29,M29,N29)</f>
        <v>72.200247758553445</v>
      </c>
      <c r="H29" s="877"/>
      <c r="I29" s="872">
        <f>SUM(J29:N29)</f>
        <v>72.200247758553445</v>
      </c>
      <c r="J29" s="890">
        <v>10.90369775855345</v>
      </c>
      <c r="K29" s="890">
        <v>11.187849999999999</v>
      </c>
      <c r="L29" s="890">
        <v>12.840809999999999</v>
      </c>
      <c r="M29" s="890">
        <v>20.144749999999998</v>
      </c>
      <c r="N29" s="890">
        <v>17.123139999999999</v>
      </c>
      <c r="O29" s="890">
        <v>5.3276999999999992</v>
      </c>
      <c r="P29" s="863">
        <v>2.5126024</v>
      </c>
      <c r="Q29" s="890">
        <f>Q25*Q27/1000</f>
        <v>7.480317757009348</v>
      </c>
      <c r="R29" s="868">
        <f>E29-I29</f>
        <v>-55.929127758553449</v>
      </c>
      <c r="U29" s="888"/>
    </row>
    <row r="30" spans="1:21">
      <c r="A30" s="897" t="s">
        <v>1906</v>
      </c>
      <c r="B30" s="874" t="s">
        <v>294</v>
      </c>
      <c r="D30" s="890"/>
      <c r="E30" s="877"/>
      <c r="F30" s="875"/>
      <c r="H30" s="877">
        <f>SUM(J30:N30)</f>
        <v>0</v>
      </c>
      <c r="I30" s="872"/>
      <c r="J30" s="890"/>
      <c r="K30" s="890"/>
      <c r="L30" s="890"/>
      <c r="M30" s="890"/>
      <c r="N30" s="890"/>
      <c r="O30" s="890"/>
      <c r="P30" s="890"/>
      <c r="Q30" s="890"/>
      <c r="R30" s="890"/>
      <c r="U30" s="888"/>
    </row>
    <row r="31" spans="1:21">
      <c r="A31" s="897" t="s">
        <v>1906</v>
      </c>
      <c r="B31" s="869" t="s">
        <v>295</v>
      </c>
      <c r="C31" s="19" t="s">
        <v>1897</v>
      </c>
      <c r="D31" s="876">
        <f>E31/1.07</f>
        <v>8264.4859813084113</v>
      </c>
      <c r="E31" s="876">
        <v>8843</v>
      </c>
      <c r="G31" s="914">
        <f>SUM(J31:N31,Q31)</f>
        <v>4340</v>
      </c>
      <c r="H31" s="877"/>
      <c r="I31" s="868">
        <f>SUM(J31:N31)</f>
        <v>0</v>
      </c>
      <c r="J31" s="876"/>
      <c r="K31" s="876"/>
      <c r="L31" s="876"/>
      <c r="M31" s="876"/>
      <c r="N31" s="876"/>
      <c r="O31" s="876">
        <v>2240</v>
      </c>
      <c r="P31" s="876">
        <v>2218</v>
      </c>
      <c r="Q31" s="912">
        <v>4340</v>
      </c>
      <c r="R31" s="868">
        <f>E31-I31</f>
        <v>8843</v>
      </c>
      <c r="U31" s="888"/>
    </row>
    <row r="32" spans="1:21">
      <c r="A32" s="897" t="s">
        <v>1906</v>
      </c>
      <c r="B32" s="881" t="s">
        <v>296</v>
      </c>
      <c r="C32" s="881" t="s">
        <v>296</v>
      </c>
      <c r="D32" s="882"/>
      <c r="E32" s="882"/>
      <c r="F32" s="882"/>
      <c r="G32" s="882"/>
      <c r="H32" s="884">
        <f>IFERROR(SUMPRODUCT(J30:N30,J32:N32)/SUM(J30:N30),0)</f>
        <v>0</v>
      </c>
      <c r="I32" s="885"/>
      <c r="J32" s="879"/>
      <c r="K32" s="879"/>
      <c r="L32" s="879"/>
      <c r="M32" s="892"/>
      <c r="N32" s="879"/>
      <c r="O32" s="879"/>
      <c r="P32" s="896">
        <v>2.398552750225428</v>
      </c>
      <c r="Q32" s="883">
        <v>3.0584112149532698</v>
      </c>
      <c r="R32" s="883"/>
      <c r="S32" s="885"/>
      <c r="U32" s="888"/>
    </row>
    <row r="33" spans="1:21">
      <c r="A33" s="897" t="s">
        <v>1906</v>
      </c>
      <c r="B33" s="869" t="s">
        <v>297</v>
      </c>
      <c r="C33" s="19" t="s">
        <v>1898</v>
      </c>
      <c r="D33" s="877">
        <v>2.3162352941176469</v>
      </c>
      <c r="E33" s="877">
        <f>IFERROR(E35*1000/E31,0)</f>
        <v>1.8399999999999999</v>
      </c>
      <c r="G33" s="869">
        <f>IFERROR(SUMPRODUCT(J31:N31,J32:N32)/I31,0)</f>
        <v>0</v>
      </c>
      <c r="H33" s="869"/>
      <c r="I33" s="867">
        <f>IFERROR(SUMPRODUCT(J31:N31,J33:N33)/SUM(J31:N31),0)</f>
        <v>0</v>
      </c>
      <c r="J33" s="863"/>
      <c r="K33" s="863"/>
      <c r="L33" s="863"/>
      <c r="M33" s="890"/>
      <c r="N33" s="863"/>
      <c r="O33" s="863">
        <v>3.6093749999999996</v>
      </c>
      <c r="P33" s="863">
        <v>2.398552750225428</v>
      </c>
      <c r="Q33" s="889">
        <f>Q32</f>
        <v>3.0584112149532698</v>
      </c>
      <c r="R33" s="867">
        <f>E33</f>
        <v>1.8399999999999999</v>
      </c>
      <c r="S33" s="871">
        <f>IFERROR(Q33/I33,0)</f>
        <v>0</v>
      </c>
      <c r="T33" t="s">
        <v>1907</v>
      </c>
      <c r="U33" s="888"/>
    </row>
    <row r="34" spans="1:21">
      <c r="A34" s="897" t="s">
        <v>1906</v>
      </c>
      <c r="B34" s="869" t="s">
        <v>298</v>
      </c>
      <c r="D34" s="877"/>
      <c r="E34" s="877"/>
      <c r="G34" s="869"/>
      <c r="H34" s="869">
        <f>SUM(J34:N34)</f>
        <v>0</v>
      </c>
      <c r="I34" s="867"/>
      <c r="J34" s="863"/>
      <c r="K34" s="863"/>
      <c r="L34" s="863"/>
      <c r="M34" s="890"/>
      <c r="N34" s="863"/>
      <c r="O34" s="863"/>
      <c r="P34" s="863"/>
      <c r="Q34" s="877"/>
      <c r="R34" s="867"/>
      <c r="S34" s="871"/>
      <c r="U34" s="888"/>
    </row>
    <row r="35" spans="1:21">
      <c r="A35" s="897" t="s">
        <v>1906</v>
      </c>
      <c r="B35" s="863" t="s">
        <v>299</v>
      </c>
      <c r="C35" s="19" t="s">
        <v>1899</v>
      </c>
      <c r="D35" s="890">
        <f>D31*D33/1000</f>
        <v>19.142494117647058</v>
      </c>
      <c r="E35" s="877">
        <f>D35*0.85</f>
        <v>16.27112</v>
      </c>
      <c r="H35" s="877"/>
      <c r="I35" s="872">
        <f>SUM(J35:N35)</f>
        <v>0</v>
      </c>
      <c r="J35" s="890">
        <f>J31*J33/1000</f>
        <v>0</v>
      </c>
      <c r="K35" s="890">
        <f>K31*K33/1000</f>
        <v>0</v>
      </c>
      <c r="L35" s="890">
        <f>L31*L33/1000</f>
        <v>0</v>
      </c>
      <c r="M35" s="890">
        <f>M31*M33/1000</f>
        <v>0</v>
      </c>
      <c r="N35" s="890">
        <f>N31*N33/1000</f>
        <v>0</v>
      </c>
      <c r="O35" s="890">
        <v>8.0849999999999991</v>
      </c>
      <c r="P35" s="863">
        <v>4.6815911999999997</v>
      </c>
      <c r="Q35" s="890">
        <f>Q31*Q33/1000</f>
        <v>13.273504672897191</v>
      </c>
      <c r="R35" s="868">
        <f>E35-I35</f>
        <v>16.27112</v>
      </c>
      <c r="U35" s="888"/>
    </row>
    <row r="36" spans="1:21">
      <c r="A36" s="898" t="s">
        <v>1668</v>
      </c>
      <c r="B36" s="874" t="s">
        <v>294</v>
      </c>
      <c r="D36" s="890"/>
      <c r="E36" s="877"/>
      <c r="F36" s="875"/>
      <c r="H36" s="877">
        <f>SUM(J36:N36)</f>
        <v>3045</v>
      </c>
      <c r="I36" s="872"/>
      <c r="J36" s="890"/>
      <c r="K36" s="890"/>
      <c r="L36" s="890"/>
      <c r="M36" s="890">
        <v>1085</v>
      </c>
      <c r="N36" s="890">
        <v>1960</v>
      </c>
      <c r="O36" s="890"/>
      <c r="P36" s="890"/>
      <c r="Q36" s="890"/>
      <c r="R36" s="890"/>
      <c r="U36" s="888"/>
    </row>
    <row r="37" spans="1:21">
      <c r="A37" s="898" t="s">
        <v>1668</v>
      </c>
      <c r="B37" s="869" t="s">
        <v>295</v>
      </c>
      <c r="C37" s="19" t="s">
        <v>1897</v>
      </c>
      <c r="D37" s="876">
        <f>E37/1.07</f>
        <v>2378.5046728971961</v>
      </c>
      <c r="E37" s="876">
        <v>2545</v>
      </c>
      <c r="H37" s="877"/>
      <c r="I37" s="868">
        <f>SUM(J37:N37)</f>
        <v>2563</v>
      </c>
      <c r="J37" s="890"/>
      <c r="K37" s="890"/>
      <c r="L37" s="876"/>
      <c r="M37" s="876">
        <v>1458</v>
      </c>
      <c r="N37" s="876">
        <v>1105</v>
      </c>
      <c r="O37" s="876">
        <v>560</v>
      </c>
      <c r="P37" s="876">
        <v>518</v>
      </c>
      <c r="Q37" s="912">
        <v>1085</v>
      </c>
      <c r="R37" s="868">
        <f>E37-I37</f>
        <v>-18</v>
      </c>
      <c r="U37" s="888">
        <v>2.4</v>
      </c>
    </row>
    <row r="38" spans="1:21">
      <c r="A38" s="898" t="s">
        <v>1668</v>
      </c>
      <c r="B38" s="881" t="s">
        <v>296</v>
      </c>
      <c r="C38" s="881" t="s">
        <v>296</v>
      </c>
      <c r="D38" s="882"/>
      <c r="E38" s="882"/>
      <c r="F38" s="882"/>
      <c r="G38" s="882"/>
      <c r="H38" s="884">
        <f>IFERROR(SUMPRODUCT(J36:N36,J38:N38)/SUM(J36:N36),0)</f>
        <v>1.5986206896551718</v>
      </c>
      <c r="I38" s="885"/>
      <c r="J38" s="892"/>
      <c r="K38" s="892"/>
      <c r="L38" s="879"/>
      <c r="M38" s="879">
        <v>2.12</v>
      </c>
      <c r="N38" s="879">
        <v>1.3099999999999989</v>
      </c>
      <c r="O38" s="896">
        <v>518</v>
      </c>
      <c r="P38" s="896">
        <v>1.2822972972972972</v>
      </c>
      <c r="Q38" s="883">
        <v>1.6841121495327109</v>
      </c>
      <c r="R38" s="883"/>
      <c r="S38" s="885"/>
      <c r="U38" s="888"/>
    </row>
    <row r="39" spans="1:21">
      <c r="A39" s="898" t="s">
        <v>1668</v>
      </c>
      <c r="B39" s="863" t="s">
        <v>297</v>
      </c>
      <c r="C39" s="19" t="s">
        <v>1898</v>
      </c>
      <c r="D39" s="877">
        <v>0.503529411764706</v>
      </c>
      <c r="E39" s="877">
        <f>IFERROR(E41*1000/E37,0)</f>
        <v>0.4</v>
      </c>
      <c r="G39" s="869">
        <f>IFERROR(SUMPRODUCT(J37:N37,J38:N38)/I37,0)</f>
        <v>1.7707803355442835</v>
      </c>
      <c r="H39" s="869"/>
      <c r="I39" s="867">
        <f>IFERROR(SUMPRODUCT(J37:N37,J39:N39)/SUM(J37:N37),0)</f>
        <v>1.1345454545454545</v>
      </c>
      <c r="J39" s="890"/>
      <c r="K39" s="890"/>
      <c r="L39" s="863"/>
      <c r="M39" s="863">
        <v>1.211920438957476</v>
      </c>
      <c r="N39" s="863">
        <v>1.0324524886877831</v>
      </c>
      <c r="O39" s="863">
        <v>1.9875000000000005</v>
      </c>
      <c r="P39" s="876">
        <v>1.2822972972972972</v>
      </c>
      <c r="Q39" s="889">
        <f>Q38</f>
        <v>1.6841121495327109</v>
      </c>
      <c r="R39" s="867">
        <f>E39</f>
        <v>0.4</v>
      </c>
      <c r="S39" s="871">
        <f>IFERROR(Q39/I39,0)</f>
        <v>1.4843937215432548</v>
      </c>
      <c r="T39" t="s">
        <v>1908</v>
      </c>
      <c r="U39" s="888"/>
    </row>
    <row r="40" spans="1:21">
      <c r="A40" s="898" t="s">
        <v>1668</v>
      </c>
      <c r="B40" s="863" t="s">
        <v>298</v>
      </c>
      <c r="D40" s="877"/>
      <c r="E40" s="877"/>
      <c r="G40" s="869"/>
      <c r="H40" s="869">
        <f>SUM(J40:N40)</f>
        <v>4.8677999999999972</v>
      </c>
      <c r="I40" s="867"/>
      <c r="J40" s="890"/>
      <c r="K40" s="890"/>
      <c r="L40" s="863"/>
      <c r="M40" s="863">
        <v>2.3001999999999998</v>
      </c>
      <c r="N40" s="863">
        <v>2.5675999999999979</v>
      </c>
      <c r="O40" s="863"/>
      <c r="P40" s="876"/>
      <c r="Q40" s="877"/>
      <c r="R40" s="867"/>
      <c r="S40" s="871"/>
      <c r="U40" s="888"/>
    </row>
    <row r="41" spans="1:21">
      <c r="A41" s="898" t="s">
        <v>1668</v>
      </c>
      <c r="B41" s="863" t="s">
        <v>299</v>
      </c>
      <c r="C41" s="19" t="s">
        <v>1899</v>
      </c>
      <c r="D41" s="890">
        <f>D37*D39/1000</f>
        <v>1.1976470588235295</v>
      </c>
      <c r="E41" s="877">
        <f>D41*0.85</f>
        <v>1.018</v>
      </c>
      <c r="H41" s="877"/>
      <c r="I41" s="872">
        <f>SUM(J41:N41)</f>
        <v>2.9078400000000002</v>
      </c>
      <c r="J41" s="890">
        <f>J37*J39/1000</f>
        <v>0</v>
      </c>
      <c r="K41" s="890">
        <f>K37*K39/1000</f>
        <v>0</v>
      </c>
      <c r="L41" s="890">
        <f>L37*L39/1000</f>
        <v>0</v>
      </c>
      <c r="M41" s="890">
        <v>1.76698</v>
      </c>
      <c r="N41" s="890">
        <v>1.14086</v>
      </c>
      <c r="O41" s="890">
        <v>1.1130000000000002</v>
      </c>
      <c r="P41" s="876">
        <v>0.5845224</v>
      </c>
      <c r="Q41" s="890">
        <f>Q37*Q39/1000</f>
        <v>1.8272616822429915</v>
      </c>
      <c r="R41" s="868">
        <f>E41-I41</f>
        <v>-1.8898400000000002</v>
      </c>
      <c r="U41" s="888"/>
    </row>
    <row r="42" spans="1:21">
      <c r="A42" s="873" t="s">
        <v>1670</v>
      </c>
      <c r="B42" s="874" t="s">
        <v>294</v>
      </c>
      <c r="D42" s="890"/>
      <c r="E42" s="877"/>
      <c r="F42" s="875"/>
      <c r="H42" s="877">
        <f>SUM(J42:N42)</f>
        <v>6300</v>
      </c>
      <c r="I42" s="872"/>
      <c r="J42" s="890">
        <v>2100</v>
      </c>
      <c r="K42" s="890">
        <v>2100</v>
      </c>
      <c r="L42" s="890">
        <v>1015</v>
      </c>
      <c r="M42" s="890">
        <v>1085</v>
      </c>
      <c r="N42" s="890"/>
      <c r="O42" s="890"/>
      <c r="P42" s="890"/>
      <c r="Q42" s="890"/>
      <c r="R42" s="890"/>
      <c r="U42" s="888"/>
    </row>
    <row r="43" spans="1:21">
      <c r="A43" s="873" t="s">
        <v>1670</v>
      </c>
      <c r="B43" s="869" t="s">
        <v>295</v>
      </c>
      <c r="C43" s="19" t="s">
        <v>1897</v>
      </c>
      <c r="D43" s="876">
        <f>E43/1.07</f>
        <v>0</v>
      </c>
      <c r="E43" s="876">
        <v>0</v>
      </c>
      <c r="H43" s="877"/>
      <c r="I43" s="868">
        <f>SUM(J43:N43)</f>
        <v>4497.2</v>
      </c>
      <c r="J43" s="876">
        <v>1254</v>
      </c>
      <c r="K43" s="876">
        <v>1490.2</v>
      </c>
      <c r="L43" s="876">
        <v>999</v>
      </c>
      <c r="M43" s="876">
        <v>754</v>
      </c>
      <c r="N43" s="876"/>
      <c r="O43" s="876"/>
      <c r="P43" s="876">
        <v>518</v>
      </c>
      <c r="R43" s="868">
        <f>E43-I43</f>
        <v>-4497.2</v>
      </c>
      <c r="U43" s="888">
        <v>2.5</v>
      </c>
    </row>
    <row r="44" spans="1:21">
      <c r="A44" s="873" t="s">
        <v>1670</v>
      </c>
      <c r="B44" s="881" t="s">
        <v>296</v>
      </c>
      <c r="C44" s="881" t="s">
        <v>296</v>
      </c>
      <c r="D44" s="882"/>
      <c r="E44" s="882"/>
      <c r="F44" s="882"/>
      <c r="G44" s="882"/>
      <c r="H44" s="884">
        <f>IFERROR(SUMPRODUCT(J42:N42,J44:N44)/SUM(J42:N42),0)</f>
        <v>1.8966666666666661</v>
      </c>
      <c r="I44" s="887"/>
      <c r="J44" s="879">
        <v>1.659999999999999</v>
      </c>
      <c r="K44" s="879">
        <v>2.17</v>
      </c>
      <c r="L44" s="879">
        <v>1.859999999999999</v>
      </c>
      <c r="M44" s="879">
        <v>1.859999999999999</v>
      </c>
      <c r="N44" s="879"/>
      <c r="O44" s="879"/>
      <c r="P44" s="896">
        <v>83.950867200045408</v>
      </c>
      <c r="Q44" s="882"/>
      <c r="R44" s="883"/>
      <c r="S44" s="885"/>
      <c r="U44" s="888"/>
    </row>
    <row r="45" spans="1:21">
      <c r="A45" s="873" t="s">
        <v>1670</v>
      </c>
      <c r="B45" s="869" t="s">
        <v>297</v>
      </c>
      <c r="C45" s="19" t="s">
        <v>1898</v>
      </c>
      <c r="D45" s="877">
        <v>0</v>
      </c>
      <c r="E45" s="877">
        <f>IFERROR(E47*1000/E43,0)</f>
        <v>0</v>
      </c>
      <c r="G45" s="869">
        <f>IFERROR(SUMPRODUCT(J43:N43,J44:N44)/I43,0)</f>
        <v>1.9069541047763046</v>
      </c>
      <c r="H45" s="869"/>
      <c r="I45" s="867">
        <f>IFERROR(SUMPRODUCT(J43:N43,J45:N45)/SUM(J43:N43),0)</f>
        <v>1.940141244193663</v>
      </c>
      <c r="J45" s="863">
        <v>2.8425001621911821</v>
      </c>
      <c r="K45" s="863">
        <v>1.8793370017447319</v>
      </c>
      <c r="L45" s="863">
        <v>2.0098398398398389</v>
      </c>
      <c r="M45" s="863">
        <v>0.46722811671087527</v>
      </c>
      <c r="N45" s="863"/>
      <c r="O45" s="863"/>
      <c r="P45" s="876">
        <v>0</v>
      </c>
      <c r="Q45" s="547"/>
      <c r="R45" s="867">
        <f>E45</f>
        <v>0</v>
      </c>
      <c r="S45" s="871">
        <f>IFERROR(Q45/I45,0)</f>
        <v>0</v>
      </c>
      <c r="T45" t="s">
        <v>1909</v>
      </c>
      <c r="U45" s="888"/>
    </row>
    <row r="46" spans="1:21">
      <c r="A46" s="873" t="s">
        <v>1670</v>
      </c>
      <c r="B46" s="869" t="s">
        <v>298</v>
      </c>
      <c r="D46" s="877"/>
      <c r="E46" s="877"/>
      <c r="G46" s="869"/>
      <c r="H46" s="869">
        <f>SUM(J46:N46)</f>
        <v>11.948999999999998</v>
      </c>
      <c r="I46" s="867"/>
      <c r="J46" s="863">
        <v>3.4859999999999989</v>
      </c>
      <c r="K46" s="863">
        <v>4.5570000000000004</v>
      </c>
      <c r="L46" s="863">
        <v>1.887899999999999</v>
      </c>
      <c r="M46" s="863">
        <v>2.0181</v>
      </c>
      <c r="N46" s="863"/>
      <c r="O46" s="863"/>
      <c r="P46" s="876"/>
      <c r="R46" s="867"/>
      <c r="S46" s="871"/>
      <c r="U46" s="888"/>
    </row>
    <row r="47" spans="1:21">
      <c r="A47" s="873" t="s">
        <v>1670</v>
      </c>
      <c r="B47" s="869" t="s">
        <v>299</v>
      </c>
      <c r="C47" s="19" t="s">
        <v>1899</v>
      </c>
      <c r="D47" s="890">
        <f>D43*D45/1000</f>
        <v>0</v>
      </c>
      <c r="E47" s="877">
        <f>D47*0.85</f>
        <v>0</v>
      </c>
      <c r="H47" s="877"/>
      <c r="I47" s="872">
        <f>SUM(J47:N47)</f>
        <v>8.7252032033877391</v>
      </c>
      <c r="J47" s="890">
        <v>3.5644952033877408</v>
      </c>
      <c r="K47" s="890">
        <v>2.800587999999999</v>
      </c>
      <c r="L47" s="890">
        <v>2.0078299999999998</v>
      </c>
      <c r="M47" s="890">
        <v>0.35228999999999999</v>
      </c>
      <c r="N47" s="890">
        <f>N43*N45/1000</f>
        <v>0</v>
      </c>
      <c r="O47" s="890"/>
      <c r="P47" s="876">
        <v>0</v>
      </c>
      <c r="R47" s="868">
        <f>E47-I47</f>
        <v>-8.7252032033877391</v>
      </c>
      <c r="U47" s="888"/>
    </row>
    <row r="48" spans="1:21">
      <c r="A48" s="899" t="s">
        <v>1877</v>
      </c>
      <c r="B48" s="874" t="s">
        <v>294</v>
      </c>
      <c r="D48" s="890"/>
      <c r="E48" s="877"/>
      <c r="F48" s="875"/>
      <c r="H48" s="877">
        <f>SUM(J48:N48)</f>
        <v>10080</v>
      </c>
      <c r="I48" s="872"/>
      <c r="J48" s="890"/>
      <c r="K48" s="890"/>
      <c r="L48" s="890">
        <v>4060</v>
      </c>
      <c r="M48" s="890">
        <v>4060</v>
      </c>
      <c r="N48" s="890">
        <v>1960</v>
      </c>
      <c r="O48" s="890"/>
      <c r="P48" s="890"/>
      <c r="Q48" s="890"/>
      <c r="R48" s="890"/>
      <c r="U48" s="888"/>
    </row>
    <row r="49" spans="1:21">
      <c r="A49" s="899" t="s">
        <v>1877</v>
      </c>
      <c r="B49" s="863" t="s">
        <v>295</v>
      </c>
      <c r="C49" s="19" t="s">
        <v>1897</v>
      </c>
      <c r="D49" s="876">
        <f>E49/1.07</f>
        <v>2806.5420560747662</v>
      </c>
      <c r="E49" s="876">
        <v>3003</v>
      </c>
      <c r="H49" s="877"/>
      <c r="I49" s="868">
        <f>SUM(J49:N49)</f>
        <v>9845</v>
      </c>
      <c r="J49" s="876"/>
      <c r="K49" s="876"/>
      <c r="L49" s="876">
        <v>2601</v>
      </c>
      <c r="M49" s="876">
        <v>4555</v>
      </c>
      <c r="N49" s="876">
        <v>2689</v>
      </c>
      <c r="O49" s="876">
        <v>1120</v>
      </c>
      <c r="P49" s="876">
        <v>1530</v>
      </c>
      <c r="Q49" s="912">
        <v>2170</v>
      </c>
      <c r="R49" s="868">
        <f>E49-I49</f>
        <v>-6842</v>
      </c>
      <c r="U49" s="888">
        <v>3</v>
      </c>
    </row>
    <row r="50" spans="1:21">
      <c r="A50" s="899" t="s">
        <v>1877</v>
      </c>
      <c r="B50" s="881" t="s">
        <v>296</v>
      </c>
      <c r="C50" s="881" t="s">
        <v>296</v>
      </c>
      <c r="D50" s="882"/>
      <c r="E50" s="882"/>
      <c r="F50" s="882"/>
      <c r="G50" s="882"/>
      <c r="H50" s="884">
        <f>IFERROR(SUMPRODUCT(J48:N48,J50:N50)/SUM(J48:N48),0)</f>
        <v>1.8873611111111106</v>
      </c>
      <c r="I50" s="885"/>
      <c r="J50" s="879"/>
      <c r="K50" s="879"/>
      <c r="L50" s="879">
        <v>1.859999999999999</v>
      </c>
      <c r="M50" s="879">
        <v>2.0099999999999989</v>
      </c>
      <c r="N50" s="879">
        <v>1.6900000000000011</v>
      </c>
      <c r="O50" s="896">
        <v>1530</v>
      </c>
      <c r="P50" s="896">
        <v>1.4162418300653596</v>
      </c>
      <c r="Q50" s="883">
        <v>1.6900000000000011</v>
      </c>
      <c r="R50" s="883"/>
      <c r="S50" s="885"/>
      <c r="U50" s="888"/>
    </row>
    <row r="51" spans="1:21">
      <c r="A51" s="899" t="s">
        <v>1877</v>
      </c>
      <c r="B51" s="863" t="s">
        <v>297</v>
      </c>
      <c r="C51" s="19" t="s">
        <v>1898</v>
      </c>
      <c r="D51" s="877">
        <v>0.66717647058823537</v>
      </c>
      <c r="E51" s="877">
        <f>IFERROR(E53*1000/E49,0)</f>
        <v>0.53</v>
      </c>
      <c r="G51" s="869">
        <f>IFERROR(SUMPRODUCT(J49:N49,J50:N50)/I49,0)</f>
        <v>1.8829680040629757</v>
      </c>
      <c r="H51" s="869"/>
      <c r="I51" s="867">
        <f>IFERROR(SUMPRODUCT(J49:N49,J51:N51)/SUM(J49:N49),0)</f>
        <v>1.9172361604875574</v>
      </c>
      <c r="J51" s="863"/>
      <c r="K51" s="863"/>
      <c r="L51" s="863">
        <v>1.7308073817762399</v>
      </c>
      <c r="M51" s="863">
        <v>1.8785049396267841</v>
      </c>
      <c r="N51" s="863">
        <v>2.1631721829676458</v>
      </c>
      <c r="O51" s="863">
        <v>1.9944485294117653</v>
      </c>
      <c r="P51" s="876">
        <v>1.4162418300653596</v>
      </c>
      <c r="Q51" s="889">
        <f>Q50</f>
        <v>1.6900000000000011</v>
      </c>
      <c r="R51" s="867">
        <f>E51</f>
        <v>0.53</v>
      </c>
      <c r="S51" s="871">
        <f>IFERROR(Q51/I51,0)</f>
        <v>0.88147721956706171</v>
      </c>
      <c r="T51" t="s">
        <v>1910</v>
      </c>
      <c r="U51" s="888"/>
    </row>
    <row r="52" spans="1:21">
      <c r="A52" s="899" t="s">
        <v>1877</v>
      </c>
      <c r="B52" s="863" t="s">
        <v>298</v>
      </c>
      <c r="D52" s="877"/>
      <c r="E52" s="877"/>
      <c r="G52" s="869"/>
      <c r="H52" s="869">
        <f>SUM(J52:N52)</f>
        <v>19.024599999999996</v>
      </c>
      <c r="I52" s="867"/>
      <c r="J52" s="863"/>
      <c r="K52" s="863"/>
      <c r="L52" s="863">
        <v>7.5515999999999979</v>
      </c>
      <c r="M52" s="863">
        <v>8.160599999999997</v>
      </c>
      <c r="N52" s="863">
        <v>3.3124000000000011</v>
      </c>
      <c r="O52" s="863"/>
      <c r="P52" s="876"/>
      <c r="Q52" s="877"/>
      <c r="R52" s="867"/>
      <c r="S52" s="871"/>
      <c r="U52" s="888"/>
    </row>
    <row r="53" spans="1:21">
      <c r="A53" s="899" t="s">
        <v>1877</v>
      </c>
      <c r="B53" s="863" t="s">
        <v>299</v>
      </c>
      <c r="C53" s="19" t="s">
        <v>1899</v>
      </c>
      <c r="D53" s="890">
        <f>D49*D51/1000</f>
        <v>1.8724588235294117</v>
      </c>
      <c r="E53" s="877">
        <f>D53*0.85</f>
        <v>1.5915899999999998</v>
      </c>
      <c r="H53" s="877"/>
      <c r="I53" s="872">
        <f>SUM(J53:N53)</f>
        <v>18.87519</v>
      </c>
      <c r="J53" s="890">
        <f>J49*J51/1000</f>
        <v>0</v>
      </c>
      <c r="K53" s="890">
        <f>K49*K51/1000</f>
        <v>0</v>
      </c>
      <c r="L53" s="890">
        <v>4.50183</v>
      </c>
      <c r="M53" s="890">
        <v>8.5565899999999999</v>
      </c>
      <c r="N53" s="890">
        <v>5.81677</v>
      </c>
      <c r="O53" s="890">
        <v>2.2337823529411773</v>
      </c>
      <c r="P53" s="876">
        <v>1.9068280000000002</v>
      </c>
      <c r="Q53" s="890">
        <f>Q49*Q51/1000</f>
        <v>3.6673000000000027</v>
      </c>
      <c r="R53" s="868">
        <f>E53-I53</f>
        <v>-17.2836</v>
      </c>
      <c r="U53" s="888"/>
    </row>
    <row r="54" spans="1:21">
      <c r="A54" s="900" t="s">
        <v>1671</v>
      </c>
      <c r="B54" s="874" t="s">
        <v>294</v>
      </c>
      <c r="D54" s="890"/>
      <c r="E54" s="877"/>
      <c r="F54" s="875"/>
      <c r="H54" s="877">
        <f>SUM(J54:N54)</f>
        <v>7175</v>
      </c>
      <c r="I54" s="872"/>
      <c r="J54" s="890"/>
      <c r="K54" s="890"/>
      <c r="L54" s="890">
        <v>0</v>
      </c>
      <c r="M54" s="890">
        <v>3255</v>
      </c>
      <c r="N54" s="890">
        <v>3920</v>
      </c>
      <c r="O54" s="890"/>
      <c r="P54" s="890"/>
      <c r="Q54" s="890"/>
      <c r="R54" s="890"/>
      <c r="U54" s="888"/>
    </row>
    <row r="55" spans="1:21">
      <c r="A55" s="900" t="s">
        <v>1671</v>
      </c>
      <c r="B55" s="863" t="s">
        <v>295</v>
      </c>
      <c r="C55" s="19" t="s">
        <v>1897</v>
      </c>
      <c r="D55" s="876">
        <f>E55/1.07</f>
        <v>4451.4018691588781</v>
      </c>
      <c r="E55" s="876">
        <v>4763</v>
      </c>
      <c r="H55" s="877"/>
      <c r="I55" s="868">
        <f>SUM(J55:N55)</f>
        <v>4439.5</v>
      </c>
      <c r="J55" s="876"/>
      <c r="K55" s="876"/>
      <c r="L55" s="876">
        <v>227</v>
      </c>
      <c r="M55" s="876">
        <v>2609.5</v>
      </c>
      <c r="N55" s="876">
        <v>1603</v>
      </c>
      <c r="O55" s="876">
        <v>70</v>
      </c>
      <c r="P55" s="876">
        <v>201</v>
      </c>
      <c r="Q55" s="912">
        <v>1120</v>
      </c>
      <c r="R55" s="868">
        <f>E55-I55</f>
        <v>323.5</v>
      </c>
      <c r="U55" s="888"/>
    </row>
    <row r="56" spans="1:21">
      <c r="A56" s="900" t="s">
        <v>1671</v>
      </c>
      <c r="B56" s="881" t="s">
        <v>296</v>
      </c>
      <c r="C56" s="881" t="s">
        <v>296</v>
      </c>
      <c r="D56" s="882"/>
      <c r="E56" s="882"/>
      <c r="F56" s="882"/>
      <c r="G56" s="882"/>
      <c r="H56" s="884">
        <f>IFERROR(SUMPRODUCT(J54:N54,J56:N56)/SUM(J54:N54),0)</f>
        <v>2.3845853658536584</v>
      </c>
      <c r="I56" s="885"/>
      <c r="J56" s="879"/>
      <c r="K56" s="879"/>
      <c r="L56" s="879">
        <v>0</v>
      </c>
      <c r="M56" s="879">
        <v>1.8</v>
      </c>
      <c r="N56" s="879">
        <v>2.8699999999999992</v>
      </c>
      <c r="O56" s="896">
        <v>201</v>
      </c>
      <c r="P56" s="896">
        <v>1.1833830845771145</v>
      </c>
      <c r="Q56" s="883">
        <v>1.604672897196262</v>
      </c>
      <c r="R56" s="883"/>
      <c r="S56" s="885"/>
      <c r="U56" s="888"/>
    </row>
    <row r="57" spans="1:21">
      <c r="A57" s="900" t="s">
        <v>1671</v>
      </c>
      <c r="B57" s="863" t="s">
        <v>297</v>
      </c>
      <c r="C57" s="19" t="s">
        <v>1898</v>
      </c>
      <c r="D57" s="877">
        <v>4.1415294117647061</v>
      </c>
      <c r="E57" s="877">
        <f>IFERROR(E59*1000/E55,0)</f>
        <v>3.29</v>
      </c>
      <c r="G57" s="869">
        <f>IFERROR(SUMPRODUCT(J55:N55,J56:N56)/I55,0)</f>
        <v>2.094314675076022</v>
      </c>
      <c r="H57" s="869"/>
      <c r="I57" s="867">
        <f>IFERROR(SUMPRODUCT(J55:N55,J57:N57)/SUM(J55:N55),0)</f>
        <v>2.3976607726095276</v>
      </c>
      <c r="J57" s="863"/>
      <c r="K57" s="863"/>
      <c r="L57" s="863">
        <v>3.1389427312775329</v>
      </c>
      <c r="M57" s="863">
        <v>2.426811649741329</v>
      </c>
      <c r="N57" s="863">
        <v>2.2452339363693068</v>
      </c>
      <c r="O57" s="863">
        <v>2.02</v>
      </c>
      <c r="P57" s="863">
        <v>1.1833830845771145</v>
      </c>
      <c r="Q57" s="889">
        <f>Q56</f>
        <v>1.604672897196262</v>
      </c>
      <c r="R57" s="867">
        <f>E57</f>
        <v>3.29</v>
      </c>
      <c r="S57" s="871">
        <f>IFERROR(Q57/I57,0)</f>
        <v>0.66926602609000185</v>
      </c>
      <c r="T57" t="s">
        <v>1911</v>
      </c>
      <c r="U57" s="888">
        <v>5.5</v>
      </c>
    </row>
    <row r="58" spans="1:21">
      <c r="A58" s="900" t="s">
        <v>1671</v>
      </c>
      <c r="B58" s="863" t="s">
        <v>298</v>
      </c>
      <c r="D58" s="877"/>
      <c r="E58" s="877"/>
      <c r="G58" s="869"/>
      <c r="H58" s="869">
        <f>SUM(J58:N58)</f>
        <v>17.109400000000001</v>
      </c>
      <c r="I58" s="867"/>
      <c r="J58" s="863"/>
      <c r="K58" s="863"/>
      <c r="L58" s="863">
        <v>0</v>
      </c>
      <c r="M58" s="863">
        <v>5.8590000000000009</v>
      </c>
      <c r="N58" s="863">
        <v>11.250400000000001</v>
      </c>
      <c r="O58" s="863"/>
      <c r="P58" s="863"/>
      <c r="Q58" s="877"/>
      <c r="R58" s="867"/>
      <c r="S58" s="871"/>
      <c r="U58" s="888"/>
    </row>
    <row r="59" spans="1:21">
      <c r="A59" s="900" t="s">
        <v>1671</v>
      </c>
      <c r="B59" s="863" t="s">
        <v>299</v>
      </c>
      <c r="C59" s="19" t="s">
        <v>1899</v>
      </c>
      <c r="D59" s="890">
        <f>D55*D57/1000</f>
        <v>18.435611764705882</v>
      </c>
      <c r="E59" s="877">
        <f>D59*0.85</f>
        <v>15.67027</v>
      </c>
      <c r="H59" s="877"/>
      <c r="I59" s="872">
        <f>SUM(J59:N59)</f>
        <v>10.644414999999999</v>
      </c>
      <c r="J59" s="890">
        <f>J55*J57/1000</f>
        <v>0</v>
      </c>
      <c r="K59" s="890">
        <f>K55*K57/1000</f>
        <v>0</v>
      </c>
      <c r="L59" s="890">
        <v>0.71253999999999995</v>
      </c>
      <c r="M59" s="890">
        <v>6.3327649999999993</v>
      </c>
      <c r="N59" s="890">
        <v>3.5991099999999991</v>
      </c>
      <c r="O59" s="890">
        <v>0.1414</v>
      </c>
      <c r="P59" s="863">
        <v>0.20931680000000003</v>
      </c>
      <c r="Q59" s="890">
        <f>Q55*Q57/1000</f>
        <v>1.7972336448598134</v>
      </c>
      <c r="R59" s="868">
        <f>E59-I59</f>
        <v>5.0258550000000017</v>
      </c>
      <c r="U59" s="888"/>
    </row>
    <row r="60" spans="1:21">
      <c r="A60" s="901" t="s">
        <v>1675</v>
      </c>
      <c r="B60" s="874" t="s">
        <v>294</v>
      </c>
      <c r="D60" s="890"/>
      <c r="E60" s="877"/>
      <c r="F60" s="875"/>
      <c r="H60" s="877">
        <f>SUM(J60:N60)</f>
        <v>6440</v>
      </c>
      <c r="I60" s="872"/>
      <c r="J60" s="890"/>
      <c r="K60" s="890"/>
      <c r="L60" s="890">
        <v>1400</v>
      </c>
      <c r="M60" s="890">
        <v>2100</v>
      </c>
      <c r="N60" s="890">
        <v>2940</v>
      </c>
      <c r="O60" s="890"/>
      <c r="P60" s="890"/>
      <c r="Q60" s="890"/>
      <c r="R60" s="890"/>
      <c r="U60" s="888"/>
    </row>
    <row r="61" spans="1:21">
      <c r="A61" s="901" t="s">
        <v>1675</v>
      </c>
      <c r="B61" s="863" t="s">
        <v>295</v>
      </c>
      <c r="C61" s="19" t="s">
        <v>1897</v>
      </c>
      <c r="D61" s="876">
        <f>E61/1.07</f>
        <v>40908.411214953267</v>
      </c>
      <c r="E61" s="876">
        <v>43772</v>
      </c>
      <c r="H61" s="877"/>
      <c r="I61" s="868">
        <f>SUM(J61:N61)</f>
        <v>7103</v>
      </c>
      <c r="K61" s="876"/>
      <c r="L61" s="876">
        <v>731.8</v>
      </c>
      <c r="M61" s="876">
        <v>2028.2</v>
      </c>
      <c r="N61" s="876">
        <v>4343</v>
      </c>
      <c r="O61" s="876">
        <v>1120</v>
      </c>
      <c r="P61" s="876">
        <v>1663.3999999999999</v>
      </c>
      <c r="Q61" s="912">
        <v>2170</v>
      </c>
      <c r="R61" s="868">
        <f>E61-I61</f>
        <v>36669</v>
      </c>
      <c r="U61" s="888">
        <v>3.6</v>
      </c>
    </row>
    <row r="62" spans="1:21">
      <c r="A62" s="901" t="s">
        <v>1675</v>
      </c>
      <c r="B62" s="881" t="s">
        <v>296</v>
      </c>
      <c r="C62" s="881" t="s">
        <v>296</v>
      </c>
      <c r="D62" s="882"/>
      <c r="E62" s="882"/>
      <c r="F62" s="882"/>
      <c r="G62" s="882"/>
      <c r="H62" s="884">
        <f>IFERROR(SUMPRODUCT(J60:N60,J62:N62)/SUM(J60:N60),0)</f>
        <v>2.9665217391304348</v>
      </c>
      <c r="I62" s="885"/>
      <c r="J62" s="882"/>
      <c r="K62" s="879"/>
      <c r="L62" s="879">
        <v>2.120000000000001</v>
      </c>
      <c r="M62" s="879">
        <v>3.161999999999999</v>
      </c>
      <c r="N62" s="879">
        <v>3.23</v>
      </c>
      <c r="O62" s="879"/>
      <c r="P62" s="896">
        <v>2.8809372369844901</v>
      </c>
      <c r="Q62" s="883">
        <v>3.0901869158878492</v>
      </c>
      <c r="R62" s="883"/>
      <c r="S62" s="885"/>
      <c r="U62" s="888"/>
    </row>
    <row r="63" spans="1:21">
      <c r="A63" s="901" t="s">
        <v>1675</v>
      </c>
      <c r="B63" s="863" t="s">
        <v>297</v>
      </c>
      <c r="C63" s="19" t="s">
        <v>1898</v>
      </c>
      <c r="D63" s="877">
        <v>3.5372941176470589</v>
      </c>
      <c r="E63" s="877">
        <f>IFERROR(E65*1000/E61,0)</f>
        <v>2.8099999999999996</v>
      </c>
      <c r="G63" s="869">
        <f>IFERROR(SUMPRODUCT(J61:N61,J62:N62)/I61,0)</f>
        <v>3.0962233422497536</v>
      </c>
      <c r="H63" s="869"/>
      <c r="I63" s="867">
        <f>IFERROR(SUMPRODUCT(J61:N61,J63:N63)/SUM(J61:N61),0)</f>
        <v>3.3553236660565955</v>
      </c>
      <c r="K63" s="863"/>
      <c r="L63" s="863">
        <v>1.854528559715769</v>
      </c>
      <c r="M63" s="863">
        <v>3.1833892121092591</v>
      </c>
      <c r="N63" s="863">
        <v>3.6885033387059631</v>
      </c>
      <c r="O63" s="863">
        <v>3.89</v>
      </c>
      <c r="P63" s="863">
        <v>2.8809372369844901</v>
      </c>
      <c r="Q63" s="889">
        <v>3.0901869158878492</v>
      </c>
      <c r="R63" s="867">
        <f>E63</f>
        <v>2.8099999999999996</v>
      </c>
      <c r="S63" s="871">
        <f>IFERROR(Q63/I63,0)</f>
        <v>0.92098027595640186</v>
      </c>
      <c r="T63" t="s">
        <v>1912</v>
      </c>
      <c r="U63" s="888"/>
    </row>
    <row r="64" spans="1:21">
      <c r="A64" s="901" t="s">
        <v>1675</v>
      </c>
      <c r="B64" s="863" t="s">
        <v>298</v>
      </c>
      <c r="D64" s="877"/>
      <c r="E64" s="877"/>
      <c r="G64" s="869"/>
      <c r="H64" s="869">
        <f>SUM(J64:N64)</f>
        <v>19.104399999999998</v>
      </c>
      <c r="I64" s="867"/>
      <c r="K64" s="863"/>
      <c r="L64" s="863">
        <v>2.9680000000000009</v>
      </c>
      <c r="M64" s="863">
        <v>6.6401999999999974</v>
      </c>
      <c r="N64" s="863">
        <v>9.4962</v>
      </c>
      <c r="O64" s="863"/>
      <c r="P64" s="863"/>
      <c r="Q64" s="877"/>
      <c r="R64" s="867"/>
      <c r="S64" s="871"/>
      <c r="U64" s="888"/>
    </row>
    <row r="65" spans="1:21">
      <c r="A65" s="901" t="s">
        <v>1675</v>
      </c>
      <c r="B65" s="863" t="s">
        <v>299</v>
      </c>
      <c r="C65" s="19" t="s">
        <v>1899</v>
      </c>
      <c r="D65" s="890">
        <f>D61*D63/1000</f>
        <v>144.70508235294116</v>
      </c>
      <c r="E65" s="877">
        <f>D65*0.85</f>
        <v>122.99931999999998</v>
      </c>
      <c r="H65" s="877"/>
      <c r="I65" s="872">
        <f>SUM(J65:N65)</f>
        <v>23.832863999999997</v>
      </c>
      <c r="J65" s="890">
        <f>J61*J63/1000</f>
        <v>0</v>
      </c>
      <c r="K65" s="890">
        <f>K61*K63/1000</f>
        <v>0</v>
      </c>
      <c r="L65" s="890">
        <v>1.3571439999999999</v>
      </c>
      <c r="M65" s="890">
        <v>6.4565499999999991</v>
      </c>
      <c r="N65" s="890">
        <v>16.019169999999999</v>
      </c>
      <c r="O65" s="890">
        <v>4.3567999999999998</v>
      </c>
      <c r="P65" s="863">
        <v>4.21709288</v>
      </c>
      <c r="Q65" s="890">
        <f>Q61*Q63/1000</f>
        <v>6.7057056074766326</v>
      </c>
      <c r="R65" s="868">
        <f>E65-I65</f>
        <v>99.166455999999982</v>
      </c>
      <c r="U65" s="888"/>
    </row>
    <row r="66" spans="1:21">
      <c r="A66" s="902" t="s">
        <v>1676</v>
      </c>
      <c r="B66" s="874" t="s">
        <v>294</v>
      </c>
      <c r="D66" s="890"/>
      <c r="E66" s="877"/>
      <c r="F66" s="875"/>
      <c r="H66" s="877">
        <f>SUM(J66:N66)</f>
        <v>0</v>
      </c>
      <c r="I66" s="872"/>
      <c r="J66" s="890"/>
      <c r="K66" s="890"/>
      <c r="L66" s="890"/>
      <c r="M66" s="890"/>
      <c r="N66" s="890"/>
      <c r="O66" s="890"/>
      <c r="P66" s="890"/>
      <c r="Q66" s="890"/>
      <c r="R66" s="890"/>
      <c r="U66" s="888"/>
    </row>
    <row r="67" spans="1:21">
      <c r="A67" s="902" t="s">
        <v>1676</v>
      </c>
      <c r="B67" s="863" t="s">
        <v>295</v>
      </c>
      <c r="C67" s="19" t="s">
        <v>1897</v>
      </c>
      <c r="D67" s="876">
        <f>E67/1.07</f>
        <v>33295.327102803734</v>
      </c>
      <c r="E67" s="876">
        <v>35626</v>
      </c>
      <c r="H67" s="877"/>
      <c r="I67" s="868">
        <f>SUM(J67:N67)</f>
        <v>0</v>
      </c>
      <c r="K67" s="876"/>
      <c r="L67" s="890"/>
      <c r="M67" s="876"/>
      <c r="N67" s="876"/>
      <c r="O67" s="876">
        <v>1680</v>
      </c>
      <c r="P67" s="876">
        <v>1439.1</v>
      </c>
      <c r="Q67" s="912">
        <v>3255</v>
      </c>
      <c r="R67" s="868">
        <f>E67-I67</f>
        <v>35626</v>
      </c>
      <c r="U67" s="888">
        <v>4</v>
      </c>
    </row>
    <row r="68" spans="1:21">
      <c r="A68" s="902" t="s">
        <v>1676</v>
      </c>
      <c r="B68" s="881" t="s">
        <v>296</v>
      </c>
      <c r="C68" s="881" t="s">
        <v>296</v>
      </c>
      <c r="D68" s="882"/>
      <c r="E68" s="882"/>
      <c r="F68" s="882"/>
      <c r="G68" s="882"/>
      <c r="H68" s="884">
        <f>IFERROR(SUMPRODUCT(J66:N66,J68:N68)/SUM(J66:N66),0)</f>
        <v>0</v>
      </c>
      <c r="I68" s="885"/>
      <c r="J68" s="882"/>
      <c r="K68" s="879"/>
      <c r="L68" s="892"/>
      <c r="M68" s="879"/>
      <c r="N68" s="879"/>
      <c r="O68" s="879"/>
      <c r="P68" s="896">
        <v>2.0655562504342999</v>
      </c>
      <c r="Q68" s="883">
        <v>3.0901869158878479</v>
      </c>
      <c r="R68" s="883"/>
      <c r="S68" s="885"/>
      <c r="U68" s="888"/>
    </row>
    <row r="69" spans="1:21">
      <c r="A69" s="902" t="s">
        <v>1676</v>
      </c>
      <c r="B69" s="863" t="s">
        <v>297</v>
      </c>
      <c r="C69" s="19" t="s">
        <v>1898</v>
      </c>
      <c r="D69" s="877">
        <v>3.5372941176470589</v>
      </c>
      <c r="E69" s="877">
        <v>3.54</v>
      </c>
      <c r="G69" s="869">
        <f>IFERROR(SUMPRODUCT(J67:N67,J68:N68)/I67,0)</f>
        <v>0</v>
      </c>
      <c r="H69" s="869"/>
      <c r="I69" s="867">
        <f>IFERROR(SUMPRODUCT(J67:N67,J69:N69)/SUM(J67:N67),0)</f>
        <v>0</v>
      </c>
      <c r="K69" s="863"/>
      <c r="L69" s="890"/>
      <c r="M69" s="863"/>
      <c r="N69" s="863"/>
      <c r="O69" s="863">
        <v>3.8900000000000015</v>
      </c>
      <c r="P69" s="863">
        <v>2.0655562504342999</v>
      </c>
      <c r="Q69" s="889">
        <v>3.0901869158878479</v>
      </c>
      <c r="R69" s="867">
        <f>E69</f>
        <v>3.54</v>
      </c>
      <c r="S69" s="871">
        <f>IFERROR(Q69/I69,0)</f>
        <v>0</v>
      </c>
      <c r="T69" t="s">
        <v>1913</v>
      </c>
      <c r="U69" s="888"/>
    </row>
    <row r="70" spans="1:21">
      <c r="A70" s="902" t="s">
        <v>1676</v>
      </c>
      <c r="B70" s="863" t="s">
        <v>298</v>
      </c>
      <c r="D70" s="877"/>
      <c r="E70" s="877"/>
      <c r="G70" s="869"/>
      <c r="H70" s="869">
        <f>SUM(J70:N70)</f>
        <v>0</v>
      </c>
      <c r="I70" s="867"/>
      <c r="K70" s="863"/>
      <c r="L70" s="890"/>
      <c r="M70" s="863"/>
      <c r="N70" s="863"/>
      <c r="O70" s="863"/>
      <c r="P70" s="863"/>
      <c r="Q70" s="877"/>
      <c r="R70" s="867"/>
      <c r="S70" s="871"/>
      <c r="U70" s="888"/>
    </row>
    <row r="71" spans="1:21">
      <c r="A71" s="902" t="s">
        <v>1676</v>
      </c>
      <c r="B71" s="863" t="s">
        <v>299</v>
      </c>
      <c r="C71" s="19" t="s">
        <v>1899</v>
      </c>
      <c r="D71" s="890">
        <f>D67*D69/1000</f>
        <v>117.77536470588234</v>
      </c>
      <c r="E71" s="877">
        <f>D71*0.85</f>
        <v>100.10905999999999</v>
      </c>
      <c r="H71" s="877"/>
      <c r="I71" s="872">
        <f>SUM(J71:N71)</f>
        <v>0</v>
      </c>
      <c r="J71" s="890">
        <f>J67*J69/1000</f>
        <v>0</v>
      </c>
      <c r="K71" s="890">
        <f>K67*K69/1000</f>
        <v>0</v>
      </c>
      <c r="L71" s="890">
        <f>L67*L69/1000</f>
        <v>0</v>
      </c>
      <c r="M71" s="890">
        <f>M67*M69/1000</f>
        <v>0</v>
      </c>
      <c r="N71" s="890">
        <f>N67*N69/1000</f>
        <v>0</v>
      </c>
      <c r="O71" s="890">
        <v>6.5352000000000023</v>
      </c>
      <c r="P71" s="863">
        <v>2.6158369600000007</v>
      </c>
      <c r="Q71" s="890">
        <f>Q67*Q69/1000</f>
        <v>10.058558411214944</v>
      </c>
      <c r="R71" s="868">
        <f>E71-I71</f>
        <v>100.10905999999999</v>
      </c>
      <c r="U71" s="888"/>
    </row>
    <row r="72" spans="1:21">
      <c r="A72" s="873" t="s">
        <v>1677</v>
      </c>
      <c r="B72" s="874" t="s">
        <v>294</v>
      </c>
      <c r="D72" s="890"/>
      <c r="E72" s="877"/>
      <c r="F72" s="875"/>
      <c r="H72" s="877">
        <f>SUM(J72:N72)</f>
        <v>0</v>
      </c>
      <c r="I72" s="872"/>
      <c r="J72" s="890"/>
      <c r="K72" s="890"/>
      <c r="L72" s="890"/>
      <c r="M72" s="890"/>
      <c r="N72" s="890"/>
      <c r="O72" s="890"/>
      <c r="P72" s="890"/>
      <c r="Q72" s="890"/>
      <c r="R72" s="890"/>
      <c r="U72" s="888"/>
    </row>
    <row r="73" spans="1:21">
      <c r="A73" s="873" t="s">
        <v>1677</v>
      </c>
      <c r="B73" s="863" t="s">
        <v>295</v>
      </c>
      <c r="C73" s="19" t="s">
        <v>1897</v>
      </c>
      <c r="D73" s="876">
        <f>E73/1.07</f>
        <v>27456.074766355137</v>
      </c>
      <c r="E73" s="876">
        <v>29378</v>
      </c>
      <c r="H73" s="877"/>
      <c r="I73" s="868">
        <f>SUM(J73:N73)</f>
        <v>0</v>
      </c>
      <c r="K73" s="876"/>
      <c r="L73" s="890"/>
      <c r="M73" s="876"/>
      <c r="N73" s="876"/>
      <c r="O73" s="876">
        <v>1120</v>
      </c>
      <c r="P73" s="876">
        <v>979.2</v>
      </c>
      <c r="Q73" s="912">
        <v>2170</v>
      </c>
      <c r="R73" s="868">
        <f>E73-I73</f>
        <v>29378</v>
      </c>
      <c r="U73" s="888"/>
    </row>
    <row r="74" spans="1:21">
      <c r="A74" s="873" t="s">
        <v>1677</v>
      </c>
      <c r="B74" s="881" t="s">
        <v>296</v>
      </c>
      <c r="C74" s="881" t="s">
        <v>296</v>
      </c>
      <c r="D74" s="882"/>
      <c r="E74" s="882"/>
      <c r="F74" s="882"/>
      <c r="G74" s="882"/>
      <c r="H74" s="884">
        <f>IFERROR(SUMPRODUCT(J72:N72,J74:N74)/SUM(J72:N72),0)</f>
        <v>0</v>
      </c>
      <c r="I74" s="885"/>
      <c r="J74" s="882"/>
      <c r="K74" s="879"/>
      <c r="L74" s="892"/>
      <c r="M74" s="879"/>
      <c r="N74" s="879"/>
      <c r="O74" s="879"/>
      <c r="P74" s="896">
        <v>3.0043229166666672</v>
      </c>
      <c r="Q74" s="883">
        <v>2.3116822429906541</v>
      </c>
      <c r="R74" s="883"/>
      <c r="S74" s="885"/>
      <c r="U74" s="888"/>
    </row>
    <row r="75" spans="1:21">
      <c r="A75" s="873" t="s">
        <v>1677</v>
      </c>
      <c r="B75" s="863" t="s">
        <v>297</v>
      </c>
      <c r="C75" s="19" t="s">
        <v>1898</v>
      </c>
      <c r="D75" s="877">
        <v>3.5372941176470589</v>
      </c>
      <c r="E75" s="877">
        <f>IFERROR(E77*1000/E73,0)</f>
        <v>2.8099999999999996</v>
      </c>
      <c r="G75" s="869">
        <f>IFERROR(SUMPRODUCT(J73:N73,J74:N74)/I73,0)</f>
        <v>0</v>
      </c>
      <c r="H75" s="869"/>
      <c r="I75" s="867">
        <f>IFERROR(SUMPRODUCT(J73:N73,J75:N75)/SUM(J73:N73),0)</f>
        <v>0</v>
      </c>
      <c r="K75" s="863"/>
      <c r="L75" s="890"/>
      <c r="M75" s="863"/>
      <c r="N75" s="863"/>
      <c r="O75" s="863">
        <v>2.91</v>
      </c>
      <c r="P75" s="863">
        <v>3.0043229166666672</v>
      </c>
      <c r="Q75" s="889">
        <v>2.3116822429906541</v>
      </c>
      <c r="R75" s="867">
        <f>E75</f>
        <v>2.8099999999999996</v>
      </c>
      <c r="S75" s="871">
        <f>IFERROR(Q75/I75,0)</f>
        <v>0</v>
      </c>
      <c r="T75" t="s">
        <v>1913</v>
      </c>
      <c r="U75" s="888"/>
    </row>
    <row r="76" spans="1:21">
      <c r="A76" s="873" t="s">
        <v>1677</v>
      </c>
      <c r="B76" s="863" t="s">
        <v>298</v>
      </c>
      <c r="D76" s="877"/>
      <c r="E76" s="877"/>
      <c r="G76" s="869"/>
      <c r="H76" s="869">
        <f>SUM(J76:N76)</f>
        <v>0</v>
      </c>
      <c r="I76" s="867"/>
      <c r="K76" s="863"/>
      <c r="L76" s="890"/>
      <c r="M76" s="863"/>
      <c r="N76" s="863"/>
      <c r="O76" s="863"/>
      <c r="P76" s="863"/>
      <c r="Q76" s="877"/>
      <c r="R76" s="867"/>
      <c r="S76" s="871"/>
      <c r="U76" s="888"/>
    </row>
    <row r="77" spans="1:21">
      <c r="A77" s="873" t="s">
        <v>1677</v>
      </c>
      <c r="B77" s="863" t="s">
        <v>299</v>
      </c>
      <c r="C77" s="19" t="s">
        <v>1899</v>
      </c>
      <c r="D77" s="890">
        <f>D73*D75/1000</f>
        <v>97.120211764705871</v>
      </c>
      <c r="E77" s="877">
        <f>D77*0.85</f>
        <v>82.552179999999993</v>
      </c>
      <c r="H77" s="877"/>
      <c r="I77" s="872">
        <f>SUM(J77:N77)</f>
        <v>0</v>
      </c>
      <c r="J77" s="890">
        <f>J73*J75/1000</f>
        <v>0</v>
      </c>
      <c r="K77" s="890">
        <f>K73*K75/1000</f>
        <v>0</v>
      </c>
      <c r="L77" s="890">
        <f>L73*L75/1000</f>
        <v>0</v>
      </c>
      <c r="M77" s="890">
        <f>M73*M75/1000</f>
        <v>0</v>
      </c>
      <c r="N77" s="890">
        <f>N73*N75/1000</f>
        <v>0</v>
      </c>
      <c r="O77" s="890">
        <v>3.2592000000000003</v>
      </c>
      <c r="P77" s="863">
        <v>2.5888130400000002</v>
      </c>
      <c r="Q77" s="890">
        <f>Q73*Q75/1000</f>
        <v>5.0163504672897199</v>
      </c>
      <c r="R77" s="868">
        <f>E77-I77</f>
        <v>82.552179999999993</v>
      </c>
      <c r="U77" s="888"/>
    </row>
    <row r="78" spans="1:21">
      <c r="A78" s="903" t="s">
        <v>1914</v>
      </c>
      <c r="B78" s="874" t="s">
        <v>294</v>
      </c>
      <c r="D78" s="890"/>
      <c r="E78" s="877"/>
      <c r="F78" s="875"/>
      <c r="H78" s="877">
        <f>SUM(J78:N78)</f>
        <v>980</v>
      </c>
      <c r="I78" s="872"/>
      <c r="J78" s="890"/>
      <c r="K78" s="890"/>
      <c r="L78" s="890"/>
      <c r="M78" s="890"/>
      <c r="N78" s="890">
        <v>980</v>
      </c>
      <c r="O78" s="890"/>
      <c r="P78" s="890"/>
      <c r="Q78" s="890"/>
      <c r="R78" s="890"/>
      <c r="U78" s="888"/>
    </row>
    <row r="79" spans="1:21">
      <c r="A79" s="903" t="s">
        <v>1914</v>
      </c>
      <c r="B79" s="863" t="s">
        <v>295</v>
      </c>
      <c r="C79" s="19" t="s">
        <v>1897</v>
      </c>
      <c r="D79" s="876">
        <f>E79/1.07</f>
        <v>27456.074766355137</v>
      </c>
      <c r="E79" s="876">
        <v>29378</v>
      </c>
      <c r="H79" s="877"/>
      <c r="I79" s="868">
        <f>SUM(J79:N79)</f>
        <v>2329</v>
      </c>
      <c r="K79" s="876"/>
      <c r="L79" s="890"/>
      <c r="M79" s="876"/>
      <c r="N79" s="876">
        <v>2329</v>
      </c>
      <c r="O79" s="876"/>
      <c r="P79" s="876">
        <v>2330</v>
      </c>
      <c r="R79" s="868">
        <f>E79-I79</f>
        <v>27049</v>
      </c>
      <c r="U79" s="888">
        <v>4</v>
      </c>
    </row>
    <row r="80" spans="1:21">
      <c r="A80" s="903" t="s">
        <v>1914</v>
      </c>
      <c r="B80" s="881" t="s">
        <v>296</v>
      </c>
      <c r="C80" s="881" t="s">
        <v>296</v>
      </c>
      <c r="D80" s="882"/>
      <c r="E80" s="882"/>
      <c r="F80" s="882"/>
      <c r="G80" s="882"/>
      <c r="H80" s="884">
        <f>IFERROR(SUMPRODUCT(J78:N78,J80:N80)/SUM(J78:N78),0)</f>
        <v>2.9100000000000019</v>
      </c>
      <c r="I80" s="887"/>
      <c r="J80" s="882"/>
      <c r="K80" s="879"/>
      <c r="L80" s="892"/>
      <c r="M80" s="879"/>
      <c r="N80" s="879">
        <v>2.9100000000000019</v>
      </c>
      <c r="O80" s="879"/>
      <c r="P80" s="879">
        <v>3.91</v>
      </c>
      <c r="Q80" s="882"/>
      <c r="R80" s="883"/>
      <c r="S80" s="885"/>
      <c r="U80" s="888"/>
    </row>
    <row r="81" spans="1:21">
      <c r="A81" s="903" t="s">
        <v>1914</v>
      </c>
      <c r="B81" s="863" t="s">
        <v>297</v>
      </c>
      <c r="C81" s="19" t="s">
        <v>1898</v>
      </c>
      <c r="D81" s="877">
        <v>2.9204705882352942</v>
      </c>
      <c r="E81" s="877">
        <f>IFERROR(E83*1000/E79,0)</f>
        <v>2.3199999999999998</v>
      </c>
      <c r="G81" s="869">
        <f>IFERROR(SUMPRODUCT(J79:N79,J80:N80)/I79,0)</f>
        <v>2.9100000000000019</v>
      </c>
      <c r="H81" s="869"/>
      <c r="I81" s="867">
        <f>IFERROR(SUMPRODUCT(J79:N79,J81:N81)/SUM(J79:N79),0)</f>
        <v>4.1762516101331046</v>
      </c>
      <c r="K81" s="863"/>
      <c r="L81" s="890"/>
      <c r="M81" s="863"/>
      <c r="N81" s="863">
        <v>4.1762516101331046</v>
      </c>
      <c r="O81" s="863"/>
      <c r="P81" s="863">
        <v>5.1762516101331002</v>
      </c>
      <c r="Q81" s="547"/>
      <c r="R81" s="867">
        <f>E81</f>
        <v>2.3199999999999998</v>
      </c>
      <c r="S81" s="871">
        <f>IFERROR(Q81/I81,0)</f>
        <v>0</v>
      </c>
      <c r="U81" s="888"/>
    </row>
    <row r="82" spans="1:21">
      <c r="A82" s="903" t="s">
        <v>1914</v>
      </c>
      <c r="B82" s="863" t="s">
        <v>298</v>
      </c>
      <c r="D82" s="877"/>
      <c r="E82" s="877"/>
      <c r="G82" s="869"/>
      <c r="H82" s="869">
        <f>SUM(J82:N82)</f>
        <v>2.8518000000000021</v>
      </c>
      <c r="I82" s="867"/>
      <c r="K82" s="863"/>
      <c r="L82" s="890"/>
      <c r="M82" s="863"/>
      <c r="N82" s="863">
        <v>2.8518000000000021</v>
      </c>
      <c r="O82" s="863"/>
      <c r="P82" s="863"/>
      <c r="R82" s="867"/>
      <c r="S82" s="871"/>
      <c r="U82" s="888"/>
    </row>
    <row r="83" spans="1:21">
      <c r="A83" s="903" t="s">
        <v>1914</v>
      </c>
      <c r="B83" s="863" t="s">
        <v>299</v>
      </c>
      <c r="C83" s="19" t="s">
        <v>1899</v>
      </c>
      <c r="D83" s="890">
        <f>D79*D81/1000</f>
        <v>80.184658823529404</v>
      </c>
      <c r="E83" s="877">
        <f>D83*0.85</f>
        <v>68.156959999999998</v>
      </c>
      <c r="H83" s="877"/>
      <c r="I83" s="872">
        <f>SUM(J83:N83)</f>
        <v>9.7264900000000001</v>
      </c>
      <c r="J83" s="890">
        <f>J79*J81/1000</f>
        <v>0</v>
      </c>
      <c r="K83" s="890">
        <f>K79*K81/1000</f>
        <v>0</v>
      </c>
      <c r="L83" s="890">
        <f>L79*L81/1000</f>
        <v>0</v>
      </c>
      <c r="M83" s="890">
        <f>M79*M81/1000</f>
        <v>0</v>
      </c>
      <c r="N83" s="890">
        <v>9.7264900000000001</v>
      </c>
      <c r="O83" s="890"/>
      <c r="P83" s="890">
        <f>P79*P81/1000</f>
        <v>12.060666251610124</v>
      </c>
      <c r="R83" s="868">
        <f>E83-I83</f>
        <v>58.43047</v>
      </c>
      <c r="U83" s="888"/>
    </row>
    <row r="84" spans="1:21">
      <c r="A84" s="904" t="s">
        <v>1674</v>
      </c>
      <c r="B84" s="874" t="s">
        <v>294</v>
      </c>
      <c r="D84" s="890"/>
      <c r="E84" s="877"/>
      <c r="F84" s="875"/>
      <c r="H84" s="877">
        <f>SUM(J84:N84)</f>
        <v>1750</v>
      </c>
      <c r="I84" s="872"/>
      <c r="J84" s="890"/>
      <c r="K84" s="890"/>
      <c r="L84" s="890">
        <v>700</v>
      </c>
      <c r="M84" s="890">
        <v>1050</v>
      </c>
      <c r="N84" s="890"/>
      <c r="O84" s="890"/>
      <c r="P84" s="890"/>
      <c r="Q84" s="890"/>
      <c r="R84" s="890"/>
      <c r="U84" s="888"/>
    </row>
    <row r="85" spans="1:21">
      <c r="A85" s="904" t="s">
        <v>1674</v>
      </c>
      <c r="B85" s="869" t="s">
        <v>295</v>
      </c>
      <c r="C85" s="19" t="s">
        <v>1897</v>
      </c>
      <c r="D85" s="876">
        <f>E85/1.07</f>
        <v>0</v>
      </c>
      <c r="E85" s="876">
        <v>0</v>
      </c>
      <c r="H85" s="877"/>
      <c r="I85" s="868">
        <f>SUM(J85:N85)</f>
        <v>0</v>
      </c>
      <c r="K85" s="876"/>
      <c r="L85" s="876">
        <v>0</v>
      </c>
      <c r="M85" s="876">
        <v>0</v>
      </c>
      <c r="N85" s="876"/>
      <c r="O85" s="876"/>
      <c r="P85" s="876"/>
      <c r="R85" s="868">
        <f>E85-I85</f>
        <v>0</v>
      </c>
      <c r="U85" s="888"/>
    </row>
    <row r="86" spans="1:21">
      <c r="A86" s="904" t="s">
        <v>1674</v>
      </c>
      <c r="B86" s="881" t="s">
        <v>296</v>
      </c>
      <c r="C86" s="881" t="s">
        <v>296</v>
      </c>
      <c r="D86" s="882"/>
      <c r="E86" s="882"/>
      <c r="F86" s="882"/>
      <c r="G86" s="882"/>
      <c r="H86" s="884">
        <f>IFERROR(SUMPRODUCT(J84:N84,J86:N86)/SUM(J84:N84),0)</f>
        <v>1.4499999999999993</v>
      </c>
      <c r="I86" s="887"/>
      <c r="J86" s="882"/>
      <c r="K86" s="879"/>
      <c r="L86" s="879">
        <v>2.0499999999999998</v>
      </c>
      <c r="M86" s="879">
        <v>1.0499999999999989</v>
      </c>
      <c r="N86" s="879"/>
      <c r="O86" s="879"/>
      <c r="P86" s="879"/>
      <c r="Q86" s="882"/>
      <c r="R86" s="883"/>
      <c r="S86" s="885"/>
      <c r="U86" s="888"/>
    </row>
    <row r="87" spans="1:21">
      <c r="A87" s="904" t="s">
        <v>1674</v>
      </c>
      <c r="B87" s="869" t="s">
        <v>297</v>
      </c>
      <c r="C87" s="19" t="s">
        <v>1898</v>
      </c>
      <c r="D87" s="877">
        <v>0</v>
      </c>
      <c r="E87" s="877">
        <f>IFERROR(E89*1000/E85,0)</f>
        <v>0</v>
      </c>
      <c r="G87" s="869">
        <f>IFERROR(SUMPRODUCT(J85:N85,J86:N86)/I85,0)</f>
        <v>0</v>
      </c>
      <c r="H87" s="869"/>
      <c r="I87" s="867">
        <f>IFERROR(SUMPRODUCT(J85:N85,J87:N87)/SUM(J85:N85),0)</f>
        <v>0</v>
      </c>
      <c r="K87" s="863"/>
      <c r="L87" s="863">
        <v>0</v>
      </c>
      <c r="M87" s="863">
        <v>0</v>
      </c>
      <c r="N87" s="863"/>
      <c r="O87" s="863"/>
      <c r="P87" s="863"/>
      <c r="Q87" s="547"/>
      <c r="R87" s="867">
        <f>E87</f>
        <v>0</v>
      </c>
      <c r="S87" s="871">
        <f>IFERROR(Q87/I87,0)</f>
        <v>0</v>
      </c>
      <c r="U87" s="888"/>
    </row>
    <row r="88" spans="1:21">
      <c r="A88" s="904" t="s">
        <v>1674</v>
      </c>
      <c r="B88" s="869" t="s">
        <v>298</v>
      </c>
      <c r="D88" s="877"/>
      <c r="E88" s="877"/>
      <c r="G88" s="869"/>
      <c r="H88" s="869">
        <f>SUM(J88:N88)</f>
        <v>2.5374999999999988</v>
      </c>
      <c r="I88" s="867"/>
      <c r="K88" s="863"/>
      <c r="L88" s="863">
        <v>1.4350000000000001</v>
      </c>
      <c r="M88" s="863">
        <v>1.1024999999999989</v>
      </c>
      <c r="N88" s="863"/>
      <c r="O88" s="863"/>
      <c r="P88" s="863"/>
      <c r="R88" s="867"/>
      <c r="S88" s="871"/>
      <c r="U88" s="888"/>
    </row>
    <row r="89" spans="1:21">
      <c r="A89" s="904" t="s">
        <v>1674</v>
      </c>
      <c r="B89" s="869" t="s">
        <v>299</v>
      </c>
      <c r="C89" s="19" t="s">
        <v>1899</v>
      </c>
      <c r="D89" s="890">
        <f>D85*D87/1000</f>
        <v>0</v>
      </c>
      <c r="E89" s="877">
        <f>D89*0.85</f>
        <v>0</v>
      </c>
      <c r="H89" s="877"/>
      <c r="I89" s="872">
        <f>SUM(J89:N89)</f>
        <v>0</v>
      </c>
      <c r="J89" s="890">
        <f>J85*J87/1000</f>
        <v>0</v>
      </c>
      <c r="K89" s="890">
        <f>K85*K87/1000</f>
        <v>0</v>
      </c>
      <c r="L89" s="890">
        <v>0</v>
      </c>
      <c r="M89" s="890">
        <v>0</v>
      </c>
      <c r="N89" s="890">
        <f>N85*N87/1000</f>
        <v>0</v>
      </c>
      <c r="O89" s="890"/>
      <c r="P89" s="890">
        <f>P85*P87/1000</f>
        <v>0</v>
      </c>
      <c r="R89" s="868">
        <f>E89-I89</f>
        <v>0</v>
      </c>
      <c r="U89" s="888"/>
    </row>
    <row r="90" spans="1:21">
      <c r="A90" s="905" t="s">
        <v>1915</v>
      </c>
      <c r="B90" s="874" t="s">
        <v>294</v>
      </c>
      <c r="D90" s="890"/>
      <c r="E90" s="877"/>
      <c r="F90" s="875"/>
      <c r="H90" s="877">
        <f>SUM(J90:N90)</f>
        <v>1050</v>
      </c>
      <c r="I90" s="872"/>
      <c r="J90" s="890"/>
      <c r="K90" s="890"/>
      <c r="L90" s="890"/>
      <c r="M90" s="890">
        <v>1050</v>
      </c>
      <c r="N90" s="890"/>
      <c r="O90" s="890"/>
      <c r="P90" s="890"/>
      <c r="Q90" s="890"/>
      <c r="R90" s="890"/>
      <c r="U90" s="888"/>
    </row>
    <row r="91" spans="1:21">
      <c r="A91" s="905" t="s">
        <v>1915</v>
      </c>
      <c r="B91" s="869" t="s">
        <v>295</v>
      </c>
      <c r="C91" s="19" t="s">
        <v>1897</v>
      </c>
      <c r="D91" s="876">
        <f>E91/1.07</f>
        <v>3085.0467289719622</v>
      </c>
      <c r="E91" s="876">
        <v>3301</v>
      </c>
      <c r="H91" s="877"/>
      <c r="I91" s="868">
        <f>SUM(J91:N91)</f>
        <v>1949</v>
      </c>
      <c r="K91" s="876"/>
      <c r="L91" s="876"/>
      <c r="M91" s="876">
        <v>1949</v>
      </c>
      <c r="N91" s="876"/>
      <c r="O91" s="876"/>
      <c r="P91" s="876"/>
      <c r="R91" s="868">
        <f>E91-I91</f>
        <v>1352</v>
      </c>
      <c r="U91" s="888"/>
    </row>
    <row r="92" spans="1:21">
      <c r="A92" s="905" t="s">
        <v>1915</v>
      </c>
      <c r="B92" s="881" t="s">
        <v>296</v>
      </c>
      <c r="C92" s="881" t="s">
        <v>296</v>
      </c>
      <c r="D92" s="882"/>
      <c r="E92" s="882"/>
      <c r="F92" s="882"/>
      <c r="G92" s="882"/>
      <c r="H92" s="884">
        <f>IFERROR(SUMPRODUCT(J90:N90,J92:N92)/SUM(J90:N90),0)</f>
        <v>2.7284999999999999</v>
      </c>
      <c r="I92" s="887"/>
      <c r="J92" s="882"/>
      <c r="K92" s="879"/>
      <c r="L92" s="879"/>
      <c r="M92" s="879">
        <v>2.7284999999999999</v>
      </c>
      <c r="N92" s="879"/>
      <c r="O92" s="879"/>
      <c r="P92" s="879"/>
      <c r="Q92" s="882"/>
      <c r="R92" s="883"/>
      <c r="S92" s="885"/>
      <c r="U92" s="888"/>
    </row>
    <row r="93" spans="1:21">
      <c r="A93" s="905" t="s">
        <v>1915</v>
      </c>
      <c r="B93" s="869" t="s">
        <v>297</v>
      </c>
      <c r="C93" s="19" t="s">
        <v>1898</v>
      </c>
      <c r="D93" s="877">
        <v>1.661647058823529</v>
      </c>
      <c r="E93" s="877">
        <f>IFERROR(E95*1000/E91,0)</f>
        <v>1.3199999999999996</v>
      </c>
      <c r="G93" s="869">
        <f>IFERROR(SUMPRODUCT(J91:N91,J92:N92)/I91,0)</f>
        <v>2.7284999999999999</v>
      </c>
      <c r="H93" s="869"/>
      <c r="I93" s="867">
        <f>IFERROR(SUMPRODUCT(J91:N91,J93:N93)/SUM(J91:N91),0)</f>
        <v>2.785551564905079</v>
      </c>
      <c r="K93" s="863"/>
      <c r="L93" s="863"/>
      <c r="M93" s="863">
        <v>2.785551564905079</v>
      </c>
      <c r="N93" s="863"/>
      <c r="O93" s="863"/>
      <c r="P93" s="863"/>
      <c r="Q93" s="547"/>
      <c r="R93" s="867">
        <f>E93</f>
        <v>1.3199999999999996</v>
      </c>
      <c r="S93" s="871">
        <f>IFERROR(Q93/I93,0)</f>
        <v>0</v>
      </c>
      <c r="U93" s="888"/>
    </row>
    <row r="94" spans="1:21">
      <c r="A94" s="905" t="s">
        <v>1915</v>
      </c>
      <c r="B94" s="869" t="s">
        <v>298</v>
      </c>
      <c r="D94" s="877"/>
      <c r="E94" s="877"/>
      <c r="G94" s="869"/>
      <c r="H94" s="869">
        <f>SUM(J94:N94)</f>
        <v>2.8649249999999999</v>
      </c>
      <c r="I94" s="867"/>
      <c r="K94" s="863"/>
      <c r="L94" s="863"/>
      <c r="M94" s="863">
        <v>2.8649249999999999</v>
      </c>
      <c r="N94" s="863"/>
      <c r="O94" s="863"/>
      <c r="P94" s="863"/>
      <c r="R94" s="867"/>
      <c r="S94" s="871"/>
      <c r="U94" s="888"/>
    </row>
    <row r="95" spans="1:21">
      <c r="A95" s="905" t="s">
        <v>1915</v>
      </c>
      <c r="B95" s="869" t="s">
        <v>299</v>
      </c>
      <c r="C95" s="19" t="s">
        <v>1899</v>
      </c>
      <c r="D95" s="890">
        <f>D91*D93/1000</f>
        <v>5.12625882352941</v>
      </c>
      <c r="E95" s="877">
        <f>D95*0.85</f>
        <v>4.3573199999999987</v>
      </c>
      <c r="H95" s="877"/>
      <c r="I95" s="872">
        <f>SUM(J95:N95)</f>
        <v>5.4290399999999996</v>
      </c>
      <c r="J95" s="890">
        <f>J91*J93/1000</f>
        <v>0</v>
      </c>
      <c r="K95" s="890">
        <f>K91*K93/1000</f>
        <v>0</v>
      </c>
      <c r="L95" s="890">
        <f>L91*L93/1000</f>
        <v>0</v>
      </c>
      <c r="M95" s="890">
        <v>5.4290399999999996</v>
      </c>
      <c r="N95" s="890">
        <f>N91*N93/1000</f>
        <v>0</v>
      </c>
      <c r="O95" s="890"/>
      <c r="P95" s="890">
        <f>P91*P93/1000</f>
        <v>0</v>
      </c>
      <c r="R95" s="868">
        <f>E95-I95</f>
        <v>-1.0717200000000009</v>
      </c>
      <c r="U95" s="888"/>
    </row>
    <row r="96" spans="1:21">
      <c r="A96" s="906" t="s">
        <v>1680</v>
      </c>
      <c r="B96" s="874" t="s">
        <v>294</v>
      </c>
      <c r="D96" s="890"/>
      <c r="E96" s="877"/>
      <c r="F96" s="875"/>
      <c r="H96" s="877">
        <f>SUM(J96:N96)</f>
        <v>4760</v>
      </c>
      <c r="I96" s="872"/>
      <c r="J96" s="890"/>
      <c r="K96" s="890"/>
      <c r="L96" s="890">
        <v>700</v>
      </c>
      <c r="M96" s="890">
        <v>2100</v>
      </c>
      <c r="N96" s="890">
        <v>1960</v>
      </c>
      <c r="O96" s="890"/>
      <c r="P96" s="890"/>
      <c r="Q96" s="890"/>
      <c r="R96" s="890"/>
      <c r="U96" s="888"/>
    </row>
    <row r="97" spans="1:21">
      <c r="A97" s="906" t="s">
        <v>1680</v>
      </c>
      <c r="B97" s="863" t="s">
        <v>295</v>
      </c>
      <c r="C97" s="19" t="s">
        <v>1897</v>
      </c>
      <c r="D97" s="876">
        <f>E97/1.07</f>
        <v>2528.9719626168221</v>
      </c>
      <c r="E97" s="876">
        <v>2706</v>
      </c>
      <c r="H97" s="877"/>
      <c r="I97" s="868">
        <f>SUM(J97:N97)</f>
        <v>1157</v>
      </c>
      <c r="K97" s="876"/>
      <c r="L97" s="890">
        <v>0</v>
      </c>
      <c r="M97" s="876">
        <v>804</v>
      </c>
      <c r="N97" s="876">
        <v>353</v>
      </c>
      <c r="O97" s="876">
        <v>1120</v>
      </c>
      <c r="P97" s="876">
        <v>90</v>
      </c>
      <c r="Q97" s="912">
        <v>2170</v>
      </c>
      <c r="R97" s="868">
        <f>E97-I97</f>
        <v>1549</v>
      </c>
      <c r="U97" s="888">
        <v>3.6</v>
      </c>
    </row>
    <row r="98" spans="1:21">
      <c r="A98" s="906" t="s">
        <v>1680</v>
      </c>
      <c r="B98" s="881" t="s">
        <v>296</v>
      </c>
      <c r="C98" s="881" t="s">
        <v>296</v>
      </c>
      <c r="D98" s="882"/>
      <c r="E98" s="882"/>
      <c r="F98" s="882"/>
      <c r="G98" s="882"/>
      <c r="H98" s="884">
        <f>IFERROR(SUMPRODUCT(J96:N96,J98:N98)/SUM(J96:N96),0)</f>
        <v>2.2822058823529412</v>
      </c>
      <c r="I98" s="885"/>
      <c r="J98" s="882"/>
      <c r="K98" s="879"/>
      <c r="L98" s="892">
        <v>1.660000000000001</v>
      </c>
      <c r="M98" s="879">
        <v>2.1929999999999992</v>
      </c>
      <c r="N98" s="879">
        <v>2.600000000000001</v>
      </c>
      <c r="O98" s="879"/>
      <c r="P98" s="896">
        <v>0.92488888888888898</v>
      </c>
      <c r="Q98" s="883">
        <v>2.256074766355141</v>
      </c>
      <c r="R98" s="883"/>
      <c r="S98" s="885"/>
      <c r="U98" s="888"/>
    </row>
    <row r="99" spans="1:21">
      <c r="A99" s="906" t="s">
        <v>1680</v>
      </c>
      <c r="B99" s="863" t="s">
        <v>297</v>
      </c>
      <c r="C99" s="19" t="s">
        <v>1898</v>
      </c>
      <c r="D99" s="877">
        <v>1.9763529411764711</v>
      </c>
      <c r="E99" s="877">
        <f>IFERROR(E101*1000/E97,0)</f>
        <v>1.57</v>
      </c>
      <c r="G99" s="869">
        <f>IFERROR(SUMPRODUCT(J97:N97,J98:N98)/I97,0)</f>
        <v>2.3171754537597233</v>
      </c>
      <c r="H99" s="869"/>
      <c r="I99" s="867">
        <f>IFERROR(SUMPRODUCT(J97:N97,J99:N99)/SUM(J97:N97),0)</f>
        <v>2.583517718236819</v>
      </c>
      <c r="K99" s="863"/>
      <c r="L99" s="890">
        <v>0</v>
      </c>
      <c r="M99" s="863">
        <v>2.6023756218905469</v>
      </c>
      <c r="N99" s="863">
        <v>2.5405665722379598</v>
      </c>
      <c r="O99" s="863">
        <v>2.839999999999999</v>
      </c>
      <c r="P99" s="876">
        <v>0.92488888888888898</v>
      </c>
      <c r="Q99" s="889">
        <v>2.256074766355141</v>
      </c>
      <c r="R99" s="867">
        <f>E99</f>
        <v>1.57</v>
      </c>
      <c r="S99" s="871">
        <f>IFERROR(Q99/I99,0)</f>
        <v>0.87325693585521491</v>
      </c>
      <c r="T99" t="s">
        <v>1908</v>
      </c>
      <c r="U99" s="888"/>
    </row>
    <row r="100" spans="1:21">
      <c r="A100" s="906" t="s">
        <v>1680</v>
      </c>
      <c r="B100" s="863" t="s">
        <v>298</v>
      </c>
      <c r="D100" s="877"/>
      <c r="E100" s="877"/>
      <c r="G100" s="869"/>
      <c r="H100" s="869">
        <f>SUM(J100:N100)</f>
        <v>10.863299999999999</v>
      </c>
      <c r="I100" s="867"/>
      <c r="K100" s="863"/>
      <c r="L100" s="890">
        <v>1.1619999999999999</v>
      </c>
      <c r="M100" s="863">
        <v>4.6052999999999971</v>
      </c>
      <c r="N100" s="863">
        <v>5.0960000000000019</v>
      </c>
      <c r="O100" s="863"/>
      <c r="P100" s="876"/>
      <c r="Q100" s="877"/>
      <c r="R100" s="867"/>
      <c r="S100" s="871"/>
      <c r="U100" s="888"/>
    </row>
    <row r="101" spans="1:21">
      <c r="A101" s="906" t="s">
        <v>1680</v>
      </c>
      <c r="B101" s="863" t="s">
        <v>299</v>
      </c>
      <c r="C101" s="19" t="s">
        <v>1899</v>
      </c>
      <c r="D101" s="890">
        <f>D97*D99/1000</f>
        <v>4.9981411764705888</v>
      </c>
      <c r="E101" s="877">
        <f>D101*0.85</f>
        <v>4.2484200000000003</v>
      </c>
      <c r="H101" s="877"/>
      <c r="I101" s="872">
        <f>SUM(J101:N101)</f>
        <v>2.9891299999999998</v>
      </c>
      <c r="J101" s="890">
        <f>J97*J99/1000</f>
        <v>0</v>
      </c>
      <c r="K101" s="890">
        <f>K97*K99/1000</f>
        <v>0</v>
      </c>
      <c r="L101" s="890">
        <v>0</v>
      </c>
      <c r="M101" s="890">
        <v>2.0923099999999999</v>
      </c>
      <c r="N101" s="890">
        <v>0.89681999999999995</v>
      </c>
      <c r="O101" s="890">
        <v>3.1807999999999987</v>
      </c>
      <c r="P101" s="876" t="s">
        <v>1164</v>
      </c>
      <c r="Q101" s="890">
        <f>Q97*Q99/1000</f>
        <v>4.8956822429906559</v>
      </c>
      <c r="R101" s="868">
        <f>E101-I101</f>
        <v>1.2592900000000005</v>
      </c>
      <c r="U101" s="888"/>
    </row>
    <row r="102" spans="1:21">
      <c r="A102" s="907" t="s">
        <v>1882</v>
      </c>
      <c r="B102" s="874" t="s">
        <v>294</v>
      </c>
      <c r="D102" s="890"/>
      <c r="E102" s="877"/>
      <c r="F102" s="875"/>
      <c r="H102" s="877">
        <f>SUM(J102:N102)</f>
        <v>6440</v>
      </c>
      <c r="I102" s="872"/>
      <c r="J102" s="890"/>
      <c r="K102" s="890"/>
      <c r="L102" s="890">
        <v>1400</v>
      </c>
      <c r="M102" s="890">
        <v>2100</v>
      </c>
      <c r="N102" s="890">
        <v>2940</v>
      </c>
      <c r="O102" s="890"/>
      <c r="P102" s="890"/>
      <c r="Q102" s="890"/>
      <c r="R102" s="890"/>
      <c r="U102" s="888"/>
    </row>
    <row r="103" spans="1:21">
      <c r="A103" s="907" t="s">
        <v>1882</v>
      </c>
      <c r="B103" s="863" t="s">
        <v>295</v>
      </c>
      <c r="C103" s="19" t="s">
        <v>1897</v>
      </c>
      <c r="D103" s="876">
        <f>E103/1.07</f>
        <v>4383.1775700934577</v>
      </c>
      <c r="E103" s="876">
        <v>4690</v>
      </c>
      <c r="H103" s="877"/>
      <c r="I103" s="868">
        <f>SUM(J103:N103)</f>
        <v>9977.1</v>
      </c>
      <c r="K103" s="876"/>
      <c r="L103" s="876">
        <v>1953.6</v>
      </c>
      <c r="M103" s="876">
        <v>3534.5</v>
      </c>
      <c r="N103" s="876">
        <v>4489</v>
      </c>
      <c r="O103" s="876">
        <v>2240</v>
      </c>
      <c r="P103" s="876">
        <v>2453.8000000000002</v>
      </c>
      <c r="Q103" s="912">
        <v>4340</v>
      </c>
      <c r="R103" s="868">
        <f>E103-I103</f>
        <v>-5287.1</v>
      </c>
      <c r="U103" s="888"/>
    </row>
    <row r="104" spans="1:21">
      <c r="A104" s="907" t="s">
        <v>1882</v>
      </c>
      <c r="B104" s="881" t="s">
        <v>296</v>
      </c>
      <c r="C104" s="881" t="s">
        <v>296</v>
      </c>
      <c r="D104" s="884">
        <v>3.3988235294117648</v>
      </c>
      <c r="E104" s="884">
        <f>IFERROR(E107*1000/E103,0)</f>
        <v>2.7</v>
      </c>
      <c r="F104" s="882"/>
      <c r="G104" s="883">
        <f>IFERROR(SUMPRODUCT(J103:N103,J105:N105)/I103,0)</f>
        <v>2.6100360826292208</v>
      </c>
      <c r="H104" s="884">
        <f>IFERROR(SUMPRODUCT(J102:N102,J104:N104)/SUM(J102:N102),0)</f>
        <v>2.496467391304348</v>
      </c>
      <c r="I104" s="887"/>
      <c r="J104" s="882"/>
      <c r="K104" s="879"/>
      <c r="L104" s="879">
        <v>2.180000000000001</v>
      </c>
      <c r="M104" s="879">
        <v>2.660499999999999</v>
      </c>
      <c r="N104" s="879">
        <v>2.5299999999999998</v>
      </c>
      <c r="O104" s="879">
        <v>2.5299999999999994</v>
      </c>
      <c r="P104" s="879">
        <v>2.1525666313472982</v>
      </c>
      <c r="Q104" s="884">
        <f>Q105</f>
        <v>2.0098130841121482</v>
      </c>
      <c r="R104" s="887">
        <f>E104</f>
        <v>2.7</v>
      </c>
      <c r="S104" s="908">
        <f>IFERROR(Q104/I104,0)</f>
        <v>0</v>
      </c>
      <c r="T104" t="s">
        <v>1916</v>
      </c>
      <c r="U104" s="888">
        <v>3.8</v>
      </c>
    </row>
    <row r="105" spans="1:21">
      <c r="A105" s="907" t="s">
        <v>1882</v>
      </c>
      <c r="B105" s="863" t="s">
        <v>297</v>
      </c>
      <c r="C105" s="19" t="s">
        <v>296</v>
      </c>
      <c r="H105" s="877"/>
      <c r="I105" s="867">
        <f>IFERROR(SUMPRODUCT(J103:N103,J105:N105)/SUM(J103:N103),0)</f>
        <v>2.6100360826292208</v>
      </c>
      <c r="K105" s="863"/>
      <c r="L105" s="863">
        <v>2.330531326781327</v>
      </c>
      <c r="M105" s="863">
        <v>2.216297920497948</v>
      </c>
      <c r="N105" s="863">
        <v>3.0416930274003122</v>
      </c>
      <c r="O105" s="863"/>
      <c r="P105" s="876">
        <v>2.1525666313472982</v>
      </c>
      <c r="Q105" s="909">
        <v>2.0098130841121482</v>
      </c>
      <c r="R105" s="869"/>
      <c r="U105" s="888"/>
    </row>
    <row r="106" spans="1:21">
      <c r="A106" s="907" t="s">
        <v>1882</v>
      </c>
      <c r="B106" t="s">
        <v>298</v>
      </c>
      <c r="H106" s="869">
        <f>SUM(J106:N106)</f>
        <v>16.077249999999999</v>
      </c>
      <c r="L106">
        <v>3.0520000000000009</v>
      </c>
      <c r="M106">
        <v>5.5870499999999987</v>
      </c>
      <c r="N106">
        <v>7.4381999999999993</v>
      </c>
    </row>
    <row r="107" spans="1:21">
      <c r="A107" s="907" t="s">
        <v>1882</v>
      </c>
      <c r="B107" s="863" t="s">
        <v>299</v>
      </c>
      <c r="C107" s="19" t="s">
        <v>1899</v>
      </c>
      <c r="D107" s="890">
        <f>D103*D104/1000</f>
        <v>14.89764705882353</v>
      </c>
      <c r="E107" s="877">
        <f>D107*0.85</f>
        <v>12.663</v>
      </c>
      <c r="H107" s="877"/>
      <c r="I107" s="872">
        <f>SUM(J107:N107)</f>
        <v>26.040590999999999</v>
      </c>
      <c r="J107" s="890">
        <f>J103*J104/1000</f>
        <v>0</v>
      </c>
      <c r="K107" s="890">
        <f>K103*K104/1000</f>
        <v>0</v>
      </c>
      <c r="L107" s="890">
        <v>4.5529260000000003</v>
      </c>
      <c r="M107" s="890">
        <v>7.8335049999999988</v>
      </c>
      <c r="N107" s="890">
        <v>13.654159999999999</v>
      </c>
      <c r="O107" s="890">
        <v>5.6671999999999985</v>
      </c>
      <c r="P107" s="890">
        <v>4.6481318400000005</v>
      </c>
      <c r="Q107" s="890">
        <f>Q103*Q104/1000</f>
        <v>8.7225887850467227</v>
      </c>
      <c r="R107" s="868">
        <f>E107-I107</f>
        <v>-13.377590999999999</v>
      </c>
      <c r="U107" s="888"/>
    </row>
    <row r="108" spans="1:21">
      <c r="A108" s="873" t="s">
        <v>1917</v>
      </c>
      <c r="B108" s="874" t="s">
        <v>294</v>
      </c>
      <c r="D108" s="890"/>
      <c r="E108" s="877"/>
      <c r="F108" s="875"/>
      <c r="H108" s="877">
        <f>SUM(J108:N108)</f>
        <v>980</v>
      </c>
      <c r="I108" s="872"/>
      <c r="J108" s="890"/>
      <c r="K108" s="890"/>
      <c r="L108" s="890"/>
      <c r="M108" s="890"/>
      <c r="N108" s="890">
        <v>980</v>
      </c>
      <c r="O108" s="890"/>
      <c r="P108" s="890"/>
      <c r="Q108" s="890"/>
      <c r="R108" s="890"/>
      <c r="U108" s="888"/>
    </row>
    <row r="109" spans="1:21">
      <c r="A109" s="873" t="s">
        <v>1917</v>
      </c>
      <c r="B109" s="863" t="s">
        <v>295</v>
      </c>
      <c r="C109" s="19" t="s">
        <v>1897</v>
      </c>
      <c r="D109" s="876">
        <f>E109/1.07</f>
        <v>0</v>
      </c>
      <c r="E109" s="876">
        <v>0</v>
      </c>
      <c r="H109" s="877"/>
      <c r="I109" s="868">
        <f>SUM(J109:N109)</f>
        <v>660</v>
      </c>
      <c r="K109" s="876"/>
      <c r="L109" s="876">
        <v>0</v>
      </c>
      <c r="M109" s="876"/>
      <c r="N109" s="876">
        <v>660</v>
      </c>
      <c r="O109" s="876">
        <v>560</v>
      </c>
      <c r="P109" s="876">
        <v>0</v>
      </c>
      <c r="Q109" s="912">
        <v>1085</v>
      </c>
      <c r="R109" s="868">
        <f>E109-I109</f>
        <v>-660</v>
      </c>
      <c r="U109" s="888">
        <v>6</v>
      </c>
    </row>
    <row r="110" spans="1:21">
      <c r="A110" s="873" t="s">
        <v>1917</v>
      </c>
      <c r="B110" s="881" t="s">
        <v>296</v>
      </c>
      <c r="C110" s="881" t="s">
        <v>296</v>
      </c>
      <c r="D110" s="882"/>
      <c r="E110" s="882"/>
      <c r="F110" s="882"/>
      <c r="G110" s="882"/>
      <c r="H110" s="884">
        <f>IFERROR(SUMPRODUCT(J108:N108,J110:N110)/SUM(J108:N108),0)</f>
        <v>2.7499999999999991</v>
      </c>
      <c r="I110" s="885"/>
      <c r="J110" s="882"/>
      <c r="K110" s="879"/>
      <c r="L110" s="879">
        <v>1.79</v>
      </c>
      <c r="M110" s="879"/>
      <c r="N110" s="879">
        <v>2.7499999999999991</v>
      </c>
      <c r="O110" s="879"/>
      <c r="P110" s="896">
        <v>0</v>
      </c>
      <c r="Q110" s="883">
        <v>1.723831775700936</v>
      </c>
      <c r="R110" s="883"/>
      <c r="S110" s="885"/>
      <c r="U110" s="888"/>
    </row>
    <row r="111" spans="1:21">
      <c r="A111" s="873" t="s">
        <v>1917</v>
      </c>
      <c r="B111" s="863" t="s">
        <v>297</v>
      </c>
      <c r="C111" s="19" t="s">
        <v>1898</v>
      </c>
      <c r="D111" s="877">
        <v>0</v>
      </c>
      <c r="E111" s="877">
        <f>IFERROR(E113*1000/E109,0)</f>
        <v>0</v>
      </c>
      <c r="G111" s="869">
        <f>IFERROR(SUMPRODUCT(J109:N109,J110:N110)/I109,0)</f>
        <v>2.7499999999999991</v>
      </c>
      <c r="H111" s="869"/>
      <c r="I111" s="867">
        <f>IFERROR(SUMPRODUCT(J109:N109,J111:N111)/SUM(J109:N109),0)</f>
        <v>1.24719696969697</v>
      </c>
      <c r="K111" s="863"/>
      <c r="L111" s="863">
        <v>0</v>
      </c>
      <c r="M111" s="863"/>
      <c r="N111" s="863">
        <v>1.24719696969697</v>
      </c>
      <c r="O111" s="863">
        <v>2.1699999999999995</v>
      </c>
      <c r="P111" s="876">
        <v>0</v>
      </c>
      <c r="Q111" s="889">
        <f>Q110</f>
        <v>1.723831775700936</v>
      </c>
      <c r="R111" s="867">
        <f>E111</f>
        <v>0</v>
      </c>
      <c r="S111" s="871">
        <f>IFERROR(Q111/I111,0)</f>
        <v>1.3821648204611765</v>
      </c>
      <c r="T111" t="s">
        <v>1918</v>
      </c>
      <c r="U111" s="888"/>
    </row>
    <row r="112" spans="1:21">
      <c r="A112" s="873" t="s">
        <v>1917</v>
      </c>
      <c r="B112" s="863" t="s">
        <v>298</v>
      </c>
      <c r="D112" s="877"/>
      <c r="E112" s="877"/>
      <c r="G112" s="869"/>
      <c r="H112" s="869">
        <f>SUM(J112:N112)</f>
        <v>2.694999999999999</v>
      </c>
      <c r="I112" s="867"/>
      <c r="K112" s="863"/>
      <c r="L112" s="863"/>
      <c r="M112" s="863"/>
      <c r="N112" s="863">
        <v>2.694999999999999</v>
      </c>
      <c r="O112" s="863"/>
      <c r="P112" s="876"/>
      <c r="Q112" s="877"/>
      <c r="R112" s="867"/>
      <c r="S112" s="871"/>
      <c r="U112" s="888"/>
    </row>
    <row r="113" spans="1:21">
      <c r="A113" s="873" t="s">
        <v>1917</v>
      </c>
      <c r="B113" s="863" t="s">
        <v>299</v>
      </c>
      <c r="C113" s="19" t="s">
        <v>1899</v>
      </c>
      <c r="D113" s="890">
        <f>D109*D111/1000</f>
        <v>0</v>
      </c>
      <c r="E113" s="877">
        <f>D113*0.85</f>
        <v>0</v>
      </c>
      <c r="H113" s="877"/>
      <c r="I113" s="872">
        <f>SUM(J113:N113)</f>
        <v>0.82315000000000005</v>
      </c>
      <c r="J113" s="890">
        <f>J109*J111/1000</f>
        <v>0</v>
      </c>
      <c r="K113" s="890">
        <f>K109*K111/1000</f>
        <v>0</v>
      </c>
      <c r="L113" s="890">
        <f>L109*L111/1000</f>
        <v>0</v>
      </c>
      <c r="M113" s="890">
        <f>M109*M111/1000</f>
        <v>0</v>
      </c>
      <c r="N113" s="890">
        <v>0.82315000000000005</v>
      </c>
      <c r="O113" s="890">
        <v>1.2151999999999998</v>
      </c>
      <c r="P113" s="876">
        <v>0</v>
      </c>
      <c r="Q113" s="890">
        <f>Q109*Q111/1000</f>
        <v>1.8703574766355158</v>
      </c>
      <c r="R113" s="868">
        <f>E113-I113</f>
        <v>-0.82315000000000005</v>
      </c>
      <c r="U113" s="888"/>
    </row>
    <row r="114" spans="1:21">
      <c r="A114" s="903" t="s">
        <v>1681</v>
      </c>
      <c r="B114" s="874" t="s">
        <v>294</v>
      </c>
      <c r="D114" s="890"/>
      <c r="E114" s="877"/>
      <c r="H114" s="877">
        <f>SUM(J114:N114)</f>
        <v>1400</v>
      </c>
      <c r="I114" s="872"/>
      <c r="J114" s="890"/>
      <c r="K114" s="890"/>
      <c r="L114" s="890">
        <v>1400</v>
      </c>
      <c r="M114" s="890"/>
      <c r="N114" s="890"/>
      <c r="O114" s="890"/>
      <c r="P114" s="876"/>
      <c r="Q114" s="890"/>
      <c r="R114" s="868"/>
      <c r="U114" s="888"/>
    </row>
    <row r="115" spans="1:21">
      <c r="A115" s="903" t="s">
        <v>1681</v>
      </c>
      <c r="B115" s="863" t="s">
        <v>295</v>
      </c>
      <c r="C115" s="19" t="s">
        <v>1897</v>
      </c>
      <c r="D115" s="876">
        <f>E115/1.07</f>
        <v>2013.0841121495325</v>
      </c>
      <c r="E115" s="876">
        <v>2154</v>
      </c>
      <c r="I115" s="868">
        <f>SUM(J115:N115)</f>
        <v>0</v>
      </c>
      <c r="L115">
        <v>0</v>
      </c>
      <c r="M115" s="876"/>
      <c r="N115" s="876"/>
      <c r="O115" s="876"/>
      <c r="P115" s="876">
        <v>0</v>
      </c>
      <c r="U115" s="888"/>
    </row>
    <row r="116" spans="1:21">
      <c r="A116" s="903" t="s">
        <v>1681</v>
      </c>
      <c r="B116" s="881" t="s">
        <v>296</v>
      </c>
      <c r="C116" s="881" t="s">
        <v>296</v>
      </c>
      <c r="D116" s="882"/>
      <c r="E116" s="882"/>
      <c r="F116" s="882"/>
      <c r="G116" s="882"/>
      <c r="H116" s="884">
        <f>IFERROR(SUMPRODUCT(J114:N114,J116:N116)/SUM(J114:N114),0)</f>
        <v>1.85</v>
      </c>
      <c r="I116" s="885"/>
      <c r="J116" s="882"/>
      <c r="K116" s="879"/>
      <c r="L116" s="879">
        <v>1.85</v>
      </c>
      <c r="M116" s="879"/>
      <c r="N116" s="879"/>
      <c r="O116" s="879"/>
      <c r="P116" s="896">
        <v>0</v>
      </c>
      <c r="Q116" s="883"/>
      <c r="R116" s="883"/>
      <c r="S116" s="885"/>
      <c r="U116" s="888"/>
    </row>
    <row r="117" spans="1:21">
      <c r="A117" s="903" t="s">
        <v>1681</v>
      </c>
      <c r="B117" s="863" t="s">
        <v>297</v>
      </c>
      <c r="C117" s="19" t="s">
        <v>1898</v>
      </c>
      <c r="D117" s="877">
        <v>4.5695294117647061</v>
      </c>
      <c r="E117" s="877">
        <f>IFERROR(E119*1000/E115,0)</f>
        <v>3.6299999999999994</v>
      </c>
      <c r="G117" s="869">
        <f>IFERROR(SUMPRODUCT(J115:N115,J116:N116)/I115,0)</f>
        <v>0</v>
      </c>
      <c r="H117" s="869"/>
      <c r="I117" s="867">
        <f>IFERROR(SUMPRODUCT(J115:N115,J117:N117)/SUM(J115:N115),0)</f>
        <v>0</v>
      </c>
      <c r="L117">
        <v>0</v>
      </c>
      <c r="M117" s="863"/>
      <c r="N117" s="863"/>
      <c r="O117" s="863"/>
      <c r="P117" s="876">
        <v>0</v>
      </c>
      <c r="S117" s="871">
        <f>IFERROR(Q117/I117,0)</f>
        <v>0</v>
      </c>
      <c r="U117" s="888"/>
    </row>
    <row r="118" spans="1:21">
      <c r="A118" s="903" t="s">
        <v>1681</v>
      </c>
      <c r="B118" s="863" t="s">
        <v>298</v>
      </c>
      <c r="D118" s="877"/>
      <c r="E118" s="877"/>
      <c r="G118" s="869"/>
      <c r="H118" s="869">
        <f>SUM(J118:N118)</f>
        <v>2.59</v>
      </c>
      <c r="I118" s="867"/>
      <c r="L118">
        <v>2.59</v>
      </c>
      <c r="M118" s="863"/>
      <c r="N118" s="863"/>
      <c r="O118" s="863"/>
      <c r="P118" s="876"/>
      <c r="S118" s="871"/>
      <c r="U118" s="888"/>
    </row>
    <row r="119" spans="1:21">
      <c r="A119" s="903" t="s">
        <v>1681</v>
      </c>
      <c r="B119" s="863" t="s">
        <v>299</v>
      </c>
      <c r="C119" s="19" t="s">
        <v>1899</v>
      </c>
      <c r="D119" s="890">
        <f>D115*D117/1000</f>
        <v>9.198847058823528</v>
      </c>
      <c r="E119" s="877">
        <f>D119*0.85</f>
        <v>7.8190199999999983</v>
      </c>
      <c r="I119" s="872">
        <f>SUM(J119:N119)</f>
        <v>0</v>
      </c>
      <c r="J119" s="890">
        <f>J115*J117/1000</f>
        <v>0</v>
      </c>
      <c r="K119" s="890">
        <f>K115*K117/1000</f>
        <v>0</v>
      </c>
      <c r="L119" s="890">
        <v>0</v>
      </c>
      <c r="M119" s="890">
        <f>M115*M117/1000</f>
        <v>0</v>
      </c>
      <c r="N119" s="890">
        <f>N115*N117/1000</f>
        <v>0</v>
      </c>
      <c r="O119" s="890"/>
      <c r="P119" s="876">
        <v>0</v>
      </c>
      <c r="U119" s="888"/>
    </row>
    <row r="120" spans="1:21">
      <c r="A120" s="905" t="s">
        <v>1682</v>
      </c>
      <c r="B120" s="874" t="s">
        <v>294</v>
      </c>
      <c r="D120" s="890"/>
      <c r="E120" s="877"/>
      <c r="H120" s="877">
        <f>SUM(J120:N120)</f>
        <v>700</v>
      </c>
      <c r="I120" s="872"/>
      <c r="J120" s="890"/>
      <c r="K120" s="890"/>
      <c r="L120" s="890">
        <v>700</v>
      </c>
      <c r="M120" s="890">
        <v>0</v>
      </c>
      <c r="N120" s="890">
        <v>0</v>
      </c>
      <c r="O120" s="890"/>
      <c r="P120" s="876"/>
      <c r="U120" s="888"/>
    </row>
    <row r="121" spans="1:21">
      <c r="A121" s="905" t="s">
        <v>1682</v>
      </c>
      <c r="B121" s="863" t="s">
        <v>295</v>
      </c>
      <c r="C121" s="19" t="s">
        <v>1897</v>
      </c>
      <c r="D121" s="876">
        <f>E121/1.07</f>
        <v>3949.5327102803735</v>
      </c>
      <c r="E121" s="876">
        <v>4226</v>
      </c>
      <c r="F121" s="207"/>
      <c r="I121" s="868">
        <f>SUM(J121:N121)</f>
        <v>0</v>
      </c>
      <c r="L121">
        <v>0</v>
      </c>
      <c r="M121" s="876">
        <v>0</v>
      </c>
      <c r="N121" s="876">
        <v>0</v>
      </c>
      <c r="O121" s="876"/>
      <c r="P121" s="876">
        <v>0</v>
      </c>
      <c r="U121" s="888"/>
    </row>
    <row r="122" spans="1:21">
      <c r="A122" s="905" t="s">
        <v>1682</v>
      </c>
      <c r="B122" s="881" t="s">
        <v>296</v>
      </c>
      <c r="C122" s="881" t="s">
        <v>296</v>
      </c>
      <c r="D122" s="882"/>
      <c r="E122" s="882"/>
      <c r="F122" s="882"/>
      <c r="G122" s="882"/>
      <c r="H122" s="884">
        <f>IFERROR(SUMPRODUCT(J120:N120,J122:N122)/SUM(J120:N120),0)</f>
        <v>1.79</v>
      </c>
      <c r="I122" s="885"/>
      <c r="J122" s="882"/>
      <c r="K122" s="879"/>
      <c r="L122" s="879">
        <v>1.79</v>
      </c>
      <c r="M122" s="879">
        <v>0</v>
      </c>
      <c r="N122" s="879">
        <v>0</v>
      </c>
      <c r="O122" s="879"/>
      <c r="P122" s="896">
        <v>0</v>
      </c>
      <c r="Q122" s="883"/>
      <c r="R122" s="883"/>
      <c r="S122" s="885"/>
      <c r="U122" s="888"/>
    </row>
    <row r="123" spans="1:21">
      <c r="A123" s="905" t="s">
        <v>1682</v>
      </c>
      <c r="B123" s="863" t="s">
        <v>297</v>
      </c>
      <c r="C123" s="19" t="s">
        <v>1898</v>
      </c>
      <c r="D123" s="877">
        <v>3.6128235294117652</v>
      </c>
      <c r="E123" s="877">
        <f>IFERROR(E125*1000/E121,0)</f>
        <v>2.8699999999999997</v>
      </c>
      <c r="F123" s="207"/>
      <c r="G123" s="869">
        <f>IFERROR(SUMPRODUCT(J121:N121,J122:N122)/I121,0)</f>
        <v>0</v>
      </c>
      <c r="H123" s="869"/>
      <c r="I123" s="867">
        <f>IFERROR(SUMPRODUCT(J121:N121,J123:N123)/SUM(J121:N121),0)</f>
        <v>0</v>
      </c>
      <c r="L123">
        <v>0</v>
      </c>
      <c r="M123" s="863">
        <v>0</v>
      </c>
      <c r="N123" s="863">
        <v>0</v>
      </c>
      <c r="O123" s="863"/>
      <c r="P123" s="876">
        <v>0</v>
      </c>
      <c r="S123" s="871">
        <f>IFERROR(Q123/I123,0)</f>
        <v>0</v>
      </c>
      <c r="U123" s="888">
        <v>2.7</v>
      </c>
    </row>
    <row r="124" spans="1:21">
      <c r="A124" s="905" t="s">
        <v>1682</v>
      </c>
      <c r="B124" s="863" t="s">
        <v>298</v>
      </c>
      <c r="D124" s="877"/>
      <c r="E124" s="877"/>
      <c r="F124" s="207"/>
      <c r="G124" s="869"/>
      <c r="H124" s="869">
        <f>SUM(J124:N124)</f>
        <v>1.2529999999999999</v>
      </c>
      <c r="I124" s="867"/>
      <c r="L124">
        <v>1.2529999999999999</v>
      </c>
      <c r="M124" s="863">
        <v>0</v>
      </c>
      <c r="N124" s="863">
        <v>0</v>
      </c>
      <c r="O124" s="863"/>
      <c r="P124" s="876"/>
      <c r="S124" s="871"/>
      <c r="U124" s="888"/>
    </row>
    <row r="125" spans="1:21">
      <c r="A125" s="905" t="s">
        <v>1682</v>
      </c>
      <c r="B125" s="863" t="s">
        <v>299</v>
      </c>
      <c r="C125" s="19" t="s">
        <v>1899</v>
      </c>
      <c r="D125" s="890">
        <f>D121*D123/1000</f>
        <v>14.268964705882354</v>
      </c>
      <c r="E125" s="877">
        <f>D125*0.85</f>
        <v>12.12862</v>
      </c>
      <c r="F125" s="207"/>
      <c r="I125" s="872">
        <f>SUM(J125:N125)</f>
        <v>0</v>
      </c>
      <c r="J125" s="890">
        <f>J121*J123/1000</f>
        <v>0</v>
      </c>
      <c r="K125" s="890">
        <f>K121*K123/1000</f>
        <v>0</v>
      </c>
      <c r="L125" s="890">
        <v>0</v>
      </c>
      <c r="M125" s="890">
        <v>0</v>
      </c>
      <c r="N125" s="890">
        <v>0</v>
      </c>
      <c r="O125" s="890"/>
      <c r="P125" s="876">
        <v>0</v>
      </c>
    </row>
  </sheetData>
  <autoFilter ref="A2:R125" xr:uid="{F1FDDE73-3E05-4D21-87CB-D2D0D1FDFD02}"/>
  <conditionalFormatting sqref="B1:B5 B7 B9:B11 B13 B15:B17 B19 B21:B23 B25 B27:B29 B31 B33:B35 B37 B39:B41 B43 B45:B47 B49 B51:B53 B55 B57:B59 B61 B63:B65 B67 B69:B71 B73 B75:B77 B79 B81:B83 B85 B87:B89 B91 B93:B95 B97 B99:B101 B103 B105 B107 B109 B111:B115 B117:B121 B123:B1048576">
    <cfRule type="containsText" dxfId="1390" priority="5" operator="containsText" text="grade">
      <formula>NOT(ISERROR(SEARCH("grade",B1)))</formula>
    </cfRule>
    <cfRule type="containsText" dxfId="1389" priority="6" operator="containsText" text="gold">
      <formula>NOT(ISERROR(SEARCH("gold",B1)))</formula>
    </cfRule>
    <cfRule type="containsText" dxfId="1388" priority="8" operator="containsText" text="gold">
      <formula>NOT(ISERROR(SEARCH("gold",B1)))</formula>
    </cfRule>
    <cfRule type="containsText" dxfId="1387" priority="9" operator="containsText" text="grade">
      <formula>NOT(ISERROR(SEARCH("grade",B1)))</formula>
    </cfRule>
    <cfRule type="containsText" dxfId="1386" priority="10" operator="containsText" text="tonnes">
      <formula>NOT(ISERROR(SEARCH("tonnes",B1)))</formula>
    </cfRule>
  </conditionalFormatting>
  <conditionalFormatting sqref="B1:B105 B107:B115 B117:B121 B123:B1048576">
    <cfRule type="containsText" dxfId="1385" priority="3" operator="containsText" text="Actual (g/t)">
      <formula>NOT(ISERROR(SEARCH("Actual (g/t)",B1)))</formula>
    </cfRule>
    <cfRule type="containsText" dxfId="1384" priority="4" operator="containsText" text="Actual (t)">
      <formula>NOT(ISERROR(SEARCH("Actual (t)",B1)))</formula>
    </cfRule>
  </conditionalFormatting>
  <conditionalFormatting sqref="B1:B115 B117:B121 B123:B1048576">
    <cfRule type="containsText" dxfId="1383" priority="1" operator="containsText" text="Actual (kg)">
      <formula>NOT(ISERROR(SEARCH("Actual (kg)",B1)))</formula>
    </cfRule>
    <cfRule type="containsText" dxfId="1382" priority="2" operator="containsText" text="Budget (kg)">
      <formula>NOT(ISERROR(SEARCH("Budget (kg)",B1)))</formula>
    </cfRule>
  </conditionalFormatting>
  <conditionalFormatting sqref="B5">
    <cfRule type="containsText" dxfId="1381" priority="7" operator="containsText" text="Gold">
      <formula>NOT(ISERROR(SEARCH("Gold",B5)))</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7FEDD-D07B-48BF-9D54-83F0E7BE3134}">
  <sheetPr>
    <tabColor rgb="FFFF0000"/>
  </sheetPr>
  <dimension ref="B2:AH112"/>
  <sheetViews>
    <sheetView showGridLines="0" zoomScale="90" zoomScaleNormal="90" workbookViewId="0">
      <selection activeCell="A38" sqref="A38:XFD38"/>
    </sheetView>
  </sheetViews>
  <sheetFormatPr defaultColWidth="8.21875" defaultRowHeight="13.8"/>
  <cols>
    <col min="1" max="1" width="2.21875" style="302" customWidth="1"/>
    <col min="2" max="2" width="6.88671875" style="302" customWidth="1"/>
    <col min="3" max="3" width="15.21875" style="302" bestFit="1" customWidth="1"/>
    <col min="4" max="34" width="6.88671875" style="302" customWidth="1"/>
    <col min="35" max="16384" width="8.21875" style="302"/>
  </cols>
  <sheetData>
    <row r="2" spans="2:12">
      <c r="B2" s="296" t="s">
        <v>0</v>
      </c>
    </row>
    <row r="3" spans="2:12">
      <c r="B3" s="302" t="s">
        <v>52</v>
      </c>
    </row>
    <row r="4" spans="2:12">
      <c r="B4" s="297" t="s">
        <v>53</v>
      </c>
    </row>
    <row r="6" spans="2:12">
      <c r="B6" s="294" t="s">
        <v>3</v>
      </c>
      <c r="C6" s="298">
        <v>45717</v>
      </c>
    </row>
    <row r="7" spans="2:12">
      <c r="B7" s="294" t="s">
        <v>4</v>
      </c>
      <c r="C7" s="68">
        <f>SUMMARY!$C$7</f>
        <v>6</v>
      </c>
    </row>
    <row r="8" spans="2:12" ht="14.4" thickBot="1"/>
    <row r="9" spans="2:12" ht="14.4" thickBot="1">
      <c r="B9" s="343"/>
      <c r="C9" s="343"/>
      <c r="D9" s="343"/>
      <c r="E9" s="3203" t="s">
        <v>54</v>
      </c>
      <c r="F9" s="3204"/>
      <c r="G9" s="3204"/>
      <c r="H9" s="3205"/>
      <c r="I9" s="3203" t="s">
        <v>14</v>
      </c>
      <c r="J9" s="3204"/>
      <c r="K9" s="3204"/>
      <c r="L9" s="3205"/>
    </row>
    <row r="10" spans="2:12">
      <c r="B10" s="696">
        <v>1</v>
      </c>
      <c r="C10" s="698" t="s">
        <v>41</v>
      </c>
      <c r="D10" s="697" t="s">
        <v>56</v>
      </c>
      <c r="E10" s="1265" t="s">
        <v>16</v>
      </c>
      <c r="F10" s="1266" t="s">
        <v>17</v>
      </c>
      <c r="G10" s="1266" t="s">
        <v>57</v>
      </c>
      <c r="H10" s="1267" t="s">
        <v>58</v>
      </c>
      <c r="I10" s="1265" t="s">
        <v>16</v>
      </c>
      <c r="J10" s="1266" t="s">
        <v>17</v>
      </c>
      <c r="K10" s="1266" t="s">
        <v>57</v>
      </c>
      <c r="L10" s="1267" t="s">
        <v>58</v>
      </c>
    </row>
    <row r="11" spans="2:12">
      <c r="B11" s="1268">
        <v>1.1000000000000001</v>
      </c>
      <c r="C11" s="1120" t="s">
        <v>64</v>
      </c>
      <c r="D11" s="1269" t="s">
        <v>60</v>
      </c>
      <c r="E11" s="1270">
        <f>INDEX($D37:$AH37,$C$7)</f>
        <v>3.8000000000000003</v>
      </c>
      <c r="F11" s="1271">
        <f>INDEX($D39:$AH39,$C$7)</f>
        <v>4.9000000000000004</v>
      </c>
      <c r="G11" s="1272">
        <f>E11-F11</f>
        <v>-1.1000000000000001</v>
      </c>
      <c r="H11" s="1273">
        <f>IFERROR(G11/F11,0)</f>
        <v>-0.22448979591836735</v>
      </c>
      <c r="I11" s="1270">
        <f>INDEX($D38:$AH38,$C$7)</f>
        <v>25.1</v>
      </c>
      <c r="J11" s="1271">
        <f>INDEX($D40:$AH40,$C$7)</f>
        <v>19.299999999999997</v>
      </c>
      <c r="K11" s="1272">
        <f>I11-J11</f>
        <v>5.8000000000000043</v>
      </c>
      <c r="L11" s="1273">
        <f t="shared" ref="L11:L32" si="0">IFERROR(K11/J11,0)</f>
        <v>0.3005181347150262</v>
      </c>
    </row>
    <row r="12" spans="2:12" ht="14.4" thickBot="1">
      <c r="B12" s="1517">
        <v>1.2</v>
      </c>
      <c r="C12" s="1518" t="s">
        <v>65</v>
      </c>
      <c r="D12" s="1519" t="s">
        <v>60</v>
      </c>
      <c r="E12" s="1520">
        <f>INDEX($D43:$AH43,$C$7)</f>
        <v>17.299999999999997</v>
      </c>
      <c r="F12" s="1521">
        <f>INDEX($D45:$AH45,$C$7)</f>
        <v>33.899999999999991</v>
      </c>
      <c r="G12" s="1522">
        <f t="shared" ref="G12:G13" si="1">E12-F12</f>
        <v>-16.599999999999994</v>
      </c>
      <c r="H12" s="1523">
        <f t="shared" ref="H12:H32" si="2">IFERROR(G12/F12,0)</f>
        <v>-0.48967551622418876</v>
      </c>
      <c r="I12" s="1520">
        <f>INDEX($D44:$AH44,$C$7)</f>
        <v>155.19999999999999</v>
      </c>
      <c r="J12" s="1521">
        <f>INDEX($D46:$AH46,$C$7)</f>
        <v>164.99999999999994</v>
      </c>
      <c r="K12" s="1522">
        <f>I12-J12</f>
        <v>-9.7999999999999545</v>
      </c>
      <c r="L12" s="1523">
        <f t="shared" si="0"/>
        <v>-5.9393939393939138E-2</v>
      </c>
    </row>
    <row r="13" spans="2:12" ht="14.4" thickBot="1">
      <c r="B13" s="703"/>
      <c r="C13" s="704" t="s">
        <v>63</v>
      </c>
      <c r="D13" s="705" t="s">
        <v>60</v>
      </c>
      <c r="E13" s="706">
        <f>SUM(E11:E12)</f>
        <v>21.099999999999998</v>
      </c>
      <c r="F13" s="707">
        <f>SUM(F11:F12)</f>
        <v>38.79999999999999</v>
      </c>
      <c r="G13" s="708">
        <f t="shared" si="1"/>
        <v>-17.699999999999992</v>
      </c>
      <c r="H13" s="709">
        <f t="shared" si="2"/>
        <v>-0.45618556701030921</v>
      </c>
      <c r="I13" s="706">
        <f t="shared" ref="I13:J13" si="3">SUM(I11:I12)</f>
        <v>180.29999999999998</v>
      </c>
      <c r="J13" s="707">
        <f t="shared" si="3"/>
        <v>184.29999999999995</v>
      </c>
      <c r="K13" s="708">
        <f>I13-J13</f>
        <v>-3.9999999999999716</v>
      </c>
      <c r="L13" s="709">
        <f t="shared" si="0"/>
        <v>-2.170374389582188E-2</v>
      </c>
    </row>
    <row r="14" spans="2:12" ht="14.4" thickBot="1"/>
    <row r="15" spans="2:12">
      <c r="B15" s="696">
        <v>2</v>
      </c>
      <c r="C15" s="698" t="s">
        <v>1919</v>
      </c>
      <c r="D15" s="699"/>
      <c r="E15" s="700"/>
      <c r="F15" s="701"/>
      <c r="G15" s="701"/>
      <c r="H15" s="702"/>
      <c r="I15" s="700"/>
      <c r="J15" s="701"/>
      <c r="K15" s="701"/>
      <c r="L15" s="702"/>
    </row>
    <row r="16" spans="2:12">
      <c r="B16" s="1268">
        <v>2.1</v>
      </c>
      <c r="C16" s="1120" t="s">
        <v>64</v>
      </c>
      <c r="D16" s="1269" t="s">
        <v>60</v>
      </c>
      <c r="E16" s="1268"/>
      <c r="F16" s="1274"/>
      <c r="G16" s="1274"/>
      <c r="H16" s="1269"/>
      <c r="I16" s="1268"/>
      <c r="J16" s="1274"/>
      <c r="K16" s="1274"/>
      <c r="L16" s="1269"/>
    </row>
    <row r="17" spans="2:12" ht="14.4" thickBot="1">
      <c r="B17" s="1065">
        <v>2.2000000000000002</v>
      </c>
      <c r="C17" s="1017" t="s">
        <v>1920</v>
      </c>
      <c r="D17" s="1018" t="s">
        <v>60</v>
      </c>
      <c r="E17" s="1065"/>
      <c r="F17" s="1019"/>
      <c r="G17" s="1019"/>
      <c r="H17" s="1018"/>
      <c r="I17" s="1065"/>
      <c r="J17" s="1019"/>
      <c r="K17" s="1019"/>
      <c r="L17" s="1018"/>
    </row>
    <row r="18" spans="2:12" ht="14.4" thickBot="1"/>
    <row r="19" spans="2:12">
      <c r="B19" s="696">
        <v>3</v>
      </c>
      <c r="C19" s="698" t="s">
        <v>66</v>
      </c>
      <c r="D19" s="699"/>
      <c r="E19" s="700"/>
      <c r="F19" s="701"/>
      <c r="G19" s="701"/>
      <c r="H19" s="702"/>
      <c r="I19" s="700"/>
      <c r="J19" s="701"/>
      <c r="K19" s="701"/>
      <c r="L19" s="702"/>
    </row>
    <row r="20" spans="2:12">
      <c r="B20" s="1268">
        <v>3.1</v>
      </c>
      <c r="C20" s="1120" t="s">
        <v>1921</v>
      </c>
      <c r="D20" s="1269" t="s">
        <v>67</v>
      </c>
      <c r="E20" s="1275">
        <f>INDEX($D61:$AH61,$C$7)</f>
        <v>0</v>
      </c>
      <c r="F20" s="1276">
        <f>INDEX($D63:$AH63,$C$7)</f>
        <v>0</v>
      </c>
      <c r="G20" s="1277">
        <f>E20-F20</f>
        <v>0</v>
      </c>
      <c r="H20" s="1273">
        <f t="shared" si="2"/>
        <v>0</v>
      </c>
      <c r="I20" s="1275">
        <f>INDEX($D62:$AH62,$C$7)</f>
        <v>0</v>
      </c>
      <c r="J20" s="1276">
        <f>INDEX($D64:$AH64,$C$7)</f>
        <v>0</v>
      </c>
      <c r="K20" s="1277">
        <f>I20-J20</f>
        <v>0</v>
      </c>
      <c r="L20" s="1273">
        <f t="shared" si="0"/>
        <v>0</v>
      </c>
    </row>
    <row r="21" spans="2:12">
      <c r="B21" s="1268">
        <v>3.2</v>
      </c>
      <c r="C21" s="1120" t="s">
        <v>30</v>
      </c>
      <c r="D21" s="1269" t="s">
        <v>67</v>
      </c>
      <c r="E21" s="1275">
        <f>INDEX($D67:$AH67,$C$7)</f>
        <v>0</v>
      </c>
      <c r="F21" s="1276">
        <f>INDEX($D69:$AH69,$C$7)</f>
        <v>0</v>
      </c>
      <c r="G21" s="1277">
        <f>E21-F21</f>
        <v>0</v>
      </c>
      <c r="H21" s="1273">
        <f t="shared" si="2"/>
        <v>0</v>
      </c>
      <c r="I21" s="1275">
        <f>INDEX($D68:$AH68,$C$7)</f>
        <v>0</v>
      </c>
      <c r="J21" s="1276">
        <f>INDEX($D70:$AH70,$C$7)</f>
        <v>0</v>
      </c>
      <c r="K21" s="1277">
        <f>I21-J21</f>
        <v>0</v>
      </c>
      <c r="L21" s="1273">
        <f t="shared" si="0"/>
        <v>0</v>
      </c>
    </row>
    <row r="22" spans="2:12" ht="14.4" thickBot="1">
      <c r="B22" s="1065">
        <v>3.3</v>
      </c>
      <c r="C22" s="1017" t="s">
        <v>31</v>
      </c>
      <c r="D22" s="1018" t="s">
        <v>67</v>
      </c>
      <c r="E22" s="1066">
        <f>INDEX($D73:$AH73,$C$7)</f>
        <v>0</v>
      </c>
      <c r="F22" s="1020">
        <f>INDEX($D75:$AH75,$C$7)</f>
        <v>0</v>
      </c>
      <c r="G22" s="1021">
        <f>E22-F22</f>
        <v>0</v>
      </c>
      <c r="H22" s="1022">
        <f t="shared" si="2"/>
        <v>0</v>
      </c>
      <c r="I22" s="1066">
        <f>INDEX($D74:$AH74,$C$7)</f>
        <v>0</v>
      </c>
      <c r="J22" s="1020">
        <f>INDEX($D76:$AH76,$C$7)</f>
        <v>0</v>
      </c>
      <c r="K22" s="1021">
        <f>I22-J22</f>
        <v>0</v>
      </c>
      <c r="L22" s="1022">
        <f t="shared" si="0"/>
        <v>0</v>
      </c>
    </row>
    <row r="23" spans="2:12" ht="14.4" thickBot="1"/>
    <row r="24" spans="2:12">
      <c r="B24" s="696">
        <v>4</v>
      </c>
      <c r="C24" s="698" t="s">
        <v>68</v>
      </c>
      <c r="D24" s="699"/>
      <c r="E24" s="700"/>
      <c r="F24" s="701"/>
      <c r="G24" s="701"/>
      <c r="H24" s="702"/>
      <c r="I24" s="700"/>
      <c r="J24" s="701"/>
      <c r="K24" s="701"/>
      <c r="L24" s="702"/>
    </row>
    <row r="25" spans="2:12">
      <c r="B25" s="1268">
        <v>3.1</v>
      </c>
      <c r="C25" s="1120" t="s">
        <v>1921</v>
      </c>
      <c r="D25" s="1269" t="s">
        <v>69</v>
      </c>
      <c r="E25" s="1278" t="str">
        <f>INDEX($D79:$AH79,$C$7)</f>
        <v/>
      </c>
      <c r="F25" s="1279" t="str">
        <f>INDEX($D81:$AH81,$C$7)</f>
        <v/>
      </c>
      <c r="G25" s="1280" t="e">
        <f>E25-F25</f>
        <v>#VALUE!</v>
      </c>
      <c r="H25" s="1273">
        <f t="shared" si="2"/>
        <v>0</v>
      </c>
      <c r="I25" s="1278" t="str">
        <f>INDEX($D80:$AH80,$C$7)</f>
        <v/>
      </c>
      <c r="J25" s="1279" t="str">
        <f>INDEX($D82:$AH82,$C$7)</f>
        <v/>
      </c>
      <c r="K25" s="1280" t="e">
        <f>I25-J25</f>
        <v>#VALUE!</v>
      </c>
      <c r="L25" s="1273">
        <f t="shared" si="0"/>
        <v>0</v>
      </c>
    </row>
    <row r="26" spans="2:12">
      <c r="B26" s="1268">
        <v>3.2</v>
      </c>
      <c r="C26" s="1120" t="s">
        <v>30</v>
      </c>
      <c r="D26" s="1269" t="s">
        <v>69</v>
      </c>
      <c r="E26" s="1278" t="str">
        <f>INDEX($D85:$AH85,$C$7)</f>
        <v/>
      </c>
      <c r="F26" s="1279" t="str">
        <f>INDEX($D87:$AH87,$C$7)</f>
        <v/>
      </c>
      <c r="G26" s="1280" t="e">
        <f>E26-F26</f>
        <v>#VALUE!</v>
      </c>
      <c r="H26" s="1273">
        <f t="shared" si="2"/>
        <v>0</v>
      </c>
      <c r="I26" s="1278" t="str">
        <f>INDEX($D86:$AH86,$C$7)</f>
        <v/>
      </c>
      <c r="J26" s="1279" t="str">
        <f>INDEX($D88:$AH88,$C$7)</f>
        <v/>
      </c>
      <c r="K26" s="1280" t="e">
        <f>I26-J26</f>
        <v>#VALUE!</v>
      </c>
      <c r="L26" s="1273">
        <f t="shared" si="0"/>
        <v>0</v>
      </c>
    </row>
    <row r="27" spans="2:12" ht="14.4" thickBot="1">
      <c r="B27" s="1065">
        <v>3.3</v>
      </c>
      <c r="C27" s="1017" t="s">
        <v>31</v>
      </c>
      <c r="D27" s="1018" t="s">
        <v>69</v>
      </c>
      <c r="E27" s="1067" t="str">
        <f>INDEX($D91:$AH91,$C$7)</f>
        <v/>
      </c>
      <c r="F27" s="1023" t="str">
        <f>INDEX($D93:$AH93,$C$7)</f>
        <v/>
      </c>
      <c r="G27" s="1024" t="e">
        <f>E27-F27</f>
        <v>#VALUE!</v>
      </c>
      <c r="H27" s="1022">
        <f t="shared" si="2"/>
        <v>0</v>
      </c>
      <c r="I27" s="1067" t="str">
        <f>INDEX($D92:$AH92,$C$7)</f>
        <v/>
      </c>
      <c r="J27" s="1023" t="str">
        <f>INDEX($D93:$AH93,$C$7)</f>
        <v/>
      </c>
      <c r="K27" s="1024" t="e">
        <f>I27-J27</f>
        <v>#VALUE!</v>
      </c>
      <c r="L27" s="1022">
        <f t="shared" si="0"/>
        <v>0</v>
      </c>
    </row>
    <row r="28" spans="2:12" ht="14.4" thickBot="1"/>
    <row r="29" spans="2:12">
      <c r="B29" s="696">
        <v>5</v>
      </c>
      <c r="C29" s="698" t="s">
        <v>70</v>
      </c>
      <c r="D29" s="699"/>
      <c r="E29" s="700"/>
      <c r="F29" s="701"/>
      <c r="G29" s="701"/>
      <c r="H29" s="702"/>
      <c r="I29" s="700"/>
      <c r="J29" s="701"/>
      <c r="K29" s="701"/>
      <c r="L29" s="702"/>
    </row>
    <row r="30" spans="2:12">
      <c r="B30" s="1268">
        <v>3.1</v>
      </c>
      <c r="C30" s="1120" t="s">
        <v>1921</v>
      </c>
      <c r="D30" s="1269" t="s">
        <v>71</v>
      </c>
      <c r="E30" s="1270">
        <f>INDEX($D97:$AH97,$C$7)</f>
        <v>2.77766</v>
      </c>
      <c r="F30" s="1271">
        <f>INDEX($D99:$AH99,$C$7)</f>
        <v>2.053306074766355</v>
      </c>
      <c r="G30" s="1272">
        <f>E30-F30</f>
        <v>0.72435392523364506</v>
      </c>
      <c r="H30" s="1273">
        <f t="shared" si="2"/>
        <v>0.35277445196087925</v>
      </c>
      <c r="I30" s="1270">
        <f>INDEX($D98:$AH98,$C$7)</f>
        <v>16.704610000000002</v>
      </c>
      <c r="J30" s="1271">
        <f>INDEX($D100:$AH100,$C$7)</f>
        <v>12.319836448598128</v>
      </c>
      <c r="K30" s="1272">
        <f>I30-J30</f>
        <v>4.3847735514018744</v>
      </c>
      <c r="L30" s="1273">
        <f t="shared" si="0"/>
        <v>0.35591166893297654</v>
      </c>
    </row>
    <row r="31" spans="2:12">
      <c r="B31" s="1268">
        <v>3.2</v>
      </c>
      <c r="C31" s="1120" t="s">
        <v>30</v>
      </c>
      <c r="D31" s="1269" t="s">
        <v>71</v>
      </c>
      <c r="E31" s="1270">
        <f>INDEX($D103:$AH103,$C$7)</f>
        <v>0</v>
      </c>
      <c r="F31" s="1271">
        <f>INDEX($D105:$AH105,$C$7)</f>
        <v>2.053306074766355</v>
      </c>
      <c r="G31" s="1272">
        <f>E31-F31</f>
        <v>-2.053306074766355</v>
      </c>
      <c r="H31" s="1273">
        <f t="shared" si="2"/>
        <v>-1</v>
      </c>
      <c r="I31" s="1270">
        <f>INDEX($D104:$AH104,$C$7)</f>
        <v>13.00783</v>
      </c>
      <c r="J31" s="1271">
        <f>INDEX($D106:$AH106,$C$7)</f>
        <v>12.005654205607474</v>
      </c>
      <c r="K31" s="1272">
        <f>I31-J31</f>
        <v>1.0021757943925262</v>
      </c>
      <c r="L31" s="1273">
        <f t="shared" si="0"/>
        <v>8.347531731543964E-2</v>
      </c>
    </row>
    <row r="32" spans="2:12" ht="14.4" thickBot="1">
      <c r="B32" s="1065">
        <v>3.3</v>
      </c>
      <c r="C32" s="1017" t="s">
        <v>31</v>
      </c>
      <c r="D32" s="1018" t="s">
        <v>71</v>
      </c>
      <c r="E32" s="1068">
        <f>INDEX($D109:$AH109,$C$7)</f>
        <v>0</v>
      </c>
      <c r="F32" s="1025">
        <f>INDEX($D111:$AH111,$C$7)</f>
        <v>1.9039106308411213</v>
      </c>
      <c r="G32" s="1026">
        <f>E32-F32</f>
        <v>-1.9039106308411213</v>
      </c>
      <c r="H32" s="1022">
        <f t="shared" si="2"/>
        <v>-1</v>
      </c>
      <c r="I32" s="1068">
        <f>INDEX($D110:$AH110,$C$7)</f>
        <v>9.4905000000000008</v>
      </c>
      <c r="J32" s="1025">
        <f>INDEX($D112:$AH112,$C$7)</f>
        <v>11.149572137850466</v>
      </c>
      <c r="K32" s="1026">
        <f>I32-J32</f>
        <v>-1.6590721378504654</v>
      </c>
      <c r="L32" s="1022">
        <f t="shared" si="0"/>
        <v>-0.14880141743002517</v>
      </c>
    </row>
    <row r="35" spans="3:34">
      <c r="D35" s="389">
        <f>SUMMARY!I16</f>
        <v>45870</v>
      </c>
      <c r="E35" s="389">
        <f>SUMMARY!J16</f>
        <v>45871</v>
      </c>
      <c r="F35" s="389">
        <f>SUMMARY!K16</f>
        <v>45872</v>
      </c>
      <c r="G35" s="389">
        <f>SUMMARY!L16</f>
        <v>45873</v>
      </c>
      <c r="H35" s="389">
        <f>SUMMARY!M16</f>
        <v>45874</v>
      </c>
      <c r="I35" s="389">
        <f>SUMMARY!N16</f>
        <v>45875</v>
      </c>
      <c r="J35" s="389">
        <f>SUMMARY!O16</f>
        <v>45876</v>
      </c>
      <c r="K35" s="389">
        <f>SUMMARY!P16</f>
        <v>45877</v>
      </c>
      <c r="L35" s="389">
        <f>SUMMARY!Q16</f>
        <v>45878</v>
      </c>
      <c r="M35" s="389">
        <f>SUMMARY!R16</f>
        <v>45879</v>
      </c>
      <c r="N35" s="389">
        <f>SUMMARY!S16</f>
        <v>45880</v>
      </c>
      <c r="O35" s="389">
        <f>SUMMARY!T16</f>
        <v>45881</v>
      </c>
      <c r="P35" s="389">
        <f>SUMMARY!U16</f>
        <v>45882</v>
      </c>
      <c r="Q35" s="389">
        <f>SUMMARY!V16</f>
        <v>45883</v>
      </c>
      <c r="R35" s="389">
        <f>SUMMARY!W16</f>
        <v>45884</v>
      </c>
      <c r="S35" s="389">
        <f>SUMMARY!X16</f>
        <v>45885</v>
      </c>
      <c r="T35" s="389">
        <f>SUMMARY!Y16</f>
        <v>45886</v>
      </c>
      <c r="U35" s="389">
        <f>SUMMARY!Z16</f>
        <v>45887</v>
      </c>
      <c r="V35" s="389">
        <f>SUMMARY!AA16</f>
        <v>45888</v>
      </c>
      <c r="W35" s="389">
        <f>SUMMARY!AB16</f>
        <v>45889</v>
      </c>
      <c r="X35" s="389">
        <f>SUMMARY!AC16</f>
        <v>45890</v>
      </c>
      <c r="Y35" s="389">
        <f>SUMMARY!AD16</f>
        <v>45891</v>
      </c>
      <c r="Z35" s="389">
        <f>SUMMARY!AE16</f>
        <v>45892</v>
      </c>
      <c r="AA35" s="389">
        <f>SUMMARY!AF16</f>
        <v>45893</v>
      </c>
      <c r="AB35" s="389">
        <f>SUMMARY!AG16</f>
        <v>45894</v>
      </c>
      <c r="AC35" s="389">
        <f>SUMMARY!AH16</f>
        <v>45895</v>
      </c>
      <c r="AD35" s="389">
        <f>SUMMARY!AI16</f>
        <v>45896</v>
      </c>
      <c r="AE35" s="389">
        <f>SUMMARY!AJ16</f>
        <v>45897</v>
      </c>
      <c r="AF35" s="389">
        <f>SUMMARY!AK16</f>
        <v>45898</v>
      </c>
      <c r="AG35" s="389">
        <f>SUMMARY!AL16</f>
        <v>45899</v>
      </c>
      <c r="AH35" s="389">
        <f>SUMMARY!AM16</f>
        <v>45900</v>
      </c>
    </row>
    <row r="36" spans="3:34">
      <c r="C36" s="302" t="str">
        <f>_xlfn.CONCAT(C11," ",C10)</f>
        <v>CAPEX Development</v>
      </c>
    </row>
    <row r="37" spans="3:34">
      <c r="C37" s="302" t="s">
        <v>16</v>
      </c>
      <c r="D37" s="693">
        <f>Development!H10</f>
        <v>5.7</v>
      </c>
      <c r="E37" s="693">
        <f>Development!I10</f>
        <v>4.9000000000000004</v>
      </c>
      <c r="F37" s="693">
        <f>Development!J10</f>
        <v>2.9000000000000004</v>
      </c>
      <c r="G37" s="693">
        <f>Development!K10</f>
        <v>3.8</v>
      </c>
      <c r="H37" s="693">
        <f>Development!L10</f>
        <v>4</v>
      </c>
      <c r="I37" s="693">
        <f>Development!M10</f>
        <v>3.8000000000000003</v>
      </c>
      <c r="J37" s="693" t="str">
        <f>Development!N10</f>
        <v/>
      </c>
      <c r="K37" s="693" t="str">
        <f>Development!O10</f>
        <v/>
      </c>
      <c r="L37" s="693" t="str">
        <f>Development!P10</f>
        <v/>
      </c>
      <c r="M37" s="693" t="str">
        <f>Development!Q10</f>
        <v/>
      </c>
      <c r="N37" s="693" t="str">
        <f>Development!R10</f>
        <v/>
      </c>
      <c r="O37" s="693" t="str">
        <f>Development!S10</f>
        <v/>
      </c>
      <c r="P37" s="693" t="str">
        <f>Development!T10</f>
        <v/>
      </c>
      <c r="Q37" s="693" t="str">
        <f>Development!U10</f>
        <v/>
      </c>
      <c r="R37" s="693" t="str">
        <f>Development!V10</f>
        <v/>
      </c>
      <c r="S37" s="693" t="str">
        <f>Development!W10</f>
        <v/>
      </c>
      <c r="T37" s="693" t="str">
        <f>Development!X10</f>
        <v/>
      </c>
      <c r="U37" s="693" t="str">
        <f>Development!Y10</f>
        <v/>
      </c>
      <c r="V37" s="693" t="str">
        <f>Development!Z10</f>
        <v/>
      </c>
      <c r="W37" s="693" t="str">
        <f>Development!AA10</f>
        <v/>
      </c>
      <c r="X37" s="693" t="str">
        <f>Development!AB10</f>
        <v/>
      </c>
      <c r="Y37" s="693" t="str">
        <f>Development!AC10</f>
        <v/>
      </c>
      <c r="Z37" s="693" t="str">
        <f>Development!AD10</f>
        <v/>
      </c>
      <c r="AA37" s="693" t="str">
        <f>Development!AE10</f>
        <v/>
      </c>
      <c r="AB37" s="693" t="str">
        <f>Development!AF10</f>
        <v/>
      </c>
      <c r="AC37" s="693" t="str">
        <f>Development!AG10</f>
        <v/>
      </c>
      <c r="AD37" s="693" t="str">
        <f>Development!AH10</f>
        <v/>
      </c>
      <c r="AE37" s="693" t="str">
        <f>Development!AI10</f>
        <v/>
      </c>
      <c r="AF37" s="693" t="str">
        <f>Development!AJ10</f>
        <v/>
      </c>
      <c r="AG37" s="693" t="str">
        <f>Development!AK10</f>
        <v/>
      </c>
      <c r="AH37" s="693" t="str">
        <f>Development!AL10</f>
        <v/>
      </c>
    </row>
    <row r="38" spans="3:34">
      <c r="C38" s="302" t="s">
        <v>72</v>
      </c>
      <c r="D38" s="694">
        <f>D37</f>
        <v>5.7</v>
      </c>
      <c r="E38" s="694">
        <f>IFERROR(E37+D38,"")</f>
        <v>10.600000000000001</v>
      </c>
      <c r="F38" s="694">
        <f>IFERROR(F37+E38,"")</f>
        <v>13.500000000000002</v>
      </c>
      <c r="G38" s="694">
        <f t="shared" ref="G38:AH38" si="4">IFERROR(G37+F38,"")</f>
        <v>17.3</v>
      </c>
      <c r="H38" s="694">
        <f t="shared" si="4"/>
        <v>21.3</v>
      </c>
      <c r="I38" s="694">
        <f t="shared" si="4"/>
        <v>25.1</v>
      </c>
      <c r="J38" s="694" t="str">
        <f t="shared" si="4"/>
        <v/>
      </c>
      <c r="K38" s="694" t="str">
        <f t="shared" si="4"/>
        <v/>
      </c>
      <c r="L38" s="694" t="str">
        <f t="shared" si="4"/>
        <v/>
      </c>
      <c r="M38" s="694" t="str">
        <f t="shared" si="4"/>
        <v/>
      </c>
      <c r="N38" s="694" t="str">
        <f t="shared" si="4"/>
        <v/>
      </c>
      <c r="O38" s="694" t="str">
        <f t="shared" si="4"/>
        <v/>
      </c>
      <c r="P38" s="694" t="str">
        <f t="shared" si="4"/>
        <v/>
      </c>
      <c r="Q38" s="694" t="str">
        <f t="shared" si="4"/>
        <v/>
      </c>
      <c r="R38" s="694" t="str">
        <f t="shared" si="4"/>
        <v/>
      </c>
      <c r="S38" s="694" t="str">
        <f t="shared" si="4"/>
        <v/>
      </c>
      <c r="T38" s="694" t="str">
        <f t="shared" si="4"/>
        <v/>
      </c>
      <c r="U38" s="694" t="str">
        <f t="shared" si="4"/>
        <v/>
      </c>
      <c r="V38" s="694" t="str">
        <f t="shared" si="4"/>
        <v/>
      </c>
      <c r="W38" s="694" t="str">
        <f t="shared" si="4"/>
        <v/>
      </c>
      <c r="X38" s="694" t="str">
        <f t="shared" si="4"/>
        <v/>
      </c>
      <c r="Y38" s="694" t="str">
        <f t="shared" si="4"/>
        <v/>
      </c>
      <c r="Z38" s="694" t="str">
        <f t="shared" si="4"/>
        <v/>
      </c>
      <c r="AA38" s="694" t="str">
        <f t="shared" si="4"/>
        <v/>
      </c>
      <c r="AB38" s="694" t="str">
        <f t="shared" si="4"/>
        <v/>
      </c>
      <c r="AC38" s="694" t="str">
        <f t="shared" si="4"/>
        <v/>
      </c>
      <c r="AD38" s="694" t="str">
        <f t="shared" si="4"/>
        <v/>
      </c>
      <c r="AE38" s="694" t="str">
        <f t="shared" si="4"/>
        <v/>
      </c>
      <c r="AF38" s="694" t="str">
        <f t="shared" si="4"/>
        <v/>
      </c>
      <c r="AG38" s="694" t="str">
        <f t="shared" si="4"/>
        <v/>
      </c>
      <c r="AH38" s="694" t="str">
        <f t="shared" si="4"/>
        <v/>
      </c>
    </row>
    <row r="39" spans="3:34">
      <c r="C39" s="302" t="s">
        <v>17</v>
      </c>
      <c r="D39" s="693">
        <f>Development!H9</f>
        <v>3.6</v>
      </c>
      <c r="E39" s="693">
        <f>Development!I9</f>
        <v>3.6</v>
      </c>
      <c r="F39" s="693">
        <f>Development!J9</f>
        <v>0.9</v>
      </c>
      <c r="G39" s="693">
        <f>Development!K9</f>
        <v>3.6</v>
      </c>
      <c r="H39" s="693">
        <f>Development!L9</f>
        <v>2.7</v>
      </c>
      <c r="I39" s="693">
        <f>Development!M9</f>
        <v>4.9000000000000004</v>
      </c>
      <c r="J39" s="693" t="str">
        <f>Development!N9</f>
        <v/>
      </c>
      <c r="K39" s="693" t="str">
        <f>Development!O9</f>
        <v/>
      </c>
      <c r="L39" s="693" t="str">
        <f>Development!P9</f>
        <v/>
      </c>
      <c r="M39" s="693" t="str">
        <f>Development!Q9</f>
        <v/>
      </c>
      <c r="N39" s="693" t="str">
        <f>Development!R9</f>
        <v/>
      </c>
      <c r="O39" s="693" t="str">
        <f>Development!S9</f>
        <v/>
      </c>
      <c r="P39" s="693" t="str">
        <f>Development!T9</f>
        <v/>
      </c>
      <c r="Q39" s="693" t="str">
        <f>Development!U9</f>
        <v/>
      </c>
      <c r="R39" s="693" t="str">
        <f>Development!V9</f>
        <v/>
      </c>
      <c r="S39" s="693" t="str">
        <f>Development!W9</f>
        <v/>
      </c>
      <c r="T39" s="693" t="str">
        <f>Development!X9</f>
        <v/>
      </c>
      <c r="U39" s="693" t="str">
        <f>Development!Y9</f>
        <v/>
      </c>
      <c r="V39" s="693" t="str">
        <f>Development!Z9</f>
        <v/>
      </c>
      <c r="W39" s="693" t="str">
        <f>Development!AA9</f>
        <v/>
      </c>
      <c r="X39" s="693" t="str">
        <f>Development!AB9</f>
        <v/>
      </c>
      <c r="Y39" s="693" t="str">
        <f>Development!AC9</f>
        <v/>
      </c>
      <c r="Z39" s="693" t="str">
        <f>Development!AD9</f>
        <v/>
      </c>
      <c r="AA39" s="693" t="str">
        <f>Development!AE9</f>
        <v/>
      </c>
      <c r="AB39" s="693" t="str">
        <f>Development!AF9</f>
        <v/>
      </c>
      <c r="AC39" s="693" t="str">
        <f>Development!AG9</f>
        <v/>
      </c>
      <c r="AD39" s="693" t="str">
        <f>Development!AH9</f>
        <v/>
      </c>
      <c r="AE39" s="693" t="str">
        <f>Development!AI9</f>
        <v/>
      </c>
      <c r="AF39" s="693" t="str">
        <f>Development!AJ9</f>
        <v/>
      </c>
      <c r="AG39" s="693" t="str">
        <f>Development!AK9</f>
        <v/>
      </c>
      <c r="AH39" s="693" t="str">
        <f>Development!AL9</f>
        <v/>
      </c>
    </row>
    <row r="40" spans="3:34">
      <c r="C40" s="302" t="s">
        <v>73</v>
      </c>
      <c r="D40" s="693">
        <f>D39</f>
        <v>3.6</v>
      </c>
      <c r="E40" s="693">
        <f>IFERROR(E39+D40,"")</f>
        <v>7.2</v>
      </c>
      <c r="F40" s="693">
        <f>IFERROR(F39+E40,"")</f>
        <v>8.1</v>
      </c>
      <c r="G40" s="693">
        <f t="shared" ref="G40:AH40" si="5">IFERROR(G39+F40,"")</f>
        <v>11.7</v>
      </c>
      <c r="H40" s="693">
        <f t="shared" si="5"/>
        <v>14.399999999999999</v>
      </c>
      <c r="I40" s="693">
        <f t="shared" si="5"/>
        <v>19.299999999999997</v>
      </c>
      <c r="J40" s="693" t="str">
        <f t="shared" si="5"/>
        <v/>
      </c>
      <c r="K40" s="693" t="str">
        <f t="shared" si="5"/>
        <v/>
      </c>
      <c r="L40" s="693" t="str">
        <f t="shared" si="5"/>
        <v/>
      </c>
      <c r="M40" s="693" t="str">
        <f t="shared" si="5"/>
        <v/>
      </c>
      <c r="N40" s="693" t="str">
        <f t="shared" si="5"/>
        <v/>
      </c>
      <c r="O40" s="693" t="str">
        <f t="shared" si="5"/>
        <v/>
      </c>
      <c r="P40" s="693" t="str">
        <f t="shared" si="5"/>
        <v/>
      </c>
      <c r="Q40" s="693" t="str">
        <f t="shared" si="5"/>
        <v/>
      </c>
      <c r="R40" s="693" t="str">
        <f t="shared" si="5"/>
        <v/>
      </c>
      <c r="S40" s="693" t="str">
        <f t="shared" si="5"/>
        <v/>
      </c>
      <c r="T40" s="693" t="str">
        <f t="shared" si="5"/>
        <v/>
      </c>
      <c r="U40" s="693" t="str">
        <f t="shared" si="5"/>
        <v/>
      </c>
      <c r="V40" s="693" t="str">
        <f t="shared" si="5"/>
        <v/>
      </c>
      <c r="W40" s="693" t="str">
        <f t="shared" si="5"/>
        <v/>
      </c>
      <c r="X40" s="693" t="str">
        <f t="shared" si="5"/>
        <v/>
      </c>
      <c r="Y40" s="693" t="str">
        <f t="shared" si="5"/>
        <v/>
      </c>
      <c r="Z40" s="693" t="str">
        <f t="shared" si="5"/>
        <v/>
      </c>
      <c r="AA40" s="693" t="str">
        <f t="shared" si="5"/>
        <v/>
      </c>
      <c r="AB40" s="693" t="str">
        <f t="shared" si="5"/>
        <v/>
      </c>
      <c r="AC40" s="693" t="str">
        <f t="shared" si="5"/>
        <v/>
      </c>
      <c r="AD40" s="693" t="str">
        <f t="shared" si="5"/>
        <v/>
      </c>
      <c r="AE40" s="693" t="str">
        <f t="shared" si="5"/>
        <v/>
      </c>
      <c r="AF40" s="693" t="str">
        <f t="shared" si="5"/>
        <v/>
      </c>
      <c r="AG40" s="693" t="str">
        <f t="shared" si="5"/>
        <v/>
      </c>
      <c r="AH40" s="693" t="str">
        <f t="shared" si="5"/>
        <v/>
      </c>
    </row>
    <row r="41" spans="3:34">
      <c r="D41" s="693"/>
      <c r="E41" s="693"/>
      <c r="F41" s="693"/>
      <c r="G41" s="693"/>
      <c r="H41" s="693"/>
      <c r="I41" s="693"/>
      <c r="J41" s="693"/>
      <c r="K41" s="693"/>
      <c r="L41" s="693"/>
      <c r="M41" s="693"/>
      <c r="N41" s="693"/>
      <c r="O41" s="693"/>
      <c r="P41" s="693"/>
      <c r="Q41" s="693"/>
      <c r="R41" s="693"/>
      <c r="S41" s="693"/>
      <c r="T41" s="693"/>
      <c r="U41" s="693"/>
      <c r="V41" s="693"/>
      <c r="W41" s="693"/>
      <c r="X41" s="693"/>
      <c r="Y41" s="693"/>
      <c r="Z41" s="693"/>
      <c r="AA41" s="693"/>
      <c r="AB41" s="693"/>
      <c r="AC41" s="693"/>
      <c r="AD41" s="693"/>
      <c r="AE41" s="693"/>
      <c r="AF41" s="693"/>
      <c r="AG41" s="693"/>
      <c r="AH41" s="693"/>
    </row>
    <row r="42" spans="3:34">
      <c r="C42" s="302" t="str">
        <f>_xlfn.CONCAT(C12," ",C10)</f>
        <v>ROM Development</v>
      </c>
      <c r="D42" s="693"/>
      <c r="E42" s="693"/>
      <c r="F42" s="693"/>
      <c r="G42" s="693"/>
      <c r="H42" s="693"/>
      <c r="I42" s="693"/>
      <c r="J42" s="693"/>
      <c r="K42" s="693"/>
      <c r="L42" s="693"/>
      <c r="M42" s="693"/>
      <c r="N42" s="693"/>
      <c r="O42" s="693"/>
      <c r="P42" s="693"/>
      <c r="Q42" s="693"/>
      <c r="R42" s="693"/>
      <c r="S42" s="693"/>
      <c r="T42" s="693"/>
      <c r="U42" s="693"/>
      <c r="V42" s="693"/>
      <c r="W42" s="693"/>
      <c r="X42" s="693"/>
      <c r="Y42" s="693"/>
      <c r="Z42" s="693"/>
      <c r="AA42" s="693"/>
      <c r="AB42" s="693"/>
      <c r="AC42" s="693"/>
      <c r="AD42" s="693"/>
      <c r="AE42" s="693"/>
      <c r="AF42" s="693"/>
      <c r="AG42" s="693"/>
      <c r="AH42" s="693"/>
    </row>
    <row r="43" spans="3:34">
      <c r="C43" s="302" t="s">
        <v>16</v>
      </c>
      <c r="D43" s="693">
        <f>Development!H8</f>
        <v>33.199999999999989</v>
      </c>
      <c r="E43" s="693">
        <f>Development!I8</f>
        <v>34.699999999999996</v>
      </c>
      <c r="F43" s="693">
        <f>Development!J8</f>
        <v>0</v>
      </c>
      <c r="G43" s="693">
        <f>Development!K8</f>
        <v>35.1</v>
      </c>
      <c r="H43" s="693">
        <f>Development!L8</f>
        <v>34.9</v>
      </c>
      <c r="I43" s="693">
        <f>Development!M8</f>
        <v>17.299999999999997</v>
      </c>
      <c r="J43" s="693" t="str">
        <f>Development!N8</f>
        <v/>
      </c>
      <c r="K43" s="693" t="str">
        <f>Development!O8</f>
        <v/>
      </c>
      <c r="L43" s="693" t="str">
        <f>Development!P8</f>
        <v/>
      </c>
      <c r="M43" s="693" t="str">
        <f>Development!Q8</f>
        <v/>
      </c>
      <c r="N43" s="693" t="str">
        <f>Development!R8</f>
        <v/>
      </c>
      <c r="O43" s="693" t="str">
        <f>Development!S8</f>
        <v/>
      </c>
      <c r="P43" s="693" t="str">
        <f>Development!T8</f>
        <v/>
      </c>
      <c r="Q43" s="693" t="str">
        <f>Development!U8</f>
        <v/>
      </c>
      <c r="R43" s="693" t="str">
        <f>Development!V8</f>
        <v/>
      </c>
      <c r="S43" s="693" t="str">
        <f>Development!W8</f>
        <v/>
      </c>
      <c r="T43" s="693" t="str">
        <f>Development!X8</f>
        <v/>
      </c>
      <c r="U43" s="693" t="str">
        <f>Development!Y8</f>
        <v/>
      </c>
      <c r="V43" s="693" t="str">
        <f>Development!Z8</f>
        <v/>
      </c>
      <c r="W43" s="693" t="str">
        <f>Development!AA8</f>
        <v/>
      </c>
      <c r="X43" s="693" t="str">
        <f>Development!AB8</f>
        <v/>
      </c>
      <c r="Y43" s="693" t="str">
        <f>Development!AC8</f>
        <v/>
      </c>
      <c r="Z43" s="693" t="str">
        <f>Development!AD8</f>
        <v/>
      </c>
      <c r="AA43" s="693" t="str">
        <f>Development!AE8</f>
        <v/>
      </c>
      <c r="AB43" s="693" t="str">
        <f>Development!AF8</f>
        <v/>
      </c>
      <c r="AC43" s="693" t="str">
        <f>Development!AG8</f>
        <v/>
      </c>
      <c r="AD43" s="693" t="str">
        <f>Development!AH8</f>
        <v/>
      </c>
      <c r="AE43" s="693" t="str">
        <f>Development!AI8</f>
        <v/>
      </c>
      <c r="AF43" s="693" t="str">
        <f>Development!AJ8</f>
        <v/>
      </c>
      <c r="AG43" s="693" t="str">
        <f>Development!AK8</f>
        <v/>
      </c>
      <c r="AH43" s="693" t="str">
        <f>Development!AL8</f>
        <v/>
      </c>
    </row>
    <row r="44" spans="3:34">
      <c r="C44" s="302" t="s">
        <v>72</v>
      </c>
      <c r="D44" s="693">
        <f>D43</f>
        <v>33.199999999999989</v>
      </c>
      <c r="E44" s="693">
        <f>IFERROR(E43+D44,"")</f>
        <v>67.899999999999977</v>
      </c>
      <c r="F44" s="693">
        <f>IFERROR(F43+E44,"")</f>
        <v>67.899999999999977</v>
      </c>
      <c r="G44" s="693">
        <f t="shared" ref="G44:AH44" si="6">IFERROR(G43+F44,"")</f>
        <v>102.99999999999997</v>
      </c>
      <c r="H44" s="693">
        <f t="shared" si="6"/>
        <v>137.89999999999998</v>
      </c>
      <c r="I44" s="693">
        <f t="shared" si="6"/>
        <v>155.19999999999999</v>
      </c>
      <c r="J44" s="693" t="str">
        <f t="shared" si="6"/>
        <v/>
      </c>
      <c r="K44" s="693" t="str">
        <f t="shared" si="6"/>
        <v/>
      </c>
      <c r="L44" s="693" t="str">
        <f t="shared" si="6"/>
        <v/>
      </c>
      <c r="M44" s="693" t="str">
        <f t="shared" si="6"/>
        <v/>
      </c>
      <c r="N44" s="693" t="str">
        <f t="shared" si="6"/>
        <v/>
      </c>
      <c r="O44" s="693" t="str">
        <f t="shared" si="6"/>
        <v/>
      </c>
      <c r="P44" s="693" t="str">
        <f t="shared" si="6"/>
        <v/>
      </c>
      <c r="Q44" s="693" t="str">
        <f t="shared" si="6"/>
        <v/>
      </c>
      <c r="R44" s="693" t="str">
        <f t="shared" si="6"/>
        <v/>
      </c>
      <c r="S44" s="693" t="str">
        <f t="shared" si="6"/>
        <v/>
      </c>
      <c r="T44" s="693" t="str">
        <f t="shared" si="6"/>
        <v/>
      </c>
      <c r="U44" s="693" t="str">
        <f t="shared" si="6"/>
        <v/>
      </c>
      <c r="V44" s="693" t="str">
        <f t="shared" si="6"/>
        <v/>
      </c>
      <c r="W44" s="693" t="str">
        <f t="shared" si="6"/>
        <v/>
      </c>
      <c r="X44" s="693" t="str">
        <f t="shared" si="6"/>
        <v/>
      </c>
      <c r="Y44" s="693" t="str">
        <f t="shared" si="6"/>
        <v/>
      </c>
      <c r="Z44" s="693" t="str">
        <f t="shared" si="6"/>
        <v/>
      </c>
      <c r="AA44" s="693" t="str">
        <f t="shared" si="6"/>
        <v/>
      </c>
      <c r="AB44" s="693" t="str">
        <f t="shared" si="6"/>
        <v/>
      </c>
      <c r="AC44" s="693" t="str">
        <f t="shared" si="6"/>
        <v/>
      </c>
      <c r="AD44" s="693" t="str">
        <f t="shared" si="6"/>
        <v/>
      </c>
      <c r="AE44" s="693" t="str">
        <f t="shared" si="6"/>
        <v/>
      </c>
      <c r="AF44" s="693" t="str">
        <f t="shared" si="6"/>
        <v/>
      </c>
      <c r="AG44" s="693" t="str">
        <f t="shared" si="6"/>
        <v/>
      </c>
      <c r="AH44" s="693" t="str">
        <f t="shared" si="6"/>
        <v/>
      </c>
    </row>
    <row r="45" spans="3:34">
      <c r="C45" s="302" t="s">
        <v>17</v>
      </c>
      <c r="D45" s="693">
        <f>Development!H7</f>
        <v>32.099999999999994</v>
      </c>
      <c r="E45" s="693">
        <f>Development!I7</f>
        <v>32.099999999999994</v>
      </c>
      <c r="F45" s="693">
        <f>Development!J7</f>
        <v>0</v>
      </c>
      <c r="G45" s="693">
        <f>Development!K7</f>
        <v>32.999999999999993</v>
      </c>
      <c r="H45" s="693">
        <f>Development!L7</f>
        <v>33.899999999999991</v>
      </c>
      <c r="I45" s="693">
        <f>Development!M7</f>
        <v>33.899999999999991</v>
      </c>
      <c r="J45" s="693" t="str">
        <f>Development!N7</f>
        <v/>
      </c>
      <c r="K45" s="693" t="str">
        <f>Development!O7</f>
        <v/>
      </c>
      <c r="L45" s="693" t="str">
        <f>Development!P7</f>
        <v/>
      </c>
      <c r="M45" s="693" t="str">
        <f>Development!Q7</f>
        <v/>
      </c>
      <c r="N45" s="693" t="str">
        <f>Development!R7</f>
        <v/>
      </c>
      <c r="O45" s="693" t="str">
        <f>Development!S7</f>
        <v/>
      </c>
      <c r="P45" s="693" t="str">
        <f>Development!T7</f>
        <v/>
      </c>
      <c r="Q45" s="693" t="str">
        <f>Development!U7</f>
        <v/>
      </c>
      <c r="R45" s="693" t="str">
        <f>Development!V7</f>
        <v/>
      </c>
      <c r="S45" s="693" t="str">
        <f>Development!W7</f>
        <v/>
      </c>
      <c r="T45" s="693" t="str">
        <f>Development!X7</f>
        <v/>
      </c>
      <c r="U45" s="693" t="str">
        <f>Development!Y7</f>
        <v/>
      </c>
      <c r="V45" s="693" t="str">
        <f>Development!Z7</f>
        <v/>
      </c>
      <c r="W45" s="693" t="str">
        <f>Development!AA7</f>
        <v/>
      </c>
      <c r="X45" s="693" t="str">
        <f>Development!AB7</f>
        <v/>
      </c>
      <c r="Y45" s="693" t="str">
        <f>Development!AC7</f>
        <v/>
      </c>
      <c r="Z45" s="693" t="str">
        <f>Development!AD7</f>
        <v/>
      </c>
      <c r="AA45" s="693" t="str">
        <f>Development!AE7</f>
        <v/>
      </c>
      <c r="AB45" s="693" t="str">
        <f>Development!AF7</f>
        <v/>
      </c>
      <c r="AC45" s="693" t="str">
        <f>Development!AG7</f>
        <v/>
      </c>
      <c r="AD45" s="693" t="str">
        <f>Development!AH7</f>
        <v/>
      </c>
      <c r="AE45" s="693" t="str">
        <f>Development!AI7</f>
        <v/>
      </c>
      <c r="AF45" s="693" t="str">
        <f>Development!AJ7</f>
        <v/>
      </c>
      <c r="AG45" s="693" t="str">
        <f>Development!AK7</f>
        <v/>
      </c>
      <c r="AH45" s="693" t="str">
        <f>Development!AL7</f>
        <v/>
      </c>
    </row>
    <row r="46" spans="3:34">
      <c r="C46" s="302" t="s">
        <v>73</v>
      </c>
      <c r="D46" s="693">
        <f>D45</f>
        <v>32.099999999999994</v>
      </c>
      <c r="E46" s="693">
        <f>IFERROR(E45+D46,"")</f>
        <v>64.199999999999989</v>
      </c>
      <c r="F46" s="693">
        <f>IFERROR(F45+E46,"")</f>
        <v>64.199999999999989</v>
      </c>
      <c r="G46" s="693">
        <f t="shared" ref="G46:AH46" si="7">IFERROR(G45+F46,"")</f>
        <v>97.199999999999989</v>
      </c>
      <c r="H46" s="693">
        <f t="shared" si="7"/>
        <v>131.09999999999997</v>
      </c>
      <c r="I46" s="693">
        <f t="shared" si="7"/>
        <v>164.99999999999994</v>
      </c>
      <c r="J46" s="693" t="str">
        <f t="shared" si="7"/>
        <v/>
      </c>
      <c r="K46" s="693" t="str">
        <f t="shared" si="7"/>
        <v/>
      </c>
      <c r="L46" s="693" t="str">
        <f t="shared" si="7"/>
        <v/>
      </c>
      <c r="M46" s="693" t="str">
        <f t="shared" si="7"/>
        <v/>
      </c>
      <c r="N46" s="693" t="str">
        <f t="shared" si="7"/>
        <v/>
      </c>
      <c r="O46" s="693" t="str">
        <f t="shared" si="7"/>
        <v/>
      </c>
      <c r="P46" s="693" t="str">
        <f t="shared" si="7"/>
        <v/>
      </c>
      <c r="Q46" s="693" t="str">
        <f t="shared" si="7"/>
        <v/>
      </c>
      <c r="R46" s="693" t="str">
        <f t="shared" si="7"/>
        <v/>
      </c>
      <c r="S46" s="693" t="str">
        <f t="shared" si="7"/>
        <v/>
      </c>
      <c r="T46" s="693" t="str">
        <f t="shared" si="7"/>
        <v/>
      </c>
      <c r="U46" s="693" t="str">
        <f t="shared" si="7"/>
        <v/>
      </c>
      <c r="V46" s="693" t="str">
        <f t="shared" si="7"/>
        <v/>
      </c>
      <c r="W46" s="693" t="str">
        <f t="shared" si="7"/>
        <v/>
      </c>
      <c r="X46" s="693" t="str">
        <f t="shared" si="7"/>
        <v/>
      </c>
      <c r="Y46" s="693" t="str">
        <f t="shared" si="7"/>
        <v/>
      </c>
      <c r="Z46" s="693" t="str">
        <f t="shared" si="7"/>
        <v/>
      </c>
      <c r="AA46" s="693" t="str">
        <f t="shared" si="7"/>
        <v/>
      </c>
      <c r="AB46" s="693" t="str">
        <f t="shared" si="7"/>
        <v/>
      </c>
      <c r="AC46" s="693" t="str">
        <f t="shared" si="7"/>
        <v/>
      </c>
      <c r="AD46" s="693" t="str">
        <f t="shared" si="7"/>
        <v/>
      </c>
      <c r="AE46" s="693" t="str">
        <f t="shared" si="7"/>
        <v/>
      </c>
      <c r="AF46" s="693" t="str">
        <f t="shared" si="7"/>
        <v/>
      </c>
      <c r="AG46" s="693" t="str">
        <f t="shared" si="7"/>
        <v/>
      </c>
      <c r="AH46" s="693" t="str">
        <f t="shared" si="7"/>
        <v/>
      </c>
    </row>
    <row r="48" spans="3:34">
      <c r="C48" s="302" t="str">
        <f>_xlfn.CONCAT(C16," ",C15)</f>
        <v>CAPEX Equipping</v>
      </c>
    </row>
    <row r="49" spans="3:34">
      <c r="C49" s="302" t="s">
        <v>16</v>
      </c>
      <c r="D49" s="694"/>
      <c r="E49" s="694"/>
      <c r="F49" s="694"/>
      <c r="G49" s="694"/>
      <c r="H49" s="694"/>
      <c r="I49" s="694"/>
      <c r="J49" s="694"/>
      <c r="K49" s="694"/>
      <c r="L49" s="694"/>
      <c r="M49" s="694"/>
      <c r="N49" s="694"/>
      <c r="O49" s="694"/>
      <c r="P49" s="694"/>
      <c r="Q49" s="694"/>
      <c r="R49" s="694"/>
      <c r="S49" s="694"/>
      <c r="T49" s="694"/>
      <c r="U49" s="694"/>
      <c r="V49" s="694"/>
      <c r="W49" s="694"/>
      <c r="X49" s="694"/>
      <c r="Y49" s="694"/>
      <c r="Z49" s="694"/>
      <c r="AA49" s="694"/>
      <c r="AB49" s="694"/>
      <c r="AC49" s="694"/>
      <c r="AD49" s="694"/>
      <c r="AE49" s="694"/>
      <c r="AF49" s="694"/>
      <c r="AG49" s="694"/>
      <c r="AH49" s="694"/>
    </row>
    <row r="50" spans="3:34">
      <c r="C50" s="302" t="s">
        <v>72</v>
      </c>
      <c r="D50" s="694">
        <f>D49</f>
        <v>0</v>
      </c>
      <c r="E50" s="694">
        <f>IFERROR(E49+D50,"")</f>
        <v>0</v>
      </c>
      <c r="F50" s="694">
        <f>IFERROR(F49+E50,"")</f>
        <v>0</v>
      </c>
      <c r="G50" s="694">
        <f t="shared" ref="G50:AH50" si="8">IFERROR(G49+F50,"")</f>
        <v>0</v>
      </c>
      <c r="H50" s="694">
        <f t="shared" si="8"/>
        <v>0</v>
      </c>
      <c r="I50" s="694">
        <f t="shared" si="8"/>
        <v>0</v>
      </c>
      <c r="J50" s="694">
        <f t="shared" si="8"/>
        <v>0</v>
      </c>
      <c r="K50" s="694">
        <f t="shared" si="8"/>
        <v>0</v>
      </c>
      <c r="L50" s="694">
        <f t="shared" si="8"/>
        <v>0</v>
      </c>
      <c r="M50" s="694">
        <f t="shared" si="8"/>
        <v>0</v>
      </c>
      <c r="N50" s="694">
        <f t="shared" si="8"/>
        <v>0</v>
      </c>
      <c r="O50" s="694">
        <f t="shared" si="8"/>
        <v>0</v>
      </c>
      <c r="P50" s="694">
        <f t="shared" si="8"/>
        <v>0</v>
      </c>
      <c r="Q50" s="694">
        <f t="shared" si="8"/>
        <v>0</v>
      </c>
      <c r="R50" s="694">
        <f t="shared" si="8"/>
        <v>0</v>
      </c>
      <c r="S50" s="694">
        <f t="shared" si="8"/>
        <v>0</v>
      </c>
      <c r="T50" s="694">
        <f t="shared" si="8"/>
        <v>0</v>
      </c>
      <c r="U50" s="694">
        <f t="shared" si="8"/>
        <v>0</v>
      </c>
      <c r="V50" s="694">
        <f t="shared" si="8"/>
        <v>0</v>
      </c>
      <c r="W50" s="694">
        <f t="shared" si="8"/>
        <v>0</v>
      </c>
      <c r="X50" s="694">
        <f t="shared" si="8"/>
        <v>0</v>
      </c>
      <c r="Y50" s="694">
        <f t="shared" si="8"/>
        <v>0</v>
      </c>
      <c r="Z50" s="694">
        <f t="shared" si="8"/>
        <v>0</v>
      </c>
      <c r="AA50" s="694">
        <f t="shared" si="8"/>
        <v>0</v>
      </c>
      <c r="AB50" s="694">
        <f t="shared" si="8"/>
        <v>0</v>
      </c>
      <c r="AC50" s="694">
        <f t="shared" si="8"/>
        <v>0</v>
      </c>
      <c r="AD50" s="694">
        <f t="shared" si="8"/>
        <v>0</v>
      </c>
      <c r="AE50" s="694">
        <f t="shared" si="8"/>
        <v>0</v>
      </c>
      <c r="AF50" s="694">
        <f t="shared" si="8"/>
        <v>0</v>
      </c>
      <c r="AG50" s="694">
        <f t="shared" si="8"/>
        <v>0</v>
      </c>
      <c r="AH50" s="694">
        <f t="shared" si="8"/>
        <v>0</v>
      </c>
    </row>
    <row r="51" spans="3:34">
      <c r="C51" s="302" t="s">
        <v>17</v>
      </c>
      <c r="D51" s="694"/>
      <c r="E51" s="694"/>
      <c r="F51" s="694"/>
      <c r="G51" s="694"/>
      <c r="H51" s="694"/>
      <c r="I51" s="694"/>
      <c r="J51" s="694"/>
      <c r="K51" s="694"/>
      <c r="L51" s="694"/>
      <c r="M51" s="694"/>
      <c r="N51" s="694"/>
      <c r="O51" s="694"/>
      <c r="P51" s="694"/>
      <c r="Q51" s="694"/>
      <c r="R51" s="694"/>
      <c r="S51" s="694"/>
      <c r="T51" s="694"/>
      <c r="U51" s="694"/>
      <c r="V51" s="694"/>
      <c r="W51" s="694"/>
      <c r="X51" s="694"/>
      <c r="Y51" s="694"/>
      <c r="Z51" s="694"/>
      <c r="AA51" s="694"/>
      <c r="AB51" s="694"/>
      <c r="AC51" s="694"/>
      <c r="AD51" s="694"/>
      <c r="AE51" s="694"/>
      <c r="AF51" s="694"/>
      <c r="AG51" s="694"/>
      <c r="AH51" s="694"/>
    </row>
    <row r="52" spans="3:34">
      <c r="C52" s="302" t="s">
        <v>73</v>
      </c>
      <c r="D52" s="694">
        <f>D51</f>
        <v>0</v>
      </c>
      <c r="E52" s="694">
        <f>IFERROR(E51+D52,"")</f>
        <v>0</v>
      </c>
      <c r="F52" s="694">
        <f>IFERROR(F51+E52,"")</f>
        <v>0</v>
      </c>
      <c r="G52" s="694">
        <f t="shared" ref="G52:AH52" si="9">IFERROR(G51+F52,"")</f>
        <v>0</v>
      </c>
      <c r="H52" s="694">
        <f t="shared" si="9"/>
        <v>0</v>
      </c>
      <c r="I52" s="694">
        <f t="shared" si="9"/>
        <v>0</v>
      </c>
      <c r="J52" s="694">
        <f t="shared" si="9"/>
        <v>0</v>
      </c>
      <c r="K52" s="694">
        <f t="shared" si="9"/>
        <v>0</v>
      </c>
      <c r="L52" s="694">
        <f t="shared" si="9"/>
        <v>0</v>
      </c>
      <c r="M52" s="694">
        <f t="shared" si="9"/>
        <v>0</v>
      </c>
      <c r="N52" s="694">
        <f t="shared" si="9"/>
        <v>0</v>
      </c>
      <c r="O52" s="694">
        <f t="shared" si="9"/>
        <v>0</v>
      </c>
      <c r="P52" s="694">
        <f t="shared" si="9"/>
        <v>0</v>
      </c>
      <c r="Q52" s="694">
        <f t="shared" si="9"/>
        <v>0</v>
      </c>
      <c r="R52" s="694">
        <f t="shared" si="9"/>
        <v>0</v>
      </c>
      <c r="S52" s="694">
        <f t="shared" si="9"/>
        <v>0</v>
      </c>
      <c r="T52" s="694">
        <f t="shared" si="9"/>
        <v>0</v>
      </c>
      <c r="U52" s="694">
        <f t="shared" si="9"/>
        <v>0</v>
      </c>
      <c r="V52" s="694">
        <f t="shared" si="9"/>
        <v>0</v>
      </c>
      <c r="W52" s="694">
        <f t="shared" si="9"/>
        <v>0</v>
      </c>
      <c r="X52" s="694">
        <f t="shared" si="9"/>
        <v>0</v>
      </c>
      <c r="Y52" s="694">
        <f t="shared" si="9"/>
        <v>0</v>
      </c>
      <c r="Z52" s="694">
        <f t="shared" si="9"/>
        <v>0</v>
      </c>
      <c r="AA52" s="694">
        <f t="shared" si="9"/>
        <v>0</v>
      </c>
      <c r="AB52" s="694">
        <f t="shared" si="9"/>
        <v>0</v>
      </c>
      <c r="AC52" s="694">
        <f t="shared" si="9"/>
        <v>0</v>
      </c>
      <c r="AD52" s="694">
        <f t="shared" si="9"/>
        <v>0</v>
      </c>
      <c r="AE52" s="694">
        <f t="shared" si="9"/>
        <v>0</v>
      </c>
      <c r="AF52" s="694">
        <f t="shared" si="9"/>
        <v>0</v>
      </c>
      <c r="AG52" s="694">
        <f t="shared" si="9"/>
        <v>0</v>
      </c>
      <c r="AH52" s="694">
        <f t="shared" si="9"/>
        <v>0</v>
      </c>
    </row>
    <row r="53" spans="3:34">
      <c r="D53" s="694"/>
      <c r="E53" s="694"/>
      <c r="F53" s="694"/>
      <c r="G53" s="694"/>
      <c r="H53" s="694"/>
      <c r="I53" s="694"/>
      <c r="J53" s="694"/>
      <c r="K53" s="694"/>
      <c r="L53" s="694"/>
      <c r="M53" s="694"/>
      <c r="N53" s="694"/>
      <c r="O53" s="694"/>
      <c r="P53" s="694"/>
      <c r="Q53" s="694"/>
      <c r="R53" s="694"/>
      <c r="S53" s="694"/>
      <c r="T53" s="694"/>
      <c r="U53" s="694"/>
      <c r="V53" s="694"/>
      <c r="W53" s="694"/>
      <c r="X53" s="694"/>
      <c r="Y53" s="694"/>
      <c r="Z53" s="694"/>
      <c r="AA53" s="694"/>
      <c r="AB53" s="694"/>
      <c r="AC53" s="694"/>
      <c r="AD53" s="694"/>
      <c r="AE53" s="694"/>
      <c r="AF53" s="694"/>
      <c r="AG53" s="694"/>
      <c r="AH53" s="694"/>
    </row>
    <row r="54" spans="3:34">
      <c r="C54" s="302" t="str">
        <f>_xlfn.CONCAT(C17," ",C15)</f>
        <v>Services Equipping</v>
      </c>
      <c r="D54" s="694"/>
      <c r="E54" s="694"/>
      <c r="F54" s="694"/>
      <c r="G54" s="694"/>
      <c r="H54" s="694"/>
      <c r="I54" s="694"/>
      <c r="J54" s="694"/>
      <c r="K54" s="694"/>
      <c r="L54" s="694"/>
      <c r="M54" s="694"/>
      <c r="N54" s="694"/>
      <c r="O54" s="694"/>
      <c r="P54" s="694"/>
      <c r="Q54" s="694"/>
      <c r="R54" s="694"/>
      <c r="S54" s="694"/>
      <c r="T54" s="694"/>
      <c r="U54" s="694"/>
      <c r="V54" s="694"/>
      <c r="W54" s="694"/>
      <c r="X54" s="694"/>
      <c r="Y54" s="694"/>
      <c r="Z54" s="694"/>
      <c r="AA54" s="694"/>
      <c r="AB54" s="694"/>
      <c r="AC54" s="694"/>
      <c r="AD54" s="694"/>
      <c r="AE54" s="694"/>
      <c r="AF54" s="694"/>
      <c r="AG54" s="694"/>
      <c r="AH54" s="694"/>
    </row>
    <row r="55" spans="3:34">
      <c r="C55" s="302" t="s">
        <v>16</v>
      </c>
      <c r="D55" s="694"/>
      <c r="E55" s="694"/>
      <c r="F55" s="694"/>
      <c r="G55" s="694"/>
      <c r="H55" s="694"/>
      <c r="I55" s="694"/>
      <c r="J55" s="694"/>
      <c r="K55" s="694"/>
      <c r="L55" s="694"/>
      <c r="M55" s="694"/>
      <c r="N55" s="694"/>
      <c r="O55" s="694"/>
      <c r="P55" s="694"/>
      <c r="Q55" s="694"/>
      <c r="R55" s="694"/>
      <c r="S55" s="694"/>
      <c r="T55" s="694"/>
      <c r="U55" s="694"/>
      <c r="V55" s="694"/>
      <c r="W55" s="694"/>
      <c r="X55" s="694"/>
      <c r="Y55" s="694"/>
      <c r="Z55" s="694"/>
      <c r="AA55" s="694"/>
      <c r="AB55" s="694"/>
      <c r="AC55" s="694"/>
      <c r="AD55" s="694"/>
      <c r="AE55" s="694"/>
      <c r="AF55" s="694"/>
      <c r="AG55" s="694"/>
      <c r="AH55" s="694"/>
    </row>
    <row r="56" spans="3:34">
      <c r="C56" s="302" t="s">
        <v>72</v>
      </c>
      <c r="D56" s="694">
        <f>D55</f>
        <v>0</v>
      </c>
      <c r="E56" s="694">
        <f>IFERROR(E55+D56,"")</f>
        <v>0</v>
      </c>
      <c r="F56" s="694">
        <f>IFERROR(F55+E56,"")</f>
        <v>0</v>
      </c>
      <c r="G56" s="694">
        <f t="shared" ref="G56:AH56" si="10">IFERROR(G55+F56,"")</f>
        <v>0</v>
      </c>
      <c r="H56" s="694">
        <f t="shared" si="10"/>
        <v>0</v>
      </c>
      <c r="I56" s="694">
        <f t="shared" si="10"/>
        <v>0</v>
      </c>
      <c r="J56" s="694">
        <f t="shared" si="10"/>
        <v>0</v>
      </c>
      <c r="K56" s="694">
        <f t="shared" si="10"/>
        <v>0</v>
      </c>
      <c r="L56" s="694">
        <f t="shared" si="10"/>
        <v>0</v>
      </c>
      <c r="M56" s="694">
        <f t="shared" si="10"/>
        <v>0</v>
      </c>
      <c r="N56" s="694">
        <f t="shared" si="10"/>
        <v>0</v>
      </c>
      <c r="O56" s="694">
        <f t="shared" si="10"/>
        <v>0</v>
      </c>
      <c r="P56" s="694">
        <f t="shared" si="10"/>
        <v>0</v>
      </c>
      <c r="Q56" s="694">
        <f t="shared" si="10"/>
        <v>0</v>
      </c>
      <c r="R56" s="694">
        <f t="shared" si="10"/>
        <v>0</v>
      </c>
      <c r="S56" s="694">
        <f t="shared" si="10"/>
        <v>0</v>
      </c>
      <c r="T56" s="694">
        <f t="shared" si="10"/>
        <v>0</v>
      </c>
      <c r="U56" s="694">
        <f t="shared" si="10"/>
        <v>0</v>
      </c>
      <c r="V56" s="694">
        <f t="shared" si="10"/>
        <v>0</v>
      </c>
      <c r="W56" s="694">
        <f t="shared" si="10"/>
        <v>0</v>
      </c>
      <c r="X56" s="694">
        <f t="shared" si="10"/>
        <v>0</v>
      </c>
      <c r="Y56" s="694">
        <f t="shared" si="10"/>
        <v>0</v>
      </c>
      <c r="Z56" s="694">
        <f t="shared" si="10"/>
        <v>0</v>
      </c>
      <c r="AA56" s="694">
        <f t="shared" si="10"/>
        <v>0</v>
      </c>
      <c r="AB56" s="694">
        <f t="shared" si="10"/>
        <v>0</v>
      </c>
      <c r="AC56" s="694">
        <f t="shared" si="10"/>
        <v>0</v>
      </c>
      <c r="AD56" s="694">
        <f t="shared" si="10"/>
        <v>0</v>
      </c>
      <c r="AE56" s="694">
        <f t="shared" si="10"/>
        <v>0</v>
      </c>
      <c r="AF56" s="694">
        <f t="shared" si="10"/>
        <v>0</v>
      </c>
      <c r="AG56" s="694">
        <f t="shared" si="10"/>
        <v>0</v>
      </c>
      <c r="AH56" s="694">
        <f t="shared" si="10"/>
        <v>0</v>
      </c>
    </row>
    <row r="57" spans="3:34">
      <c r="C57" s="302" t="s">
        <v>17</v>
      </c>
      <c r="D57" s="694"/>
      <c r="E57" s="694"/>
      <c r="F57" s="694"/>
      <c r="G57" s="694"/>
      <c r="H57" s="694"/>
      <c r="I57" s="694"/>
      <c r="J57" s="694"/>
      <c r="K57" s="694"/>
      <c r="L57" s="694"/>
      <c r="M57" s="694"/>
      <c r="N57" s="694"/>
      <c r="O57" s="694"/>
      <c r="P57" s="694"/>
      <c r="Q57" s="694"/>
      <c r="R57" s="694"/>
      <c r="S57" s="694"/>
      <c r="T57" s="694"/>
      <c r="U57" s="694"/>
      <c r="V57" s="694"/>
      <c r="W57" s="694"/>
      <c r="X57" s="694"/>
      <c r="Y57" s="694"/>
      <c r="Z57" s="694"/>
      <c r="AA57" s="694"/>
      <c r="AB57" s="694"/>
      <c r="AC57" s="694"/>
      <c r="AD57" s="694"/>
      <c r="AE57" s="694"/>
      <c r="AF57" s="694"/>
      <c r="AG57" s="694"/>
      <c r="AH57" s="694"/>
    </row>
    <row r="58" spans="3:34">
      <c r="C58" s="302" t="s">
        <v>73</v>
      </c>
      <c r="D58" s="694">
        <f>D57</f>
        <v>0</v>
      </c>
      <c r="E58" s="694">
        <f>IFERROR(E57+D58,"")</f>
        <v>0</v>
      </c>
      <c r="F58" s="694">
        <f>IFERROR(F57+E58,"")</f>
        <v>0</v>
      </c>
      <c r="G58" s="694">
        <f t="shared" ref="G58:AH58" si="11">IFERROR(G57+F58,"")</f>
        <v>0</v>
      </c>
      <c r="H58" s="694">
        <f t="shared" si="11"/>
        <v>0</v>
      </c>
      <c r="I58" s="694">
        <f t="shared" si="11"/>
        <v>0</v>
      </c>
      <c r="J58" s="694">
        <f t="shared" si="11"/>
        <v>0</v>
      </c>
      <c r="K58" s="694">
        <f t="shared" si="11"/>
        <v>0</v>
      </c>
      <c r="L58" s="694">
        <f t="shared" si="11"/>
        <v>0</v>
      </c>
      <c r="M58" s="694">
        <f t="shared" si="11"/>
        <v>0</v>
      </c>
      <c r="N58" s="694">
        <f t="shared" si="11"/>
        <v>0</v>
      </c>
      <c r="O58" s="694">
        <f t="shared" si="11"/>
        <v>0</v>
      </c>
      <c r="P58" s="694">
        <f t="shared" si="11"/>
        <v>0</v>
      </c>
      <c r="Q58" s="694">
        <f t="shared" si="11"/>
        <v>0</v>
      </c>
      <c r="R58" s="694">
        <f t="shared" si="11"/>
        <v>0</v>
      </c>
      <c r="S58" s="694">
        <f t="shared" si="11"/>
        <v>0</v>
      </c>
      <c r="T58" s="694">
        <f t="shared" si="11"/>
        <v>0</v>
      </c>
      <c r="U58" s="694">
        <f t="shared" si="11"/>
        <v>0</v>
      </c>
      <c r="V58" s="694">
        <f t="shared" si="11"/>
        <v>0</v>
      </c>
      <c r="W58" s="694">
        <f t="shared" si="11"/>
        <v>0</v>
      </c>
      <c r="X58" s="694">
        <f t="shared" si="11"/>
        <v>0</v>
      </c>
      <c r="Y58" s="694">
        <f t="shared" si="11"/>
        <v>0</v>
      </c>
      <c r="Z58" s="694">
        <f t="shared" si="11"/>
        <v>0</v>
      </c>
      <c r="AA58" s="694">
        <f t="shared" si="11"/>
        <v>0</v>
      </c>
      <c r="AB58" s="694">
        <f t="shared" si="11"/>
        <v>0</v>
      </c>
      <c r="AC58" s="694">
        <f t="shared" si="11"/>
        <v>0</v>
      </c>
      <c r="AD58" s="694">
        <f t="shared" si="11"/>
        <v>0</v>
      </c>
      <c r="AE58" s="694">
        <f t="shared" si="11"/>
        <v>0</v>
      </c>
      <c r="AF58" s="694">
        <f t="shared" si="11"/>
        <v>0</v>
      </c>
      <c r="AG58" s="694">
        <f t="shared" si="11"/>
        <v>0</v>
      </c>
      <c r="AH58" s="694">
        <f t="shared" si="11"/>
        <v>0</v>
      </c>
    </row>
    <row r="60" spans="3:34">
      <c r="C60" s="302" t="str">
        <f>_xlfn.CONCAT(C20," - ",C19)</f>
        <v>Generation - Tonnes</v>
      </c>
    </row>
    <row r="61" spans="3:34">
      <c r="C61" s="302" t="s">
        <v>16</v>
      </c>
      <c r="D61" s="694">
        <f>Stoping!H11</f>
        <v>926</v>
      </c>
      <c r="E61" s="694">
        <f>Stoping!I11</f>
        <v>879</v>
      </c>
      <c r="F61" s="694">
        <f>Stoping!J11</f>
        <v>965</v>
      </c>
      <c r="G61" s="694">
        <f>Stoping!K11</f>
        <v>977</v>
      </c>
      <c r="H61" s="694">
        <f>Stoping!L11</f>
        <v>979</v>
      </c>
      <c r="I61" s="694"/>
      <c r="J61" s="694"/>
      <c r="K61" s="694"/>
      <c r="L61" s="694"/>
      <c r="M61" s="694"/>
      <c r="N61" s="694"/>
      <c r="O61" s="694"/>
      <c r="P61" s="694"/>
      <c r="Q61" s="694"/>
      <c r="R61" s="694"/>
      <c r="S61" s="694"/>
      <c r="T61" s="694"/>
      <c r="U61" s="694"/>
      <c r="V61" s="694"/>
      <c r="W61" s="694"/>
      <c r="X61" s="694"/>
      <c r="Y61" s="694"/>
      <c r="Z61" s="694"/>
      <c r="AA61" s="694"/>
      <c r="AB61" s="694"/>
      <c r="AC61" s="694"/>
      <c r="AD61" s="694"/>
      <c r="AE61" s="694"/>
      <c r="AF61" s="694"/>
      <c r="AG61" s="694"/>
      <c r="AH61" s="694"/>
    </row>
    <row r="62" spans="3:34">
      <c r="C62" s="302" t="s">
        <v>72</v>
      </c>
      <c r="D62" s="694">
        <f>D61</f>
        <v>926</v>
      </c>
      <c r="E62" s="694">
        <f>IFERROR(E61+D62,"")</f>
        <v>1805</v>
      </c>
      <c r="F62" s="694">
        <f>IFERROR(F61+E62,"")</f>
        <v>2770</v>
      </c>
      <c r="G62" s="694">
        <f t="shared" ref="G62:H62" si="12">IFERROR(G61+F62,"")</f>
        <v>3747</v>
      </c>
      <c r="H62" s="694">
        <f t="shared" si="12"/>
        <v>4726</v>
      </c>
      <c r="I62" s="694"/>
      <c r="J62" s="694"/>
      <c r="K62" s="694"/>
      <c r="L62" s="694"/>
      <c r="M62" s="694"/>
      <c r="N62" s="694"/>
      <c r="O62" s="694"/>
      <c r="P62" s="694"/>
      <c r="Q62" s="694"/>
      <c r="R62" s="694"/>
      <c r="S62" s="694"/>
      <c r="T62" s="694"/>
      <c r="U62" s="694"/>
      <c r="V62" s="694"/>
      <c r="W62" s="694"/>
      <c r="X62" s="694"/>
      <c r="Y62" s="694"/>
      <c r="Z62" s="694"/>
      <c r="AA62" s="694"/>
      <c r="AB62" s="694"/>
      <c r="AC62" s="694"/>
      <c r="AD62" s="694"/>
      <c r="AE62" s="694"/>
      <c r="AF62" s="694"/>
      <c r="AG62" s="694"/>
      <c r="AH62" s="694"/>
    </row>
    <row r="63" spans="3:34">
      <c r="C63" s="302" t="s">
        <v>17</v>
      </c>
      <c r="D63" s="694">
        <f>Stoping!H10</f>
        <v>910</v>
      </c>
      <c r="E63" s="694">
        <f>Stoping!I10</f>
        <v>910</v>
      </c>
      <c r="F63" s="694">
        <f>Stoping!J10</f>
        <v>910</v>
      </c>
      <c r="G63" s="694">
        <f>Stoping!K10</f>
        <v>910</v>
      </c>
      <c r="H63" s="694">
        <f>Stoping!L10</f>
        <v>910</v>
      </c>
      <c r="I63" s="694"/>
      <c r="J63" s="694"/>
      <c r="K63" s="694"/>
      <c r="L63" s="694"/>
      <c r="M63" s="694"/>
      <c r="N63" s="694"/>
      <c r="O63" s="694"/>
      <c r="P63" s="694"/>
      <c r="Q63" s="694"/>
      <c r="R63" s="694"/>
      <c r="S63" s="694"/>
      <c r="T63" s="694"/>
      <c r="U63" s="694"/>
      <c r="V63" s="694"/>
      <c r="W63" s="694"/>
      <c r="X63" s="694"/>
      <c r="Y63" s="694"/>
      <c r="Z63" s="694"/>
      <c r="AA63" s="694"/>
      <c r="AB63" s="694"/>
      <c r="AC63" s="694"/>
      <c r="AD63" s="694"/>
      <c r="AE63" s="694"/>
      <c r="AF63" s="694"/>
      <c r="AG63" s="694"/>
      <c r="AH63" s="694"/>
    </row>
    <row r="64" spans="3:34">
      <c r="C64" s="302" t="s">
        <v>73</v>
      </c>
      <c r="D64" s="694">
        <f>D63</f>
        <v>910</v>
      </c>
      <c r="E64" s="694">
        <f>IFERROR(E63+D64,"")</f>
        <v>1820</v>
      </c>
      <c r="F64" s="694">
        <f>IFERROR(F63+E64,"")</f>
        <v>2730</v>
      </c>
      <c r="G64" s="694">
        <f t="shared" ref="G64:H64" si="13">IFERROR(G63+F64,"")</f>
        <v>3640</v>
      </c>
      <c r="H64" s="694">
        <f t="shared" si="13"/>
        <v>4550</v>
      </c>
      <c r="I64" s="694"/>
      <c r="J64" s="694"/>
      <c r="K64" s="694"/>
      <c r="L64" s="694"/>
      <c r="M64" s="694"/>
      <c r="N64" s="694"/>
      <c r="O64" s="694"/>
      <c r="P64" s="694"/>
      <c r="Q64" s="694"/>
      <c r="R64" s="694"/>
      <c r="S64" s="694"/>
      <c r="T64" s="694"/>
      <c r="U64" s="694"/>
      <c r="V64" s="694"/>
      <c r="W64" s="694"/>
      <c r="X64" s="694"/>
      <c r="Y64" s="694"/>
      <c r="Z64" s="694"/>
      <c r="AA64" s="694"/>
      <c r="AB64" s="694"/>
      <c r="AC64" s="694"/>
      <c r="AD64" s="694"/>
      <c r="AE64" s="694"/>
      <c r="AF64" s="694"/>
      <c r="AG64" s="694"/>
      <c r="AH64" s="694"/>
    </row>
    <row r="66" spans="3:34">
      <c r="C66" s="302" t="str">
        <f>_xlfn.CONCAT(C21," - ",C19)</f>
        <v>Tramming - Tonnes</v>
      </c>
      <c r="D66" s="694"/>
      <c r="E66" s="694"/>
      <c r="F66" s="694"/>
      <c r="G66" s="694"/>
      <c r="H66" s="694"/>
      <c r="I66" s="694"/>
      <c r="J66" s="694"/>
      <c r="K66" s="694"/>
      <c r="L66" s="694"/>
      <c r="M66" s="694"/>
      <c r="N66" s="694"/>
      <c r="O66" s="694"/>
      <c r="P66" s="694"/>
      <c r="Q66" s="694"/>
      <c r="R66" s="694"/>
      <c r="S66" s="694"/>
      <c r="T66" s="694"/>
      <c r="U66" s="694"/>
      <c r="V66" s="694"/>
      <c r="W66" s="694"/>
      <c r="X66" s="694"/>
      <c r="Y66" s="694"/>
      <c r="Z66" s="694"/>
      <c r="AA66" s="694"/>
      <c r="AB66" s="694"/>
      <c r="AC66" s="694"/>
      <c r="AD66" s="694"/>
      <c r="AE66" s="694"/>
      <c r="AF66" s="694"/>
      <c r="AG66" s="694"/>
      <c r="AH66" s="694"/>
    </row>
    <row r="67" spans="3:34">
      <c r="C67" s="302" t="s">
        <v>16</v>
      </c>
      <c r="D67" s="694">
        <f>Tramming!H11</f>
        <v>758</v>
      </c>
      <c r="E67" s="694">
        <f>Tramming!I11</f>
        <v>1006</v>
      </c>
      <c r="F67" s="694">
        <f>Tramming!J11</f>
        <v>960</v>
      </c>
      <c r="G67" s="694">
        <f>Tramming!K11</f>
        <v>795.5</v>
      </c>
      <c r="H67" s="694">
        <f>Tramming!L11</f>
        <v>947.5</v>
      </c>
      <c r="I67" s="694"/>
      <c r="J67" s="694"/>
      <c r="K67" s="694"/>
      <c r="L67" s="694"/>
      <c r="M67" s="694"/>
      <c r="N67" s="694"/>
      <c r="O67" s="694"/>
      <c r="P67" s="694"/>
      <c r="Q67" s="694"/>
      <c r="R67" s="694"/>
      <c r="S67" s="694"/>
      <c r="T67" s="694"/>
      <c r="U67" s="694"/>
      <c r="V67" s="694"/>
      <c r="W67" s="694"/>
      <c r="X67" s="694"/>
      <c r="Y67" s="694"/>
      <c r="Z67" s="694"/>
      <c r="AA67" s="694"/>
      <c r="AB67" s="694"/>
      <c r="AC67" s="694"/>
      <c r="AD67" s="694"/>
      <c r="AE67" s="694"/>
      <c r="AF67" s="694"/>
      <c r="AG67" s="694"/>
      <c r="AH67" s="694"/>
    </row>
    <row r="68" spans="3:34">
      <c r="C68" s="302" t="s">
        <v>72</v>
      </c>
      <c r="D68" s="694">
        <f>D67</f>
        <v>758</v>
      </c>
      <c r="E68" s="694">
        <f>IFERROR(E67+D68,"")</f>
        <v>1764</v>
      </c>
      <c r="F68" s="694">
        <f>IFERROR(F67+E68,"")</f>
        <v>2724</v>
      </c>
      <c r="G68" s="694">
        <f t="shared" ref="G68:H68" si="14">IFERROR(G67+F68,"")</f>
        <v>3519.5</v>
      </c>
      <c r="H68" s="694">
        <f t="shared" si="14"/>
        <v>4467</v>
      </c>
      <c r="I68" s="694"/>
      <c r="J68" s="694"/>
      <c r="K68" s="694"/>
      <c r="L68" s="694"/>
      <c r="M68" s="694"/>
      <c r="N68" s="694"/>
      <c r="O68" s="694"/>
      <c r="P68" s="694"/>
      <c r="Q68" s="694"/>
      <c r="R68" s="694"/>
      <c r="S68" s="694"/>
      <c r="T68" s="694"/>
      <c r="U68" s="694"/>
      <c r="V68" s="694"/>
      <c r="W68" s="694"/>
      <c r="X68" s="694"/>
      <c r="Y68" s="694"/>
      <c r="Z68" s="694"/>
      <c r="AA68" s="694"/>
      <c r="AB68" s="694"/>
      <c r="AC68" s="694"/>
      <c r="AD68" s="694"/>
      <c r="AE68" s="694"/>
      <c r="AF68" s="694"/>
      <c r="AG68" s="694"/>
      <c r="AH68" s="694"/>
    </row>
    <row r="69" spans="3:34">
      <c r="C69" s="302" t="s">
        <v>17</v>
      </c>
      <c r="D69" s="694">
        <f>Tramming!H10</f>
        <v>910</v>
      </c>
      <c r="E69" s="694">
        <f>Tramming!I10</f>
        <v>910</v>
      </c>
      <c r="F69" s="694">
        <f>Tramming!J10</f>
        <v>910</v>
      </c>
      <c r="G69" s="694">
        <f>Tramming!K10</f>
        <v>910</v>
      </c>
      <c r="H69" s="694">
        <f>Tramming!L10</f>
        <v>910</v>
      </c>
      <c r="I69" s="694"/>
      <c r="J69" s="694"/>
      <c r="K69" s="694"/>
      <c r="L69" s="694"/>
      <c r="M69" s="694"/>
      <c r="N69" s="694"/>
      <c r="O69" s="694"/>
      <c r="P69" s="694"/>
      <c r="Q69" s="694"/>
      <c r="R69" s="694"/>
      <c r="S69" s="694"/>
      <c r="T69" s="694"/>
      <c r="U69" s="694"/>
      <c r="V69" s="694"/>
      <c r="W69" s="694"/>
      <c r="X69" s="694"/>
      <c r="Y69" s="694"/>
      <c r="Z69" s="694"/>
      <c r="AA69" s="694"/>
      <c r="AB69" s="694"/>
      <c r="AC69" s="694"/>
      <c r="AD69" s="694"/>
      <c r="AE69" s="694"/>
      <c r="AF69" s="694"/>
      <c r="AG69" s="694"/>
      <c r="AH69" s="694"/>
    </row>
    <row r="70" spans="3:34">
      <c r="C70" s="302" t="s">
        <v>73</v>
      </c>
      <c r="D70" s="694">
        <f>D69</f>
        <v>910</v>
      </c>
      <c r="E70" s="694">
        <f>IFERROR(E69+D70,"")</f>
        <v>1820</v>
      </c>
      <c r="F70" s="694">
        <f>IFERROR(F69+E70,"")</f>
        <v>2730</v>
      </c>
      <c r="G70" s="694">
        <f t="shared" ref="G70:H70" si="15">IFERROR(G69+F70,"")</f>
        <v>3640</v>
      </c>
      <c r="H70" s="694">
        <f t="shared" si="15"/>
        <v>4550</v>
      </c>
      <c r="I70" s="694"/>
      <c r="J70" s="694"/>
      <c r="K70" s="694"/>
      <c r="L70" s="694"/>
      <c r="M70" s="694"/>
      <c r="N70" s="694"/>
      <c r="O70" s="694"/>
      <c r="P70" s="694"/>
      <c r="Q70" s="694"/>
      <c r="R70" s="694"/>
      <c r="S70" s="694"/>
      <c r="T70" s="694"/>
      <c r="U70" s="694"/>
      <c r="V70" s="694"/>
      <c r="W70" s="694"/>
      <c r="X70" s="694"/>
      <c r="Y70" s="694"/>
      <c r="Z70" s="694"/>
      <c r="AA70" s="694"/>
      <c r="AB70" s="694"/>
      <c r="AC70" s="694"/>
      <c r="AD70" s="694"/>
      <c r="AE70" s="694"/>
      <c r="AF70" s="694"/>
      <c r="AG70" s="694"/>
      <c r="AH70" s="694"/>
    </row>
    <row r="71" spans="3:34">
      <c r="D71" s="694"/>
      <c r="E71" s="694"/>
      <c r="F71" s="694"/>
      <c r="G71" s="694"/>
      <c r="H71" s="694"/>
      <c r="I71" s="694"/>
      <c r="J71" s="694"/>
      <c r="K71" s="694"/>
      <c r="L71" s="694"/>
      <c r="M71" s="694"/>
      <c r="N71" s="694"/>
      <c r="O71" s="694"/>
      <c r="P71" s="694"/>
      <c r="Q71" s="694"/>
      <c r="R71" s="694"/>
      <c r="S71" s="694"/>
      <c r="T71" s="694"/>
      <c r="U71" s="694"/>
      <c r="V71" s="694"/>
      <c r="W71" s="694"/>
      <c r="X71" s="694"/>
      <c r="Y71" s="694"/>
      <c r="Z71" s="694"/>
      <c r="AA71" s="694"/>
      <c r="AB71" s="694"/>
      <c r="AC71" s="694"/>
      <c r="AD71" s="694"/>
      <c r="AE71" s="694"/>
      <c r="AF71" s="694"/>
      <c r="AG71" s="694"/>
      <c r="AH71" s="694"/>
    </row>
    <row r="72" spans="3:34">
      <c r="C72" s="302" t="str">
        <f>_xlfn.CONCAT(C22," - ",C19)</f>
        <v>Hoisting - Tonnes</v>
      </c>
      <c r="D72" s="694"/>
      <c r="E72" s="694"/>
      <c r="F72" s="694"/>
      <c r="G72" s="694"/>
      <c r="H72" s="694"/>
      <c r="I72" s="694"/>
      <c r="J72" s="694"/>
      <c r="K72" s="694"/>
      <c r="L72" s="694"/>
      <c r="M72" s="694"/>
      <c r="N72" s="694"/>
      <c r="O72" s="694"/>
      <c r="P72" s="694"/>
      <c r="Q72" s="694"/>
      <c r="R72" s="694"/>
      <c r="S72" s="694"/>
      <c r="T72" s="694"/>
      <c r="U72" s="694"/>
      <c r="V72" s="694"/>
      <c r="W72" s="694"/>
      <c r="X72" s="694"/>
      <c r="Y72" s="694"/>
      <c r="Z72" s="694"/>
      <c r="AA72" s="694"/>
      <c r="AB72" s="694"/>
      <c r="AC72" s="694"/>
      <c r="AD72" s="694"/>
      <c r="AE72" s="694"/>
      <c r="AF72" s="694"/>
      <c r="AG72" s="694"/>
      <c r="AH72" s="694"/>
    </row>
    <row r="73" spans="3:34">
      <c r="C73" s="302" t="s">
        <v>16</v>
      </c>
      <c r="D73" s="694">
        <f>Hoisting!H11</f>
        <v>782</v>
      </c>
      <c r="E73" s="694">
        <f>Hoisting!I11</f>
        <v>952</v>
      </c>
      <c r="F73" s="694">
        <f>Hoisting!J11</f>
        <v>907</v>
      </c>
      <c r="G73" s="694">
        <f>Hoisting!K11</f>
        <v>812</v>
      </c>
      <c r="H73" s="694">
        <f>Hoisting!L11</f>
        <v>931</v>
      </c>
      <c r="I73" s="694"/>
      <c r="J73" s="694"/>
      <c r="K73" s="694"/>
      <c r="L73" s="694"/>
      <c r="M73" s="694"/>
      <c r="N73" s="694"/>
      <c r="O73" s="694"/>
      <c r="P73" s="694"/>
      <c r="Q73" s="694"/>
      <c r="R73" s="694"/>
      <c r="S73" s="694"/>
      <c r="T73" s="694"/>
      <c r="U73" s="694"/>
      <c r="V73" s="694"/>
      <c r="W73" s="694"/>
      <c r="X73" s="694"/>
      <c r="Y73" s="694"/>
      <c r="Z73" s="694"/>
      <c r="AA73" s="694"/>
      <c r="AB73" s="694"/>
      <c r="AC73" s="694"/>
      <c r="AD73" s="694"/>
      <c r="AE73" s="694"/>
      <c r="AF73" s="694"/>
      <c r="AG73" s="694"/>
      <c r="AH73" s="694"/>
    </row>
    <row r="74" spans="3:34">
      <c r="C74" s="302" t="s">
        <v>72</v>
      </c>
      <c r="D74" s="694">
        <f>D73</f>
        <v>782</v>
      </c>
      <c r="E74" s="694">
        <f>IFERROR(E73+D74,"")</f>
        <v>1734</v>
      </c>
      <c r="F74" s="694">
        <f>IFERROR(F73+E74,"")</f>
        <v>2641</v>
      </c>
      <c r="G74" s="694">
        <f t="shared" ref="G74:H74" si="16">IFERROR(G73+F74,"")</f>
        <v>3453</v>
      </c>
      <c r="H74" s="694">
        <f t="shared" si="16"/>
        <v>4384</v>
      </c>
      <c r="I74" s="694"/>
      <c r="J74" s="694"/>
      <c r="K74" s="694"/>
      <c r="L74" s="694"/>
      <c r="M74" s="694"/>
      <c r="N74" s="694"/>
      <c r="O74" s="694"/>
      <c r="P74" s="694"/>
      <c r="Q74" s="694"/>
      <c r="R74" s="694"/>
      <c r="S74" s="694"/>
      <c r="T74" s="694"/>
      <c r="U74" s="694"/>
      <c r="V74" s="694"/>
      <c r="W74" s="694"/>
      <c r="X74" s="694"/>
      <c r="Y74" s="694"/>
      <c r="Z74" s="694"/>
      <c r="AA74" s="694"/>
      <c r="AB74" s="694"/>
      <c r="AC74" s="694"/>
      <c r="AD74" s="694"/>
      <c r="AE74" s="694"/>
      <c r="AF74" s="694"/>
      <c r="AG74" s="694"/>
      <c r="AH74" s="694"/>
    </row>
    <row r="75" spans="3:34">
      <c r="C75" s="302" t="s">
        <v>17</v>
      </c>
      <c r="D75" s="694">
        <f>Hoisting!H10</f>
        <v>740</v>
      </c>
      <c r="E75" s="694">
        <f>Hoisting!I10</f>
        <v>850</v>
      </c>
      <c r="F75" s="694">
        <f>Hoisting!J10</f>
        <v>850</v>
      </c>
      <c r="G75" s="694">
        <f>Hoisting!K10</f>
        <v>850</v>
      </c>
      <c r="H75" s="694">
        <f>Hoisting!L10</f>
        <v>850</v>
      </c>
      <c r="I75" s="694"/>
      <c r="J75" s="694"/>
      <c r="K75" s="694"/>
      <c r="L75" s="694"/>
      <c r="M75" s="694"/>
      <c r="N75" s="694"/>
      <c r="O75" s="694"/>
      <c r="P75" s="694"/>
      <c r="Q75" s="694"/>
      <c r="R75" s="694"/>
      <c r="S75" s="694"/>
      <c r="T75" s="694"/>
      <c r="U75" s="694"/>
      <c r="V75" s="694"/>
      <c r="W75" s="694"/>
      <c r="X75" s="694"/>
      <c r="Y75" s="694"/>
      <c r="Z75" s="694"/>
      <c r="AA75" s="694"/>
      <c r="AB75" s="694"/>
      <c r="AC75" s="694"/>
      <c r="AD75" s="694"/>
      <c r="AE75" s="694"/>
      <c r="AF75" s="694"/>
      <c r="AG75" s="694"/>
      <c r="AH75" s="694"/>
    </row>
    <row r="76" spans="3:34">
      <c r="C76" s="302" t="s">
        <v>73</v>
      </c>
      <c r="D76" s="694">
        <f>D75</f>
        <v>740</v>
      </c>
      <c r="E76" s="694">
        <f>IFERROR(E75+D76,"")</f>
        <v>1590</v>
      </c>
      <c r="F76" s="694">
        <f>IFERROR(F75+E76,"")</f>
        <v>2440</v>
      </c>
      <c r="G76" s="694">
        <f t="shared" ref="G76:H76" si="17">IFERROR(G75+F76,"")</f>
        <v>3290</v>
      </c>
      <c r="H76" s="694">
        <f t="shared" si="17"/>
        <v>4140</v>
      </c>
      <c r="I76" s="694"/>
      <c r="J76" s="694"/>
      <c r="K76" s="694"/>
      <c r="L76" s="694"/>
      <c r="M76" s="694"/>
      <c r="N76" s="694"/>
      <c r="O76" s="694"/>
      <c r="P76" s="694"/>
      <c r="Q76" s="694"/>
      <c r="R76" s="694"/>
      <c r="S76" s="694"/>
      <c r="T76" s="694"/>
      <c r="U76" s="694"/>
      <c r="V76" s="694"/>
      <c r="W76" s="694"/>
      <c r="X76" s="694"/>
      <c r="Y76" s="694"/>
      <c r="Z76" s="694"/>
      <c r="AA76" s="694"/>
      <c r="AB76" s="694"/>
      <c r="AC76" s="694"/>
      <c r="AD76" s="694"/>
      <c r="AE76" s="694"/>
      <c r="AF76" s="694"/>
      <c r="AG76" s="694"/>
      <c r="AH76" s="694"/>
    </row>
    <row r="77" spans="3:34">
      <c r="D77" s="695"/>
      <c r="E77" s="695"/>
      <c r="F77" s="695"/>
      <c r="G77" s="695"/>
      <c r="H77" s="69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row>
    <row r="78" spans="3:34">
      <c r="C78" s="302" t="str">
        <f>_xlfn.CONCAT(C25," - ",C24)</f>
        <v>Generation - Grade</v>
      </c>
      <c r="D78" s="695"/>
      <c r="E78" s="695"/>
      <c r="F78" s="695"/>
      <c r="G78" s="695"/>
      <c r="H78" s="69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row>
    <row r="79" spans="3:34">
      <c r="C79" s="302" t="s">
        <v>16</v>
      </c>
      <c r="D79" s="695">
        <f t="shared" ref="D79:AH79" si="18">IFERROR(D97*1000/D61,"")</f>
        <v>3.5549352051835856</v>
      </c>
      <c r="E79" s="695">
        <f t="shared" si="18"/>
        <v>3.330409556313993</v>
      </c>
      <c r="F79" s="695">
        <f t="shared" si="18"/>
        <v>2.9583834196891199</v>
      </c>
      <c r="G79" s="695">
        <f t="shared" si="18"/>
        <v>3.4357523029682699</v>
      </c>
      <c r="H79" s="695">
        <f t="shared" si="18"/>
        <v>1.5281716036772217</v>
      </c>
      <c r="I79" s="695" t="str">
        <f t="shared" si="18"/>
        <v/>
      </c>
      <c r="J79" s="695" t="str">
        <f t="shared" si="18"/>
        <v/>
      </c>
      <c r="K79" s="695" t="str">
        <f t="shared" si="18"/>
        <v/>
      </c>
      <c r="L79" s="695" t="str">
        <f t="shared" si="18"/>
        <v/>
      </c>
      <c r="M79" s="695" t="str">
        <f t="shared" si="18"/>
        <v/>
      </c>
      <c r="N79" s="695" t="str">
        <f t="shared" si="18"/>
        <v/>
      </c>
      <c r="O79" s="695" t="str">
        <f t="shared" si="18"/>
        <v/>
      </c>
      <c r="P79" s="695" t="str">
        <f t="shared" si="18"/>
        <v/>
      </c>
      <c r="Q79" s="695" t="str">
        <f t="shared" si="18"/>
        <v/>
      </c>
      <c r="R79" s="695" t="str">
        <f t="shared" si="18"/>
        <v/>
      </c>
      <c r="S79" s="695" t="str">
        <f t="shared" si="18"/>
        <v/>
      </c>
      <c r="T79" s="695" t="str">
        <f t="shared" si="18"/>
        <v/>
      </c>
      <c r="U79" s="695" t="str">
        <f t="shared" si="18"/>
        <v/>
      </c>
      <c r="V79" s="695" t="str">
        <f t="shared" si="18"/>
        <v/>
      </c>
      <c r="W79" s="695" t="str">
        <f t="shared" si="18"/>
        <v/>
      </c>
      <c r="X79" s="695" t="str">
        <f t="shared" si="18"/>
        <v/>
      </c>
      <c r="Y79" s="695" t="str">
        <f t="shared" si="18"/>
        <v/>
      </c>
      <c r="Z79" s="695" t="str">
        <f t="shared" si="18"/>
        <v/>
      </c>
      <c r="AA79" s="695" t="str">
        <f t="shared" si="18"/>
        <v/>
      </c>
      <c r="AB79" s="695" t="str">
        <f t="shared" si="18"/>
        <v/>
      </c>
      <c r="AC79" s="695" t="str">
        <f t="shared" si="18"/>
        <v/>
      </c>
      <c r="AD79" s="695" t="str">
        <f t="shared" si="18"/>
        <v/>
      </c>
      <c r="AE79" s="695" t="str">
        <f t="shared" si="18"/>
        <v/>
      </c>
      <c r="AF79" s="695" t="str">
        <f t="shared" si="18"/>
        <v/>
      </c>
      <c r="AG79" s="695" t="str">
        <f t="shared" si="18"/>
        <v/>
      </c>
      <c r="AH79" s="695" t="str">
        <f t="shared" si="18"/>
        <v/>
      </c>
    </row>
    <row r="80" spans="3:34">
      <c r="C80" s="302" t="s">
        <v>72</v>
      </c>
      <c r="D80" s="695">
        <f t="shared" ref="D80:AH80" si="19">IFERROR(D98*1000/D62,"")</f>
        <v>3.5549352051835856</v>
      </c>
      <c r="E80" s="695">
        <f t="shared" si="19"/>
        <v>3.445595567867036</v>
      </c>
      <c r="F80" s="695">
        <f t="shared" si="19"/>
        <v>3.2758628158844769</v>
      </c>
      <c r="G80" s="695">
        <f t="shared" si="19"/>
        <v>3.3175527088337344</v>
      </c>
      <c r="H80" s="695">
        <f t="shared" si="19"/>
        <v>2.9468789674143041</v>
      </c>
      <c r="I80" s="695" t="str">
        <f t="shared" si="19"/>
        <v/>
      </c>
      <c r="J80" s="695" t="str">
        <f t="shared" si="19"/>
        <v/>
      </c>
      <c r="K80" s="695" t="str">
        <f t="shared" si="19"/>
        <v/>
      </c>
      <c r="L80" s="695" t="str">
        <f t="shared" si="19"/>
        <v/>
      </c>
      <c r="M80" s="695" t="str">
        <f t="shared" si="19"/>
        <v/>
      </c>
      <c r="N80" s="695" t="str">
        <f t="shared" si="19"/>
        <v/>
      </c>
      <c r="O80" s="695" t="str">
        <f t="shared" si="19"/>
        <v/>
      </c>
      <c r="P80" s="695" t="str">
        <f t="shared" si="19"/>
        <v/>
      </c>
      <c r="Q80" s="695" t="str">
        <f t="shared" si="19"/>
        <v/>
      </c>
      <c r="R80" s="695" t="str">
        <f t="shared" si="19"/>
        <v/>
      </c>
      <c r="S80" s="695" t="str">
        <f t="shared" si="19"/>
        <v/>
      </c>
      <c r="T80" s="695" t="str">
        <f t="shared" si="19"/>
        <v/>
      </c>
      <c r="U80" s="695" t="str">
        <f t="shared" si="19"/>
        <v/>
      </c>
      <c r="V80" s="695" t="str">
        <f t="shared" si="19"/>
        <v/>
      </c>
      <c r="W80" s="695" t="str">
        <f t="shared" si="19"/>
        <v/>
      </c>
      <c r="X80" s="695" t="str">
        <f t="shared" si="19"/>
        <v/>
      </c>
      <c r="Y80" s="695" t="str">
        <f t="shared" si="19"/>
        <v/>
      </c>
      <c r="Z80" s="695" t="str">
        <f t="shared" si="19"/>
        <v/>
      </c>
      <c r="AA80" s="695" t="str">
        <f t="shared" si="19"/>
        <v/>
      </c>
      <c r="AB80" s="695" t="str">
        <f t="shared" si="19"/>
        <v/>
      </c>
      <c r="AC80" s="695" t="str">
        <f t="shared" si="19"/>
        <v/>
      </c>
      <c r="AD80" s="695" t="str">
        <f t="shared" si="19"/>
        <v/>
      </c>
      <c r="AE80" s="695" t="str">
        <f t="shared" si="19"/>
        <v/>
      </c>
      <c r="AF80" s="695" t="str">
        <f t="shared" si="19"/>
        <v/>
      </c>
      <c r="AG80" s="695" t="str">
        <f t="shared" si="19"/>
        <v/>
      </c>
      <c r="AH80" s="695" t="str">
        <f t="shared" si="19"/>
        <v/>
      </c>
    </row>
    <row r="81" spans="3:34">
      <c r="C81" s="302" t="s">
        <v>17</v>
      </c>
      <c r="D81" s="695">
        <f t="shared" ref="D81:AH81" si="20">IFERROR(D99*1000/D63,"")</f>
        <v>2.2563803019410491</v>
      </c>
      <c r="E81" s="695">
        <f t="shared" si="20"/>
        <v>2.2563803019410491</v>
      </c>
      <c r="F81" s="695">
        <f t="shared" si="20"/>
        <v>2.2563803019410491</v>
      </c>
      <c r="G81" s="695">
        <f t="shared" si="20"/>
        <v>2.2563803019410491</v>
      </c>
      <c r="H81" s="695">
        <f t="shared" si="20"/>
        <v>2.2563803019410491</v>
      </c>
      <c r="I81" s="695" t="str">
        <f t="shared" si="20"/>
        <v/>
      </c>
      <c r="J81" s="695" t="str">
        <f t="shared" si="20"/>
        <v/>
      </c>
      <c r="K81" s="695" t="str">
        <f t="shared" si="20"/>
        <v/>
      </c>
      <c r="L81" s="695" t="str">
        <f t="shared" si="20"/>
        <v/>
      </c>
      <c r="M81" s="695" t="str">
        <f t="shared" si="20"/>
        <v/>
      </c>
      <c r="N81" s="695" t="str">
        <f t="shared" si="20"/>
        <v/>
      </c>
      <c r="O81" s="695" t="str">
        <f t="shared" si="20"/>
        <v/>
      </c>
      <c r="P81" s="695" t="str">
        <f t="shared" si="20"/>
        <v/>
      </c>
      <c r="Q81" s="695" t="str">
        <f t="shared" si="20"/>
        <v/>
      </c>
      <c r="R81" s="695" t="str">
        <f t="shared" si="20"/>
        <v/>
      </c>
      <c r="S81" s="695" t="str">
        <f t="shared" si="20"/>
        <v/>
      </c>
      <c r="T81" s="695" t="str">
        <f t="shared" si="20"/>
        <v/>
      </c>
      <c r="U81" s="695" t="str">
        <f t="shared" si="20"/>
        <v/>
      </c>
      <c r="V81" s="695" t="str">
        <f t="shared" si="20"/>
        <v/>
      </c>
      <c r="W81" s="695" t="str">
        <f t="shared" si="20"/>
        <v/>
      </c>
      <c r="X81" s="695" t="str">
        <f t="shared" si="20"/>
        <v/>
      </c>
      <c r="Y81" s="695" t="str">
        <f t="shared" si="20"/>
        <v/>
      </c>
      <c r="Z81" s="695" t="str">
        <f t="shared" si="20"/>
        <v/>
      </c>
      <c r="AA81" s="695" t="str">
        <f t="shared" si="20"/>
        <v/>
      </c>
      <c r="AB81" s="695" t="str">
        <f t="shared" si="20"/>
        <v/>
      </c>
      <c r="AC81" s="695" t="str">
        <f t="shared" si="20"/>
        <v/>
      </c>
      <c r="AD81" s="695" t="str">
        <f t="shared" si="20"/>
        <v/>
      </c>
      <c r="AE81" s="695" t="str">
        <f t="shared" si="20"/>
        <v/>
      </c>
      <c r="AF81" s="695" t="str">
        <f t="shared" si="20"/>
        <v/>
      </c>
      <c r="AG81" s="695" t="str">
        <f t="shared" si="20"/>
        <v/>
      </c>
      <c r="AH81" s="695" t="str">
        <f t="shared" si="20"/>
        <v/>
      </c>
    </row>
    <row r="82" spans="3:34">
      <c r="C82" s="302" t="s">
        <v>73</v>
      </c>
      <c r="D82" s="695">
        <f t="shared" ref="D82:AH82" si="21">IFERROR(D100*1000/D64,"")</f>
        <v>2.2563803019410491</v>
      </c>
      <c r="E82" s="695">
        <f t="shared" si="21"/>
        <v>2.2563803019410491</v>
      </c>
      <c r="F82" s="695">
        <f t="shared" si="21"/>
        <v>2.2563803019410491</v>
      </c>
      <c r="G82" s="695">
        <f t="shared" si="21"/>
        <v>2.2563803019410491</v>
      </c>
      <c r="H82" s="695">
        <f t="shared" si="21"/>
        <v>2.2563803019410491</v>
      </c>
      <c r="I82" s="695" t="str">
        <f t="shared" si="21"/>
        <v/>
      </c>
      <c r="J82" s="695" t="str">
        <f t="shared" si="21"/>
        <v/>
      </c>
      <c r="K82" s="695" t="str">
        <f t="shared" si="21"/>
        <v/>
      </c>
      <c r="L82" s="695" t="str">
        <f t="shared" si="21"/>
        <v/>
      </c>
      <c r="M82" s="695" t="str">
        <f t="shared" si="21"/>
        <v/>
      </c>
      <c r="N82" s="695" t="str">
        <f t="shared" si="21"/>
        <v/>
      </c>
      <c r="O82" s="695" t="str">
        <f t="shared" si="21"/>
        <v/>
      </c>
      <c r="P82" s="695" t="str">
        <f t="shared" si="21"/>
        <v/>
      </c>
      <c r="Q82" s="695" t="str">
        <f t="shared" si="21"/>
        <v/>
      </c>
      <c r="R82" s="695" t="str">
        <f t="shared" si="21"/>
        <v/>
      </c>
      <c r="S82" s="695" t="str">
        <f t="shared" si="21"/>
        <v/>
      </c>
      <c r="T82" s="695" t="str">
        <f t="shared" si="21"/>
        <v/>
      </c>
      <c r="U82" s="695" t="str">
        <f t="shared" si="21"/>
        <v/>
      </c>
      <c r="V82" s="695" t="str">
        <f t="shared" si="21"/>
        <v/>
      </c>
      <c r="W82" s="695" t="str">
        <f t="shared" si="21"/>
        <v/>
      </c>
      <c r="X82" s="695" t="str">
        <f t="shared" si="21"/>
        <v/>
      </c>
      <c r="Y82" s="695" t="str">
        <f t="shared" si="21"/>
        <v/>
      </c>
      <c r="Z82" s="695" t="str">
        <f t="shared" si="21"/>
        <v/>
      </c>
      <c r="AA82" s="695" t="str">
        <f t="shared" si="21"/>
        <v/>
      </c>
      <c r="AB82" s="695" t="str">
        <f t="shared" si="21"/>
        <v/>
      </c>
      <c r="AC82" s="695" t="str">
        <f t="shared" si="21"/>
        <v/>
      </c>
      <c r="AD82" s="695" t="str">
        <f t="shared" si="21"/>
        <v/>
      </c>
      <c r="AE82" s="695" t="str">
        <f t="shared" si="21"/>
        <v/>
      </c>
      <c r="AF82" s="695" t="str">
        <f t="shared" si="21"/>
        <v/>
      </c>
      <c r="AG82" s="695" t="str">
        <f t="shared" si="21"/>
        <v/>
      </c>
      <c r="AH82" s="695" t="str">
        <f t="shared" si="21"/>
        <v/>
      </c>
    </row>
    <row r="83" spans="3:34">
      <c r="D83" s="695"/>
      <c r="E83" s="695"/>
      <c r="F83" s="695"/>
      <c r="G83" s="695"/>
      <c r="H83" s="69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row>
    <row r="84" spans="3:34">
      <c r="C84" s="302" t="str">
        <f>_xlfn.CONCAT(C26," - ",C24)</f>
        <v>Tramming - Grade</v>
      </c>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5"/>
    </row>
    <row r="85" spans="3:34">
      <c r="C85" s="302" t="s">
        <v>16</v>
      </c>
      <c r="D85" s="695">
        <f t="shared" ref="D85:AH85" si="22">IFERROR(D103*1000/D67,"")</f>
        <v>2.2936411609498677</v>
      </c>
      <c r="E85" s="695">
        <f t="shared" si="22"/>
        <v>3.351784294234593</v>
      </c>
      <c r="F85" s="695">
        <f t="shared" si="22"/>
        <v>3.1195104166666661</v>
      </c>
      <c r="G85" s="695">
        <f t="shared" si="22"/>
        <v>2.8486549340037706</v>
      </c>
      <c r="H85" s="695">
        <f t="shared" si="22"/>
        <v>2.7826068601583116</v>
      </c>
      <c r="I85" s="695" t="str">
        <f t="shared" si="22"/>
        <v/>
      </c>
      <c r="J85" s="695" t="str">
        <f t="shared" si="22"/>
        <v/>
      </c>
      <c r="K85" s="695" t="str">
        <f t="shared" si="22"/>
        <v/>
      </c>
      <c r="L85" s="695" t="str">
        <f t="shared" si="22"/>
        <v/>
      </c>
      <c r="M85" s="695" t="str">
        <f t="shared" si="22"/>
        <v/>
      </c>
      <c r="N85" s="695" t="str">
        <f t="shared" si="22"/>
        <v/>
      </c>
      <c r="O85" s="695" t="str">
        <f t="shared" si="22"/>
        <v/>
      </c>
      <c r="P85" s="695" t="str">
        <f t="shared" si="22"/>
        <v/>
      </c>
      <c r="Q85" s="695" t="str">
        <f t="shared" si="22"/>
        <v/>
      </c>
      <c r="R85" s="695" t="str">
        <f t="shared" si="22"/>
        <v/>
      </c>
      <c r="S85" s="695" t="str">
        <f t="shared" si="22"/>
        <v/>
      </c>
      <c r="T85" s="695" t="str">
        <f t="shared" si="22"/>
        <v/>
      </c>
      <c r="U85" s="695" t="str">
        <f t="shared" si="22"/>
        <v/>
      </c>
      <c r="V85" s="695" t="str">
        <f t="shared" si="22"/>
        <v/>
      </c>
      <c r="W85" s="695" t="str">
        <f t="shared" si="22"/>
        <v/>
      </c>
      <c r="X85" s="695" t="str">
        <f t="shared" si="22"/>
        <v/>
      </c>
      <c r="Y85" s="695" t="str">
        <f t="shared" si="22"/>
        <v/>
      </c>
      <c r="Z85" s="695" t="str">
        <f t="shared" si="22"/>
        <v/>
      </c>
      <c r="AA85" s="695" t="str">
        <f t="shared" si="22"/>
        <v/>
      </c>
      <c r="AB85" s="695" t="str">
        <f t="shared" si="22"/>
        <v/>
      </c>
      <c r="AC85" s="695" t="str">
        <f t="shared" si="22"/>
        <v/>
      </c>
      <c r="AD85" s="695" t="str">
        <f t="shared" si="22"/>
        <v/>
      </c>
      <c r="AE85" s="695" t="str">
        <f t="shared" si="22"/>
        <v/>
      </c>
      <c r="AF85" s="695" t="str">
        <f t="shared" si="22"/>
        <v/>
      </c>
      <c r="AG85" s="695" t="str">
        <f t="shared" si="22"/>
        <v/>
      </c>
      <c r="AH85" s="695" t="str">
        <f t="shared" si="22"/>
        <v/>
      </c>
    </row>
    <row r="86" spans="3:34">
      <c r="C86" s="302" t="s">
        <v>72</v>
      </c>
      <c r="D86" s="695">
        <f t="shared" ref="D86:AH86" si="23">IFERROR(D104*1000/D68,"")</f>
        <v>2.2936411609498677</v>
      </c>
      <c r="E86" s="695">
        <f t="shared" si="23"/>
        <v>2.8970946712018142</v>
      </c>
      <c r="F86" s="695">
        <f t="shared" si="23"/>
        <v>2.9754790748898676</v>
      </c>
      <c r="G86" s="695">
        <f t="shared" si="23"/>
        <v>2.9468134678221336</v>
      </c>
      <c r="H86" s="695">
        <f t="shared" si="23"/>
        <v>2.9119834340720843</v>
      </c>
      <c r="I86" s="695" t="str">
        <f t="shared" si="23"/>
        <v/>
      </c>
      <c r="J86" s="695" t="str">
        <f t="shared" si="23"/>
        <v/>
      </c>
      <c r="K86" s="695" t="str">
        <f t="shared" si="23"/>
        <v/>
      </c>
      <c r="L86" s="695" t="str">
        <f t="shared" si="23"/>
        <v/>
      </c>
      <c r="M86" s="695" t="str">
        <f t="shared" si="23"/>
        <v/>
      </c>
      <c r="N86" s="695" t="str">
        <f t="shared" si="23"/>
        <v/>
      </c>
      <c r="O86" s="695" t="str">
        <f t="shared" si="23"/>
        <v/>
      </c>
      <c r="P86" s="695" t="str">
        <f t="shared" si="23"/>
        <v/>
      </c>
      <c r="Q86" s="695" t="str">
        <f t="shared" si="23"/>
        <v/>
      </c>
      <c r="R86" s="695" t="str">
        <f t="shared" si="23"/>
        <v/>
      </c>
      <c r="S86" s="695" t="str">
        <f t="shared" si="23"/>
        <v/>
      </c>
      <c r="T86" s="695" t="str">
        <f t="shared" si="23"/>
        <v/>
      </c>
      <c r="U86" s="695" t="str">
        <f t="shared" si="23"/>
        <v/>
      </c>
      <c r="V86" s="695" t="str">
        <f t="shared" si="23"/>
        <v/>
      </c>
      <c r="W86" s="695" t="str">
        <f t="shared" si="23"/>
        <v/>
      </c>
      <c r="X86" s="695" t="str">
        <f t="shared" si="23"/>
        <v/>
      </c>
      <c r="Y86" s="695" t="str">
        <f t="shared" si="23"/>
        <v/>
      </c>
      <c r="Z86" s="695" t="str">
        <f t="shared" si="23"/>
        <v/>
      </c>
      <c r="AA86" s="695" t="str">
        <f t="shared" si="23"/>
        <v/>
      </c>
      <c r="AB86" s="695" t="str">
        <f t="shared" si="23"/>
        <v/>
      </c>
      <c r="AC86" s="695" t="str">
        <f t="shared" si="23"/>
        <v/>
      </c>
      <c r="AD86" s="695" t="str">
        <f t="shared" si="23"/>
        <v/>
      </c>
      <c r="AE86" s="695" t="str">
        <f t="shared" si="23"/>
        <v/>
      </c>
      <c r="AF86" s="695" t="str">
        <f t="shared" si="23"/>
        <v/>
      </c>
      <c r="AG86" s="695" t="str">
        <f t="shared" si="23"/>
        <v/>
      </c>
      <c r="AH86" s="695" t="str">
        <f t="shared" si="23"/>
        <v/>
      </c>
    </row>
    <row r="87" spans="3:34">
      <c r="C87" s="302" t="s">
        <v>17</v>
      </c>
      <c r="D87" s="695">
        <f t="shared" ref="D87:AH87" si="24">IFERROR(D105*1000/D69,"")</f>
        <v>1.9111250898634073</v>
      </c>
      <c r="E87" s="695">
        <f t="shared" si="24"/>
        <v>2.2563803019410491</v>
      </c>
      <c r="F87" s="695">
        <f t="shared" si="24"/>
        <v>2.2563803019410491</v>
      </c>
      <c r="G87" s="695">
        <f t="shared" si="24"/>
        <v>2.2563803019410491</v>
      </c>
      <c r="H87" s="695">
        <f t="shared" si="24"/>
        <v>2.2563803019410491</v>
      </c>
      <c r="I87" s="695" t="str">
        <f t="shared" si="24"/>
        <v/>
      </c>
      <c r="J87" s="695" t="str">
        <f t="shared" si="24"/>
        <v/>
      </c>
      <c r="K87" s="695" t="str">
        <f t="shared" si="24"/>
        <v/>
      </c>
      <c r="L87" s="695" t="str">
        <f t="shared" si="24"/>
        <v/>
      </c>
      <c r="M87" s="695" t="str">
        <f t="shared" si="24"/>
        <v/>
      </c>
      <c r="N87" s="695" t="str">
        <f t="shared" si="24"/>
        <v/>
      </c>
      <c r="O87" s="695" t="str">
        <f t="shared" si="24"/>
        <v/>
      </c>
      <c r="P87" s="695" t="str">
        <f t="shared" si="24"/>
        <v/>
      </c>
      <c r="Q87" s="695" t="str">
        <f t="shared" si="24"/>
        <v/>
      </c>
      <c r="R87" s="695" t="str">
        <f t="shared" si="24"/>
        <v/>
      </c>
      <c r="S87" s="695" t="str">
        <f t="shared" si="24"/>
        <v/>
      </c>
      <c r="T87" s="695" t="str">
        <f t="shared" si="24"/>
        <v/>
      </c>
      <c r="U87" s="695" t="str">
        <f t="shared" si="24"/>
        <v/>
      </c>
      <c r="V87" s="695" t="str">
        <f t="shared" si="24"/>
        <v/>
      </c>
      <c r="W87" s="695" t="str">
        <f t="shared" si="24"/>
        <v/>
      </c>
      <c r="X87" s="695" t="str">
        <f t="shared" si="24"/>
        <v/>
      </c>
      <c r="Y87" s="695" t="str">
        <f t="shared" si="24"/>
        <v/>
      </c>
      <c r="Z87" s="695" t="str">
        <f t="shared" si="24"/>
        <v/>
      </c>
      <c r="AA87" s="695" t="str">
        <f t="shared" si="24"/>
        <v/>
      </c>
      <c r="AB87" s="695" t="str">
        <f t="shared" si="24"/>
        <v/>
      </c>
      <c r="AC87" s="695" t="str">
        <f t="shared" si="24"/>
        <v/>
      </c>
      <c r="AD87" s="695" t="str">
        <f t="shared" si="24"/>
        <v/>
      </c>
      <c r="AE87" s="695" t="str">
        <f t="shared" si="24"/>
        <v/>
      </c>
      <c r="AF87" s="695" t="str">
        <f t="shared" si="24"/>
        <v/>
      </c>
      <c r="AG87" s="695" t="str">
        <f t="shared" si="24"/>
        <v/>
      </c>
      <c r="AH87" s="695" t="str">
        <f t="shared" si="24"/>
        <v/>
      </c>
    </row>
    <row r="88" spans="3:34">
      <c r="C88" s="302" t="s">
        <v>73</v>
      </c>
      <c r="D88" s="695">
        <f t="shared" ref="D88:AH88" si="25">IFERROR(D106*1000/D70,"")</f>
        <v>1.9111250898634073</v>
      </c>
      <c r="E88" s="695">
        <f t="shared" si="25"/>
        <v>2.0837526959022283</v>
      </c>
      <c r="F88" s="695">
        <f t="shared" si="25"/>
        <v>2.1412952312485025</v>
      </c>
      <c r="G88" s="695">
        <f t="shared" si="25"/>
        <v>2.1700664989216389</v>
      </c>
      <c r="H88" s="695">
        <f t="shared" si="25"/>
        <v>2.1873292595255207</v>
      </c>
      <c r="I88" s="695" t="str">
        <f t="shared" si="25"/>
        <v/>
      </c>
      <c r="J88" s="695" t="str">
        <f t="shared" si="25"/>
        <v/>
      </c>
      <c r="K88" s="695" t="str">
        <f t="shared" si="25"/>
        <v/>
      </c>
      <c r="L88" s="695" t="str">
        <f t="shared" si="25"/>
        <v/>
      </c>
      <c r="M88" s="695" t="str">
        <f t="shared" si="25"/>
        <v/>
      </c>
      <c r="N88" s="695" t="str">
        <f t="shared" si="25"/>
        <v/>
      </c>
      <c r="O88" s="695" t="str">
        <f t="shared" si="25"/>
        <v/>
      </c>
      <c r="P88" s="695" t="str">
        <f t="shared" si="25"/>
        <v/>
      </c>
      <c r="Q88" s="695" t="str">
        <f t="shared" si="25"/>
        <v/>
      </c>
      <c r="R88" s="695" t="str">
        <f t="shared" si="25"/>
        <v/>
      </c>
      <c r="S88" s="695" t="str">
        <f t="shared" si="25"/>
        <v/>
      </c>
      <c r="T88" s="695" t="str">
        <f t="shared" si="25"/>
        <v/>
      </c>
      <c r="U88" s="695" t="str">
        <f t="shared" si="25"/>
        <v/>
      </c>
      <c r="V88" s="695" t="str">
        <f t="shared" si="25"/>
        <v/>
      </c>
      <c r="W88" s="695" t="str">
        <f t="shared" si="25"/>
        <v/>
      </c>
      <c r="X88" s="695" t="str">
        <f t="shared" si="25"/>
        <v/>
      </c>
      <c r="Y88" s="695" t="str">
        <f t="shared" si="25"/>
        <v/>
      </c>
      <c r="Z88" s="695" t="str">
        <f t="shared" si="25"/>
        <v/>
      </c>
      <c r="AA88" s="695" t="str">
        <f t="shared" si="25"/>
        <v/>
      </c>
      <c r="AB88" s="695" t="str">
        <f t="shared" si="25"/>
        <v/>
      </c>
      <c r="AC88" s="695" t="str">
        <f t="shared" si="25"/>
        <v/>
      </c>
      <c r="AD88" s="695" t="str">
        <f t="shared" si="25"/>
        <v/>
      </c>
      <c r="AE88" s="695" t="str">
        <f t="shared" si="25"/>
        <v/>
      </c>
      <c r="AF88" s="695" t="str">
        <f t="shared" si="25"/>
        <v/>
      </c>
      <c r="AG88" s="695" t="str">
        <f t="shared" si="25"/>
        <v/>
      </c>
      <c r="AH88" s="695" t="str">
        <f t="shared" si="25"/>
        <v/>
      </c>
    </row>
    <row r="89" spans="3:34">
      <c r="D89" s="695"/>
      <c r="E89" s="695"/>
      <c r="F89" s="695"/>
      <c r="G89" s="695"/>
      <c r="H89" s="69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row>
    <row r="90" spans="3:34">
      <c r="C90" s="302" t="str">
        <f>_xlfn.CONCAT(C27," - ",C24)</f>
        <v>Hoisting - Grade</v>
      </c>
      <c r="D90" s="695"/>
      <c r="E90" s="695"/>
      <c r="F90" s="695"/>
      <c r="G90" s="695"/>
      <c r="H90" s="69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row>
    <row r="91" spans="3:34">
      <c r="C91" s="302" t="s">
        <v>16</v>
      </c>
      <c r="D91" s="695">
        <f t="shared" ref="D91:AH91" si="26">IFERROR(D109*1000/D73,"")</f>
        <v>1.99</v>
      </c>
      <c r="E91" s="695">
        <f t="shared" si="26"/>
        <v>2.13</v>
      </c>
      <c r="F91" s="695">
        <f t="shared" si="26"/>
        <v>1.6699999999999997</v>
      </c>
      <c r="G91" s="695">
        <f t="shared" si="26"/>
        <v>1.8200000000000003</v>
      </c>
      <c r="H91" s="695">
        <f t="shared" si="26"/>
        <v>3.13</v>
      </c>
      <c r="I91" s="695" t="str">
        <f t="shared" si="26"/>
        <v/>
      </c>
      <c r="J91" s="695" t="str">
        <f t="shared" si="26"/>
        <v/>
      </c>
      <c r="K91" s="695" t="str">
        <f t="shared" si="26"/>
        <v/>
      </c>
      <c r="L91" s="695" t="str">
        <f t="shared" si="26"/>
        <v/>
      </c>
      <c r="M91" s="695" t="str">
        <f t="shared" si="26"/>
        <v/>
      </c>
      <c r="N91" s="695" t="str">
        <f t="shared" si="26"/>
        <v/>
      </c>
      <c r="O91" s="695" t="str">
        <f t="shared" si="26"/>
        <v/>
      </c>
      <c r="P91" s="695" t="str">
        <f t="shared" si="26"/>
        <v/>
      </c>
      <c r="Q91" s="695" t="str">
        <f t="shared" si="26"/>
        <v/>
      </c>
      <c r="R91" s="695" t="str">
        <f t="shared" si="26"/>
        <v/>
      </c>
      <c r="S91" s="695" t="str">
        <f t="shared" si="26"/>
        <v/>
      </c>
      <c r="T91" s="695" t="str">
        <f t="shared" si="26"/>
        <v/>
      </c>
      <c r="U91" s="695" t="str">
        <f t="shared" si="26"/>
        <v/>
      </c>
      <c r="V91" s="695" t="str">
        <f t="shared" si="26"/>
        <v/>
      </c>
      <c r="W91" s="695" t="str">
        <f t="shared" si="26"/>
        <v/>
      </c>
      <c r="X91" s="695" t="str">
        <f t="shared" si="26"/>
        <v/>
      </c>
      <c r="Y91" s="695" t="str">
        <f t="shared" si="26"/>
        <v/>
      </c>
      <c r="Z91" s="695" t="str">
        <f t="shared" si="26"/>
        <v/>
      </c>
      <c r="AA91" s="695" t="str">
        <f t="shared" si="26"/>
        <v/>
      </c>
      <c r="AB91" s="695" t="str">
        <f t="shared" si="26"/>
        <v/>
      </c>
      <c r="AC91" s="695" t="str">
        <f t="shared" si="26"/>
        <v/>
      </c>
      <c r="AD91" s="695" t="str">
        <f t="shared" si="26"/>
        <v/>
      </c>
      <c r="AE91" s="695" t="str">
        <f t="shared" si="26"/>
        <v/>
      </c>
      <c r="AF91" s="695" t="str">
        <f t="shared" si="26"/>
        <v/>
      </c>
      <c r="AG91" s="695" t="str">
        <f t="shared" si="26"/>
        <v/>
      </c>
      <c r="AH91" s="695" t="str">
        <f t="shared" si="26"/>
        <v/>
      </c>
    </row>
    <row r="92" spans="3:34">
      <c r="C92" s="302" t="s">
        <v>72</v>
      </c>
      <c r="D92" s="695">
        <f t="shared" ref="D92:AH92" si="27">IFERROR(D110*1000/D74,"")</f>
        <v>1.99</v>
      </c>
      <c r="E92" s="695">
        <f t="shared" si="27"/>
        <v>2.0668627450980392</v>
      </c>
      <c r="F92" s="695">
        <f t="shared" si="27"/>
        <v>1.9305679666792881</v>
      </c>
      <c r="G92" s="695">
        <f t="shared" si="27"/>
        <v>1.9045670431508834</v>
      </c>
      <c r="H92" s="695">
        <f t="shared" si="27"/>
        <v>2.1648038321167884</v>
      </c>
      <c r="I92" s="695" t="str">
        <f t="shared" si="27"/>
        <v/>
      </c>
      <c r="J92" s="695" t="str">
        <f t="shared" si="27"/>
        <v/>
      </c>
      <c r="K92" s="695" t="str">
        <f t="shared" si="27"/>
        <v/>
      </c>
      <c r="L92" s="695" t="str">
        <f t="shared" si="27"/>
        <v/>
      </c>
      <c r="M92" s="695" t="str">
        <f t="shared" si="27"/>
        <v/>
      </c>
      <c r="N92" s="695" t="str">
        <f t="shared" si="27"/>
        <v/>
      </c>
      <c r="O92" s="695" t="str">
        <f t="shared" si="27"/>
        <v/>
      </c>
      <c r="P92" s="695" t="str">
        <f t="shared" si="27"/>
        <v/>
      </c>
      <c r="Q92" s="695" t="str">
        <f t="shared" si="27"/>
        <v/>
      </c>
      <c r="R92" s="695" t="str">
        <f t="shared" si="27"/>
        <v/>
      </c>
      <c r="S92" s="695" t="str">
        <f t="shared" si="27"/>
        <v/>
      </c>
      <c r="T92" s="695" t="str">
        <f t="shared" si="27"/>
        <v/>
      </c>
      <c r="U92" s="695" t="str">
        <f t="shared" si="27"/>
        <v/>
      </c>
      <c r="V92" s="695" t="str">
        <f t="shared" si="27"/>
        <v/>
      </c>
      <c r="W92" s="695" t="str">
        <f t="shared" si="27"/>
        <v/>
      </c>
      <c r="X92" s="695" t="str">
        <f t="shared" si="27"/>
        <v/>
      </c>
      <c r="Y92" s="695" t="str">
        <f t="shared" si="27"/>
        <v/>
      </c>
      <c r="Z92" s="695" t="str">
        <f t="shared" si="27"/>
        <v/>
      </c>
      <c r="AA92" s="695" t="str">
        <f t="shared" si="27"/>
        <v/>
      </c>
      <c r="AB92" s="695" t="str">
        <f t="shared" si="27"/>
        <v/>
      </c>
      <c r="AC92" s="695" t="str">
        <f t="shared" si="27"/>
        <v/>
      </c>
      <c r="AD92" s="695" t="str">
        <f t="shared" si="27"/>
        <v/>
      </c>
      <c r="AE92" s="695" t="str">
        <f t="shared" si="27"/>
        <v/>
      </c>
      <c r="AF92" s="695" t="str">
        <f t="shared" si="27"/>
        <v/>
      </c>
      <c r="AG92" s="695" t="str">
        <f t="shared" si="27"/>
        <v/>
      </c>
      <c r="AH92" s="695" t="str">
        <f t="shared" si="27"/>
        <v/>
      </c>
    </row>
    <row r="93" spans="3:34">
      <c r="C93" s="302" t="s">
        <v>17</v>
      </c>
      <c r="D93" s="695">
        <f t="shared" ref="D93:AH93" si="28">IFERROR(D111*1000/D75,"")</f>
        <v>2.2027283562768369</v>
      </c>
      <c r="E93" s="695">
        <f t="shared" si="28"/>
        <v>2.2398948598130839</v>
      </c>
      <c r="F93" s="695">
        <f t="shared" si="28"/>
        <v>2.2398948598130839</v>
      </c>
      <c r="G93" s="695">
        <f t="shared" si="28"/>
        <v>2.2398948598130839</v>
      </c>
      <c r="H93" s="695">
        <f t="shared" si="28"/>
        <v>2.2398948598130839</v>
      </c>
      <c r="I93" s="695" t="str">
        <f t="shared" si="28"/>
        <v/>
      </c>
      <c r="J93" s="695" t="str">
        <f t="shared" si="28"/>
        <v/>
      </c>
      <c r="K93" s="695" t="str">
        <f t="shared" si="28"/>
        <v/>
      </c>
      <c r="L93" s="695" t="str">
        <f t="shared" si="28"/>
        <v/>
      </c>
      <c r="M93" s="695" t="str">
        <f t="shared" si="28"/>
        <v/>
      </c>
      <c r="N93" s="695" t="str">
        <f t="shared" si="28"/>
        <v/>
      </c>
      <c r="O93" s="695" t="str">
        <f t="shared" si="28"/>
        <v/>
      </c>
      <c r="P93" s="695" t="str">
        <f t="shared" si="28"/>
        <v/>
      </c>
      <c r="Q93" s="695" t="str">
        <f t="shared" si="28"/>
        <v/>
      </c>
      <c r="R93" s="695" t="str">
        <f t="shared" si="28"/>
        <v/>
      </c>
      <c r="S93" s="695" t="str">
        <f t="shared" si="28"/>
        <v/>
      </c>
      <c r="T93" s="695" t="str">
        <f t="shared" si="28"/>
        <v/>
      </c>
      <c r="U93" s="695" t="str">
        <f t="shared" si="28"/>
        <v/>
      </c>
      <c r="V93" s="695" t="str">
        <f t="shared" si="28"/>
        <v/>
      </c>
      <c r="W93" s="695" t="str">
        <f t="shared" si="28"/>
        <v/>
      </c>
      <c r="X93" s="695" t="str">
        <f t="shared" si="28"/>
        <v/>
      </c>
      <c r="Y93" s="695" t="str">
        <f t="shared" si="28"/>
        <v/>
      </c>
      <c r="Z93" s="695" t="str">
        <f t="shared" si="28"/>
        <v/>
      </c>
      <c r="AA93" s="695" t="str">
        <f t="shared" si="28"/>
        <v/>
      </c>
      <c r="AB93" s="695" t="str">
        <f t="shared" si="28"/>
        <v/>
      </c>
      <c r="AC93" s="695" t="str">
        <f t="shared" si="28"/>
        <v/>
      </c>
      <c r="AD93" s="695" t="str">
        <f t="shared" si="28"/>
        <v/>
      </c>
      <c r="AE93" s="695" t="str">
        <f t="shared" si="28"/>
        <v/>
      </c>
      <c r="AF93" s="695" t="str">
        <f t="shared" si="28"/>
        <v/>
      </c>
      <c r="AG93" s="695" t="str">
        <f t="shared" si="28"/>
        <v/>
      </c>
      <c r="AH93" s="695" t="str">
        <f t="shared" si="28"/>
        <v/>
      </c>
    </row>
    <row r="94" spans="3:34">
      <c r="C94" s="302" t="s">
        <v>73</v>
      </c>
      <c r="D94" s="695">
        <f t="shared" ref="D94:AH94" si="29">IFERROR(D112*1000/D76,"")</f>
        <v>2.2027283562768369</v>
      </c>
      <c r="E94" s="695">
        <f t="shared" si="29"/>
        <v>2.2225972418150821</v>
      </c>
      <c r="F94" s="695">
        <f t="shared" si="29"/>
        <v>2.2286230513635665</v>
      </c>
      <c r="G94" s="695">
        <f t="shared" si="29"/>
        <v>2.2315352207198247</v>
      </c>
      <c r="H94" s="695">
        <f t="shared" si="29"/>
        <v>2.2332515717413877</v>
      </c>
      <c r="I94" s="695" t="str">
        <f t="shared" si="29"/>
        <v/>
      </c>
      <c r="J94" s="695" t="str">
        <f t="shared" si="29"/>
        <v/>
      </c>
      <c r="K94" s="695" t="str">
        <f t="shared" si="29"/>
        <v/>
      </c>
      <c r="L94" s="695" t="str">
        <f t="shared" si="29"/>
        <v/>
      </c>
      <c r="M94" s="695" t="str">
        <f t="shared" si="29"/>
        <v/>
      </c>
      <c r="N94" s="695" t="str">
        <f t="shared" si="29"/>
        <v/>
      </c>
      <c r="O94" s="695" t="str">
        <f t="shared" si="29"/>
        <v/>
      </c>
      <c r="P94" s="695" t="str">
        <f t="shared" si="29"/>
        <v/>
      </c>
      <c r="Q94" s="695" t="str">
        <f t="shared" si="29"/>
        <v/>
      </c>
      <c r="R94" s="695" t="str">
        <f t="shared" si="29"/>
        <v/>
      </c>
      <c r="S94" s="695" t="str">
        <f t="shared" si="29"/>
        <v/>
      </c>
      <c r="T94" s="695" t="str">
        <f t="shared" si="29"/>
        <v/>
      </c>
      <c r="U94" s="695" t="str">
        <f t="shared" si="29"/>
        <v/>
      </c>
      <c r="V94" s="695" t="str">
        <f t="shared" si="29"/>
        <v/>
      </c>
      <c r="W94" s="695" t="str">
        <f t="shared" si="29"/>
        <v/>
      </c>
      <c r="X94" s="695" t="str">
        <f t="shared" si="29"/>
        <v/>
      </c>
      <c r="Y94" s="695" t="str">
        <f t="shared" si="29"/>
        <v/>
      </c>
      <c r="Z94" s="695" t="str">
        <f t="shared" si="29"/>
        <v/>
      </c>
      <c r="AA94" s="695" t="str">
        <f t="shared" si="29"/>
        <v/>
      </c>
      <c r="AB94" s="695" t="str">
        <f t="shared" si="29"/>
        <v/>
      </c>
      <c r="AC94" s="695" t="str">
        <f t="shared" si="29"/>
        <v/>
      </c>
      <c r="AD94" s="695" t="str">
        <f t="shared" si="29"/>
        <v/>
      </c>
      <c r="AE94" s="695" t="str">
        <f t="shared" si="29"/>
        <v/>
      </c>
      <c r="AF94" s="695" t="str">
        <f t="shared" si="29"/>
        <v/>
      </c>
      <c r="AG94" s="695" t="str">
        <f t="shared" si="29"/>
        <v/>
      </c>
      <c r="AH94" s="695" t="str">
        <f t="shared" si="29"/>
        <v/>
      </c>
    </row>
    <row r="95" spans="3:34">
      <c r="D95" s="695"/>
      <c r="E95" s="695"/>
      <c r="F95" s="695"/>
      <c r="G95" s="695"/>
      <c r="H95" s="69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row>
    <row r="96" spans="3:34">
      <c r="C96" s="302" t="str">
        <f>_xlfn.CONCAT(C30," - ",C29)</f>
        <v>Generation - Gold</v>
      </c>
      <c r="D96" s="693"/>
      <c r="E96" s="693"/>
      <c r="F96" s="693"/>
      <c r="G96" s="693"/>
      <c r="H96" s="693"/>
      <c r="I96" s="693"/>
      <c r="J96" s="693"/>
      <c r="K96" s="693"/>
      <c r="L96" s="693"/>
      <c r="M96" s="693"/>
      <c r="N96" s="693"/>
      <c r="O96" s="693"/>
      <c r="P96" s="693"/>
      <c r="Q96" s="693"/>
      <c r="R96" s="693"/>
      <c r="S96" s="693"/>
      <c r="T96" s="693"/>
      <c r="U96" s="693"/>
      <c r="V96" s="693"/>
      <c r="W96" s="693"/>
      <c r="X96" s="693"/>
      <c r="Y96" s="693"/>
      <c r="Z96" s="693"/>
      <c r="AA96" s="693"/>
      <c r="AB96" s="693"/>
      <c r="AC96" s="693"/>
      <c r="AD96" s="693"/>
      <c r="AE96" s="693"/>
      <c r="AF96" s="693"/>
      <c r="AG96" s="693"/>
      <c r="AH96" s="693"/>
    </row>
    <row r="97" spans="3:34">
      <c r="C97" s="302" t="s">
        <v>16</v>
      </c>
      <c r="D97" s="693">
        <f>Stoping!H15</f>
        <v>3.2918700000000003</v>
      </c>
      <c r="E97" s="693">
        <f>Stoping!I15</f>
        <v>2.9274299999999998</v>
      </c>
      <c r="F97" s="693">
        <f>Stoping!J15</f>
        <v>2.8548400000000007</v>
      </c>
      <c r="G97" s="693">
        <f>Stoping!K15</f>
        <v>3.3567299999999998</v>
      </c>
      <c r="H97" s="693">
        <f>Stoping!L15</f>
        <v>1.4960800000000001</v>
      </c>
      <c r="I97" s="693">
        <f>Stoping!M15</f>
        <v>2.77766</v>
      </c>
      <c r="J97" s="693" t="str">
        <f>Stoping!N15</f>
        <v/>
      </c>
      <c r="K97" s="693" t="str">
        <f>Stoping!O15</f>
        <v/>
      </c>
      <c r="L97" s="693" t="str">
        <f>Stoping!P15</f>
        <v/>
      </c>
      <c r="M97" s="693" t="str">
        <f>Stoping!Q15</f>
        <v/>
      </c>
      <c r="N97" s="693" t="str">
        <f>Stoping!R15</f>
        <v/>
      </c>
      <c r="O97" s="693" t="str">
        <f>Stoping!S15</f>
        <v/>
      </c>
      <c r="P97" s="693" t="str">
        <f>Stoping!T15</f>
        <v/>
      </c>
      <c r="Q97" s="693" t="str">
        <f>Stoping!U15</f>
        <v/>
      </c>
      <c r="R97" s="693" t="str">
        <f>Stoping!V15</f>
        <v/>
      </c>
      <c r="S97" s="693" t="str">
        <f>Stoping!W15</f>
        <v/>
      </c>
      <c r="T97" s="693" t="str">
        <f>Stoping!X15</f>
        <v/>
      </c>
      <c r="U97" s="693" t="str">
        <f>Stoping!Y15</f>
        <v/>
      </c>
      <c r="V97" s="693" t="str">
        <f>Stoping!Z15</f>
        <v/>
      </c>
      <c r="W97" s="693" t="str">
        <f>Stoping!AA15</f>
        <v/>
      </c>
      <c r="X97" s="693" t="str">
        <f>Stoping!AB15</f>
        <v/>
      </c>
      <c r="Y97" s="693" t="str">
        <f>Stoping!AC15</f>
        <v/>
      </c>
      <c r="Z97" s="693" t="str">
        <f>Stoping!AD15</f>
        <v/>
      </c>
      <c r="AA97" s="693" t="str">
        <f>Stoping!AE15</f>
        <v/>
      </c>
      <c r="AB97" s="693" t="str">
        <f>Stoping!AF15</f>
        <v/>
      </c>
      <c r="AC97" s="693" t="str">
        <f>Stoping!AG15</f>
        <v/>
      </c>
      <c r="AD97" s="693" t="str">
        <f>Stoping!AH15</f>
        <v/>
      </c>
      <c r="AE97" s="693" t="str">
        <f>Stoping!AI15</f>
        <v/>
      </c>
      <c r="AF97" s="693" t="str">
        <f>Stoping!AJ15</f>
        <v/>
      </c>
      <c r="AG97" s="693" t="str">
        <f>Stoping!AK15</f>
        <v/>
      </c>
      <c r="AH97" s="693" t="str">
        <f>Stoping!AL15</f>
        <v/>
      </c>
    </row>
    <row r="98" spans="3:34">
      <c r="C98" s="302" t="s">
        <v>72</v>
      </c>
      <c r="D98" s="693">
        <f>D97</f>
        <v>3.2918700000000003</v>
      </c>
      <c r="E98" s="693">
        <f>IFERROR(E97+D98,"")</f>
        <v>6.2193000000000005</v>
      </c>
      <c r="F98" s="693">
        <f>IFERROR(F97+E98,"")</f>
        <v>9.0741400000000016</v>
      </c>
      <c r="G98" s="693">
        <f t="shared" ref="G98:AH98" si="30">IFERROR(G97+F98,"")</f>
        <v>12.430870000000002</v>
      </c>
      <c r="H98" s="693">
        <f t="shared" si="30"/>
        <v>13.926950000000001</v>
      </c>
      <c r="I98" s="693">
        <f t="shared" si="30"/>
        <v>16.704610000000002</v>
      </c>
      <c r="J98" s="693" t="str">
        <f t="shared" si="30"/>
        <v/>
      </c>
      <c r="K98" s="693" t="str">
        <f t="shared" si="30"/>
        <v/>
      </c>
      <c r="L98" s="693" t="str">
        <f t="shared" si="30"/>
        <v/>
      </c>
      <c r="M98" s="693" t="str">
        <f t="shared" si="30"/>
        <v/>
      </c>
      <c r="N98" s="693" t="str">
        <f t="shared" si="30"/>
        <v/>
      </c>
      <c r="O98" s="693" t="str">
        <f t="shared" si="30"/>
        <v/>
      </c>
      <c r="P98" s="693" t="str">
        <f t="shared" si="30"/>
        <v/>
      </c>
      <c r="Q98" s="693" t="str">
        <f t="shared" si="30"/>
        <v/>
      </c>
      <c r="R98" s="693" t="str">
        <f t="shared" si="30"/>
        <v/>
      </c>
      <c r="S98" s="693" t="str">
        <f t="shared" si="30"/>
        <v/>
      </c>
      <c r="T98" s="693" t="str">
        <f t="shared" si="30"/>
        <v/>
      </c>
      <c r="U98" s="693" t="str">
        <f t="shared" si="30"/>
        <v/>
      </c>
      <c r="V98" s="693" t="str">
        <f t="shared" si="30"/>
        <v/>
      </c>
      <c r="W98" s="693" t="str">
        <f t="shared" si="30"/>
        <v/>
      </c>
      <c r="X98" s="693" t="str">
        <f t="shared" si="30"/>
        <v/>
      </c>
      <c r="Y98" s="693" t="str">
        <f t="shared" si="30"/>
        <v/>
      </c>
      <c r="Z98" s="693" t="str">
        <f t="shared" si="30"/>
        <v/>
      </c>
      <c r="AA98" s="693" t="str">
        <f t="shared" si="30"/>
        <v/>
      </c>
      <c r="AB98" s="693" t="str">
        <f t="shared" si="30"/>
        <v/>
      </c>
      <c r="AC98" s="693" t="str">
        <f t="shared" si="30"/>
        <v/>
      </c>
      <c r="AD98" s="693" t="str">
        <f t="shared" si="30"/>
        <v/>
      </c>
      <c r="AE98" s="693" t="str">
        <f t="shared" si="30"/>
        <v/>
      </c>
      <c r="AF98" s="693" t="str">
        <f t="shared" si="30"/>
        <v/>
      </c>
      <c r="AG98" s="693" t="str">
        <f t="shared" si="30"/>
        <v/>
      </c>
      <c r="AH98" s="693" t="str">
        <f t="shared" si="30"/>
        <v/>
      </c>
    </row>
    <row r="99" spans="3:34">
      <c r="C99" s="302" t="s">
        <v>17</v>
      </c>
      <c r="D99" s="693">
        <f>Stoping!H14</f>
        <v>2.053306074766355</v>
      </c>
      <c r="E99" s="693">
        <f>Stoping!I14</f>
        <v>2.053306074766355</v>
      </c>
      <c r="F99" s="693">
        <f>Stoping!J14</f>
        <v>2.053306074766355</v>
      </c>
      <c r="G99" s="693">
        <f>Stoping!K14</f>
        <v>2.053306074766355</v>
      </c>
      <c r="H99" s="693">
        <f>Stoping!L14</f>
        <v>2.053306074766355</v>
      </c>
      <c r="I99" s="693">
        <f>Stoping!M14</f>
        <v>2.053306074766355</v>
      </c>
      <c r="J99" s="693" t="str">
        <f>Stoping!N14</f>
        <v/>
      </c>
      <c r="K99" s="693" t="str">
        <f>Stoping!O14</f>
        <v/>
      </c>
      <c r="L99" s="693" t="str">
        <f>Stoping!P14</f>
        <v/>
      </c>
      <c r="M99" s="693" t="str">
        <f>Stoping!Q14</f>
        <v/>
      </c>
      <c r="N99" s="693" t="str">
        <f>Stoping!R14</f>
        <v/>
      </c>
      <c r="O99" s="693" t="str">
        <f>Stoping!S14</f>
        <v/>
      </c>
      <c r="P99" s="693" t="str">
        <f>Stoping!T14</f>
        <v/>
      </c>
      <c r="Q99" s="693" t="str">
        <f>Stoping!U14</f>
        <v/>
      </c>
      <c r="R99" s="693" t="str">
        <f>Stoping!V14</f>
        <v/>
      </c>
      <c r="S99" s="693" t="str">
        <f>Stoping!W14</f>
        <v/>
      </c>
      <c r="T99" s="693" t="str">
        <f>Stoping!X14</f>
        <v/>
      </c>
      <c r="U99" s="693" t="str">
        <f>Stoping!Y14</f>
        <v/>
      </c>
      <c r="V99" s="693" t="str">
        <f>Stoping!Z14</f>
        <v/>
      </c>
      <c r="W99" s="693" t="str">
        <f>Stoping!AA14</f>
        <v/>
      </c>
      <c r="X99" s="693" t="str">
        <f>Stoping!AB14</f>
        <v/>
      </c>
      <c r="Y99" s="693" t="str">
        <f>Stoping!AC14</f>
        <v/>
      </c>
      <c r="Z99" s="693" t="str">
        <f>Stoping!AD14</f>
        <v/>
      </c>
      <c r="AA99" s="693" t="str">
        <f>Stoping!AE14</f>
        <v/>
      </c>
      <c r="AB99" s="693" t="str">
        <f>Stoping!AF14</f>
        <v/>
      </c>
      <c r="AC99" s="693" t="str">
        <f>Stoping!AG14</f>
        <v/>
      </c>
      <c r="AD99" s="693" t="str">
        <f>Stoping!AH14</f>
        <v/>
      </c>
      <c r="AE99" s="693" t="str">
        <f>Stoping!AI14</f>
        <v/>
      </c>
      <c r="AF99" s="693" t="str">
        <f>Stoping!AJ14</f>
        <v/>
      </c>
      <c r="AG99" s="693" t="str">
        <f>Stoping!AK14</f>
        <v/>
      </c>
      <c r="AH99" s="693" t="str">
        <f>Stoping!AL14</f>
        <v/>
      </c>
    </row>
    <row r="100" spans="3:34">
      <c r="C100" s="302" t="s">
        <v>73</v>
      </c>
      <c r="D100" s="693">
        <f>D99</f>
        <v>2.053306074766355</v>
      </c>
      <c r="E100" s="693">
        <f>IFERROR(E99+D100,"")</f>
        <v>4.1066121495327099</v>
      </c>
      <c r="F100" s="693">
        <f>IFERROR(F99+E100,"")</f>
        <v>6.1599182242990649</v>
      </c>
      <c r="G100" s="693">
        <f t="shared" ref="G100:AH100" si="31">IFERROR(G99+F100,"")</f>
        <v>8.2132242990654198</v>
      </c>
      <c r="H100" s="693">
        <f t="shared" si="31"/>
        <v>10.266530373831774</v>
      </c>
      <c r="I100" s="693">
        <f t="shared" si="31"/>
        <v>12.319836448598128</v>
      </c>
      <c r="J100" s="693" t="str">
        <f t="shared" si="31"/>
        <v/>
      </c>
      <c r="K100" s="693" t="str">
        <f t="shared" si="31"/>
        <v/>
      </c>
      <c r="L100" s="693" t="str">
        <f t="shared" si="31"/>
        <v/>
      </c>
      <c r="M100" s="693" t="str">
        <f t="shared" si="31"/>
        <v/>
      </c>
      <c r="N100" s="693" t="str">
        <f t="shared" si="31"/>
        <v/>
      </c>
      <c r="O100" s="693" t="str">
        <f t="shared" si="31"/>
        <v/>
      </c>
      <c r="P100" s="693" t="str">
        <f t="shared" si="31"/>
        <v/>
      </c>
      <c r="Q100" s="693" t="str">
        <f t="shared" si="31"/>
        <v/>
      </c>
      <c r="R100" s="693" t="str">
        <f t="shared" si="31"/>
        <v/>
      </c>
      <c r="S100" s="693" t="str">
        <f t="shared" si="31"/>
        <v/>
      </c>
      <c r="T100" s="693" t="str">
        <f t="shared" si="31"/>
        <v/>
      </c>
      <c r="U100" s="693" t="str">
        <f t="shared" si="31"/>
        <v/>
      </c>
      <c r="V100" s="693" t="str">
        <f t="shared" si="31"/>
        <v/>
      </c>
      <c r="W100" s="693" t="str">
        <f t="shared" si="31"/>
        <v/>
      </c>
      <c r="X100" s="693" t="str">
        <f t="shared" si="31"/>
        <v/>
      </c>
      <c r="Y100" s="693" t="str">
        <f t="shared" si="31"/>
        <v/>
      </c>
      <c r="Z100" s="693" t="str">
        <f t="shared" si="31"/>
        <v/>
      </c>
      <c r="AA100" s="693" t="str">
        <f t="shared" si="31"/>
        <v/>
      </c>
      <c r="AB100" s="693" t="str">
        <f t="shared" si="31"/>
        <v/>
      </c>
      <c r="AC100" s="693" t="str">
        <f t="shared" si="31"/>
        <v/>
      </c>
      <c r="AD100" s="693" t="str">
        <f t="shared" si="31"/>
        <v/>
      </c>
      <c r="AE100" s="693" t="str">
        <f t="shared" si="31"/>
        <v/>
      </c>
      <c r="AF100" s="693" t="str">
        <f t="shared" si="31"/>
        <v/>
      </c>
      <c r="AG100" s="693" t="str">
        <f t="shared" si="31"/>
        <v/>
      </c>
      <c r="AH100" s="693" t="str">
        <f t="shared" si="31"/>
        <v/>
      </c>
    </row>
    <row r="101" spans="3:34">
      <c r="D101" s="693"/>
      <c r="E101" s="693"/>
      <c r="F101" s="693"/>
      <c r="G101" s="693"/>
      <c r="H101" s="693"/>
      <c r="I101" s="693"/>
      <c r="J101" s="693"/>
      <c r="K101" s="693"/>
      <c r="L101" s="693"/>
      <c r="M101" s="693"/>
      <c r="N101" s="693"/>
      <c r="O101" s="693"/>
      <c r="P101" s="693"/>
      <c r="Q101" s="693"/>
      <c r="R101" s="693"/>
      <c r="S101" s="693"/>
      <c r="T101" s="693"/>
      <c r="U101" s="693"/>
      <c r="V101" s="693"/>
      <c r="W101" s="693"/>
      <c r="X101" s="693"/>
      <c r="Y101" s="693"/>
      <c r="Z101" s="693"/>
      <c r="AA101" s="693"/>
      <c r="AB101" s="693"/>
      <c r="AC101" s="693"/>
      <c r="AD101" s="693"/>
      <c r="AE101" s="693"/>
      <c r="AF101" s="693"/>
      <c r="AG101" s="693"/>
      <c r="AH101" s="693"/>
    </row>
    <row r="102" spans="3:34">
      <c r="C102" s="302" t="str">
        <f>_xlfn.CONCAT(C31," - ",C29)</f>
        <v>Tramming - Gold</v>
      </c>
      <c r="D102" s="693"/>
      <c r="E102" s="693"/>
      <c r="F102" s="693"/>
      <c r="G102" s="693"/>
      <c r="H102" s="693"/>
      <c r="I102" s="693"/>
      <c r="J102" s="693"/>
      <c r="K102" s="693"/>
      <c r="L102" s="693"/>
      <c r="M102" s="693"/>
      <c r="N102" s="693"/>
      <c r="O102" s="693"/>
      <c r="P102" s="693"/>
      <c r="Q102" s="693"/>
      <c r="R102" s="693"/>
      <c r="S102" s="693"/>
      <c r="T102" s="693"/>
      <c r="U102" s="693"/>
      <c r="V102" s="693"/>
      <c r="W102" s="693"/>
      <c r="X102" s="693"/>
      <c r="Y102" s="693"/>
      <c r="Z102" s="693"/>
      <c r="AA102" s="693"/>
      <c r="AB102" s="693"/>
      <c r="AC102" s="693"/>
      <c r="AD102" s="693"/>
      <c r="AE102" s="693"/>
      <c r="AF102" s="693"/>
      <c r="AG102" s="693"/>
      <c r="AH102" s="693"/>
    </row>
    <row r="103" spans="3:34">
      <c r="C103" s="302" t="s">
        <v>16</v>
      </c>
      <c r="D103" s="693">
        <f>Tramming!H15</f>
        <v>1.7385799999999998</v>
      </c>
      <c r="E103" s="693">
        <f>Tramming!I15</f>
        <v>3.3718950000000003</v>
      </c>
      <c r="F103" s="693">
        <f>Tramming!J15</f>
        <v>2.9947299999999997</v>
      </c>
      <c r="G103" s="693">
        <f>Tramming!K15</f>
        <v>2.2661049999999996</v>
      </c>
      <c r="H103" s="693">
        <f>Tramming!L15</f>
        <v>2.6365200000000004</v>
      </c>
      <c r="I103" s="693">
        <f>Tramming!M15</f>
        <v>0</v>
      </c>
      <c r="J103" s="693" t="str">
        <f>Tramming!N15</f>
        <v/>
      </c>
      <c r="K103" s="693" t="str">
        <f>Tramming!O15</f>
        <v/>
      </c>
      <c r="L103" s="693" t="str">
        <f>Tramming!P15</f>
        <v/>
      </c>
      <c r="M103" s="693" t="str">
        <f>Tramming!Q15</f>
        <v/>
      </c>
      <c r="N103" s="693" t="str">
        <f>Tramming!R15</f>
        <v/>
      </c>
      <c r="O103" s="693" t="str">
        <f>Tramming!S15</f>
        <v/>
      </c>
      <c r="P103" s="693" t="str">
        <f>Tramming!T15</f>
        <v/>
      </c>
      <c r="Q103" s="693" t="str">
        <f>Tramming!U15</f>
        <v/>
      </c>
      <c r="R103" s="693" t="str">
        <f>Tramming!V15</f>
        <v/>
      </c>
      <c r="S103" s="693" t="str">
        <f>Tramming!W15</f>
        <v/>
      </c>
      <c r="T103" s="693" t="str">
        <f>Tramming!X15</f>
        <v/>
      </c>
      <c r="U103" s="693" t="str">
        <f>Tramming!Y15</f>
        <v/>
      </c>
      <c r="V103" s="693" t="str">
        <f>Tramming!Z15</f>
        <v/>
      </c>
      <c r="W103" s="693" t="str">
        <f>Tramming!AA15</f>
        <v/>
      </c>
      <c r="X103" s="693" t="str">
        <f>Tramming!AB15</f>
        <v/>
      </c>
      <c r="Y103" s="693" t="str">
        <f>Tramming!AC15</f>
        <v/>
      </c>
      <c r="Z103" s="693" t="str">
        <f>Tramming!AD15</f>
        <v/>
      </c>
      <c r="AA103" s="693" t="str">
        <f>Tramming!AE15</f>
        <v/>
      </c>
      <c r="AB103" s="693" t="str">
        <f>Tramming!AF15</f>
        <v/>
      </c>
      <c r="AC103" s="693" t="str">
        <f>Tramming!AG15</f>
        <v/>
      </c>
      <c r="AD103" s="693" t="str">
        <f>Tramming!AH15</f>
        <v/>
      </c>
      <c r="AE103" s="693" t="str">
        <f>Tramming!AI15</f>
        <v/>
      </c>
      <c r="AF103" s="693" t="str">
        <f>Tramming!AJ15</f>
        <v/>
      </c>
      <c r="AG103" s="693" t="str">
        <f>Tramming!AK15</f>
        <v/>
      </c>
      <c r="AH103" s="693" t="str">
        <f>Tramming!AL15</f>
        <v/>
      </c>
    </row>
    <row r="104" spans="3:34">
      <c r="C104" s="302" t="s">
        <v>72</v>
      </c>
      <c r="D104" s="693">
        <f>D103</f>
        <v>1.7385799999999998</v>
      </c>
      <c r="E104" s="693">
        <f>IFERROR(E103+D104,"")</f>
        <v>5.1104750000000001</v>
      </c>
      <c r="F104" s="693">
        <f>IFERROR(F103+E104,"")</f>
        <v>8.1052049999999998</v>
      </c>
      <c r="G104" s="693">
        <f t="shared" ref="G104:AH104" si="32">IFERROR(G103+F104,"")</f>
        <v>10.371309999999999</v>
      </c>
      <c r="H104" s="693">
        <f t="shared" si="32"/>
        <v>13.00783</v>
      </c>
      <c r="I104" s="693">
        <f t="shared" si="32"/>
        <v>13.00783</v>
      </c>
      <c r="J104" s="693" t="str">
        <f t="shared" si="32"/>
        <v/>
      </c>
      <c r="K104" s="693" t="str">
        <f t="shared" si="32"/>
        <v/>
      </c>
      <c r="L104" s="693" t="str">
        <f t="shared" si="32"/>
        <v/>
      </c>
      <c r="M104" s="693" t="str">
        <f t="shared" si="32"/>
        <v/>
      </c>
      <c r="N104" s="693" t="str">
        <f t="shared" si="32"/>
        <v/>
      </c>
      <c r="O104" s="693" t="str">
        <f t="shared" si="32"/>
        <v/>
      </c>
      <c r="P104" s="693" t="str">
        <f t="shared" si="32"/>
        <v/>
      </c>
      <c r="Q104" s="693" t="str">
        <f t="shared" si="32"/>
        <v/>
      </c>
      <c r="R104" s="693" t="str">
        <f t="shared" si="32"/>
        <v/>
      </c>
      <c r="S104" s="693" t="str">
        <f t="shared" si="32"/>
        <v/>
      </c>
      <c r="T104" s="693" t="str">
        <f t="shared" si="32"/>
        <v/>
      </c>
      <c r="U104" s="693" t="str">
        <f t="shared" si="32"/>
        <v/>
      </c>
      <c r="V104" s="693" t="str">
        <f t="shared" si="32"/>
        <v/>
      </c>
      <c r="W104" s="693" t="str">
        <f t="shared" si="32"/>
        <v/>
      </c>
      <c r="X104" s="693" t="str">
        <f t="shared" si="32"/>
        <v/>
      </c>
      <c r="Y104" s="693" t="str">
        <f t="shared" si="32"/>
        <v/>
      </c>
      <c r="Z104" s="693" t="str">
        <f t="shared" si="32"/>
        <v/>
      </c>
      <c r="AA104" s="693" t="str">
        <f t="shared" si="32"/>
        <v/>
      </c>
      <c r="AB104" s="693" t="str">
        <f t="shared" si="32"/>
        <v/>
      </c>
      <c r="AC104" s="693" t="str">
        <f t="shared" si="32"/>
        <v/>
      </c>
      <c r="AD104" s="693" t="str">
        <f t="shared" si="32"/>
        <v/>
      </c>
      <c r="AE104" s="693" t="str">
        <f t="shared" si="32"/>
        <v/>
      </c>
      <c r="AF104" s="693" t="str">
        <f t="shared" si="32"/>
        <v/>
      </c>
      <c r="AG104" s="693" t="str">
        <f t="shared" si="32"/>
        <v/>
      </c>
      <c r="AH104" s="693" t="str">
        <f t="shared" si="32"/>
        <v/>
      </c>
    </row>
    <row r="105" spans="3:34">
      <c r="C105" s="302" t="s">
        <v>17</v>
      </c>
      <c r="D105" s="693">
        <f>Tramming!H14</f>
        <v>1.7391238317757007</v>
      </c>
      <c r="E105" s="693">
        <f>Tramming!I14</f>
        <v>2.053306074766355</v>
      </c>
      <c r="F105" s="693">
        <f>Tramming!J14</f>
        <v>2.053306074766355</v>
      </c>
      <c r="G105" s="693">
        <f>Tramming!K14</f>
        <v>2.053306074766355</v>
      </c>
      <c r="H105" s="693">
        <f>Tramming!L14</f>
        <v>2.053306074766355</v>
      </c>
      <c r="I105" s="693">
        <f>Tramming!M14</f>
        <v>2.053306074766355</v>
      </c>
      <c r="J105" s="693" t="str">
        <f>Tramming!N14</f>
        <v/>
      </c>
      <c r="K105" s="693" t="str">
        <f>Tramming!O14</f>
        <v/>
      </c>
      <c r="L105" s="693" t="str">
        <f>Tramming!P14</f>
        <v/>
      </c>
      <c r="M105" s="693" t="str">
        <f>Tramming!Q14</f>
        <v/>
      </c>
      <c r="N105" s="693" t="str">
        <f>Tramming!R14</f>
        <v/>
      </c>
      <c r="O105" s="693" t="str">
        <f>Tramming!S14</f>
        <v/>
      </c>
      <c r="P105" s="693" t="str">
        <f>Tramming!T14</f>
        <v/>
      </c>
      <c r="Q105" s="693" t="str">
        <f>Tramming!U14</f>
        <v/>
      </c>
      <c r="R105" s="693" t="str">
        <f>Tramming!V14</f>
        <v/>
      </c>
      <c r="S105" s="693" t="str">
        <f>Tramming!W14</f>
        <v/>
      </c>
      <c r="T105" s="693" t="str">
        <f>Tramming!X14</f>
        <v/>
      </c>
      <c r="U105" s="693" t="str">
        <f>Tramming!Y14</f>
        <v/>
      </c>
      <c r="V105" s="693" t="str">
        <f>Tramming!Z14</f>
        <v/>
      </c>
      <c r="W105" s="693" t="str">
        <f>Tramming!AA14</f>
        <v/>
      </c>
      <c r="X105" s="693" t="str">
        <f>Tramming!AB14</f>
        <v/>
      </c>
      <c r="Y105" s="693" t="str">
        <f>Tramming!AC14</f>
        <v/>
      </c>
      <c r="Z105" s="693" t="str">
        <f>Tramming!AD14</f>
        <v/>
      </c>
      <c r="AA105" s="693" t="str">
        <f>Tramming!AE14</f>
        <v/>
      </c>
      <c r="AB105" s="693" t="str">
        <f>Tramming!AF14</f>
        <v/>
      </c>
      <c r="AC105" s="693" t="str">
        <f>Tramming!AG14</f>
        <v/>
      </c>
      <c r="AD105" s="693" t="str">
        <f>Tramming!AH14</f>
        <v/>
      </c>
      <c r="AE105" s="693" t="str">
        <f>Tramming!AI14</f>
        <v/>
      </c>
      <c r="AF105" s="693" t="str">
        <f>Tramming!AJ14</f>
        <v/>
      </c>
      <c r="AG105" s="693" t="str">
        <f>Tramming!AK14</f>
        <v/>
      </c>
      <c r="AH105" s="693" t="str">
        <f>Tramming!AL14</f>
        <v/>
      </c>
    </row>
    <row r="106" spans="3:34">
      <c r="C106" s="302" t="s">
        <v>73</v>
      </c>
      <c r="D106" s="693">
        <f>D105</f>
        <v>1.7391238317757007</v>
      </c>
      <c r="E106" s="693">
        <f>IFERROR(E105+D106,"")</f>
        <v>3.7924299065420559</v>
      </c>
      <c r="F106" s="693">
        <f>IFERROR(F105+E106,"")</f>
        <v>5.8457359813084109</v>
      </c>
      <c r="G106" s="693">
        <f t="shared" ref="G106:AH106" si="33">IFERROR(G105+F106,"")</f>
        <v>7.8990420560747658</v>
      </c>
      <c r="H106" s="693">
        <f t="shared" si="33"/>
        <v>9.9523481308411199</v>
      </c>
      <c r="I106" s="693">
        <f t="shared" si="33"/>
        <v>12.005654205607474</v>
      </c>
      <c r="J106" s="693" t="str">
        <f t="shared" si="33"/>
        <v/>
      </c>
      <c r="K106" s="693" t="str">
        <f t="shared" si="33"/>
        <v/>
      </c>
      <c r="L106" s="693" t="str">
        <f t="shared" si="33"/>
        <v/>
      </c>
      <c r="M106" s="693" t="str">
        <f t="shared" si="33"/>
        <v/>
      </c>
      <c r="N106" s="693" t="str">
        <f t="shared" si="33"/>
        <v/>
      </c>
      <c r="O106" s="693" t="str">
        <f t="shared" si="33"/>
        <v/>
      </c>
      <c r="P106" s="693" t="str">
        <f t="shared" si="33"/>
        <v/>
      </c>
      <c r="Q106" s="693" t="str">
        <f t="shared" si="33"/>
        <v/>
      </c>
      <c r="R106" s="693" t="str">
        <f t="shared" si="33"/>
        <v/>
      </c>
      <c r="S106" s="693" t="str">
        <f t="shared" si="33"/>
        <v/>
      </c>
      <c r="T106" s="693" t="str">
        <f t="shared" si="33"/>
        <v/>
      </c>
      <c r="U106" s="693" t="str">
        <f t="shared" si="33"/>
        <v/>
      </c>
      <c r="V106" s="693" t="str">
        <f t="shared" si="33"/>
        <v/>
      </c>
      <c r="W106" s="693" t="str">
        <f t="shared" si="33"/>
        <v/>
      </c>
      <c r="X106" s="693" t="str">
        <f t="shared" si="33"/>
        <v/>
      </c>
      <c r="Y106" s="693" t="str">
        <f t="shared" si="33"/>
        <v/>
      </c>
      <c r="Z106" s="693" t="str">
        <f t="shared" si="33"/>
        <v/>
      </c>
      <c r="AA106" s="693" t="str">
        <f t="shared" si="33"/>
        <v/>
      </c>
      <c r="AB106" s="693" t="str">
        <f t="shared" si="33"/>
        <v/>
      </c>
      <c r="AC106" s="693" t="str">
        <f t="shared" si="33"/>
        <v/>
      </c>
      <c r="AD106" s="693" t="str">
        <f t="shared" si="33"/>
        <v/>
      </c>
      <c r="AE106" s="693" t="str">
        <f t="shared" si="33"/>
        <v/>
      </c>
      <c r="AF106" s="693" t="str">
        <f t="shared" si="33"/>
        <v/>
      </c>
      <c r="AG106" s="693" t="str">
        <f t="shared" si="33"/>
        <v/>
      </c>
      <c r="AH106" s="693" t="str">
        <f t="shared" si="33"/>
        <v/>
      </c>
    </row>
    <row r="107" spans="3:34">
      <c r="D107" s="693"/>
      <c r="E107" s="693"/>
      <c r="F107" s="693"/>
      <c r="G107" s="693"/>
      <c r="H107" s="693"/>
      <c r="I107" s="693"/>
      <c r="J107" s="693"/>
      <c r="K107" s="693"/>
      <c r="L107" s="693"/>
      <c r="M107" s="693"/>
      <c r="N107" s="693"/>
      <c r="O107" s="693"/>
      <c r="P107" s="693"/>
      <c r="Q107" s="693"/>
      <c r="R107" s="693"/>
      <c r="S107" s="693"/>
      <c r="T107" s="693"/>
      <c r="U107" s="693"/>
      <c r="V107" s="693"/>
      <c r="W107" s="693"/>
      <c r="X107" s="693"/>
      <c r="Y107" s="693"/>
      <c r="Z107" s="693"/>
      <c r="AA107" s="693"/>
      <c r="AB107" s="693"/>
      <c r="AC107" s="693"/>
      <c r="AD107" s="693"/>
      <c r="AE107" s="693"/>
      <c r="AF107" s="693"/>
      <c r="AG107" s="693"/>
      <c r="AH107" s="693"/>
    </row>
    <row r="108" spans="3:34">
      <c r="C108" s="302" t="str">
        <f>_xlfn.CONCAT(C32," - ",C29)</f>
        <v>Hoisting - Gold</v>
      </c>
      <c r="D108" s="693"/>
      <c r="E108" s="693"/>
      <c r="F108" s="693"/>
      <c r="G108" s="693"/>
      <c r="H108" s="693"/>
      <c r="I108" s="693"/>
      <c r="J108" s="693"/>
      <c r="K108" s="693"/>
      <c r="L108" s="693"/>
      <c r="M108" s="693"/>
      <c r="N108" s="693"/>
      <c r="O108" s="693"/>
      <c r="P108" s="693"/>
      <c r="Q108" s="693"/>
      <c r="R108" s="693"/>
      <c r="S108" s="693"/>
      <c r="T108" s="693"/>
      <c r="U108" s="693"/>
      <c r="V108" s="693"/>
      <c r="W108" s="693"/>
      <c r="X108" s="693"/>
      <c r="Y108" s="693"/>
      <c r="Z108" s="693"/>
      <c r="AA108" s="693"/>
      <c r="AB108" s="693"/>
      <c r="AC108" s="693"/>
      <c r="AD108" s="693"/>
      <c r="AE108" s="693"/>
      <c r="AF108" s="693"/>
      <c r="AG108" s="693"/>
      <c r="AH108" s="693"/>
    </row>
    <row r="109" spans="3:34">
      <c r="C109" s="302" t="s">
        <v>16</v>
      </c>
      <c r="D109" s="693">
        <f>Hoisting!H15</f>
        <v>1.5561800000000001</v>
      </c>
      <c r="E109" s="693">
        <f>Hoisting!I15</f>
        <v>2.0277599999999998</v>
      </c>
      <c r="F109" s="693">
        <f>Hoisting!J15</f>
        <v>1.5146899999999999</v>
      </c>
      <c r="G109" s="693">
        <f>Hoisting!K15</f>
        <v>1.47784</v>
      </c>
      <c r="H109" s="693">
        <f>Hoisting!L15</f>
        <v>2.9140299999999999</v>
      </c>
      <c r="I109" s="693">
        <f>Hoisting!M15</f>
        <v>0</v>
      </c>
      <c r="J109" s="693" t="str">
        <f>Hoisting!N15</f>
        <v/>
      </c>
      <c r="K109" s="693" t="str">
        <f>Hoisting!O15</f>
        <v/>
      </c>
      <c r="L109" s="693" t="str">
        <f>Hoisting!P15</f>
        <v/>
      </c>
      <c r="M109" s="693" t="str">
        <f>Hoisting!Q15</f>
        <v/>
      </c>
      <c r="N109" s="693" t="str">
        <f>Hoisting!R15</f>
        <v/>
      </c>
      <c r="O109" s="693" t="str">
        <f>Hoisting!S15</f>
        <v/>
      </c>
      <c r="P109" s="693" t="str">
        <f>Hoisting!T15</f>
        <v/>
      </c>
      <c r="Q109" s="693" t="str">
        <f>Hoisting!U15</f>
        <v/>
      </c>
      <c r="R109" s="693" t="str">
        <f>Hoisting!V15</f>
        <v/>
      </c>
      <c r="S109" s="693" t="str">
        <f>Hoisting!W15</f>
        <v/>
      </c>
      <c r="T109" s="693" t="str">
        <f>Hoisting!X15</f>
        <v/>
      </c>
      <c r="U109" s="693" t="str">
        <f>Hoisting!Y15</f>
        <v/>
      </c>
      <c r="V109" s="693" t="str">
        <f>Hoisting!Z15</f>
        <v/>
      </c>
      <c r="W109" s="693" t="str">
        <f>Hoisting!AA15</f>
        <v/>
      </c>
      <c r="X109" s="693" t="str">
        <f>Hoisting!AB15</f>
        <v/>
      </c>
      <c r="Y109" s="693" t="str">
        <f>Hoisting!AC15</f>
        <v/>
      </c>
      <c r="Z109" s="693" t="str">
        <f>Hoisting!AD15</f>
        <v/>
      </c>
      <c r="AA109" s="693" t="str">
        <f>Hoisting!AE15</f>
        <v/>
      </c>
      <c r="AB109" s="693" t="str">
        <f>Hoisting!AF15</f>
        <v/>
      </c>
      <c r="AC109" s="693" t="str">
        <f>Hoisting!AG15</f>
        <v/>
      </c>
      <c r="AD109" s="693" t="str">
        <f>Hoisting!AH15</f>
        <v/>
      </c>
      <c r="AE109" s="693" t="str">
        <f>Hoisting!AI15</f>
        <v/>
      </c>
      <c r="AF109" s="693" t="str">
        <f>Hoisting!AJ15</f>
        <v/>
      </c>
      <c r="AG109" s="693" t="str">
        <f>Hoisting!AK15</f>
        <v/>
      </c>
      <c r="AH109" s="693" t="str">
        <f>Hoisting!AL15</f>
        <v/>
      </c>
    </row>
    <row r="110" spans="3:34">
      <c r="C110" s="302" t="s">
        <v>72</v>
      </c>
      <c r="D110" s="693">
        <f>D109</f>
        <v>1.5561800000000001</v>
      </c>
      <c r="E110" s="693">
        <f>IFERROR(E109+D110,"")</f>
        <v>3.5839400000000001</v>
      </c>
      <c r="F110" s="693">
        <f>IFERROR(F109+E110,"")</f>
        <v>5.09863</v>
      </c>
      <c r="G110" s="693">
        <f t="shared" ref="G110:AH110" si="34">IFERROR(G109+F110,"")</f>
        <v>6.5764700000000005</v>
      </c>
      <c r="H110" s="693">
        <f t="shared" si="34"/>
        <v>9.4905000000000008</v>
      </c>
      <c r="I110" s="693">
        <f t="shared" si="34"/>
        <v>9.4905000000000008</v>
      </c>
      <c r="J110" s="693" t="str">
        <f t="shared" si="34"/>
        <v/>
      </c>
      <c r="K110" s="693" t="str">
        <f t="shared" si="34"/>
        <v/>
      </c>
      <c r="L110" s="693" t="str">
        <f t="shared" si="34"/>
        <v/>
      </c>
      <c r="M110" s="693" t="str">
        <f t="shared" si="34"/>
        <v/>
      </c>
      <c r="N110" s="693" t="str">
        <f t="shared" si="34"/>
        <v/>
      </c>
      <c r="O110" s="693" t="str">
        <f t="shared" si="34"/>
        <v/>
      </c>
      <c r="P110" s="693" t="str">
        <f t="shared" si="34"/>
        <v/>
      </c>
      <c r="Q110" s="693" t="str">
        <f t="shared" si="34"/>
        <v/>
      </c>
      <c r="R110" s="693" t="str">
        <f t="shared" si="34"/>
        <v/>
      </c>
      <c r="S110" s="693" t="str">
        <f t="shared" si="34"/>
        <v/>
      </c>
      <c r="T110" s="693" t="str">
        <f t="shared" si="34"/>
        <v/>
      </c>
      <c r="U110" s="693" t="str">
        <f t="shared" si="34"/>
        <v/>
      </c>
      <c r="V110" s="693" t="str">
        <f t="shared" si="34"/>
        <v/>
      </c>
      <c r="W110" s="693" t="str">
        <f t="shared" si="34"/>
        <v/>
      </c>
      <c r="X110" s="693" t="str">
        <f t="shared" si="34"/>
        <v/>
      </c>
      <c r="Y110" s="693" t="str">
        <f t="shared" si="34"/>
        <v/>
      </c>
      <c r="Z110" s="693" t="str">
        <f t="shared" si="34"/>
        <v/>
      </c>
      <c r="AA110" s="693" t="str">
        <f t="shared" si="34"/>
        <v/>
      </c>
      <c r="AB110" s="693" t="str">
        <f t="shared" si="34"/>
        <v/>
      </c>
      <c r="AC110" s="693" t="str">
        <f t="shared" si="34"/>
        <v/>
      </c>
      <c r="AD110" s="693" t="str">
        <f t="shared" si="34"/>
        <v/>
      </c>
      <c r="AE110" s="693" t="str">
        <f t="shared" si="34"/>
        <v/>
      </c>
      <c r="AF110" s="693" t="str">
        <f t="shared" si="34"/>
        <v/>
      </c>
      <c r="AG110" s="693" t="str">
        <f t="shared" si="34"/>
        <v/>
      </c>
      <c r="AH110" s="693" t="str">
        <f t="shared" si="34"/>
        <v/>
      </c>
    </row>
    <row r="111" spans="3:34">
      <c r="C111" s="302" t="s">
        <v>17</v>
      </c>
      <c r="D111" s="693">
        <f>Hoisting!H14</f>
        <v>1.6300189836448593</v>
      </c>
      <c r="E111" s="693">
        <f>Hoisting!I14</f>
        <v>1.9039106308411213</v>
      </c>
      <c r="F111" s="693">
        <f>Hoisting!J14</f>
        <v>1.9039106308411213</v>
      </c>
      <c r="G111" s="693">
        <f>Hoisting!K14</f>
        <v>1.9039106308411213</v>
      </c>
      <c r="H111" s="693">
        <f>Hoisting!L14</f>
        <v>1.9039106308411213</v>
      </c>
      <c r="I111" s="693">
        <f>Hoisting!M14</f>
        <v>1.9039106308411213</v>
      </c>
      <c r="J111" s="693" t="str">
        <f>Hoisting!N14</f>
        <v/>
      </c>
      <c r="K111" s="693" t="str">
        <f>Hoisting!O14</f>
        <v/>
      </c>
      <c r="L111" s="693" t="str">
        <f>Hoisting!P14</f>
        <v/>
      </c>
      <c r="M111" s="693" t="str">
        <f>Hoisting!Q14</f>
        <v/>
      </c>
      <c r="N111" s="693" t="str">
        <f>Hoisting!R14</f>
        <v/>
      </c>
      <c r="O111" s="693" t="str">
        <f>Hoisting!S14</f>
        <v/>
      </c>
      <c r="P111" s="693" t="str">
        <f>Hoisting!T14</f>
        <v/>
      </c>
      <c r="Q111" s="693" t="str">
        <f>Hoisting!U14</f>
        <v/>
      </c>
      <c r="R111" s="693" t="str">
        <f>Hoisting!V14</f>
        <v/>
      </c>
      <c r="S111" s="693" t="str">
        <f>Hoisting!W14</f>
        <v/>
      </c>
      <c r="T111" s="693" t="str">
        <f>Hoisting!X14</f>
        <v/>
      </c>
      <c r="U111" s="693" t="str">
        <f>Hoisting!Y14</f>
        <v/>
      </c>
      <c r="V111" s="693" t="str">
        <f>Hoisting!Z14</f>
        <v/>
      </c>
      <c r="W111" s="693" t="str">
        <f>Hoisting!AA14</f>
        <v/>
      </c>
      <c r="X111" s="693" t="str">
        <f>Hoisting!AB14</f>
        <v/>
      </c>
      <c r="Y111" s="693" t="str">
        <f>Hoisting!AC14</f>
        <v/>
      </c>
      <c r="Z111" s="693" t="str">
        <f>Hoisting!AD14</f>
        <v/>
      </c>
      <c r="AA111" s="693" t="str">
        <f>Hoisting!AE14</f>
        <v/>
      </c>
      <c r="AB111" s="693" t="str">
        <f>Hoisting!AF14</f>
        <v/>
      </c>
      <c r="AC111" s="693" t="str">
        <f>Hoisting!AG14</f>
        <v/>
      </c>
      <c r="AD111" s="693" t="str">
        <f>Hoisting!AH14</f>
        <v/>
      </c>
      <c r="AE111" s="693" t="str">
        <f>Hoisting!AI14</f>
        <v/>
      </c>
      <c r="AF111" s="693" t="str">
        <f>Hoisting!AJ14</f>
        <v/>
      </c>
      <c r="AG111" s="693" t="str">
        <f>Hoisting!AK14</f>
        <v/>
      </c>
      <c r="AH111" s="693" t="str">
        <f>Hoisting!AL14</f>
        <v/>
      </c>
    </row>
    <row r="112" spans="3:34">
      <c r="C112" s="302" t="s">
        <v>73</v>
      </c>
      <c r="D112" s="693">
        <f>D111</f>
        <v>1.6300189836448593</v>
      </c>
      <c r="E112" s="693">
        <f>IFERROR(E111+D112,"")</f>
        <v>3.5339296144859809</v>
      </c>
      <c r="F112" s="693">
        <f>IFERROR(F111+E112,"")</f>
        <v>5.4378402453271022</v>
      </c>
      <c r="G112" s="693">
        <f t="shared" ref="G112:AH112" si="35">IFERROR(G111+F112,"")</f>
        <v>7.3417508761682235</v>
      </c>
      <c r="H112" s="693">
        <f t="shared" si="35"/>
        <v>9.2456615070093449</v>
      </c>
      <c r="I112" s="693">
        <f t="shared" si="35"/>
        <v>11.149572137850466</v>
      </c>
      <c r="J112" s="693" t="str">
        <f t="shared" si="35"/>
        <v/>
      </c>
      <c r="K112" s="693" t="str">
        <f t="shared" si="35"/>
        <v/>
      </c>
      <c r="L112" s="693" t="str">
        <f t="shared" si="35"/>
        <v/>
      </c>
      <c r="M112" s="693" t="str">
        <f t="shared" si="35"/>
        <v/>
      </c>
      <c r="N112" s="693" t="str">
        <f t="shared" si="35"/>
        <v/>
      </c>
      <c r="O112" s="693" t="str">
        <f t="shared" si="35"/>
        <v/>
      </c>
      <c r="P112" s="693" t="str">
        <f t="shared" si="35"/>
        <v/>
      </c>
      <c r="Q112" s="693" t="str">
        <f t="shared" si="35"/>
        <v/>
      </c>
      <c r="R112" s="693" t="str">
        <f t="shared" si="35"/>
        <v/>
      </c>
      <c r="S112" s="693" t="str">
        <f t="shared" si="35"/>
        <v/>
      </c>
      <c r="T112" s="693" t="str">
        <f t="shared" si="35"/>
        <v/>
      </c>
      <c r="U112" s="693" t="str">
        <f t="shared" si="35"/>
        <v/>
      </c>
      <c r="V112" s="693" t="str">
        <f t="shared" si="35"/>
        <v/>
      </c>
      <c r="W112" s="693" t="str">
        <f t="shared" si="35"/>
        <v/>
      </c>
      <c r="X112" s="693" t="str">
        <f t="shared" si="35"/>
        <v/>
      </c>
      <c r="Y112" s="693" t="str">
        <f t="shared" si="35"/>
        <v/>
      </c>
      <c r="Z112" s="693" t="str">
        <f t="shared" si="35"/>
        <v/>
      </c>
      <c r="AA112" s="693" t="str">
        <f t="shared" si="35"/>
        <v/>
      </c>
      <c r="AB112" s="693" t="str">
        <f t="shared" si="35"/>
        <v/>
      </c>
      <c r="AC112" s="693" t="str">
        <f t="shared" si="35"/>
        <v/>
      </c>
      <c r="AD112" s="693" t="str">
        <f t="shared" si="35"/>
        <v/>
      </c>
      <c r="AE112" s="693" t="str">
        <f t="shared" si="35"/>
        <v/>
      </c>
      <c r="AF112" s="693" t="str">
        <f t="shared" si="35"/>
        <v/>
      </c>
      <c r="AG112" s="693" t="str">
        <f t="shared" si="35"/>
        <v/>
      </c>
      <c r="AH112" s="693" t="str">
        <f t="shared" si="35"/>
        <v/>
      </c>
    </row>
  </sheetData>
  <mergeCells count="2">
    <mergeCell ref="E9:H9"/>
    <mergeCell ref="I9:L9"/>
  </mergeCells>
  <conditionalFormatting sqref="G11:H13">
    <cfRule type="cellIs" dxfId="1380" priority="15" operator="lessThan">
      <formula>0</formula>
    </cfRule>
    <cfRule type="cellIs" dxfId="1379" priority="16" operator="greaterThan">
      <formula>0</formula>
    </cfRule>
  </conditionalFormatting>
  <conditionalFormatting sqref="G20:H22">
    <cfRule type="cellIs" dxfId="1378" priority="11" operator="lessThan">
      <formula>0</formula>
    </cfRule>
    <cfRule type="cellIs" dxfId="1377" priority="12" operator="greaterThan">
      <formula>0</formula>
    </cfRule>
  </conditionalFormatting>
  <conditionalFormatting sqref="G25:H27">
    <cfRule type="cellIs" dxfId="1376" priority="7" operator="lessThan">
      <formula>0</formula>
    </cfRule>
    <cfRule type="cellIs" dxfId="1375" priority="8" operator="greaterThan">
      <formula>0</formula>
    </cfRule>
  </conditionalFormatting>
  <conditionalFormatting sqref="G30:H32">
    <cfRule type="cellIs" dxfId="1374" priority="3" operator="lessThan">
      <formula>0</formula>
    </cfRule>
    <cfRule type="cellIs" dxfId="1373" priority="4" operator="greaterThan">
      <formula>0</formula>
    </cfRule>
  </conditionalFormatting>
  <conditionalFormatting sqref="K11:L13">
    <cfRule type="cellIs" dxfId="1372" priority="13" operator="lessThan">
      <formula>0</formula>
    </cfRule>
    <cfRule type="cellIs" dxfId="1371" priority="14" operator="greaterThan">
      <formula>0</formula>
    </cfRule>
  </conditionalFormatting>
  <conditionalFormatting sqref="K20:L22">
    <cfRule type="cellIs" dxfId="1370" priority="9" operator="lessThan">
      <formula>0</formula>
    </cfRule>
    <cfRule type="cellIs" dxfId="1369" priority="10" operator="greaterThan">
      <formula>0</formula>
    </cfRule>
  </conditionalFormatting>
  <conditionalFormatting sqref="K25:L27">
    <cfRule type="cellIs" dxfId="1368" priority="5" operator="lessThan">
      <formula>0</formula>
    </cfRule>
    <cfRule type="cellIs" dxfId="1367" priority="6" operator="greaterThan">
      <formula>0</formula>
    </cfRule>
  </conditionalFormatting>
  <conditionalFormatting sqref="K30:L32">
    <cfRule type="cellIs" dxfId="1366" priority="1" operator="lessThan">
      <formula>0</formula>
    </cfRule>
    <cfRule type="cellIs" dxfId="1365" priority="2" operator="greaterThan">
      <formula>0</formula>
    </cfRule>
  </conditionalFormatting>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208F9-D3E6-49AB-860F-F0ACF1663158}">
  <dimension ref="C2:J5"/>
  <sheetViews>
    <sheetView workbookViewId="0">
      <selection activeCell="C2" sqref="C2"/>
    </sheetView>
  </sheetViews>
  <sheetFormatPr defaultRowHeight="14.4"/>
  <sheetData>
    <row r="2" spans="3:10">
      <c r="C2">
        <v>868.5</v>
      </c>
      <c r="D2">
        <v>815</v>
      </c>
      <c r="E2">
        <v>702</v>
      </c>
      <c r="F2">
        <v>805.5</v>
      </c>
      <c r="G2">
        <v>603</v>
      </c>
      <c r="H2">
        <v>643.5</v>
      </c>
      <c r="I2">
        <v>702</v>
      </c>
      <c r="J2">
        <v>760.5</v>
      </c>
    </row>
    <row r="3" spans="3:10">
      <c r="C3">
        <v>2.75</v>
      </c>
      <c r="D3">
        <v>1.1599999999999999</v>
      </c>
      <c r="E3">
        <v>1.4600000000000002</v>
      </c>
      <c r="F3">
        <v>1.1399999999999999</v>
      </c>
      <c r="G3">
        <v>1.87</v>
      </c>
      <c r="H3">
        <v>1.71</v>
      </c>
      <c r="I3">
        <v>2.4</v>
      </c>
      <c r="J3">
        <v>2.4</v>
      </c>
    </row>
    <row r="4" spans="3:10">
      <c r="C4">
        <f>SUM(C2:J2)</f>
        <v>5900</v>
      </c>
    </row>
    <row r="5" spans="3:10">
      <c r="C5">
        <f>SUMPRODUCT(C2:J2,C3:J3)/C4</f>
        <v>1.8669423728813559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13</vt:i4>
      </vt:variant>
    </vt:vector>
  </HeadingPairs>
  <TitlesOfParts>
    <vt:vector size="46" baseType="lpstr">
      <vt:lpstr>SUMMARY</vt:lpstr>
      <vt:lpstr>KPIs</vt:lpstr>
      <vt:lpstr>Actions</vt:lpstr>
      <vt:lpstr>&gt; PUG</vt:lpstr>
      <vt:lpstr>Activities</vt:lpstr>
      <vt:lpstr>Ore Accounting Actions</vt:lpstr>
      <vt:lpstr>D_Drilling</vt:lpstr>
      <vt:lpstr>Development</vt:lpstr>
      <vt:lpstr>Sheet1</vt:lpstr>
      <vt:lpstr>Generation</vt:lpstr>
      <vt:lpstr>Stoping</vt:lpstr>
      <vt:lpstr>Tramming</vt:lpstr>
      <vt:lpstr>Hoisting</vt:lpstr>
      <vt:lpstr>Projects</vt:lpstr>
      <vt:lpstr>PLANT</vt:lpstr>
      <vt:lpstr>Tonnage Recon</vt:lpstr>
      <vt:lpstr>Hoisting Charts</vt:lpstr>
      <vt:lpstr>&gt; SAMPLING</vt:lpstr>
      <vt:lpstr>DEV.</vt:lpstr>
      <vt:lpstr>BENCHES.</vt:lpstr>
      <vt:lpstr>TRAMMING.</vt:lpstr>
      <vt:lpstr>HOISTING.</vt:lpstr>
      <vt:lpstr>DEV.TRKR</vt:lpstr>
      <vt:lpstr>&gt; PLANS</vt:lpstr>
      <vt:lpstr>Development.</vt:lpstr>
      <vt:lpstr>Breaking.</vt:lpstr>
      <vt:lpstr>Schedule</vt:lpstr>
      <vt:lpstr>UG_Hoisting</vt:lpstr>
      <vt:lpstr>DD.</vt:lpstr>
      <vt:lpstr>Weekly</vt:lpstr>
      <vt:lpstr>Stope History</vt:lpstr>
      <vt:lpstr>KPIs (2)</vt:lpstr>
      <vt:lpstr>Sheet4</vt:lpstr>
      <vt:lpstr>'Tonnage Recon'!Budget_Tailssss</vt:lpstr>
      <vt:lpstr>'Tonnage Recon'!Crush_Mill</vt:lpstr>
      <vt:lpstr>crushh_mille</vt:lpstr>
      <vt:lpstr>'Tonnage Recon'!Gold_Inventory</vt:lpstr>
      <vt:lpstr>'Tonnage Recon'!Inventory_Change</vt:lpstr>
      <vt:lpstr>'Tonnage Recon'!Milled</vt:lpstr>
      <vt:lpstr>'Tonnage Recon'!Month</vt:lpstr>
      <vt:lpstr>Munashe</vt:lpstr>
      <vt:lpstr>Generation!Print_Area</vt:lpstr>
      <vt:lpstr>SUMMARY!Print_Area</vt:lpstr>
      <vt:lpstr>'Tonnage Recon'!Recovery_Production</vt:lpstr>
      <vt:lpstr>Tonnes_MilledPK</vt:lpstr>
      <vt:lpstr>'Tonnage Recon'!True_months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TINASHE JACHA</dc:creator>
  <cp:keywords/>
  <dc:description/>
  <cp:lastModifiedBy>Kevin Kalongonda</cp:lastModifiedBy>
  <cp:revision/>
  <dcterms:created xsi:type="dcterms:W3CDTF">2023-08-16T10:24:00Z</dcterms:created>
  <dcterms:modified xsi:type="dcterms:W3CDTF">2025-08-07T06:36:53Z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785B5AD1BF504F78B1886AAF24438938_13</vt:lpwstr>
  </property>
  <property fmtid="{D5CDD505-2E9C-101B-9397-08002B2CF9AE}" pid="3" name="KSOProductBuildVer">
    <vt:lpwstr>1033-12.2.0.13215</vt:lpwstr>
  </property>
</Properties>
</file>